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grupotgt.com\OLV\Departamentos\Contabilidad\01 Produccion_rendimientos\Pruebas dashboard\ARCHIVOS PARA SUBIR\"/>
    </mc:Choice>
  </mc:AlternateContent>
  <xr:revisionPtr revIDLastSave="0" documentId="13_ncr:1_{07EA1C19-9FF4-48F8-BA0E-DC4B7392FDA8}" xr6:coauthVersionLast="47" xr6:coauthVersionMax="47" xr10:uidLastSave="{00000000-0000-0000-0000-000000000000}"/>
  <bookViews>
    <workbookView xWindow="-110" yWindow="-110" windowWidth="19420" windowHeight="10300" tabRatio="618" xr2:uid="{00000000-000D-0000-FFFF-FFFF00000000}"/>
  </bookViews>
  <sheets>
    <sheet name="DQO" sheetId="195" r:id="rId1"/>
    <sheet name="Base_Rendimientos" sheetId="228" r:id="rId2"/>
    <sheet name="Requesón" sheetId="243" r:id="rId3"/>
    <sheet name="Dim_Fecha" sheetId="232" state="hidden" r:id="rId4"/>
    <sheet name="Targets" sheetId="241" r:id="rId5"/>
    <sheet name="Pivots" sheetId="237" r:id="rId6"/>
    <sheet name="Precio Leche_EBITDA_Ventas" sheetId="242" r:id="rId7"/>
  </sheets>
  <definedNames>
    <definedName name="_xlnm._FilterDatabase" localSheetId="0" hidden="1">DQO!$B$2:$I$217</definedName>
    <definedName name="_xlcn.WorksheetConnection_2026Rendimiento_nuevo_plantilla_VF_dash_bcp.xlsxREND_TARGET1" hidden="1">REND_TARGET[]</definedName>
    <definedName name="_xlcn.WorksheetConnection_2026Rendimiento_nuevo_plantilla_VF_marcos.xlsxtbl_DimProducto1" hidden="1">tbl_DimProducto[]</definedName>
    <definedName name="_xlcn.WorksheetConnection_2026Rendimiento_nuevo_plantilla_VF_marcos.xlsxtbl_FactRendFecha1" hidden="1">tbl_DimFecha[]</definedName>
    <definedName name="_xlcn.WorksheetConnection_Rendimiento_nuevo_plantilla_VF_dash_buena_cambiado.xlsxTabla_master_rend1" hidden="1">Tabla_master_rend[]</definedName>
    <definedName name="_xlcn.WorksheetConnection_Rendimiento_VF_2026_.xlsxTabla_Contabilidad1" hidden="1">Tabla_Contabilidad[]</definedName>
    <definedName name="_xlcn.WorksheetConnection_Rendimiento_VF_2026_.xlsxTabla_Precio_Venta1" hidden="1">Tabla_Precio_Venta[]</definedName>
    <definedName name="_xlcn.WorksheetConnection_Rendimiento_VF_2026_.xlsxtbl_PrecioLeche1" hidden="1">tbl_PrecioLeche[]</definedName>
    <definedName name="_xlnm.Print_Area" localSheetId="0">DQO!#REF!</definedName>
    <definedName name="SegmentaciónDeDatos_AñoMes">#N/A</definedName>
    <definedName name="SegmentaciónDeDatos_Categoría1">#N/A</definedName>
    <definedName name="TBL_REND_TARGET">REND_TARGET[]</definedName>
  </definedNames>
  <calcPr calcId="191028"/>
  <pivotCaches>
    <pivotCache cacheId="27" r:id="rId8"/>
    <pivotCache cacheId="28" r:id="rId9"/>
    <pivotCache cacheId="29" r:id="rId10"/>
    <pivotCache cacheId="30" r:id="rId11"/>
    <pivotCache cacheId="31" r:id="rId12"/>
    <pivotCache cacheId="32" r:id="rId13"/>
    <pivotCache cacheId="33" r:id="rId14"/>
    <pivotCache cacheId="34" r:id="rId15"/>
    <pivotCache cacheId="35" r:id="rId16"/>
    <pivotCache cacheId="36" r:id="rId17"/>
    <pivotCache cacheId="37" r:id="rId18"/>
    <pivotCache cacheId="38" r:id="rId19"/>
  </pivotCaches>
  <extLst>
    <ext xmlns:x14="http://schemas.microsoft.com/office/spreadsheetml/2009/9/main" uri="{876F7934-8845-4945-9796-88D515C7AA90}">
      <x14:pivotCaches>
        <pivotCache cacheId="39" r:id="rId20"/>
      </x14:pivotCaches>
    </ext>
    <ext xmlns:x14="http://schemas.microsoft.com/office/spreadsheetml/2009/9/main" uri="{BBE1A952-AA13-448e-AADC-164F8A28A991}">
      <x14:slicerCaches>
        <x14:slicerCache r:id="rId21"/>
        <x14:slicerCache r:id="rId2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_master_rend_16933d7d-19ae-4f13-8801-f6fb95e09bd4" name="Tabla_master_rend" connection="Consulta - Tabla_master_rend"/>
          <x15:modelTable id="tbl_PrecioLeche" name="tbl_PrecioLeche" connection="WorksheetConnection_Rendimiento_VF_2026_.xlsx!tbl_PrecioLeche"/>
          <x15:modelTable id="Tabla_Precio_Venta" name="Tabla_Precio_Venta" connection="WorksheetConnection_Rendimiento_VF_2026_.xlsx!Tabla_Precio_Venta"/>
          <x15:modelTable id="Tabla_Contabilidad" name="Tabla_Contabilidad" connection="WorksheetConnection_Rendimiento_VF_2026_.xlsx!Tabla_Contabilidad"/>
          <x15:modelTable id="Tabla_master_rend 1" name="Tabla_master_rend 1" connection="WorksheetConnection_Rendimiento_nuevo_plantilla_VF_dash_buena_cambiado.xlsx!Tabla_master_rend"/>
          <x15:modelTable id="tbl_FactRendFecha" name="tbl_DimFecha" connection="WorksheetConnection_2026 Rendimiento_nuevo_plantilla_VF_marcos.xlsx!tbl_FactRendFecha"/>
          <x15:modelTable id="tbl_DimProducto" name="tbl_DimProducto" connection="WorksheetConnection_2026 Rendimiento_nuevo_plantilla_VF_marcos.xlsx!tbl_DimProducto"/>
          <x15:modelTable id="REND_TARGET" name="REND_TARGET" connection="WorksheetConnection_2026 Rendimiento_nuevo_plantilla_VF_dash_bcp.xlsx!REND_TARGET"/>
        </x15:modelTables>
        <x15:modelRelationships>
          <x15:modelRelationship fromTable="Tabla_master_rend" fromColumn="Fecha" toTable="tbl_DimFecha" toColumn="Fecha"/>
          <x15:modelRelationship fromTable="Tabla_master_rend" fromColumn="Producto" toTable="tbl_DimProducto" toColumn="Producto"/>
          <x15:modelRelationship fromTable="REND_TARGET" fromColumn="Rend_Ntarget" toTable="tbl_DimProducto" toColumn="Producto"/>
          <x15:modelRelationship fromTable="Tabla_Precio_Venta" fromColumn="Producto" toTable="tbl_DimProducto" toColumn="Producto_id"/>
          <x15:modelRelationship fromTable="Tabla_Precio_Venta" fromColumn="Fecha" toTable="tbl_DimFecha" toColumn="Fecha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abla_master_rend" columnName="Fecha" columnId="Fecha"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" i="243" l="1"/>
  <c r="J23" i="243"/>
  <c r="C23" i="243"/>
  <c r="D23" i="243"/>
  <c r="P23" i="243"/>
  <c r="Q23" i="243" s="1"/>
  <c r="AA247" i="228"/>
  <c r="J63" i="237" a="1"/>
  <c r="J62" i="237" a="1"/>
  <c r="J61" i="237" a="1"/>
  <c r="J59" i="237" a="1"/>
  <c r="J58" i="237" a="1"/>
  <c r="J57" i="237" a="1"/>
  <c r="J56" i="237" a="1"/>
  <c r="J60" i="237" a="1"/>
  <c r="J53" i="237" a="1"/>
  <c r="J52" i="237" a="1"/>
  <c r="J55" i="237" a="1"/>
  <c r="C247" i="228"/>
  <c r="D247" i="228"/>
  <c r="I247" i="228"/>
  <c r="M247" i="228"/>
  <c r="Z247" i="228"/>
  <c r="AI247" i="228"/>
  <c r="CB247" i="228" s="1"/>
  <c r="AL247" i="228"/>
  <c r="AR247" i="228"/>
  <c r="AU247" i="228"/>
  <c r="AY247" i="228"/>
  <c r="BB247" i="228"/>
  <c r="BO247" i="228"/>
  <c r="BP247" i="228"/>
  <c r="BR247" i="228"/>
  <c r="BT247" i="228"/>
  <c r="BU247" i="228"/>
  <c r="BX247" i="228"/>
  <c r="CA247" i="228"/>
  <c r="O22" i="243"/>
  <c r="C22" i="243"/>
  <c r="D22" i="243"/>
  <c r="P22" i="243"/>
  <c r="Q22" i="243" s="1"/>
  <c r="O21" i="243"/>
  <c r="C21" i="243"/>
  <c r="D21" i="243"/>
  <c r="P21" i="243"/>
  <c r="Q21" i="243" s="1"/>
  <c r="C246" i="228"/>
  <c r="D246" i="228"/>
  <c r="I246" i="228"/>
  <c r="AM246" i="228" s="1"/>
  <c r="M246" i="228"/>
  <c r="Z246" i="228"/>
  <c r="AA246" i="228"/>
  <c r="AI246" i="228"/>
  <c r="CB246" i="228" s="1"/>
  <c r="AL246" i="228"/>
  <c r="AR246" i="228"/>
  <c r="AU246" i="228" s="1"/>
  <c r="AY246" i="228"/>
  <c r="BB246" i="228"/>
  <c r="BO246" i="228"/>
  <c r="BP246" i="228"/>
  <c r="BR246" i="228"/>
  <c r="BT246" i="228"/>
  <c r="BU246" i="228" s="1"/>
  <c r="BV246" i="228"/>
  <c r="BX246" i="228"/>
  <c r="BV243" i="228"/>
  <c r="AV245" i="228"/>
  <c r="AY245" i="228" s="1"/>
  <c r="AV244" i="228"/>
  <c r="AI244" i="228" s="1"/>
  <c r="CA244" i="228" s="1"/>
  <c r="AD245" i="228"/>
  <c r="AD244" i="228"/>
  <c r="Y245" i="228"/>
  <c r="X245" i="228"/>
  <c r="Z245" i="228" s="1"/>
  <c r="Y244" i="228"/>
  <c r="X244" i="228"/>
  <c r="Z244" i="228" s="1"/>
  <c r="C245" i="228"/>
  <c r="D245" i="228"/>
  <c r="I245" i="228"/>
  <c r="BV245" i="228" s="1"/>
  <c r="BW245" i="228" s="1"/>
  <c r="M245" i="228"/>
  <c r="AI245" i="228"/>
  <c r="CA245" i="228" s="1"/>
  <c r="AL245" i="228"/>
  <c r="AR245" i="228"/>
  <c r="AU245" i="228"/>
  <c r="BB245" i="228"/>
  <c r="BO245" i="228"/>
  <c r="BP245" i="228"/>
  <c r="BT245" i="228"/>
  <c r="BU245" i="228" s="1"/>
  <c r="C244" i="228"/>
  <c r="D244" i="228"/>
  <c r="I244" i="228"/>
  <c r="BV244" i="228" s="1"/>
  <c r="BW244" i="228" s="1"/>
  <c r="M244" i="228"/>
  <c r="AL244" i="228"/>
  <c r="AR244" i="228"/>
  <c r="AU244" i="228" s="1"/>
  <c r="BB244" i="228"/>
  <c r="BO244" i="228"/>
  <c r="BP244" i="228"/>
  <c r="BT244" i="228"/>
  <c r="BU244" i="228" s="1"/>
  <c r="O20" i="243"/>
  <c r="C20" i="243"/>
  <c r="D20" i="243"/>
  <c r="P20" i="243"/>
  <c r="Q20" i="243" s="1"/>
  <c r="C243" i="228"/>
  <c r="D243" i="228"/>
  <c r="I243" i="228"/>
  <c r="U243" i="228" s="1"/>
  <c r="M243" i="228"/>
  <c r="Z243" i="228"/>
  <c r="AA243" i="228"/>
  <c r="AI243" i="228"/>
  <c r="CA243" i="228" s="1"/>
  <c r="AL243" i="228"/>
  <c r="AR243" i="228"/>
  <c r="AU243" i="228" s="1"/>
  <c r="AY243" i="228"/>
  <c r="BB243" i="228"/>
  <c r="BO243" i="228"/>
  <c r="BP243" i="228"/>
  <c r="BR243" i="228"/>
  <c r="BT243" i="228"/>
  <c r="BU243" i="228" s="1"/>
  <c r="BX243" i="228"/>
  <c r="AO105" i="242"/>
  <c r="AK105" i="242"/>
  <c r="AJ247" i="228" l="1"/>
  <c r="CF247" i="228"/>
  <c r="CC247" i="228"/>
  <c r="CD247" i="228" s="1"/>
  <c r="BV247" i="228"/>
  <c r="BW247" i="228" s="1"/>
  <c r="U247" i="228"/>
  <c r="AM247" i="228"/>
  <c r="AQ247" i="228" s="1"/>
  <c r="BQ247" i="228"/>
  <c r="BW243" i="228"/>
  <c r="AK247" i="228"/>
  <c r="BX244" i="228"/>
  <c r="BX245" i="228"/>
  <c r="BY245" i="228" s="1"/>
  <c r="BZ245" i="228" s="1"/>
  <c r="BR244" i="228"/>
  <c r="CH244" i="228" s="1" a="1"/>
  <c r="CA246" i="228"/>
  <c r="AZ247" i="228"/>
  <c r="BR245" i="228"/>
  <c r="AK245" i="228" s="1"/>
  <c r="BY247" i="228"/>
  <c r="BZ247" i="228" s="1"/>
  <c r="BW246" i="228"/>
  <c r="AT247" i="228"/>
  <c r="AY244" i="228"/>
  <c r="CF246" i="228"/>
  <c r="CH247" i="228" a="1"/>
  <c r="AS247" i="228"/>
  <c r="CC246" i="228"/>
  <c r="CD246" i="228" s="1"/>
  <c r="BY246" i="228"/>
  <c r="BZ246" i="228" s="1"/>
  <c r="BQ246" i="228"/>
  <c r="AK246" i="228"/>
  <c r="CH246" i="228" a="1"/>
  <c r="U246" i="228"/>
  <c r="AQ246" i="228"/>
  <c r="AJ246" i="228"/>
  <c r="AZ246" i="228"/>
  <c r="AT246" i="228"/>
  <c r="AS246" i="228"/>
  <c r="AJ245" i="228"/>
  <c r="CF245" i="228"/>
  <c r="CH245" i="228" a="1"/>
  <c r="CB244" i="228"/>
  <c r="AA245" i="228"/>
  <c r="AA244" i="228"/>
  <c r="AM245" i="228"/>
  <c r="U245" i="228"/>
  <c r="AQ245" i="228"/>
  <c r="BQ245" i="228"/>
  <c r="CF244" i="228"/>
  <c r="U244" i="228"/>
  <c r="AM243" i="228"/>
  <c r="AQ243" i="228" s="1"/>
  <c r="CB245" i="228"/>
  <c r="CC245" i="228" s="1"/>
  <c r="AZ245" i="228"/>
  <c r="AM244" i="228"/>
  <c r="AQ244" i="228" s="1"/>
  <c r="AT245" i="228"/>
  <c r="AS245" i="228"/>
  <c r="AJ244" i="228"/>
  <c r="CB243" i="228"/>
  <c r="CC243" i="228" s="1"/>
  <c r="CD243" i="228" s="1"/>
  <c r="AT244" i="228"/>
  <c r="AS244" i="228"/>
  <c r="AZ244" i="228"/>
  <c r="CH243" i="228" a="1"/>
  <c r="AJ243" i="228"/>
  <c r="AS243" i="228"/>
  <c r="BY243" i="228"/>
  <c r="BZ243" i="228" s="1"/>
  <c r="CF243" i="228"/>
  <c r="BQ243" i="228"/>
  <c r="AK243" i="228"/>
  <c r="AZ243" i="228"/>
  <c r="AT243" i="228"/>
  <c r="AX242" i="228"/>
  <c r="BX242" i="228" s="1"/>
  <c r="C242" i="228"/>
  <c r="D242" i="228"/>
  <c r="I242" i="228"/>
  <c r="U242" i="228" s="1"/>
  <c r="M242" i="228"/>
  <c r="Z242" i="228"/>
  <c r="AA242" i="228"/>
  <c r="AL242" i="228"/>
  <c r="AR242" i="228"/>
  <c r="AU242" i="228" s="1"/>
  <c r="BB242" i="228"/>
  <c r="BO242" i="228"/>
  <c r="BP242" i="228"/>
  <c r="BT242" i="228"/>
  <c r="BU242" i="228" s="1"/>
  <c r="K47" i="242"/>
  <c r="K46" i="242"/>
  <c r="K45" i="242"/>
  <c r="O19" i="243"/>
  <c r="C19" i="243"/>
  <c r="D19" i="243"/>
  <c r="P19" i="243"/>
  <c r="Q19" i="243" s="1"/>
  <c r="C241" i="228"/>
  <c r="D241" i="228"/>
  <c r="I241" i="228"/>
  <c r="BV241" i="228" s="1"/>
  <c r="M241" i="228"/>
  <c r="Z241" i="228"/>
  <c r="AA241" i="228"/>
  <c r="AI241" i="228"/>
  <c r="AZ241" i="228" s="1"/>
  <c r="AL241" i="228"/>
  <c r="AR241" i="228"/>
  <c r="AU241" i="228" s="1"/>
  <c r="AY241" i="228"/>
  <c r="BB241" i="228"/>
  <c r="BO241" i="228"/>
  <c r="BP241" i="228"/>
  <c r="BR241" i="228"/>
  <c r="BT241" i="228"/>
  <c r="BU241" i="228" s="1"/>
  <c r="BX241" i="228"/>
  <c r="C240" i="228"/>
  <c r="D240" i="228"/>
  <c r="I240" i="228"/>
  <c r="M240" i="228"/>
  <c r="Z240" i="228"/>
  <c r="AA240" i="228"/>
  <c r="AI240" i="228"/>
  <c r="CB240" i="228" s="1"/>
  <c r="AL240" i="228"/>
  <c r="AR240" i="228"/>
  <c r="AU240" i="228" s="1"/>
  <c r="AY240" i="228"/>
  <c r="BB240" i="228"/>
  <c r="BO240" i="228"/>
  <c r="BP240" i="228"/>
  <c r="BR240" i="228"/>
  <c r="BT240" i="228"/>
  <c r="BU240" i="228" s="1"/>
  <c r="BX240" i="228"/>
  <c r="CG247" i="228" l="1"/>
  <c r="CI247" i="228" s="1"/>
  <c r="CE247" i="228"/>
  <c r="CG246" i="228"/>
  <c r="CI246" i="228" s="1"/>
  <c r="CE246" i="228"/>
  <c r="BY244" i="228"/>
  <c r="BZ244" i="228" s="1"/>
  <c r="BQ244" i="228"/>
  <c r="AK244" i="228"/>
  <c r="BW241" i="228"/>
  <c r="CC244" i="228"/>
  <c r="CD244" i="228" s="1"/>
  <c r="CD245" i="228"/>
  <c r="CE243" i="228"/>
  <c r="CG243" i="228"/>
  <c r="CI243" i="228" s="1"/>
  <c r="BR242" i="228"/>
  <c r="CH242" i="228" s="1" a="1"/>
  <c r="AY242" i="228"/>
  <c r="AI242" i="228"/>
  <c r="AZ242" i="228" s="1"/>
  <c r="AT242" i="228"/>
  <c r="AS242" i="228"/>
  <c r="BV242" i="228"/>
  <c r="BW242" i="228" s="1"/>
  <c r="AM242" i="228"/>
  <c r="AJ242" i="228"/>
  <c r="BY241" i="228"/>
  <c r="BZ241" i="228" s="1"/>
  <c r="CA240" i="228"/>
  <c r="CC240" i="228" s="1"/>
  <c r="CD240" i="228" s="1"/>
  <c r="CF240" i="228"/>
  <c r="AZ240" i="228"/>
  <c r="AS240" i="228"/>
  <c r="BQ241" i="228"/>
  <c r="BY240" i="228"/>
  <c r="BZ240" i="228" s="1"/>
  <c r="CH241" i="228" a="1"/>
  <c r="AJ240" i="228"/>
  <c r="CA241" i="228"/>
  <c r="BV240" i="228"/>
  <c r="BW240" i="228" s="1"/>
  <c r="AS241" i="228"/>
  <c r="AT240" i="228"/>
  <c r="CF241" i="228"/>
  <c r="AM241" i="228"/>
  <c r="AQ241" i="228" s="1"/>
  <c r="BQ240" i="228"/>
  <c r="CH240" i="228" a="1"/>
  <c r="U240" i="228"/>
  <c r="AK241" i="228"/>
  <c r="CB241" i="228"/>
  <c r="AJ241" i="228"/>
  <c r="U241" i="228"/>
  <c r="AT241" i="228"/>
  <c r="AM240" i="228"/>
  <c r="AQ240" i="228" s="1"/>
  <c r="AK240" i="228"/>
  <c r="AQ242" i="228" l="1"/>
  <c r="CG244" i="228"/>
  <c r="CI244" i="228" s="1"/>
  <c r="CE244" i="228"/>
  <c r="CG245" i="228"/>
  <c r="CI245" i="228" s="1"/>
  <c r="CE245" i="228"/>
  <c r="BY242" i="228"/>
  <c r="BZ242" i="228" s="1"/>
  <c r="AK242" i="228"/>
  <c r="BQ242" i="228"/>
  <c r="CA242" i="228"/>
  <c r="CB242" i="228"/>
  <c r="CC242" i="228"/>
  <c r="CF242" i="228"/>
  <c r="CG240" i="228"/>
  <c r="CI240" i="228" s="1"/>
  <c r="CE240" i="228"/>
  <c r="CC241" i="228"/>
  <c r="CD241" i="228" s="1"/>
  <c r="CG241" i="228" s="1"/>
  <c r="CI241" i="228" s="1"/>
  <c r="CD242" i="228" l="1"/>
  <c r="CE241" i="228"/>
  <c r="CG242" i="228" l="1"/>
  <c r="CI242" i="228" s="1"/>
  <c r="CE242" i="228"/>
  <c r="O18" i="243"/>
  <c r="C18" i="243"/>
  <c r="D18" i="243"/>
  <c r="P18" i="243"/>
  <c r="Q18" i="243" s="1"/>
  <c r="C239" i="228"/>
  <c r="D239" i="228"/>
  <c r="I239" i="228"/>
  <c r="AM239" i="228" s="1"/>
  <c r="M239" i="228"/>
  <c r="Z239" i="228"/>
  <c r="AA239" i="228"/>
  <c r="AI239" i="228"/>
  <c r="AZ239" i="228" s="1"/>
  <c r="AL239" i="228"/>
  <c r="AR239" i="228"/>
  <c r="AU239" i="228" s="1"/>
  <c r="AY239" i="228"/>
  <c r="BB239" i="228"/>
  <c r="BO239" i="228"/>
  <c r="BP239" i="228"/>
  <c r="BR239" i="228"/>
  <c r="BT239" i="228"/>
  <c r="BU239" i="228" s="1"/>
  <c r="BX239" i="228"/>
  <c r="O17" i="243"/>
  <c r="C17" i="243"/>
  <c r="D17" i="243"/>
  <c r="P17" i="243"/>
  <c r="Q17" i="243" s="1"/>
  <c r="C238" i="228"/>
  <c r="D238" i="228"/>
  <c r="I238" i="228"/>
  <c r="U238" i="228" s="1"/>
  <c r="M238" i="228"/>
  <c r="Z238" i="228"/>
  <c r="AA238" i="228"/>
  <c r="AI238" i="228"/>
  <c r="CA238" i="228" s="1"/>
  <c r="AL238" i="228"/>
  <c r="AR238" i="228"/>
  <c r="AU238" i="228" s="1"/>
  <c r="AY238" i="228"/>
  <c r="BB238" i="228"/>
  <c r="BO238" i="228"/>
  <c r="BP238" i="228"/>
  <c r="BR238" i="228"/>
  <c r="BT238" i="228"/>
  <c r="BU238" i="228" s="1"/>
  <c r="BX238" i="228"/>
  <c r="AV237" i="228"/>
  <c r="BX237" i="228" s="1"/>
  <c r="AV236" i="228"/>
  <c r="AY236" i="228" s="1"/>
  <c r="Y237" i="228"/>
  <c r="X237" i="228"/>
  <c r="Y236" i="228"/>
  <c r="X236" i="228"/>
  <c r="C237" i="228"/>
  <c r="D237" i="228"/>
  <c r="I237" i="228"/>
  <c r="M237" i="228"/>
  <c r="AL237" i="228"/>
  <c r="AR237" i="228"/>
  <c r="AU237" i="228" s="1"/>
  <c r="BB237" i="228"/>
  <c r="BO237" i="228"/>
  <c r="BP237" i="228"/>
  <c r="BT237" i="228"/>
  <c r="BU237" i="228" s="1"/>
  <c r="C236" i="228"/>
  <c r="D236" i="228"/>
  <c r="I236" i="228"/>
  <c r="U236" i="228" s="1"/>
  <c r="M236" i="228"/>
  <c r="AL236" i="228"/>
  <c r="AR236" i="228"/>
  <c r="AU236" i="228" s="1"/>
  <c r="BB236" i="228"/>
  <c r="BO236" i="228"/>
  <c r="BP236" i="228"/>
  <c r="BT236" i="228"/>
  <c r="BU236" i="228" s="1"/>
  <c r="AK104" i="242"/>
  <c r="AP104" i="242"/>
  <c r="AO104" i="242"/>
  <c r="AL104" i="242"/>
  <c r="AN104" i="242"/>
  <c r="AJ104" i="242"/>
  <c r="AI237" i="228" l="1"/>
  <c r="CA237" i="228" s="1"/>
  <c r="AY237" i="228"/>
  <c r="CB238" i="228"/>
  <c r="CC238" i="228" s="1"/>
  <c r="CD238" i="228" s="1"/>
  <c r="CF238" i="228"/>
  <c r="BR237" i="228"/>
  <c r="BY237" i="228" s="1"/>
  <c r="BZ237" i="228" s="1"/>
  <c r="CB239" i="228"/>
  <c r="AQ239" i="228"/>
  <c r="CA239" i="228"/>
  <c r="CF239" i="228"/>
  <c r="AT239" i="228"/>
  <c r="AJ239" i="228"/>
  <c r="U239" i="228"/>
  <c r="AS239" i="228"/>
  <c r="BV239" i="228"/>
  <c r="BW239" i="228" s="1"/>
  <c r="AI236" i="228"/>
  <c r="CA236" i="228" s="1"/>
  <c r="AK239" i="228"/>
  <c r="BQ239" i="228"/>
  <c r="BY239" i="228"/>
  <c r="BZ239" i="228" s="1"/>
  <c r="BX236" i="228"/>
  <c r="CH239" i="228" a="1"/>
  <c r="Z237" i="228"/>
  <c r="CH238" i="228" a="1"/>
  <c r="AS238" i="228"/>
  <c r="AM238" i="228"/>
  <c r="AQ238" i="228" s="1"/>
  <c r="BV238" i="228"/>
  <c r="BW238" i="228" s="1"/>
  <c r="AJ238" i="228"/>
  <c r="BQ238" i="228"/>
  <c r="AK238" i="228"/>
  <c r="AZ238" i="228"/>
  <c r="AA237" i="228"/>
  <c r="BY238" i="228"/>
  <c r="BZ238" i="228" s="1"/>
  <c r="BR236" i="228"/>
  <c r="AT238" i="228"/>
  <c r="Z236" i="228"/>
  <c r="CB237" i="228"/>
  <c r="CC237" i="228" s="1"/>
  <c r="CD237" i="228" s="1"/>
  <c r="AJ237" i="228"/>
  <c r="AA236" i="228"/>
  <c r="U237" i="228"/>
  <c r="AM237" i="228"/>
  <c r="BV237" i="228"/>
  <c r="BW237" i="228" s="1"/>
  <c r="AM236" i="228"/>
  <c r="AT237" i="228"/>
  <c r="BV236" i="228"/>
  <c r="AZ237" i="228"/>
  <c r="AS237" i="228"/>
  <c r="O16" i="243"/>
  <c r="C16" i="243"/>
  <c r="D16" i="243"/>
  <c r="P16" i="243"/>
  <c r="Q16" i="243" s="1"/>
  <c r="AV235" i="228"/>
  <c r="AI235" i="228" s="1"/>
  <c r="AV234" i="228"/>
  <c r="AI234" i="228" s="1"/>
  <c r="Y235" i="228"/>
  <c r="X235" i="228"/>
  <c r="Y234" i="228"/>
  <c r="X234" i="228"/>
  <c r="C235" i="228"/>
  <c r="D235" i="228"/>
  <c r="I235" i="228"/>
  <c r="U235" i="228" s="1"/>
  <c r="M235" i="228"/>
  <c r="AL235" i="228"/>
  <c r="AR235" i="228"/>
  <c r="AU235" i="228" s="1"/>
  <c r="BB235" i="228"/>
  <c r="BO235" i="228"/>
  <c r="BP235" i="228"/>
  <c r="BT235" i="228"/>
  <c r="BU235" i="228" s="1"/>
  <c r="C234" i="228"/>
  <c r="D234" i="228"/>
  <c r="I234" i="228"/>
  <c r="U234" i="228" s="1"/>
  <c r="M234" i="228"/>
  <c r="AL234" i="228"/>
  <c r="AR234" i="228"/>
  <c r="AU234" i="228" s="1"/>
  <c r="BB234" i="228"/>
  <c r="BO234" i="228"/>
  <c r="BP234" i="228"/>
  <c r="BT234" i="228"/>
  <c r="BU234" i="228" s="1"/>
  <c r="S165" i="242"/>
  <c r="AX232" i="228"/>
  <c r="BX232" i="228" s="1"/>
  <c r="C232" i="228"/>
  <c r="C233" i="228"/>
  <c r="D232" i="228"/>
  <c r="D233" i="228"/>
  <c r="I232" i="228"/>
  <c r="U232" i="228" s="1"/>
  <c r="I233" i="228"/>
  <c r="M232" i="228"/>
  <c r="M233" i="228"/>
  <c r="Z232" i="228"/>
  <c r="Z233" i="228"/>
  <c r="AA232" i="228"/>
  <c r="AA233" i="228"/>
  <c r="AI233" i="228"/>
  <c r="CB233" i="228" s="1"/>
  <c r="AL232" i="228"/>
  <c r="AL233" i="228"/>
  <c r="AR232" i="228"/>
  <c r="AU232" i="228" s="1"/>
  <c r="AR233" i="228"/>
  <c r="AU233" i="228" s="1"/>
  <c r="AY233" i="228"/>
  <c r="BB232" i="228"/>
  <c r="BB233" i="228"/>
  <c r="BO232" i="228"/>
  <c r="BO233" i="228"/>
  <c r="BP232" i="228"/>
  <c r="BP233" i="228"/>
  <c r="BR233" i="228"/>
  <c r="BT232" i="228"/>
  <c r="BU232" i="228" s="1"/>
  <c r="BT233" i="228"/>
  <c r="BU233" i="228" s="1"/>
  <c r="BX233" i="228"/>
  <c r="P15" i="243"/>
  <c r="Q15" i="243" s="1"/>
  <c r="O15" i="243"/>
  <c r="D15" i="243"/>
  <c r="C15" i="243"/>
  <c r="BK230" i="228"/>
  <c r="BT230" i="228" s="1"/>
  <c r="BU230" i="228" s="1"/>
  <c r="BJ230" i="228"/>
  <c r="BE230" i="228"/>
  <c r="BD230" i="228"/>
  <c r="BC230" i="228"/>
  <c r="BA230" i="228"/>
  <c r="C230" i="228"/>
  <c r="C231" i="228"/>
  <c r="D230" i="228"/>
  <c r="D231" i="228"/>
  <c r="I230" i="228"/>
  <c r="I231" i="228"/>
  <c r="M230" i="228"/>
  <c r="M231" i="228"/>
  <c r="Z230" i="228"/>
  <c r="Z231" i="228"/>
  <c r="AA230" i="228"/>
  <c r="AA231" i="228"/>
  <c r="AI231" i="228"/>
  <c r="CA231" i="228" s="1"/>
  <c r="AL230" i="228"/>
  <c r="AL231" i="228"/>
  <c r="AR230" i="228"/>
  <c r="AU230" i="228" s="1"/>
  <c r="AR231" i="228"/>
  <c r="AU231" i="228" s="1"/>
  <c r="AY230" i="228"/>
  <c r="AY231" i="228"/>
  <c r="BB231" i="228"/>
  <c r="BO231" i="228"/>
  <c r="BP231" i="228"/>
  <c r="BR231" i="228"/>
  <c r="BT231" i="228"/>
  <c r="BU231" i="228" s="1"/>
  <c r="BX231" i="228"/>
  <c r="O14" i="243"/>
  <c r="O13" i="243"/>
  <c r="C13" i="243"/>
  <c r="C14" i="243"/>
  <c r="D13" i="243"/>
  <c r="D14" i="243"/>
  <c r="P13" i="243"/>
  <c r="Q13" i="243" s="1"/>
  <c r="P14" i="243"/>
  <c r="Q14" i="243" s="1"/>
  <c r="AV226" i="228"/>
  <c r="BR226" i="228" s="1"/>
  <c r="AV225" i="228"/>
  <c r="AY225" i="228" s="1"/>
  <c r="Y226" i="228"/>
  <c r="X226" i="228"/>
  <c r="Y225" i="228"/>
  <c r="X225" i="228"/>
  <c r="T226" i="228"/>
  <c r="S226" i="228"/>
  <c r="T225" i="228"/>
  <c r="S225" i="228"/>
  <c r="C225" i="228"/>
  <c r="C226" i="228"/>
  <c r="C227" i="228"/>
  <c r="C228" i="228"/>
  <c r="C229" i="228"/>
  <c r="D225" i="228"/>
  <c r="D226" i="228"/>
  <c r="D227" i="228"/>
  <c r="D228" i="228"/>
  <c r="D229" i="228"/>
  <c r="I225" i="228"/>
  <c r="U225" i="228" s="1"/>
  <c r="I226" i="228"/>
  <c r="I227" i="228"/>
  <c r="U227" i="228" s="1"/>
  <c r="I228" i="228"/>
  <c r="BV228" i="228" s="1"/>
  <c r="I229" i="228"/>
  <c r="U229" i="228" s="1"/>
  <c r="M225" i="228"/>
  <c r="M226" i="228"/>
  <c r="M227" i="228"/>
  <c r="M228" i="228"/>
  <c r="M229" i="228"/>
  <c r="Z227" i="228"/>
  <c r="Z228" i="228"/>
  <c r="Z229" i="228"/>
  <c r="AA227" i="228"/>
  <c r="AA228" i="228"/>
  <c r="AA229" i="228"/>
  <c r="AI226" i="228"/>
  <c r="CB226" i="228" s="1"/>
  <c r="AI227" i="228"/>
  <c r="CB227" i="228" s="1"/>
  <c r="AI228" i="228"/>
  <c r="CA228" i="228" s="1"/>
  <c r="AI229" i="228"/>
  <c r="CA229" i="228" s="1"/>
  <c r="AL225" i="228"/>
  <c r="AL226" i="228"/>
  <c r="AL227" i="228"/>
  <c r="AL228" i="228"/>
  <c r="AL229" i="228"/>
  <c r="AR225" i="228"/>
  <c r="AU225" i="228" s="1"/>
  <c r="AR226" i="228"/>
  <c r="AU226" i="228" s="1"/>
  <c r="AR227" i="228"/>
  <c r="AR228" i="228"/>
  <c r="AU228" i="228" s="1"/>
  <c r="AR229" i="228"/>
  <c r="AU229" i="228" s="1"/>
  <c r="AY227" i="228"/>
  <c r="AY228" i="228"/>
  <c r="AY229" i="228"/>
  <c r="BB225" i="228"/>
  <c r="BB226" i="228"/>
  <c r="BB227" i="228"/>
  <c r="BB228" i="228"/>
  <c r="BB229" i="228"/>
  <c r="BO225" i="228"/>
  <c r="BO226" i="228"/>
  <c r="BO227" i="228"/>
  <c r="BO228" i="228"/>
  <c r="BO229" i="228"/>
  <c r="BP225" i="228"/>
  <c r="BP226" i="228"/>
  <c r="BP227" i="228"/>
  <c r="BP228" i="228"/>
  <c r="BP229" i="228"/>
  <c r="BR227" i="228"/>
  <c r="BR228" i="228"/>
  <c r="BR229" i="228"/>
  <c r="BT225" i="228"/>
  <c r="BU225" i="228" s="1"/>
  <c r="BT226" i="228"/>
  <c r="BU226" i="228" s="1"/>
  <c r="BT227" i="228"/>
  <c r="BU227" i="228" s="1"/>
  <c r="BT228" i="228"/>
  <c r="BU228" i="228" s="1"/>
  <c r="BT229" i="228"/>
  <c r="BU229" i="228" s="1"/>
  <c r="BX227" i="228"/>
  <c r="BX228" i="228"/>
  <c r="BX229" i="228"/>
  <c r="AO103" i="242"/>
  <c r="AK103" i="242"/>
  <c r="AL103" i="242"/>
  <c r="AN103" i="242"/>
  <c r="AJ103" i="242"/>
  <c r="CF237" i="228" l="1"/>
  <c r="AK237" i="228"/>
  <c r="BW236" i="228"/>
  <c r="CH237" i="228" a="1"/>
  <c r="CF236" i="228"/>
  <c r="AZ236" i="228"/>
  <c r="BQ237" i="228"/>
  <c r="AQ237" i="228"/>
  <c r="Z234" i="228"/>
  <c r="BY236" i="228"/>
  <c r="BZ236" i="228" s="1"/>
  <c r="BQ236" i="228"/>
  <c r="AK236" i="228"/>
  <c r="CC239" i="228"/>
  <c r="CD239" i="228" s="1"/>
  <c r="CE239" i="228" s="1"/>
  <c r="AS236" i="228"/>
  <c r="AJ236" i="228"/>
  <c r="BX226" i="228"/>
  <c r="BY226" i="228" s="1"/>
  <c r="BZ226" i="228" s="1"/>
  <c r="AT236" i="228"/>
  <c r="AQ236" i="228"/>
  <c r="CB236" i="228"/>
  <c r="CC236" i="228" s="1"/>
  <c r="CD236" i="228" s="1"/>
  <c r="CE236" i="228" s="1"/>
  <c r="CG238" i="228"/>
  <c r="CI238" i="228" s="1"/>
  <c r="CE238" i="228"/>
  <c r="CH236" i="228" a="1"/>
  <c r="AA234" i="228"/>
  <c r="AI232" i="228"/>
  <c r="CA232" i="228" s="1"/>
  <c r="CG237" i="228"/>
  <c r="CI237" i="228" s="1"/>
  <c r="CE237" i="228"/>
  <c r="Z235" i="228"/>
  <c r="AA235" i="228"/>
  <c r="BX234" i="228"/>
  <c r="BR235" i="228"/>
  <c r="BQ235" i="228" s="1"/>
  <c r="AM232" i="228"/>
  <c r="BW228" i="228"/>
  <c r="CA235" i="228"/>
  <c r="CB235" i="228"/>
  <c r="AZ234" i="228"/>
  <c r="CA234" i="228"/>
  <c r="BR234" i="228"/>
  <c r="CF234" i="228" s="1"/>
  <c r="AJ235" i="228"/>
  <c r="AZ235" i="228"/>
  <c r="AY234" i="228"/>
  <c r="AY235" i="228"/>
  <c r="BX235" i="228"/>
  <c r="BV234" i="228"/>
  <c r="BW234" i="228" s="1"/>
  <c r="AT235" i="228"/>
  <c r="AS235" i="228"/>
  <c r="BV235" i="228"/>
  <c r="BW235" i="228" s="1"/>
  <c r="AM234" i="228"/>
  <c r="AQ234" i="228" s="1"/>
  <c r="AM235" i="228"/>
  <c r="AQ235" i="228" s="1"/>
  <c r="AI225" i="228"/>
  <c r="AZ225" i="228" s="1"/>
  <c r="AA225" i="228"/>
  <c r="BP230" i="228"/>
  <c r="BO230" i="228"/>
  <c r="Z225" i="228"/>
  <c r="BR225" i="228"/>
  <c r="AI230" i="228"/>
  <c r="CA230" i="228" s="1"/>
  <c r="BR232" i="228"/>
  <c r="BB230" i="228"/>
  <c r="CB234" i="228"/>
  <c r="AJ234" i="228"/>
  <c r="AT234" i="228"/>
  <c r="AS234" i="228"/>
  <c r="AY232" i="228"/>
  <c r="CA233" i="228"/>
  <c r="CC233" i="228" s="1"/>
  <c r="CD233" i="228" s="1"/>
  <c r="AT233" i="228"/>
  <c r="BV232" i="228"/>
  <c r="AZ233" i="228"/>
  <c r="AJ233" i="228"/>
  <c r="CF233" i="228"/>
  <c r="AS233" i="228"/>
  <c r="AM233" i="228"/>
  <c r="AQ233" i="228" s="1"/>
  <c r="U233" i="228"/>
  <c r="BV233" i="228"/>
  <c r="BW233" i="228" s="1"/>
  <c r="AK233" i="228"/>
  <c r="CH233" i="228" a="1"/>
  <c r="BY233" i="228"/>
  <c r="BZ233" i="228" s="1"/>
  <c r="BQ233" i="228"/>
  <c r="AT229" i="228"/>
  <c r="AK231" i="228"/>
  <c r="BX230" i="228"/>
  <c r="AZ227" i="228"/>
  <c r="AY226" i="228"/>
  <c r="CF231" i="228"/>
  <c r="BX225" i="228"/>
  <c r="BR230" i="228"/>
  <c r="CB231" i="228"/>
  <c r="CC231" i="228" s="1"/>
  <c r="CD231" i="228" s="1"/>
  <c r="CH231" i="228" a="1"/>
  <c r="BY231" i="228"/>
  <c r="BZ231" i="228" s="1"/>
  <c r="AM230" i="228"/>
  <c r="AM231" i="228"/>
  <c r="AQ231" i="228" s="1"/>
  <c r="AS231" i="228"/>
  <c r="BV231" i="228"/>
  <c r="BW231" i="228" s="1"/>
  <c r="BV230" i="228"/>
  <c r="AJ231" i="228"/>
  <c r="BQ231" i="228"/>
  <c r="U231" i="228"/>
  <c r="U230" i="228"/>
  <c r="AT231" i="228"/>
  <c r="CA227" i="228"/>
  <c r="CC227" i="228" s="1"/>
  <c r="CD227" i="228" s="1"/>
  <c r="BQ229" i="228"/>
  <c r="AZ231" i="228"/>
  <c r="BQ228" i="228"/>
  <c r="AT228" i="228"/>
  <c r="AJ228" i="228"/>
  <c r="CB228" i="228"/>
  <c r="CC228" i="228" s="1"/>
  <c r="CD228" i="228" s="1"/>
  <c r="AK227" i="228"/>
  <c r="BV227" i="228"/>
  <c r="BW227" i="228" s="1"/>
  <c r="AT227" i="228"/>
  <c r="AJ227" i="228"/>
  <c r="Z226" i="228"/>
  <c r="CH229" i="228" a="1"/>
  <c r="CF228" i="228"/>
  <c r="CF227" i="228"/>
  <c r="BQ227" i="228"/>
  <c r="BY228" i="228"/>
  <c r="BZ228" i="228" s="1"/>
  <c r="BY227" i="228"/>
  <c r="BZ227" i="228" s="1"/>
  <c r="CF229" i="228"/>
  <c r="BQ226" i="228"/>
  <c r="CF226" i="228"/>
  <c r="AT226" i="228"/>
  <c r="AZ226" i="228"/>
  <c r="CH226" i="228" a="1"/>
  <c r="CA226" i="228"/>
  <c r="CC226" i="228" s="1"/>
  <c r="CD226" i="228" s="1"/>
  <c r="CH228" i="228" a="1"/>
  <c r="CH227" i="228" a="1"/>
  <c r="AA226" i="228"/>
  <c r="BV229" i="228"/>
  <c r="BW229" i="228" s="1"/>
  <c r="AK228" i="228"/>
  <c r="U228" i="228"/>
  <c r="AM228" i="228"/>
  <c r="AQ228" i="228" s="1"/>
  <c r="AM227" i="228"/>
  <c r="AQ227" i="228" s="1"/>
  <c r="BV226" i="228"/>
  <c r="BW226" i="228" s="1"/>
  <c r="AS227" i="228"/>
  <c r="BV225" i="228"/>
  <c r="AM225" i="228"/>
  <c r="AM229" i="228"/>
  <c r="AQ229" i="228" s="1"/>
  <c r="AS229" i="228"/>
  <c r="AS226" i="228"/>
  <c r="AZ229" i="228"/>
  <c r="AU227" i="228"/>
  <c r="AK226" i="228"/>
  <c r="AZ228" i="228"/>
  <c r="U226" i="228"/>
  <c r="CB229" i="228"/>
  <c r="AM226" i="228"/>
  <c r="AQ226" i="228" s="1"/>
  <c r="AJ229" i="228"/>
  <c r="BY229" i="228"/>
  <c r="BZ229" i="228" s="1"/>
  <c r="AS228" i="228"/>
  <c r="AK229" i="228"/>
  <c r="AJ226" i="228"/>
  <c r="E67" i="242"/>
  <c r="E55" i="242"/>
  <c r="AP103" i="242"/>
  <c r="BY235" i="228" l="1"/>
  <c r="BZ235" i="228" s="1"/>
  <c r="CG236" i="228"/>
  <c r="CI236" i="228" s="1"/>
  <c r="CG239" i="228"/>
  <c r="CI239" i="228" s="1"/>
  <c r="CF232" i="228"/>
  <c r="BW232" i="228"/>
  <c r="AQ232" i="228"/>
  <c r="AT232" i="228"/>
  <c r="CB232" i="228"/>
  <c r="CC232" i="228" s="1"/>
  <c r="CD232" i="228" s="1"/>
  <c r="CE232" i="228" s="1"/>
  <c r="AJ232" i="228"/>
  <c r="AZ232" i="228"/>
  <c r="AS232" i="228"/>
  <c r="BQ234" i="228"/>
  <c r="CC234" i="228"/>
  <c r="CD234" i="228" s="1"/>
  <c r="CE234" i="228" s="1"/>
  <c r="CF235" i="228"/>
  <c r="AK235" i="228"/>
  <c r="CH235" i="228" a="1"/>
  <c r="AK232" i="228"/>
  <c r="AK234" i="228"/>
  <c r="CH234" i="228" a="1"/>
  <c r="BQ232" i="228"/>
  <c r="AJ225" i="228"/>
  <c r="CC235" i="228"/>
  <c r="CD235" i="228" s="1"/>
  <c r="CH232" i="228" a="1"/>
  <c r="CB225" i="228"/>
  <c r="AS225" i="228"/>
  <c r="BW225" i="228"/>
  <c r="AT225" i="228"/>
  <c r="CA225" i="228"/>
  <c r="BQ225" i="228"/>
  <c r="AQ225" i="228"/>
  <c r="BY232" i="228"/>
  <c r="BZ232" i="228" s="1"/>
  <c r="AK225" i="228"/>
  <c r="BY234" i="228"/>
  <c r="BZ234" i="228" s="1"/>
  <c r="BY225" i="228"/>
  <c r="BZ225" i="228" s="1"/>
  <c r="CF225" i="228"/>
  <c r="AS230" i="228"/>
  <c r="CH225" i="228" a="1"/>
  <c r="CF230" i="228"/>
  <c r="CB230" i="228"/>
  <c r="CC230" i="228" s="1"/>
  <c r="CD230" i="228" s="1"/>
  <c r="AT230" i="228"/>
  <c r="AQ230" i="228"/>
  <c r="BW230" i="228"/>
  <c r="AJ230" i="228"/>
  <c r="AZ230" i="228"/>
  <c r="CG233" i="228"/>
  <c r="CI233" i="228" s="1"/>
  <c r="CE233" i="228"/>
  <c r="BQ230" i="228"/>
  <c r="BY230" i="228"/>
  <c r="BZ230" i="228" s="1"/>
  <c r="CH230" i="228" a="1"/>
  <c r="AK230" i="228"/>
  <c r="CG231" i="228"/>
  <c r="CI231" i="228" s="1"/>
  <c r="CE231" i="228"/>
  <c r="CG227" i="228"/>
  <c r="CI227" i="228" s="1"/>
  <c r="CE227" i="228"/>
  <c r="CG226" i="228"/>
  <c r="CI226" i="228" s="1"/>
  <c r="CE226" i="228"/>
  <c r="CG228" i="228"/>
  <c r="CI228" i="228" s="1"/>
  <c r="CE228" i="228"/>
  <c r="CC229" i="228"/>
  <c r="CD229" i="228" s="1"/>
  <c r="O11" i="243"/>
  <c r="O10" i="243"/>
  <c r="O9" i="243"/>
  <c r="O8" i="243"/>
  <c r="O7" i="243"/>
  <c r="O6" i="243"/>
  <c r="O5" i="243"/>
  <c r="O4" i="243"/>
  <c r="O3" i="243"/>
  <c r="O2" i="243"/>
  <c r="O12" i="243"/>
  <c r="P12" i="243"/>
  <c r="Q12" i="243" s="1"/>
  <c r="D12" i="243"/>
  <c r="C12" i="243"/>
  <c r="CG234" i="228" l="1"/>
  <c r="CI234" i="228" s="1"/>
  <c r="CG232" i="228"/>
  <c r="CI232" i="228" s="1"/>
  <c r="CC225" i="228"/>
  <c r="CD225" i="228" s="1"/>
  <c r="CG225" i="228" s="1"/>
  <c r="CI225" i="228" s="1"/>
  <c r="CG235" i="228"/>
  <c r="CI235" i="228" s="1"/>
  <c r="CE235" i="228"/>
  <c r="CG230" i="228"/>
  <c r="CI230" i="228" s="1"/>
  <c r="CE230" i="228"/>
  <c r="CE229" i="228"/>
  <c r="CG229" i="228"/>
  <c r="CI229" i="228" s="1"/>
  <c r="BK212" i="228"/>
  <c r="BT212" i="228" s="1"/>
  <c r="BU212" i="228" s="1"/>
  <c r="BJ212" i="228"/>
  <c r="BE212" i="228"/>
  <c r="BD212" i="228"/>
  <c r="BC212" i="228"/>
  <c r="BA212" i="228"/>
  <c r="BR212" i="228" s="1"/>
  <c r="BB224" i="228"/>
  <c r="BB223" i="228"/>
  <c r="BB222" i="228"/>
  <c r="BB221" i="228"/>
  <c r="BB220" i="228"/>
  <c r="BB219" i="228"/>
  <c r="BB218" i="228"/>
  <c r="BB217" i="228"/>
  <c r="BB216" i="228"/>
  <c r="BB215" i="228"/>
  <c r="BB214" i="228"/>
  <c r="BB213" i="228"/>
  <c r="BB211" i="228"/>
  <c r="BB210" i="228"/>
  <c r="AV222" i="228"/>
  <c r="BX222" i="228" s="1"/>
  <c r="AW221" i="228"/>
  <c r="AV221" i="228"/>
  <c r="AW219" i="228"/>
  <c r="BR219" i="228" s="1"/>
  <c r="AV217" i="228"/>
  <c r="BR217" i="228" s="1"/>
  <c r="AV216" i="228"/>
  <c r="AI216" i="228" s="1"/>
  <c r="AZ216" i="228" s="1"/>
  <c r="AV211" i="228"/>
  <c r="AI211" i="228" s="1"/>
  <c r="AZ211" i="228" s="1"/>
  <c r="AV210" i="228"/>
  <c r="BX210" i="228" s="1"/>
  <c r="Y222" i="228"/>
  <c r="X222" i="228"/>
  <c r="Y221" i="228"/>
  <c r="X221" i="228"/>
  <c r="Y217" i="228"/>
  <c r="X217" i="228"/>
  <c r="Y216" i="228"/>
  <c r="X216" i="228"/>
  <c r="Y211" i="228"/>
  <c r="X211" i="228"/>
  <c r="Y210" i="228"/>
  <c r="X210" i="228"/>
  <c r="S222" i="228"/>
  <c r="S221" i="228"/>
  <c r="S211" i="228"/>
  <c r="S210" i="228"/>
  <c r="C210" i="228"/>
  <c r="C211" i="228"/>
  <c r="C212" i="228"/>
  <c r="C213" i="228"/>
  <c r="C214" i="228"/>
  <c r="C215" i="228"/>
  <c r="C216" i="228"/>
  <c r="C217" i="228"/>
  <c r="C218" i="228"/>
  <c r="C219" i="228"/>
  <c r="C220" i="228"/>
  <c r="C221" i="228"/>
  <c r="C222" i="228"/>
  <c r="C223" i="228"/>
  <c r="C224" i="228"/>
  <c r="D210" i="228"/>
  <c r="D211" i="228"/>
  <c r="D212" i="228"/>
  <c r="D213" i="228"/>
  <c r="D214" i="228"/>
  <c r="D215" i="228"/>
  <c r="D216" i="228"/>
  <c r="D217" i="228"/>
  <c r="D218" i="228"/>
  <c r="D219" i="228"/>
  <c r="D220" i="228"/>
  <c r="D221" i="228"/>
  <c r="D222" i="228"/>
  <c r="D223" i="228"/>
  <c r="D224" i="228"/>
  <c r="I210" i="228"/>
  <c r="I211" i="228"/>
  <c r="I212" i="228"/>
  <c r="I213" i="228"/>
  <c r="I214" i="228"/>
  <c r="I215" i="228"/>
  <c r="I216" i="228"/>
  <c r="U216" i="228" s="1"/>
  <c r="I217" i="228"/>
  <c r="I218" i="228"/>
  <c r="I219" i="228"/>
  <c r="BV219" i="228" s="1"/>
  <c r="I220" i="228"/>
  <c r="I221" i="228"/>
  <c r="BV221" i="228" s="1"/>
  <c r="I222" i="228"/>
  <c r="I223" i="228"/>
  <c r="I224" i="228"/>
  <c r="M210" i="228"/>
  <c r="M211" i="228"/>
  <c r="M212" i="228"/>
  <c r="M213" i="228"/>
  <c r="M214" i="228"/>
  <c r="M215" i="228"/>
  <c r="M216" i="228"/>
  <c r="M217" i="228"/>
  <c r="M218" i="228"/>
  <c r="M219" i="228"/>
  <c r="M220" i="228"/>
  <c r="M221" i="228"/>
  <c r="M222" i="228"/>
  <c r="M223" i="228"/>
  <c r="M224" i="228"/>
  <c r="Z212" i="228"/>
  <c r="Z213" i="228"/>
  <c r="Z214" i="228"/>
  <c r="Z215" i="228"/>
  <c r="Z218" i="228"/>
  <c r="Z219" i="228"/>
  <c r="Z220" i="228"/>
  <c r="Z223" i="228"/>
  <c r="Z224" i="228"/>
  <c r="AA212" i="228"/>
  <c r="AA213" i="228"/>
  <c r="AA214" i="228"/>
  <c r="AA215" i="228"/>
  <c r="AA218" i="228"/>
  <c r="AA219" i="228"/>
  <c r="AA220" i="228"/>
  <c r="AA223" i="228"/>
  <c r="AA224" i="228"/>
  <c r="AI213" i="228"/>
  <c r="AZ213" i="228" s="1"/>
  <c r="AI214" i="228"/>
  <c r="AZ214" i="228" s="1"/>
  <c r="AI215" i="228"/>
  <c r="AZ215" i="228" s="1"/>
  <c r="AI218" i="228"/>
  <c r="AZ218" i="228" s="1"/>
  <c r="AI220" i="228"/>
  <c r="CB220" i="228" s="1"/>
  <c r="AI223" i="228"/>
  <c r="AZ223" i="228" s="1"/>
  <c r="AI224" i="228"/>
  <c r="CB224" i="228" s="1"/>
  <c r="AL210" i="228"/>
  <c r="AL211" i="228"/>
  <c r="AL212" i="228"/>
  <c r="AL213" i="228"/>
  <c r="AL214" i="228"/>
  <c r="AL215" i="228"/>
  <c r="AL216" i="228"/>
  <c r="AL217" i="228"/>
  <c r="AL218" i="228"/>
  <c r="AL219" i="228"/>
  <c r="AL220" i="228"/>
  <c r="AL221" i="228"/>
  <c r="AL222" i="228"/>
  <c r="AL223" i="228"/>
  <c r="AL224" i="228"/>
  <c r="AR210" i="228"/>
  <c r="AU210" i="228" s="1"/>
  <c r="AR211" i="228"/>
  <c r="AU211" i="228" s="1"/>
  <c r="AR212" i="228"/>
  <c r="AU212" i="228" s="1"/>
  <c r="AR213" i="228"/>
  <c r="AU213" i="228" s="1"/>
  <c r="AR214" i="228"/>
  <c r="AU214" i="228" s="1"/>
  <c r="AR215" i="228"/>
  <c r="AU215" i="228" s="1"/>
  <c r="AR216" i="228"/>
  <c r="AR217" i="228"/>
  <c r="AR218" i="228"/>
  <c r="AU218" i="228" s="1"/>
  <c r="AR219" i="228"/>
  <c r="AU219" i="228" s="1"/>
  <c r="AR220" i="228"/>
  <c r="AU220" i="228" s="1"/>
  <c r="AR221" i="228"/>
  <c r="AU221" i="228" s="1"/>
  <c r="AR222" i="228"/>
  <c r="AU222" i="228" s="1"/>
  <c r="AR223" i="228"/>
  <c r="AU223" i="228" s="1"/>
  <c r="AR224" i="228"/>
  <c r="AU224" i="228" s="1"/>
  <c r="AY212" i="228"/>
  <c r="AY213" i="228"/>
  <c r="AY214" i="228"/>
  <c r="AY215" i="228"/>
  <c r="AY218" i="228"/>
  <c r="AY220" i="228"/>
  <c r="AY223" i="228"/>
  <c r="AY224" i="228"/>
  <c r="BO210" i="228"/>
  <c r="BO211" i="228"/>
  <c r="BO213" i="228"/>
  <c r="BO214" i="228"/>
  <c r="BO215" i="228"/>
  <c r="BO216" i="228"/>
  <c r="BO217" i="228"/>
  <c r="BO218" i="228"/>
  <c r="BO219" i="228"/>
  <c r="BO220" i="228"/>
  <c r="BO221" i="228"/>
  <c r="BO222" i="228"/>
  <c r="BO223" i="228"/>
  <c r="BO224" i="228"/>
  <c r="BP210" i="228"/>
  <c r="BP211" i="228"/>
  <c r="BP213" i="228"/>
  <c r="BP214" i="228"/>
  <c r="BP215" i="228"/>
  <c r="BP216" i="228"/>
  <c r="BP217" i="228"/>
  <c r="BP218" i="228"/>
  <c r="BP219" i="228"/>
  <c r="BP220" i="228"/>
  <c r="BP221" i="228"/>
  <c r="BP222" i="228"/>
  <c r="BP223" i="228"/>
  <c r="BP224" i="228"/>
  <c r="BR213" i="228"/>
  <c r="BR214" i="228"/>
  <c r="BR215" i="228"/>
  <c r="BR218" i="228"/>
  <c r="BR220" i="228"/>
  <c r="BR223" i="228"/>
  <c r="BR224" i="228"/>
  <c r="BT210" i="228"/>
  <c r="BU210" i="228" s="1"/>
  <c r="BT211" i="228"/>
  <c r="BU211" i="228" s="1"/>
  <c r="BT213" i="228"/>
  <c r="BU213" i="228" s="1"/>
  <c r="BT214" i="228"/>
  <c r="BU214" i="228" s="1"/>
  <c r="BT215" i="228"/>
  <c r="BU215" i="228" s="1"/>
  <c r="BT216" i="228"/>
  <c r="BU216" i="228" s="1"/>
  <c r="BT217" i="228"/>
  <c r="BU217" i="228" s="1"/>
  <c r="BT218" i="228"/>
  <c r="BU218" i="228" s="1"/>
  <c r="BT219" i="228"/>
  <c r="BU219" i="228" s="1"/>
  <c r="BT220" i="228"/>
  <c r="BU220" i="228" s="1"/>
  <c r="BT221" i="228"/>
  <c r="BU221" i="228" s="1"/>
  <c r="BT222" i="228"/>
  <c r="BU222" i="228" s="1"/>
  <c r="BT223" i="228"/>
  <c r="BU223" i="228" s="1"/>
  <c r="BT224" i="228"/>
  <c r="BU224" i="228" s="1"/>
  <c r="BX213" i="228"/>
  <c r="BX214" i="228"/>
  <c r="BX215" i="228"/>
  <c r="BX218" i="228"/>
  <c r="BX220" i="228"/>
  <c r="BX223" i="228"/>
  <c r="BX224" i="228"/>
  <c r="CE225" i="228" l="1"/>
  <c r="BR216" i="228"/>
  <c r="BX219" i="228"/>
  <c r="BY219" i="228" s="1"/>
  <c r="BZ219" i="228" s="1"/>
  <c r="AY219" i="228"/>
  <c r="AY216" i="228"/>
  <c r="AY217" i="228"/>
  <c r="BB212" i="228"/>
  <c r="AI212" i="228"/>
  <c r="AZ212" i="228" s="1"/>
  <c r="Z211" i="228"/>
  <c r="BP212" i="228"/>
  <c r="AI219" i="228"/>
  <c r="CB219" i="228" s="1"/>
  <c r="BX212" i="228"/>
  <c r="BY212" i="228" s="1"/>
  <c r="BZ212" i="228" s="1"/>
  <c r="BO212" i="228"/>
  <c r="BX221" i="228"/>
  <c r="AA211" i="228"/>
  <c r="Z222" i="228"/>
  <c r="BX211" i="228"/>
  <c r="Z210" i="228"/>
  <c r="AA222" i="228"/>
  <c r="BX217" i="228"/>
  <c r="BY217" i="228" s="1"/>
  <c r="BZ217" i="228" s="1"/>
  <c r="BX216" i="228"/>
  <c r="BY216" i="228" s="1"/>
  <c r="BZ216" i="228" s="1"/>
  <c r="AI217" i="228"/>
  <c r="CB217" i="228" s="1"/>
  <c r="Z217" i="228"/>
  <c r="Z221" i="228"/>
  <c r="AI221" i="228"/>
  <c r="CB221" i="228" s="1"/>
  <c r="AA221" i="228"/>
  <c r="AA217" i="228"/>
  <c r="Z216" i="228"/>
  <c r="AM213" i="228"/>
  <c r="AQ213" i="228" s="1"/>
  <c r="BV213" i="228"/>
  <c r="BW213" i="228" s="1"/>
  <c r="AM224" i="228"/>
  <c r="AQ224" i="228" s="1"/>
  <c r="BV224" i="228"/>
  <c r="BW224" i="228" s="1"/>
  <c r="U212" i="228"/>
  <c r="BV212" i="228"/>
  <c r="AM215" i="228"/>
  <c r="AQ215" i="228" s="1"/>
  <c r="BV215" i="228"/>
  <c r="BW215" i="228" s="1"/>
  <c r="U223" i="228"/>
  <c r="BV223" i="228"/>
  <c r="BW223" i="228" s="1"/>
  <c r="U211" i="228"/>
  <c r="BV211" i="228"/>
  <c r="BW211" i="228" s="1"/>
  <c r="AM216" i="228"/>
  <c r="AQ216" i="228" s="1"/>
  <c r="BV216" i="228"/>
  <c r="BW216" i="228" s="1"/>
  <c r="AM214" i="228"/>
  <c r="AQ214" i="228" s="1"/>
  <c r="BV214" i="228"/>
  <c r="BW214" i="228" s="1"/>
  <c r="U222" i="228"/>
  <c r="BV222" i="228"/>
  <c r="U210" i="228"/>
  <c r="BV210" i="228"/>
  <c r="U218" i="228"/>
  <c r="BV218" i="228"/>
  <c r="BW218" i="228" s="1"/>
  <c r="AM217" i="228"/>
  <c r="BV217" i="228"/>
  <c r="U220" i="228"/>
  <c r="BV220" i="228"/>
  <c r="BW220" i="228" s="1"/>
  <c r="U217" i="228"/>
  <c r="BQ218" i="228"/>
  <c r="CH219" i="228" a="1"/>
  <c r="AZ220" i="228"/>
  <c r="AZ224" i="228"/>
  <c r="BQ215" i="228"/>
  <c r="CH218" i="228" a="1"/>
  <c r="CH215" i="228" a="1"/>
  <c r="BR211" i="228"/>
  <c r="AY211" i="228"/>
  <c r="BR222" i="228"/>
  <c r="BR210" i="228"/>
  <c r="AY222" i="228"/>
  <c r="AY210" i="228"/>
  <c r="AI222" i="228"/>
  <c r="AZ222" i="228" s="1"/>
  <c r="AI210" i="228"/>
  <c r="AZ210" i="228" s="1"/>
  <c r="BR221" i="228"/>
  <c r="CH221" i="228" s="1" a="1"/>
  <c r="AY221" i="228"/>
  <c r="AA210" i="228"/>
  <c r="AA216" i="228"/>
  <c r="AM223" i="228"/>
  <c r="AQ223" i="228" s="1"/>
  <c r="BQ216" i="228"/>
  <c r="CB216" i="228"/>
  <c r="BY213" i="228"/>
  <c r="BZ213" i="228" s="1"/>
  <c r="AS216" i="228"/>
  <c r="AK213" i="228"/>
  <c r="U219" i="228"/>
  <c r="CH224" i="228" a="1"/>
  <c r="CH212" i="228" a="1"/>
  <c r="U224" i="228"/>
  <c r="CH214" i="228" a="1"/>
  <c r="AS214" i="228"/>
  <c r="CH213" i="228" a="1"/>
  <c r="BQ220" i="228"/>
  <c r="BQ213" i="228"/>
  <c r="AT218" i="228"/>
  <c r="AM212" i="228"/>
  <c r="AM211" i="228"/>
  <c r="AQ211" i="228" s="1"/>
  <c r="CF216" i="228"/>
  <c r="CH216" i="228" a="1"/>
  <c r="U215" i="228"/>
  <c r="CA218" i="228"/>
  <c r="BY214" i="228"/>
  <c r="BZ214" i="228" s="1"/>
  <c r="CA216" i="228"/>
  <c r="AT216" i="228"/>
  <c r="AK220" i="228"/>
  <c r="AJ216" i="228"/>
  <c r="CF223" i="228"/>
  <c r="CF215" i="228"/>
  <c r="AJ215" i="228"/>
  <c r="CF214" i="228"/>
  <c r="AM210" i="228"/>
  <c r="CA214" i="228"/>
  <c r="BQ214" i="228"/>
  <c r="AT211" i="228"/>
  <c r="CB213" i="228"/>
  <c r="CA213" i="228"/>
  <c r="AU216" i="228"/>
  <c r="AS220" i="228"/>
  <c r="CA224" i="228"/>
  <c r="CC224" i="228" s="1"/>
  <c r="BY218" i="228"/>
  <c r="BZ218" i="228" s="1"/>
  <c r="CF213" i="228"/>
  <c r="CB215" i="228"/>
  <c r="CA215" i="228"/>
  <c r="AT224" i="228"/>
  <c r="AM222" i="228"/>
  <c r="AT223" i="228"/>
  <c r="AS215" i="228"/>
  <c r="AM220" i="228"/>
  <c r="AQ220" i="228" s="1"/>
  <c r="AK216" i="228"/>
  <c r="AS218" i="228"/>
  <c r="CB214" i="228"/>
  <c r="CA223" i="228"/>
  <c r="CA211" i="228"/>
  <c r="CF220" i="228"/>
  <c r="BY215" i="228"/>
  <c r="BZ215" i="228" s="1"/>
  <c r="BY220" i="228"/>
  <c r="BZ220" i="228" s="1"/>
  <c r="AM219" i="228"/>
  <c r="CA220" i="228"/>
  <c r="CC220" i="228" s="1"/>
  <c r="AT220" i="228"/>
  <c r="AM218" i="228"/>
  <c r="AQ218" i="228" s="1"/>
  <c r="AJ220" i="228"/>
  <c r="CH217" i="228" a="1"/>
  <c r="BY224" i="228"/>
  <c r="BZ224" i="228" s="1"/>
  <c r="BQ223" i="228"/>
  <c r="AS223" i="228"/>
  <c r="AK218" i="228"/>
  <c r="U221" i="228"/>
  <c r="AS213" i="228"/>
  <c r="CH223" i="228" a="1"/>
  <c r="CF218" i="228"/>
  <c r="CB218" i="228"/>
  <c r="BQ224" i="228"/>
  <c r="AS224" i="228"/>
  <c r="AM221" i="228"/>
  <c r="AK215" i="228"/>
  <c r="AJ218" i="228"/>
  <c r="AK214" i="228"/>
  <c r="AJ213" i="228"/>
  <c r="U213" i="228"/>
  <c r="AK224" i="228"/>
  <c r="AK223" i="228"/>
  <c r="AJ214" i="228"/>
  <c r="CH220" i="228" a="1"/>
  <c r="CF224" i="228"/>
  <c r="AT215" i="228"/>
  <c r="AJ224" i="228"/>
  <c r="AU217" i="228"/>
  <c r="AS211" i="228"/>
  <c r="AK212" i="228"/>
  <c r="BY223" i="228"/>
  <c r="BZ223" i="228" s="1"/>
  <c r="U214" i="228"/>
  <c r="CB223" i="228"/>
  <c r="CB211" i="228"/>
  <c r="AT214" i="228"/>
  <c r="AJ223" i="228"/>
  <c r="AJ211" i="228"/>
  <c r="AT213" i="228"/>
  <c r="BQ212" i="228" l="1"/>
  <c r="AT212" i="228"/>
  <c r="BW212" i="228"/>
  <c r="CA212" i="228"/>
  <c r="AQ212" i="228"/>
  <c r="CF212" i="228"/>
  <c r="CF219" i="228"/>
  <c r="BW217" i="228"/>
  <c r="AJ212" i="228"/>
  <c r="CB212" i="228"/>
  <c r="AJ219" i="228"/>
  <c r="AK219" i="228"/>
  <c r="AS212" i="228"/>
  <c r="AS219" i="228"/>
  <c r="AQ219" i="228"/>
  <c r="AZ219" i="228"/>
  <c r="CA219" i="228"/>
  <c r="CC219" i="228" s="1"/>
  <c r="BQ219" i="228"/>
  <c r="AT219" i="228"/>
  <c r="BW219" i="228"/>
  <c r="AZ221" i="228"/>
  <c r="CA217" i="228"/>
  <c r="CC217" i="228" s="1"/>
  <c r="CD217" i="228" s="1"/>
  <c r="CG217" i="228" s="1"/>
  <c r="CI217" i="228" s="1"/>
  <c r="AK217" i="228"/>
  <c r="CF217" i="228"/>
  <c r="AS217" i="228"/>
  <c r="BQ217" i="228"/>
  <c r="AQ217" i="228"/>
  <c r="AT217" i="228"/>
  <c r="AZ217" i="228"/>
  <c r="AJ221" i="228"/>
  <c r="BW221" i="228"/>
  <c r="AQ221" i="228"/>
  <c r="BY211" i="228"/>
  <c r="BZ211" i="228" s="1"/>
  <c r="CA221" i="228"/>
  <c r="CC221" i="228" s="1"/>
  <c r="AS221" i="228"/>
  <c r="AT221" i="228"/>
  <c r="AJ217" i="228"/>
  <c r="BW222" i="228"/>
  <c r="AJ210" i="228"/>
  <c r="AS222" i="228"/>
  <c r="AJ222" i="228"/>
  <c r="CF221" i="228"/>
  <c r="CA210" i="228"/>
  <c r="AQ210" i="228"/>
  <c r="AS210" i="228"/>
  <c r="AQ222" i="228"/>
  <c r="BY221" i="228"/>
  <c r="BZ221" i="228" s="1"/>
  <c r="AK221" i="228"/>
  <c r="CF222" i="228"/>
  <c r="BQ221" i="228"/>
  <c r="AT210" i="228"/>
  <c r="CB210" i="228"/>
  <c r="BQ211" i="228"/>
  <c r="CB222" i="228"/>
  <c r="BW210" i="228"/>
  <c r="BQ210" i="228"/>
  <c r="AK211" i="228"/>
  <c r="CH211" i="228" a="1"/>
  <c r="CF211" i="228"/>
  <c r="AK222" i="228"/>
  <c r="CC213" i="228"/>
  <c r="CD213" i="228" s="1"/>
  <c r="CF210" i="228"/>
  <c r="CH222" i="228" a="1"/>
  <c r="BY222" i="228"/>
  <c r="BZ222" i="228" s="1"/>
  <c r="CH210" i="228" a="1"/>
  <c r="CC214" i="228"/>
  <c r="CD214" i="228" s="1"/>
  <c r="BY210" i="228"/>
  <c r="BZ210" i="228" s="1"/>
  <c r="BQ222" i="228"/>
  <c r="CC216" i="228"/>
  <c r="CD216" i="228" s="1"/>
  <c r="AK210" i="228"/>
  <c r="AT222" i="228"/>
  <c r="CA222" i="228"/>
  <c r="CD220" i="228"/>
  <c r="CE220" i="228" s="1"/>
  <c r="CC218" i="228"/>
  <c r="CD218" i="228" s="1"/>
  <c r="CE218" i="228" s="1"/>
  <c r="CD224" i="228"/>
  <c r="CE224" i="228" s="1"/>
  <c r="CC223" i="228"/>
  <c r="CD223" i="228" s="1"/>
  <c r="CC215" i="228"/>
  <c r="CD215" i="228" s="1"/>
  <c r="CC211" i="228"/>
  <c r="CD211" i="228" s="1"/>
  <c r="CG211" i="228" s="1"/>
  <c r="CI211" i="228" s="1"/>
  <c r="CC212" i="228" l="1"/>
  <c r="CD212" i="228" s="1"/>
  <c r="CG212" i="228" s="1"/>
  <c r="CI212" i="228" s="1"/>
  <c r="CD219" i="228"/>
  <c r="CG219" i="228" s="1"/>
  <c r="CI219" i="228" s="1"/>
  <c r="CE217" i="228"/>
  <c r="CD221" i="228"/>
  <c r="CG221" i="228" s="1"/>
  <c r="CI221" i="228" s="1"/>
  <c r="CC210" i="228"/>
  <c r="CD210" i="228" s="1"/>
  <c r="CC222" i="228"/>
  <c r="CD222" i="228" s="1"/>
  <c r="CG224" i="228"/>
  <c r="CI224" i="228" s="1"/>
  <c r="CG220" i="228"/>
  <c r="CI220" i="228" s="1"/>
  <c r="CG218" i="228"/>
  <c r="CI218" i="228" s="1"/>
  <c r="CE216" i="228"/>
  <c r="CG216" i="228"/>
  <c r="CI216" i="228" s="1"/>
  <c r="CE223" i="228"/>
  <c r="CG223" i="228"/>
  <c r="CI223" i="228" s="1"/>
  <c r="CE211" i="228"/>
  <c r="CE213" i="228"/>
  <c r="CG213" i="228"/>
  <c r="CI213" i="228" s="1"/>
  <c r="CG214" i="228"/>
  <c r="CI214" i="228" s="1"/>
  <c r="CE214" i="228"/>
  <c r="CG215" i="228"/>
  <c r="CI215" i="228" s="1"/>
  <c r="CE215" i="228"/>
  <c r="CE212" i="228" l="1"/>
  <c r="CE219" i="228"/>
  <c r="CE221" i="228"/>
  <c r="CG210" i="228"/>
  <c r="CI210" i="228" s="1"/>
  <c r="CE210" i="228"/>
  <c r="CE222" i="228"/>
  <c r="CG222" i="228"/>
  <c r="CI222" i="228" s="1"/>
  <c r="AI102" i="242"/>
  <c r="AI101" i="242"/>
  <c r="AI100" i="242"/>
  <c r="H42" i="242"/>
  <c r="BT209" i="228"/>
  <c r="BU209" i="228" s="1"/>
  <c r="BT208" i="228"/>
  <c r="BU208" i="228" s="1"/>
  <c r="BT207" i="228"/>
  <c r="BU207" i="228" s="1"/>
  <c r="BT206" i="228"/>
  <c r="BU206" i="228" s="1"/>
  <c r="BT205" i="228"/>
  <c r="BU205" i="228" s="1"/>
  <c r="BT204" i="228"/>
  <c r="BU204" i="228" s="1"/>
  <c r="BT203" i="228"/>
  <c r="BU203" i="228" s="1"/>
  <c r="BT202" i="228"/>
  <c r="BU202" i="228" s="1"/>
  <c r="BT201" i="228"/>
  <c r="BU201" i="228" s="1"/>
  <c r="BT200" i="228"/>
  <c r="BU200" i="228" s="1"/>
  <c r="BT199" i="228"/>
  <c r="BU199" i="228" s="1"/>
  <c r="BT198" i="228"/>
  <c r="BU198" i="228" s="1"/>
  <c r="AV204" i="228"/>
  <c r="BX204" i="228" s="1"/>
  <c r="AV203" i="228"/>
  <c r="AI203" i="228" s="1"/>
  <c r="AV200" i="228"/>
  <c r="AY200" i="228" s="1"/>
  <c r="AV199" i="228"/>
  <c r="AI199" i="228" s="1"/>
  <c r="CA199" i="228" s="1"/>
  <c r="AI193" i="228"/>
  <c r="AL193" i="228"/>
  <c r="AI194" i="228"/>
  <c r="AL194" i="228"/>
  <c r="AI195" i="228"/>
  <c r="AL195" i="228"/>
  <c r="AI196" i="228"/>
  <c r="CA196" i="228" s="1"/>
  <c r="AL196" i="228"/>
  <c r="AI197" i="228"/>
  <c r="AZ197" i="228" s="1"/>
  <c r="AL197" i="228"/>
  <c r="AI198" i="228"/>
  <c r="AL198" i="228"/>
  <c r="AL199" i="228"/>
  <c r="AL200" i="228"/>
  <c r="AI201" i="228"/>
  <c r="AL201" i="228"/>
  <c r="AI202" i="228"/>
  <c r="AL202" i="228"/>
  <c r="AL203" i="228"/>
  <c r="AL204" i="228"/>
  <c r="AI205" i="228"/>
  <c r="AL205" i="228"/>
  <c r="AI206" i="228"/>
  <c r="CB206" i="228" s="1"/>
  <c r="AL206" i="228"/>
  <c r="AI207" i="228"/>
  <c r="AL207" i="228"/>
  <c r="AI208" i="228"/>
  <c r="AL208" i="228"/>
  <c r="AI209" i="228"/>
  <c r="AZ209" i="228" s="1"/>
  <c r="AL209" i="228"/>
  <c r="AL15" i="228"/>
  <c r="Y204" i="228"/>
  <c r="X204" i="228"/>
  <c r="AA204" i="228" s="1"/>
  <c r="Y203" i="228"/>
  <c r="X203" i="228"/>
  <c r="Y200" i="228"/>
  <c r="X200" i="228"/>
  <c r="Y199" i="228"/>
  <c r="X199" i="228"/>
  <c r="AA199" i="228" s="1"/>
  <c r="S204" i="228"/>
  <c r="S203" i="228"/>
  <c r="S200" i="228"/>
  <c r="S199" i="228"/>
  <c r="C193" i="228"/>
  <c r="C194" i="228"/>
  <c r="C195" i="228"/>
  <c r="C196" i="228"/>
  <c r="C197" i="228"/>
  <c r="C198" i="228"/>
  <c r="C199" i="228"/>
  <c r="C200" i="228"/>
  <c r="C201" i="228"/>
  <c r="C202" i="228"/>
  <c r="C203" i="228"/>
  <c r="C204" i="228"/>
  <c r="C205" i="228"/>
  <c r="C206" i="228"/>
  <c r="C207" i="228"/>
  <c r="C208" i="228"/>
  <c r="C209" i="228"/>
  <c r="D193" i="228"/>
  <c r="D194" i="228"/>
  <c r="D195" i="228"/>
  <c r="D196" i="228"/>
  <c r="D197" i="228"/>
  <c r="D198" i="228"/>
  <c r="D199" i="228"/>
  <c r="D200" i="228"/>
  <c r="D201" i="228"/>
  <c r="D202" i="228"/>
  <c r="D203" i="228"/>
  <c r="D204" i="228"/>
  <c r="D205" i="228"/>
  <c r="D206" i="228"/>
  <c r="D207" i="228"/>
  <c r="D208" i="228"/>
  <c r="D209" i="228"/>
  <c r="I193" i="228"/>
  <c r="BV193" i="228" s="1"/>
  <c r="I194" i="228"/>
  <c r="BV194" i="228" s="1"/>
  <c r="I195" i="228"/>
  <c r="I196" i="228"/>
  <c r="I197" i="228"/>
  <c r="BV197" i="228" s="1"/>
  <c r="I198" i="228"/>
  <c r="I199" i="228"/>
  <c r="I200" i="228"/>
  <c r="BV200" i="228" s="1"/>
  <c r="I201" i="228"/>
  <c r="I202" i="228"/>
  <c r="I203" i="228"/>
  <c r="I204" i="228"/>
  <c r="BV204" i="228" s="1"/>
  <c r="I205" i="228"/>
  <c r="BV205" i="228" s="1"/>
  <c r="I206" i="228"/>
  <c r="I207" i="228"/>
  <c r="I208" i="228"/>
  <c r="BV208" i="228" s="1"/>
  <c r="I209" i="228"/>
  <c r="BV209" i="228" s="1"/>
  <c r="M193" i="228"/>
  <c r="M194" i="228"/>
  <c r="M195" i="228"/>
  <c r="M196" i="228"/>
  <c r="M197" i="228"/>
  <c r="M198" i="228"/>
  <c r="M199" i="228"/>
  <c r="M200" i="228"/>
  <c r="M201" i="228"/>
  <c r="M202" i="228"/>
  <c r="M203" i="228"/>
  <c r="M204" i="228"/>
  <c r="M205" i="228"/>
  <c r="M206" i="228"/>
  <c r="M207" i="228"/>
  <c r="M208" i="228"/>
  <c r="M209" i="228"/>
  <c r="Z193" i="228"/>
  <c r="Z194" i="228"/>
  <c r="Z195" i="228"/>
  <c r="Z196" i="228"/>
  <c r="Z197" i="228"/>
  <c r="Z198" i="228"/>
  <c r="Z201" i="228"/>
  <c r="Z202" i="228"/>
  <c r="Z205" i="228"/>
  <c r="Z206" i="228"/>
  <c r="Z207" i="228"/>
  <c r="Z208" i="228"/>
  <c r="Z209" i="228"/>
  <c r="AA193" i="228"/>
  <c r="AA194" i="228"/>
  <c r="AA195" i="228"/>
  <c r="AA196" i="228"/>
  <c r="AA197" i="228"/>
  <c r="AA198" i="228"/>
  <c r="AA201" i="228"/>
  <c r="AA202" i="228"/>
  <c r="AA205" i="228"/>
  <c r="AA206" i="228"/>
  <c r="AA207" i="228"/>
  <c r="AA208" i="228"/>
  <c r="AA209" i="228"/>
  <c r="AR193" i="228"/>
  <c r="AU193" i="228" s="1"/>
  <c r="AR194" i="228"/>
  <c r="AU194" i="228" s="1"/>
  <c r="AR195" i="228"/>
  <c r="AU195" i="228" s="1"/>
  <c r="AR196" i="228"/>
  <c r="AR197" i="228"/>
  <c r="AR198" i="228"/>
  <c r="AU198" i="228" s="1"/>
  <c r="AR199" i="228"/>
  <c r="AU199" i="228" s="1"/>
  <c r="AR200" i="228"/>
  <c r="AU200" i="228" s="1"/>
  <c r="AR201" i="228"/>
  <c r="AU201" i="228" s="1"/>
  <c r="AR202" i="228"/>
  <c r="AU202" i="228" s="1"/>
  <c r="AR203" i="228"/>
  <c r="AU203" i="228" s="1"/>
  <c r="AR204" i="228"/>
  <c r="AU204" i="228" s="1"/>
  <c r="AR205" i="228"/>
  <c r="AU205" i="228" s="1"/>
  <c r="AR206" i="228"/>
  <c r="AU206" i="228" s="1"/>
  <c r="AR207" i="228"/>
  <c r="AU207" i="228" s="1"/>
  <c r="AR208" i="228"/>
  <c r="AU208" i="228" s="1"/>
  <c r="AR209" i="228"/>
  <c r="AY193" i="228"/>
  <c r="AY194" i="228"/>
  <c r="AY195" i="228"/>
  <c r="AY196" i="228"/>
  <c r="AY197" i="228"/>
  <c r="AY198" i="228"/>
  <c r="AY201" i="228"/>
  <c r="AY202" i="228"/>
  <c r="AY205" i="228"/>
  <c r="AY206" i="228"/>
  <c r="AY207" i="228"/>
  <c r="AY208" i="228"/>
  <c r="AY209" i="228"/>
  <c r="BB193" i="228"/>
  <c r="BB194" i="228"/>
  <c r="BB195" i="228"/>
  <c r="BB196" i="228"/>
  <c r="BB197" i="228"/>
  <c r="BB198" i="228"/>
  <c r="BB199" i="228"/>
  <c r="BB200" i="228"/>
  <c r="BB201" i="228"/>
  <c r="BB202" i="228"/>
  <c r="BB203" i="228"/>
  <c r="BB204" i="228"/>
  <c r="BB205" i="228"/>
  <c r="BB206" i="228"/>
  <c r="BB207" i="228"/>
  <c r="BB208" i="228"/>
  <c r="BB209" i="228"/>
  <c r="BO193" i="228"/>
  <c r="BO194" i="228"/>
  <c r="BO195" i="228"/>
  <c r="BO196" i="228"/>
  <c r="BO197" i="228"/>
  <c r="BO198" i="228"/>
  <c r="BO199" i="228"/>
  <c r="BO200" i="228"/>
  <c r="BO201" i="228"/>
  <c r="BO202" i="228"/>
  <c r="BO203" i="228"/>
  <c r="BO204" i="228"/>
  <c r="BO205" i="228"/>
  <c r="BO206" i="228"/>
  <c r="BO207" i="228"/>
  <c r="BO208" i="228"/>
  <c r="BO209" i="228"/>
  <c r="BP193" i="228"/>
  <c r="BP194" i="228"/>
  <c r="BP195" i="228"/>
  <c r="BP196" i="228"/>
  <c r="BP197" i="228"/>
  <c r="BP198" i="228"/>
  <c r="BP199" i="228"/>
  <c r="BP200" i="228"/>
  <c r="BP201" i="228"/>
  <c r="BP202" i="228"/>
  <c r="BP203" i="228"/>
  <c r="BP204" i="228"/>
  <c r="BP205" i="228"/>
  <c r="BP206" i="228"/>
  <c r="BP207" i="228"/>
  <c r="BP208" i="228"/>
  <c r="BP209" i="228"/>
  <c r="BR193" i="228"/>
  <c r="BR194" i="228"/>
  <c r="BR195" i="228"/>
  <c r="BR196" i="228"/>
  <c r="BR197" i="228"/>
  <c r="BR198" i="228"/>
  <c r="BR201" i="228"/>
  <c r="BR202" i="228"/>
  <c r="BR205" i="228"/>
  <c r="BR206" i="228"/>
  <c r="BR207" i="228"/>
  <c r="BR208" i="228"/>
  <c r="BR209" i="228"/>
  <c r="BT193" i="228"/>
  <c r="BU193" i="228" s="1"/>
  <c r="BT194" i="228"/>
  <c r="BU194" i="228" s="1"/>
  <c r="BT195" i="228"/>
  <c r="BU195" i="228" s="1"/>
  <c r="BT196" i="228"/>
  <c r="BU196" i="228" s="1"/>
  <c r="BT197" i="228"/>
  <c r="BU197" i="228" s="1"/>
  <c r="BX193" i="228"/>
  <c r="BX194" i="228"/>
  <c r="BX195" i="228"/>
  <c r="BX196" i="228"/>
  <c r="BX197" i="228"/>
  <c r="BX198" i="228"/>
  <c r="BX201" i="228"/>
  <c r="BX202" i="228"/>
  <c r="BX205" i="228"/>
  <c r="BX206" i="228"/>
  <c r="BX207" i="228"/>
  <c r="BX208" i="228"/>
  <c r="BX209" i="228"/>
  <c r="AY204" i="228" l="1"/>
  <c r="AY203" i="228"/>
  <c r="AI204" i="228"/>
  <c r="AS204" i="228" s="1"/>
  <c r="AY199" i="228"/>
  <c r="BR204" i="228"/>
  <c r="BY204" i="228" s="1"/>
  <c r="BZ204" i="228" s="1"/>
  <c r="BR199" i="228"/>
  <c r="BQ199" i="228" s="1"/>
  <c r="BX199" i="228"/>
  <c r="AM196" i="228"/>
  <c r="BV196" i="228"/>
  <c r="BW196" i="228" s="1"/>
  <c r="AM207" i="228"/>
  <c r="AQ207" i="228" s="1"/>
  <c r="BV207" i="228"/>
  <c r="BW207" i="228" s="1"/>
  <c r="U195" i="228"/>
  <c r="BV195" i="228"/>
  <c r="BW195" i="228" s="1"/>
  <c r="AM201" i="228"/>
  <c r="AQ201" i="228" s="1"/>
  <c r="BV201" i="228"/>
  <c r="BW201" i="228" s="1"/>
  <c r="AM198" i="228"/>
  <c r="AQ198" i="228" s="1"/>
  <c r="BV198" i="228"/>
  <c r="BW198" i="228" s="1"/>
  <c r="AM203" i="228"/>
  <c r="AQ203" i="228" s="1"/>
  <c r="BV203" i="228"/>
  <c r="BW203" i="228" s="1"/>
  <c r="AM199" i="228"/>
  <c r="AQ199" i="228" s="1"/>
  <c r="BV199" i="228"/>
  <c r="BW199" i="228" s="1"/>
  <c r="U206" i="228"/>
  <c r="BV206" i="228"/>
  <c r="BW206" i="228" s="1"/>
  <c r="AM202" i="228"/>
  <c r="AQ202" i="228" s="1"/>
  <c r="BV202" i="228"/>
  <c r="BW202" i="228" s="1"/>
  <c r="Z204" i="228"/>
  <c r="AI200" i="228"/>
  <c r="BW200" i="228" s="1"/>
  <c r="BR203" i="228"/>
  <c r="CH203" i="228" s="1" a="1"/>
  <c r="BX203" i="228"/>
  <c r="Z199" i="228"/>
  <c r="Z200" i="228"/>
  <c r="BX200" i="228"/>
  <c r="BW194" i="228"/>
  <c r="BW193" i="228"/>
  <c r="Z203" i="228"/>
  <c r="AA203" i="228"/>
  <c r="AJ209" i="228"/>
  <c r="AM197" i="228"/>
  <c r="AQ197" i="228" s="1"/>
  <c r="U209" i="228"/>
  <c r="AJ194" i="228"/>
  <c r="AZ199" i="228"/>
  <c r="BY197" i="228"/>
  <c r="BZ197" i="228" s="1"/>
  <c r="BW197" i="228"/>
  <c r="CH209" i="228" a="1"/>
  <c r="AK196" i="228"/>
  <c r="AT201" i="228"/>
  <c r="AM200" i="228"/>
  <c r="BW205" i="228"/>
  <c r="AJ205" i="228"/>
  <c r="AK194" i="228"/>
  <c r="AM204" i="228"/>
  <c r="AM193" i="228"/>
  <c r="AQ193" i="228" s="1"/>
  <c r="AJ204" i="228"/>
  <c r="AJ193" i="228"/>
  <c r="BW208" i="228"/>
  <c r="AJ201" i="228"/>
  <c r="AJ196" i="228"/>
  <c r="AM208" i="228"/>
  <c r="AQ208" i="228" s="1"/>
  <c r="U208" i="228"/>
  <c r="AM195" i="228"/>
  <c r="AQ195" i="228" s="1"/>
  <c r="BY208" i="228"/>
  <c r="BZ208" i="228" s="1"/>
  <c r="BY196" i="228"/>
  <c r="BZ196" i="228" s="1"/>
  <c r="AJ207" i="228"/>
  <c r="AJ203" i="228"/>
  <c r="AM206" i="228"/>
  <c r="AQ206" i="228" s="1"/>
  <c r="AJ195" i="228"/>
  <c r="AM194" i="228"/>
  <c r="AQ194" i="228" s="1"/>
  <c r="AM209" i="228"/>
  <c r="AQ209" i="228" s="1"/>
  <c r="AJ208" i="228"/>
  <c r="AM205" i="228"/>
  <c r="AQ205" i="228" s="1"/>
  <c r="AJ198" i="228"/>
  <c r="AS194" i="228"/>
  <c r="AJ197" i="228"/>
  <c r="BQ198" i="228"/>
  <c r="AT198" i="228"/>
  <c r="BY209" i="228"/>
  <c r="BZ209" i="228" s="1"/>
  <c r="AK197" i="228"/>
  <c r="BQ201" i="228"/>
  <c r="CA198" i="228"/>
  <c r="AK209" i="228"/>
  <c r="AJ206" i="228"/>
  <c r="AJ199" i="228"/>
  <c r="CB194" i="228"/>
  <c r="CH198" i="228" a="1"/>
  <c r="CH197" i="228" a="1"/>
  <c r="CH196" i="228" a="1"/>
  <c r="AT196" i="228"/>
  <c r="CF208" i="228"/>
  <c r="CH208" i="228" a="1"/>
  <c r="CF196" i="228"/>
  <c r="CB208" i="228"/>
  <c r="CB196" i="228"/>
  <c r="CC196" i="228" s="1"/>
  <c r="CD196" i="228" s="1"/>
  <c r="CG196" i="228" s="1"/>
  <c r="CI196" i="228" s="1"/>
  <c r="AK206" i="228"/>
  <c r="CA208" i="228"/>
  <c r="CH202" i="228" a="1"/>
  <c r="AK201" i="228"/>
  <c r="AZ208" i="228"/>
  <c r="BQ202" i="228"/>
  <c r="AZ196" i="228"/>
  <c r="CF209" i="228"/>
  <c r="BY202" i="228"/>
  <c r="BZ202" i="228" s="1"/>
  <c r="AT209" i="228"/>
  <c r="AT197" i="228"/>
  <c r="AK202" i="228"/>
  <c r="CA206" i="228"/>
  <c r="CC206" i="228" s="1"/>
  <c r="CD206" i="228" s="1"/>
  <c r="CE206" i="228" s="1"/>
  <c r="BY201" i="228"/>
  <c r="BZ201" i="228" s="1"/>
  <c r="AJ202" i="228"/>
  <c r="BR200" i="228"/>
  <c r="BY198" i="228"/>
  <c r="BZ198" i="228" s="1"/>
  <c r="AK207" i="228"/>
  <c r="CH201" i="228" a="1"/>
  <c r="CA209" i="228"/>
  <c r="AK195" i="228"/>
  <c r="CF198" i="228"/>
  <c r="CF197" i="228"/>
  <c r="AK208" i="228"/>
  <c r="AZ198" i="228"/>
  <c r="AQ196" i="228"/>
  <c r="AK198" i="228"/>
  <c r="AK205" i="228"/>
  <c r="AK193" i="228"/>
  <c r="CB209" i="228"/>
  <c r="AZ206" i="228"/>
  <c r="CA197" i="228"/>
  <c r="CF202" i="228"/>
  <c r="CA201" i="228"/>
  <c r="AZ207" i="228"/>
  <c r="CB207" i="228"/>
  <c r="CB197" i="228"/>
  <c r="AZ195" i="228"/>
  <c r="AZ194" i="228"/>
  <c r="AT207" i="228"/>
  <c r="CA207" i="228"/>
  <c r="CA195" i="228"/>
  <c r="CB195" i="228"/>
  <c r="CA194" i="228"/>
  <c r="AA200" i="228"/>
  <c r="AT195" i="228"/>
  <c r="AS205" i="228"/>
  <c r="U207" i="228"/>
  <c r="AS203" i="228"/>
  <c r="BW209" i="228"/>
  <c r="AT208" i="228"/>
  <c r="BY193" i="228"/>
  <c r="BZ193" i="228" s="1"/>
  <c r="AT202" i="228"/>
  <c r="U198" i="228"/>
  <c r="U197" i="228"/>
  <c r="AS208" i="228"/>
  <c r="AS196" i="228"/>
  <c r="U196" i="228"/>
  <c r="AT199" i="228"/>
  <c r="AS207" i="228"/>
  <c r="AS195" i="228"/>
  <c r="AT193" i="228"/>
  <c r="CA193" i="228"/>
  <c r="AZ193" i="228"/>
  <c r="AT206" i="228"/>
  <c r="AT194" i="228"/>
  <c r="BY206" i="228"/>
  <c r="BZ206" i="228" s="1"/>
  <c r="BQ206" i="228"/>
  <c r="CH206" i="228" a="1"/>
  <c r="CF206" i="228"/>
  <c r="AT203" i="228"/>
  <c r="CA203" i="228"/>
  <c r="AZ203" i="228"/>
  <c r="CB203" i="228"/>
  <c r="AS193" i="228"/>
  <c r="U205" i="228"/>
  <c r="U193" i="228"/>
  <c r="CF195" i="228"/>
  <c r="BQ195" i="228"/>
  <c r="CH195" i="228" a="1"/>
  <c r="CA205" i="228"/>
  <c r="AT205" i="228"/>
  <c r="AZ205" i="228"/>
  <c r="CH194" i="228" a="1"/>
  <c r="BQ194" i="228"/>
  <c r="CF194" i="228"/>
  <c r="BY194" i="228"/>
  <c r="BZ194" i="228" s="1"/>
  <c r="AU196" i="228"/>
  <c r="AU197" i="228"/>
  <c r="AS197" i="228"/>
  <c r="U194" i="228"/>
  <c r="CB193" i="228"/>
  <c r="BQ207" i="228"/>
  <c r="CH207" i="228" a="1"/>
  <c r="CF207" i="228"/>
  <c r="CB205" i="228"/>
  <c r="BQ205" i="228"/>
  <c r="BY207" i="228"/>
  <c r="BZ207" i="228" s="1"/>
  <c r="AU209" i="228"/>
  <c r="AS209" i="228"/>
  <c r="U204" i="228"/>
  <c r="BY195" i="228"/>
  <c r="BZ195" i="228" s="1"/>
  <c r="BQ209" i="228"/>
  <c r="BQ197" i="228"/>
  <c r="BQ208" i="228"/>
  <c r="BQ196" i="228"/>
  <c r="AS206" i="228"/>
  <c r="AS201" i="228"/>
  <c r="U203" i="228"/>
  <c r="AS202" i="228"/>
  <c r="BY205" i="228"/>
  <c r="BZ205" i="228" s="1"/>
  <c r="CF193" i="228"/>
  <c r="CB201" i="228"/>
  <c r="U202" i="228"/>
  <c r="CH205" i="228" a="1"/>
  <c r="CH193" i="228" a="1"/>
  <c r="CB199" i="228"/>
  <c r="CC199" i="228" s="1"/>
  <c r="CD199" i="228" s="1"/>
  <c r="AZ202" i="228"/>
  <c r="AS198" i="228"/>
  <c r="U200" i="228"/>
  <c r="CF205" i="228"/>
  <c r="CB198" i="228"/>
  <c r="BQ193" i="228"/>
  <c r="AZ201" i="228"/>
  <c r="U199" i="228"/>
  <c r="AS199" i="228"/>
  <c r="CF201" i="228"/>
  <c r="CA202" i="228"/>
  <c r="CB202" i="228"/>
  <c r="U201" i="228"/>
  <c r="BW204" i="228" l="1"/>
  <c r="AQ204" i="228"/>
  <c r="AZ204" i="228"/>
  <c r="CA204" i="228"/>
  <c r="CB204" i="228"/>
  <c r="AT204" i="228"/>
  <c r="AK204" i="228"/>
  <c r="CF204" i="228"/>
  <c r="BQ204" i="228"/>
  <c r="CH204" i="228" a="1"/>
  <c r="AK203" i="228"/>
  <c r="BY199" i="228"/>
  <c r="BZ199" i="228" s="1"/>
  <c r="BY203" i="228"/>
  <c r="BZ203" i="228" s="1"/>
  <c r="AZ200" i="228"/>
  <c r="AK199" i="228"/>
  <c r="AK200" i="228"/>
  <c r="CF199" i="228"/>
  <c r="CH199" i="228" a="1"/>
  <c r="BQ203" i="228"/>
  <c r="CF203" i="228"/>
  <c r="CA200" i="228"/>
  <c r="AQ200" i="228"/>
  <c r="CB200" i="228"/>
  <c r="AT200" i="228"/>
  <c r="AJ200" i="228"/>
  <c r="AS200" i="228"/>
  <c r="CC198" i="228"/>
  <c r="CD198" i="228" s="1"/>
  <c r="CG198" i="228" s="1"/>
  <c r="CI198" i="228" s="1"/>
  <c r="CC208" i="228"/>
  <c r="CD208" i="228" s="1"/>
  <c r="CE208" i="228" s="1"/>
  <c r="CH200" i="228" a="1"/>
  <c r="BQ200" i="228"/>
  <c r="CF200" i="228"/>
  <c r="BY200" i="228"/>
  <c r="BZ200" i="228" s="1"/>
  <c r="CC194" i="228"/>
  <c r="CD194" i="228" s="1"/>
  <c r="CE194" i="228" s="1"/>
  <c r="CC209" i="228"/>
  <c r="CD209" i="228" s="1"/>
  <c r="CG209" i="228" s="1"/>
  <c r="CI209" i="228" s="1"/>
  <c r="CC207" i="228"/>
  <c r="CD207" i="228" s="1"/>
  <c r="CG207" i="228" s="1"/>
  <c r="CI207" i="228" s="1"/>
  <c r="CE196" i="228"/>
  <c r="CC201" i="228"/>
  <c r="CD201" i="228" s="1"/>
  <c r="CC195" i="228"/>
  <c r="CD195" i="228" s="1"/>
  <c r="CG195" i="228" s="1"/>
  <c r="CI195" i="228" s="1"/>
  <c r="CC197" i="228"/>
  <c r="CD197" i="228" s="1"/>
  <c r="CG206" i="228"/>
  <c r="CI206" i="228" s="1"/>
  <c r="CG199" i="228"/>
  <c r="CI199" i="228" s="1"/>
  <c r="CE199" i="228"/>
  <c r="CC193" i="228"/>
  <c r="CD193" i="228" s="1"/>
  <c r="CC202" i="228"/>
  <c r="CD202" i="228" s="1"/>
  <c r="CC205" i="228"/>
  <c r="CD205" i="228" s="1"/>
  <c r="CC203" i="228"/>
  <c r="CD203" i="228" s="1"/>
  <c r="CC204" i="228" l="1"/>
  <c r="CD204" i="228" s="1"/>
  <c r="CC200" i="228"/>
  <c r="CD200" i="228" s="1"/>
  <c r="CG200" i="228" s="1"/>
  <c r="CI200" i="228" s="1"/>
  <c r="CE198" i="228"/>
  <c r="CG208" i="228"/>
  <c r="CI208" i="228" s="1"/>
  <c r="CE209" i="228"/>
  <c r="CG194" i="228"/>
  <c r="CI194" i="228" s="1"/>
  <c r="CE195" i="228"/>
  <c r="CE207" i="228"/>
  <c r="CG201" i="228"/>
  <c r="CI201" i="228" s="1"/>
  <c r="CE201" i="228"/>
  <c r="CG197" i="228"/>
  <c r="CI197" i="228" s="1"/>
  <c r="CE197" i="228"/>
  <c r="CE205" i="228"/>
  <c r="CG205" i="228"/>
  <c r="CI205" i="228" s="1"/>
  <c r="CG202" i="228"/>
  <c r="CI202" i="228" s="1"/>
  <c r="CE202" i="228"/>
  <c r="CE204" i="228"/>
  <c r="CG204" i="228"/>
  <c r="CI204" i="228" s="1"/>
  <c r="CE193" i="228"/>
  <c r="CG193" i="228"/>
  <c r="CI193" i="228" s="1"/>
  <c r="CG203" i="228"/>
  <c r="CI203" i="228" s="1"/>
  <c r="CE203" i="228"/>
  <c r="CE200" i="228" l="1"/>
  <c r="AL3" i="228"/>
  <c r="AL4" i="228"/>
  <c r="AL5" i="228"/>
  <c r="AL6" i="228"/>
  <c r="AL7" i="228"/>
  <c r="AL8" i="228"/>
  <c r="AL9" i="228"/>
  <c r="AL10" i="228"/>
  <c r="AL11" i="228"/>
  <c r="AL12" i="228"/>
  <c r="AL13" i="228"/>
  <c r="AL14" i="228"/>
  <c r="AL16" i="228"/>
  <c r="AL17" i="228"/>
  <c r="AL18" i="228"/>
  <c r="AL19" i="228"/>
  <c r="AL20" i="228"/>
  <c r="AL21" i="228"/>
  <c r="AL22" i="228"/>
  <c r="AL23" i="228"/>
  <c r="AL24" i="228"/>
  <c r="AL25" i="228"/>
  <c r="AL26" i="228"/>
  <c r="AL27" i="228"/>
  <c r="AL28" i="228"/>
  <c r="AL29" i="228"/>
  <c r="AL30" i="228"/>
  <c r="AL31" i="228"/>
  <c r="AL32" i="228"/>
  <c r="AL33" i="228"/>
  <c r="AL34" i="228"/>
  <c r="AL35" i="228"/>
  <c r="AL36" i="228"/>
  <c r="AL37" i="228"/>
  <c r="AL38" i="228"/>
  <c r="AL39" i="228"/>
  <c r="AL40" i="228"/>
  <c r="AL41" i="228"/>
  <c r="AL42" i="228"/>
  <c r="AL43" i="228"/>
  <c r="AL44" i="228"/>
  <c r="AL45" i="228"/>
  <c r="AL46" i="228"/>
  <c r="AL47" i="228"/>
  <c r="AL48" i="228"/>
  <c r="AL49" i="228"/>
  <c r="AL50" i="228"/>
  <c r="AL51" i="228"/>
  <c r="AL52" i="228"/>
  <c r="AL53" i="228"/>
  <c r="AL54" i="228"/>
  <c r="AL55" i="228"/>
  <c r="AL56" i="228"/>
  <c r="AL57" i="228"/>
  <c r="AL58" i="228"/>
  <c r="AL59" i="228"/>
  <c r="AL60" i="228"/>
  <c r="AL61" i="228"/>
  <c r="AL62" i="228"/>
  <c r="AL63" i="228"/>
  <c r="AL64" i="228"/>
  <c r="AL65" i="228"/>
  <c r="AL66" i="228"/>
  <c r="AL67" i="228"/>
  <c r="AL68" i="228"/>
  <c r="AL69" i="228"/>
  <c r="AL70" i="228"/>
  <c r="AL71" i="228"/>
  <c r="AL72" i="228"/>
  <c r="AL73" i="228"/>
  <c r="AL74" i="228"/>
  <c r="AL75" i="228"/>
  <c r="AL76" i="228"/>
  <c r="AL77" i="228"/>
  <c r="AL78" i="228"/>
  <c r="AL79" i="228"/>
  <c r="AL80" i="228"/>
  <c r="AL81" i="228"/>
  <c r="AL82" i="228"/>
  <c r="AL83" i="228"/>
  <c r="AL84" i="228"/>
  <c r="AL85" i="228"/>
  <c r="AL86" i="228"/>
  <c r="AL87" i="228"/>
  <c r="AL88" i="228"/>
  <c r="AL89" i="228"/>
  <c r="AL90" i="228"/>
  <c r="AL91" i="228"/>
  <c r="AL92" i="228"/>
  <c r="AL93" i="228"/>
  <c r="AL94" i="228"/>
  <c r="AL95" i="228"/>
  <c r="AL96" i="228"/>
  <c r="AL97" i="228"/>
  <c r="AL98" i="228"/>
  <c r="AL99" i="228"/>
  <c r="AL100" i="228"/>
  <c r="AL101" i="228"/>
  <c r="AL102" i="228"/>
  <c r="AL103" i="228"/>
  <c r="AL104" i="228"/>
  <c r="AL105" i="228"/>
  <c r="AL106" i="228"/>
  <c r="AL107" i="228"/>
  <c r="AL108" i="228"/>
  <c r="AL109" i="228"/>
  <c r="AL110" i="228"/>
  <c r="AL111" i="228"/>
  <c r="AL112" i="228"/>
  <c r="AL113" i="228"/>
  <c r="AL114" i="228"/>
  <c r="AL115" i="228"/>
  <c r="AL116" i="228"/>
  <c r="AL117" i="228"/>
  <c r="AL118" i="228"/>
  <c r="AL119" i="228"/>
  <c r="AL120" i="228"/>
  <c r="AL121" i="228"/>
  <c r="AL122" i="228"/>
  <c r="AL123" i="228"/>
  <c r="AL124" i="228"/>
  <c r="AL125" i="228"/>
  <c r="AL126" i="228"/>
  <c r="AL127" i="228"/>
  <c r="AL128" i="228"/>
  <c r="AL129" i="228"/>
  <c r="AL130" i="228"/>
  <c r="AL131" i="228"/>
  <c r="AL132" i="228"/>
  <c r="AL133" i="228"/>
  <c r="AL134" i="228"/>
  <c r="AL135" i="228"/>
  <c r="AL136" i="228"/>
  <c r="AL137" i="228"/>
  <c r="AL138" i="228"/>
  <c r="AL139" i="228"/>
  <c r="AL140" i="228"/>
  <c r="AL141" i="228"/>
  <c r="AL142" i="228"/>
  <c r="AL143" i="228"/>
  <c r="AL144" i="228"/>
  <c r="AL145" i="228"/>
  <c r="AL146" i="228"/>
  <c r="AL147" i="228"/>
  <c r="AL148" i="228"/>
  <c r="AL149" i="228"/>
  <c r="AL150" i="228"/>
  <c r="AL151" i="228"/>
  <c r="AL152" i="228"/>
  <c r="AL153" i="228"/>
  <c r="AL154" i="228"/>
  <c r="AL155" i="228"/>
  <c r="AL156" i="228"/>
  <c r="AL157" i="228"/>
  <c r="AL158" i="228"/>
  <c r="AL159" i="228"/>
  <c r="AL160" i="228"/>
  <c r="AL161" i="228"/>
  <c r="AL162" i="228"/>
  <c r="AL163" i="228"/>
  <c r="AL164" i="228"/>
  <c r="AL165" i="228"/>
  <c r="AL166" i="228"/>
  <c r="AL167" i="228"/>
  <c r="AL168" i="228"/>
  <c r="AL169" i="228"/>
  <c r="AL170" i="228"/>
  <c r="AL171" i="228"/>
  <c r="AL172" i="228"/>
  <c r="AL173" i="228"/>
  <c r="AL174" i="228"/>
  <c r="AL175" i="228"/>
  <c r="AL176" i="228"/>
  <c r="AL177" i="228"/>
  <c r="AL178" i="228"/>
  <c r="AL179" i="228"/>
  <c r="AL180" i="228"/>
  <c r="AL181" i="228"/>
  <c r="AL182" i="228"/>
  <c r="AL183" i="228"/>
  <c r="AL184" i="228"/>
  <c r="AL185" i="228"/>
  <c r="AL186" i="228"/>
  <c r="AL187" i="228"/>
  <c r="AL188" i="228"/>
  <c r="AL189" i="228"/>
  <c r="AL190" i="228"/>
  <c r="AL191" i="228"/>
  <c r="AL192" i="228"/>
  <c r="D889" i="242"/>
  <c r="D885" i="242"/>
  <c r="C721" i="242" l="1"/>
  <c r="C595" i="242"/>
  <c r="C567" i="242"/>
  <c r="C553" i="242"/>
  <c r="C483" i="242" l="1"/>
  <c r="C427" i="242"/>
  <c r="C371" i="242"/>
  <c r="C329" i="242" l="1"/>
  <c r="C273" i="242"/>
  <c r="C161" i="242"/>
  <c r="C119" i="242"/>
  <c r="E25" i="242"/>
  <c r="H67" i="241" l="1"/>
  <c r="H66" i="241"/>
  <c r="H65" i="241"/>
  <c r="H64" i="241"/>
  <c r="H63" i="241"/>
  <c r="H62" i="241"/>
  <c r="H61" i="241"/>
  <c r="C60" i="241"/>
  <c r="H60" i="241" s="1"/>
  <c r="H59" i="241"/>
  <c r="H58" i="241"/>
  <c r="H57" i="241"/>
  <c r="H56" i="241"/>
  <c r="H55" i="241"/>
  <c r="H54" i="241"/>
  <c r="H53" i="241"/>
  <c r="H52" i="241"/>
  <c r="H51" i="241"/>
  <c r="H50" i="241"/>
  <c r="H49" i="241"/>
  <c r="H48" i="241"/>
  <c r="H47" i="241"/>
  <c r="H46" i="241"/>
  <c r="H45" i="241"/>
  <c r="C44" i="241"/>
  <c r="H44" i="241" s="1"/>
  <c r="H43" i="241"/>
  <c r="H42" i="241"/>
  <c r="H41" i="241"/>
  <c r="H40" i="241"/>
  <c r="H39" i="241"/>
  <c r="H38" i="241"/>
  <c r="H37" i="241"/>
  <c r="H36" i="241"/>
  <c r="H35" i="241"/>
  <c r="H34" i="241"/>
  <c r="H33" i="241"/>
  <c r="H32" i="241"/>
  <c r="H31" i="241"/>
  <c r="H30" i="241"/>
  <c r="H29" i="241"/>
  <c r="C28" i="241"/>
  <c r="H28" i="241" s="1"/>
  <c r="H27" i="241"/>
  <c r="H26" i="241"/>
  <c r="H25" i="241"/>
  <c r="H24" i="241"/>
  <c r="H23" i="241"/>
  <c r="H22" i="241"/>
  <c r="H21" i="241"/>
  <c r="H20" i="241"/>
  <c r="P2" i="243"/>
  <c r="Q2" i="243" s="1"/>
  <c r="P3" i="243"/>
  <c r="Q3" i="243" s="1"/>
  <c r="P4" i="243"/>
  <c r="Q4" i="243" s="1"/>
  <c r="P5" i="243"/>
  <c r="Q5" i="243" s="1"/>
  <c r="P6" i="243"/>
  <c r="Q6" i="243" s="1"/>
  <c r="P7" i="243"/>
  <c r="Q7" i="243" s="1"/>
  <c r="P8" i="243"/>
  <c r="Q8" i="243" s="1"/>
  <c r="P9" i="243"/>
  <c r="Q9" i="243" s="1"/>
  <c r="P10" i="243"/>
  <c r="Q10" i="243" s="1"/>
  <c r="P11" i="243"/>
  <c r="Q11" i="243" s="1"/>
  <c r="C11" i="243"/>
  <c r="D11" i="243"/>
  <c r="D3" i="243"/>
  <c r="D4" i="243"/>
  <c r="D5" i="243"/>
  <c r="D6" i="243"/>
  <c r="D7" i="243"/>
  <c r="D8" i="243"/>
  <c r="D9" i="243"/>
  <c r="D10" i="243"/>
  <c r="D2" i="243"/>
  <c r="C3" i="243"/>
  <c r="C4" i="243"/>
  <c r="C5" i="243"/>
  <c r="C6" i="243"/>
  <c r="C7" i="243"/>
  <c r="C8" i="243"/>
  <c r="C9" i="243"/>
  <c r="C10" i="243"/>
  <c r="C2" i="243"/>
  <c r="C3" i="228"/>
  <c r="D3" i="228"/>
  <c r="I3" i="228"/>
  <c r="BV3" i="228" s="1"/>
  <c r="M3" i="228"/>
  <c r="X3" i="228"/>
  <c r="AA3" i="228" s="1"/>
  <c r="Y3" i="228"/>
  <c r="AI3" i="228"/>
  <c r="AR3" i="228"/>
  <c r="AU3" i="228" s="1"/>
  <c r="AY3" i="228"/>
  <c r="BB3" i="228"/>
  <c r="BH3" i="228"/>
  <c r="BI3" i="228"/>
  <c r="BP3" i="228"/>
  <c r="BR3" i="228"/>
  <c r="BT3" i="228"/>
  <c r="BU3" i="228" s="1"/>
  <c r="C4" i="228"/>
  <c r="D4" i="228"/>
  <c r="I4" i="228"/>
  <c r="M4" i="228"/>
  <c r="X4" i="228"/>
  <c r="AA4" i="228" s="1"/>
  <c r="Y4" i="228"/>
  <c r="AI4" i="228"/>
  <c r="AR4" i="228"/>
  <c r="AU4" i="228" s="1"/>
  <c r="AY4" i="228"/>
  <c r="BB4" i="228"/>
  <c r="BH4" i="228"/>
  <c r="BI4" i="228"/>
  <c r="BP4" i="228"/>
  <c r="BR4" i="228"/>
  <c r="BT4" i="228"/>
  <c r="BU4" i="228" s="1"/>
  <c r="C5" i="228"/>
  <c r="D5" i="228"/>
  <c r="I5" i="228"/>
  <c r="M5" i="228"/>
  <c r="Z5" i="228"/>
  <c r="AA5" i="228"/>
  <c r="AI5" i="228"/>
  <c r="CA5" i="228" s="1"/>
  <c r="AR5" i="228"/>
  <c r="AU5" i="228" s="1"/>
  <c r="AY5" i="228"/>
  <c r="BB5" i="228"/>
  <c r="BH5" i="228"/>
  <c r="BI5" i="228"/>
  <c r="BP5" i="228"/>
  <c r="BR5" i="228"/>
  <c r="BT5" i="228"/>
  <c r="BU5" i="228" s="1"/>
  <c r="C6" i="228"/>
  <c r="D6" i="228"/>
  <c r="I6" i="228"/>
  <c r="M6" i="228"/>
  <c r="Z6" i="228"/>
  <c r="AA6" i="228"/>
  <c r="AI6" i="228"/>
  <c r="AR6" i="228"/>
  <c r="AU6" i="228" s="1"/>
  <c r="AY6" i="228"/>
  <c r="BB6" i="228"/>
  <c r="BH6" i="228"/>
  <c r="BI6" i="228"/>
  <c r="BP6" i="228"/>
  <c r="BR6" i="228"/>
  <c r="BT6" i="228"/>
  <c r="BU6" i="228" s="1"/>
  <c r="C7" i="228"/>
  <c r="D7" i="228"/>
  <c r="I7" i="228"/>
  <c r="BV7" i="228" s="1"/>
  <c r="M7" i="228"/>
  <c r="Z7" i="228"/>
  <c r="AA7" i="228"/>
  <c r="AI7" i="228"/>
  <c r="CB7" i="228" s="1"/>
  <c r="AR7" i="228"/>
  <c r="AY7" i="228"/>
  <c r="BB7" i="228"/>
  <c r="BH7" i="228"/>
  <c r="BI7" i="228"/>
  <c r="BP7" i="228"/>
  <c r="BR7" i="228"/>
  <c r="BT7" i="228"/>
  <c r="BU7" i="228" s="1"/>
  <c r="C8" i="228"/>
  <c r="D8" i="228"/>
  <c r="I8" i="228"/>
  <c r="BV8" i="228" s="1"/>
  <c r="M8" i="228"/>
  <c r="Z8" i="228"/>
  <c r="AA8" i="228"/>
  <c r="AI8" i="228"/>
  <c r="AZ8" i="228" s="1"/>
  <c r="AR8" i="228"/>
  <c r="AU8" i="228" s="1"/>
  <c r="AY8" i="228"/>
  <c r="BB8" i="228"/>
  <c r="BH8" i="228"/>
  <c r="BI8" i="228"/>
  <c r="BP8" i="228"/>
  <c r="BR8" i="228"/>
  <c r="BT8" i="228"/>
  <c r="BU8" i="228" s="1"/>
  <c r="C9" i="228"/>
  <c r="D9" i="228"/>
  <c r="I9" i="228"/>
  <c r="BV9" i="228" s="1"/>
  <c r="M9" i="228"/>
  <c r="Z9" i="228"/>
  <c r="AA9" i="228"/>
  <c r="AI9" i="228"/>
  <c r="CB9" i="228" s="1"/>
  <c r="AR9" i="228"/>
  <c r="AU9" i="228" s="1"/>
  <c r="AY9" i="228"/>
  <c r="BB9" i="228"/>
  <c r="BH9" i="228"/>
  <c r="BI9" i="228"/>
  <c r="BP9" i="228"/>
  <c r="BR9" i="228"/>
  <c r="BT9" i="228"/>
  <c r="BU9" i="228" s="1"/>
  <c r="C10" i="228"/>
  <c r="D10" i="228"/>
  <c r="I10" i="228"/>
  <c r="M10" i="228"/>
  <c r="Z10" i="228"/>
  <c r="AA10" i="228"/>
  <c r="AI10" i="228"/>
  <c r="CB10" i="228" s="1"/>
  <c r="AR10" i="228"/>
  <c r="AU10" i="228" s="1"/>
  <c r="AY10" i="228"/>
  <c r="BB10" i="228"/>
  <c r="BG10" i="228"/>
  <c r="BH10" i="228"/>
  <c r="BP10" i="228"/>
  <c r="BR10" i="228"/>
  <c r="BT10" i="228"/>
  <c r="BU10" i="228" s="1"/>
  <c r="C11" i="228"/>
  <c r="D11" i="228"/>
  <c r="I11" i="228"/>
  <c r="BV11" i="228" s="1"/>
  <c r="M11" i="228"/>
  <c r="Z11" i="228"/>
  <c r="AA11" i="228"/>
  <c r="AI11" i="228"/>
  <c r="CA11" i="228" s="1"/>
  <c r="AR11" i="228"/>
  <c r="AU11" i="228" s="1"/>
  <c r="AY11" i="228"/>
  <c r="BB11" i="228"/>
  <c r="BF11" i="228"/>
  <c r="BG11" i="228"/>
  <c r="BH11" i="228"/>
  <c r="BI11" i="228"/>
  <c r="BP11" i="228"/>
  <c r="BR11" i="228"/>
  <c r="BT11" i="228"/>
  <c r="BU11" i="228" s="1"/>
  <c r="C12" i="228"/>
  <c r="D12" i="228"/>
  <c r="I12" i="228"/>
  <c r="BV12" i="228" s="1"/>
  <c r="M12" i="228"/>
  <c r="Z12" i="228"/>
  <c r="AA12" i="228"/>
  <c r="AI12" i="228"/>
  <c r="CB12" i="228" s="1"/>
  <c r="AR12" i="228"/>
  <c r="AU12" i="228" s="1"/>
  <c r="AY12" i="228"/>
  <c r="BB12" i="228"/>
  <c r="BF12" i="228"/>
  <c r="BG12" i="228"/>
  <c r="BH12" i="228"/>
  <c r="BI12" i="228"/>
  <c r="BP12" i="228"/>
  <c r="BR12" i="228"/>
  <c r="BT12" i="228"/>
  <c r="BU12" i="228" s="1"/>
  <c r="C13" i="228"/>
  <c r="D13" i="228"/>
  <c r="I13" i="228"/>
  <c r="M13" i="228"/>
  <c r="X13" i="228"/>
  <c r="Y13" i="228"/>
  <c r="AI13" i="228"/>
  <c r="AZ13" i="228" s="1"/>
  <c r="AR13" i="228"/>
  <c r="AU13" i="228" s="1"/>
  <c r="AY13" i="228"/>
  <c r="BB13" i="228"/>
  <c r="BF13" i="228"/>
  <c r="BG13" i="228"/>
  <c r="BI13" i="228"/>
  <c r="BP13" i="228"/>
  <c r="BR13" i="228"/>
  <c r="BT13" i="228"/>
  <c r="BU13" i="228" s="1"/>
  <c r="C14" i="228"/>
  <c r="D14" i="228"/>
  <c r="I14" i="228"/>
  <c r="BV14" i="228" s="1"/>
  <c r="M14" i="228"/>
  <c r="X14" i="228"/>
  <c r="AA14" i="228" s="1"/>
  <c r="Y14" i="228"/>
  <c r="AI14" i="228"/>
  <c r="AZ14" i="228" s="1"/>
  <c r="AR14" i="228"/>
  <c r="AU14" i="228" s="1"/>
  <c r="AY14" i="228"/>
  <c r="BB14" i="228"/>
  <c r="BG14" i="228"/>
  <c r="BX14" i="228" s="1"/>
  <c r="BP14" i="228"/>
  <c r="BR14" i="228"/>
  <c r="BT14" i="228"/>
  <c r="BU14" i="228" s="1"/>
  <c r="C15" i="228"/>
  <c r="D15" i="228"/>
  <c r="I15" i="228"/>
  <c r="M15" i="228"/>
  <c r="X15" i="228"/>
  <c r="AA15" i="228" s="1"/>
  <c r="Y15" i="228"/>
  <c r="AI15" i="228"/>
  <c r="CA15" i="228" s="1"/>
  <c r="AR15" i="228"/>
  <c r="AU15" i="228" s="1"/>
  <c r="AY15" i="228"/>
  <c r="BB15" i="228"/>
  <c r="BO15" i="228"/>
  <c r="BP15" i="228"/>
  <c r="BR15" i="228"/>
  <c r="BT15" i="228"/>
  <c r="BU15" i="228" s="1"/>
  <c r="BX15" i="228"/>
  <c r="C16" i="228"/>
  <c r="D16" i="228"/>
  <c r="I16" i="228"/>
  <c r="M16" i="228"/>
  <c r="X16" i="228"/>
  <c r="Y16" i="228"/>
  <c r="AI16" i="228"/>
  <c r="AR16" i="228"/>
  <c r="AU16" i="228" s="1"/>
  <c r="AY16" i="228"/>
  <c r="BB16" i="228"/>
  <c r="BO16" i="228"/>
  <c r="BP16" i="228"/>
  <c r="BR16" i="228"/>
  <c r="CH16" i="228" s="1" a="1"/>
  <c r="BT16" i="228"/>
  <c r="BU16" i="228" s="1"/>
  <c r="BX16" i="228"/>
  <c r="C17" i="228"/>
  <c r="D17" i="228"/>
  <c r="I17" i="228"/>
  <c r="BV17" i="228" s="1"/>
  <c r="M17" i="228"/>
  <c r="Z17" i="228"/>
  <c r="AA17" i="228"/>
  <c r="AI17" i="228"/>
  <c r="AR17" i="228"/>
  <c r="AU17" i="228" s="1"/>
  <c r="AY17" i="228"/>
  <c r="BB17" i="228"/>
  <c r="BF17" i="228"/>
  <c r="BG17" i="228"/>
  <c r="BH17" i="228"/>
  <c r="BI17" i="228"/>
  <c r="BP17" i="228"/>
  <c r="BR17" i="228"/>
  <c r="BT17" i="228"/>
  <c r="BU17" i="228" s="1"/>
  <c r="C18" i="228"/>
  <c r="D18" i="228"/>
  <c r="I18" i="228"/>
  <c r="BV18" i="228" s="1"/>
  <c r="M18" i="228"/>
  <c r="Z18" i="228"/>
  <c r="AA18" i="228"/>
  <c r="AI18" i="228"/>
  <c r="AR18" i="228"/>
  <c r="AU18" i="228" s="1"/>
  <c r="AY18" i="228"/>
  <c r="BB18" i="228"/>
  <c r="BF18" i="228"/>
  <c r="BG18" i="228"/>
  <c r="BI18" i="228"/>
  <c r="BP18" i="228"/>
  <c r="BR18" i="228"/>
  <c r="BT18" i="228"/>
  <c r="BU18" i="228" s="1"/>
  <c r="C19" i="228"/>
  <c r="D19" i="228"/>
  <c r="I19" i="228"/>
  <c r="M19" i="228"/>
  <c r="Z19" i="228"/>
  <c r="AA19" i="228"/>
  <c r="AI19" i="228"/>
  <c r="CB19" i="228" s="1"/>
  <c r="AR19" i="228"/>
  <c r="AU19" i="228" s="1"/>
  <c r="AY19" i="228"/>
  <c r="BB19" i="228"/>
  <c r="BF19" i="228"/>
  <c r="BG19" i="228"/>
  <c r="BH19" i="228"/>
  <c r="BI19" i="228"/>
  <c r="BP19" i="228"/>
  <c r="BR19" i="228"/>
  <c r="BT19" i="228"/>
  <c r="BU19" i="228" s="1"/>
  <c r="C20" i="228"/>
  <c r="D20" i="228"/>
  <c r="I20" i="228"/>
  <c r="BV20" i="228" s="1"/>
  <c r="M20" i="228"/>
  <c r="Z20" i="228"/>
  <c r="AA20" i="228"/>
  <c r="AI20" i="228"/>
  <c r="AR20" i="228"/>
  <c r="AU20" i="228" s="1"/>
  <c r="AY20" i="228"/>
  <c r="BB20" i="228"/>
  <c r="BF20" i="228"/>
  <c r="BG20" i="228"/>
  <c r="BH20" i="228"/>
  <c r="BI20" i="228"/>
  <c r="BP20" i="228"/>
  <c r="BR20" i="228"/>
  <c r="BT20" i="228"/>
  <c r="BU20" i="228" s="1"/>
  <c r="C21" i="228"/>
  <c r="D21" i="228"/>
  <c r="I21" i="228"/>
  <c r="BV21" i="228" s="1"/>
  <c r="M21" i="228"/>
  <c r="Z21" i="228"/>
  <c r="AA21" i="228"/>
  <c r="AI21" i="228"/>
  <c r="AR21" i="228"/>
  <c r="AU21" i="228" s="1"/>
  <c r="AY21" i="228"/>
  <c r="BB21" i="228"/>
  <c r="BF21" i="228"/>
  <c r="BG21" i="228"/>
  <c r="BH21" i="228"/>
  <c r="BI21" i="228"/>
  <c r="BP21" i="228"/>
  <c r="BR21" i="228"/>
  <c r="BT21" i="228"/>
  <c r="BU21" i="228" s="1"/>
  <c r="C22" i="228"/>
  <c r="D22" i="228"/>
  <c r="I22" i="228"/>
  <c r="M22" i="228"/>
  <c r="Z22" i="228"/>
  <c r="AA22" i="228"/>
  <c r="AI22" i="228"/>
  <c r="CB22" i="228" s="1"/>
  <c r="AR22" i="228"/>
  <c r="AU22" i="228" s="1"/>
  <c r="AY22" i="228"/>
  <c r="BB22" i="228"/>
  <c r="BF22" i="228"/>
  <c r="BG22" i="228"/>
  <c r="BH22" i="228"/>
  <c r="BI22" i="228"/>
  <c r="BP22" i="228"/>
  <c r="BR22" i="228"/>
  <c r="BT22" i="228"/>
  <c r="BU22" i="228" s="1"/>
  <c r="C23" i="228"/>
  <c r="D23" i="228"/>
  <c r="I23" i="228"/>
  <c r="M23" i="228"/>
  <c r="Z23" i="228"/>
  <c r="AA23" i="228"/>
  <c r="AI23" i="228"/>
  <c r="CA23" i="228" s="1"/>
  <c r="AR23" i="228"/>
  <c r="AU23" i="228" s="1"/>
  <c r="AY23" i="228"/>
  <c r="BB23" i="228"/>
  <c r="BF23" i="228"/>
  <c r="BG23" i="228"/>
  <c r="BI23" i="228"/>
  <c r="BP23" i="228"/>
  <c r="BR23" i="228"/>
  <c r="BT23" i="228"/>
  <c r="BU23" i="228" s="1"/>
  <c r="C24" i="228"/>
  <c r="D24" i="228"/>
  <c r="I24" i="228"/>
  <c r="BV24" i="228" s="1"/>
  <c r="M24" i="228"/>
  <c r="Z24" i="228"/>
  <c r="AA24" i="228"/>
  <c r="AI24" i="228"/>
  <c r="AR24" i="228"/>
  <c r="AU24" i="228" s="1"/>
  <c r="AY24" i="228"/>
  <c r="BB24" i="228"/>
  <c r="BF24" i="228"/>
  <c r="BG24" i="228"/>
  <c r="BI24" i="228"/>
  <c r="BP24" i="228"/>
  <c r="BR24" i="228"/>
  <c r="BT24" i="228"/>
  <c r="BU24" i="228" s="1"/>
  <c r="C25" i="228"/>
  <c r="D25" i="228"/>
  <c r="I25" i="228"/>
  <c r="BV25" i="228" s="1"/>
  <c r="M25" i="228"/>
  <c r="Z25" i="228"/>
  <c r="AA25" i="228"/>
  <c r="AI25" i="228"/>
  <c r="AR25" i="228"/>
  <c r="AU25" i="228" s="1"/>
  <c r="AY25" i="228"/>
  <c r="BB25" i="228"/>
  <c r="BF25" i="228"/>
  <c r="BG25" i="228"/>
  <c r="BI25" i="228"/>
  <c r="BP25" i="228"/>
  <c r="BR25" i="228"/>
  <c r="BT25" i="228"/>
  <c r="BU25" i="228" s="1"/>
  <c r="C26" i="228"/>
  <c r="D26" i="228"/>
  <c r="I26" i="228"/>
  <c r="BV26" i="228" s="1"/>
  <c r="M26" i="228"/>
  <c r="Z26" i="228"/>
  <c r="AA26" i="228"/>
  <c r="AI26" i="228"/>
  <c r="AZ26" i="228" s="1"/>
  <c r="AR26" i="228"/>
  <c r="AU26" i="228" s="1"/>
  <c r="AY26" i="228"/>
  <c r="BB26" i="228"/>
  <c r="BF26" i="228"/>
  <c r="BG26" i="228"/>
  <c r="BH26" i="228"/>
  <c r="BI26" i="228"/>
  <c r="BP26" i="228"/>
  <c r="BR26" i="228"/>
  <c r="BT26" i="228"/>
  <c r="BU26" i="228" s="1"/>
  <c r="C27" i="228"/>
  <c r="D27" i="228"/>
  <c r="I27" i="228"/>
  <c r="M27" i="228"/>
  <c r="Z27" i="228"/>
  <c r="AA27" i="228"/>
  <c r="AI27" i="228"/>
  <c r="AZ27" i="228" s="1"/>
  <c r="AR27" i="228"/>
  <c r="AU27" i="228" s="1"/>
  <c r="AY27" i="228"/>
  <c r="BB27" i="228"/>
  <c r="BF27" i="228"/>
  <c r="BG27" i="228"/>
  <c r="BI27" i="228"/>
  <c r="BP27" i="228"/>
  <c r="BR27" i="228"/>
  <c r="BT27" i="228"/>
  <c r="BU27" i="228" s="1"/>
  <c r="C28" i="228"/>
  <c r="D28" i="228"/>
  <c r="I28" i="228"/>
  <c r="M28" i="228"/>
  <c r="Z28" i="228"/>
  <c r="AA28" i="228"/>
  <c r="AI28" i="228"/>
  <c r="CB28" i="228" s="1"/>
  <c r="AR28" i="228"/>
  <c r="AU28" i="228" s="1"/>
  <c r="AY28" i="228"/>
  <c r="BB28" i="228"/>
  <c r="BH28" i="228"/>
  <c r="BI28" i="228"/>
  <c r="BP28" i="228"/>
  <c r="BR28" i="228"/>
  <c r="BT28" i="228"/>
  <c r="BU28" i="228" s="1"/>
  <c r="C29" i="228"/>
  <c r="D29" i="228"/>
  <c r="I29" i="228"/>
  <c r="M29" i="228"/>
  <c r="Z29" i="228"/>
  <c r="AA29" i="228"/>
  <c r="AI29" i="228"/>
  <c r="CA29" i="228" s="1"/>
  <c r="AR29" i="228"/>
  <c r="AU29" i="228" s="1"/>
  <c r="AY29" i="228"/>
  <c r="BB29" i="228"/>
  <c r="BF29" i="228"/>
  <c r="BG29" i="228"/>
  <c r="BI29" i="228"/>
  <c r="BP29" i="228"/>
  <c r="BR29" i="228"/>
  <c r="BT29" i="228"/>
  <c r="BU29" i="228" s="1"/>
  <c r="C30" i="228"/>
  <c r="D30" i="228"/>
  <c r="I30" i="228"/>
  <c r="BV30" i="228" s="1"/>
  <c r="M30" i="228"/>
  <c r="Z30" i="228"/>
  <c r="AA30" i="228"/>
  <c r="AI30" i="228"/>
  <c r="AZ30" i="228" s="1"/>
  <c r="AR30" i="228"/>
  <c r="AU30" i="228" s="1"/>
  <c r="AY30" i="228"/>
  <c r="BB30" i="228"/>
  <c r="BF30" i="228"/>
  <c r="BG30" i="228"/>
  <c r="BI30" i="228"/>
  <c r="BP30" i="228"/>
  <c r="BR30" i="228"/>
  <c r="BT30" i="228"/>
  <c r="BU30" i="228" s="1"/>
  <c r="C31" i="228"/>
  <c r="D31" i="228"/>
  <c r="I31" i="228"/>
  <c r="BV31" i="228" s="1"/>
  <c r="M31" i="228"/>
  <c r="Z31" i="228"/>
  <c r="AA31" i="228"/>
  <c r="AI31" i="228"/>
  <c r="AR31" i="228"/>
  <c r="AU31" i="228" s="1"/>
  <c r="AY31" i="228"/>
  <c r="BB31" i="228"/>
  <c r="BF31" i="228"/>
  <c r="BH31" i="228"/>
  <c r="BI31" i="228"/>
  <c r="BP31" i="228"/>
  <c r="BR31" i="228"/>
  <c r="BT31" i="228"/>
  <c r="BU31" i="228" s="1"/>
  <c r="C32" i="228"/>
  <c r="D32" i="228"/>
  <c r="I32" i="228"/>
  <c r="BV32" i="228" s="1"/>
  <c r="M32" i="228"/>
  <c r="Z32" i="228"/>
  <c r="AA32" i="228"/>
  <c r="AI32" i="228"/>
  <c r="AR32" i="228"/>
  <c r="AU32" i="228" s="1"/>
  <c r="AY32" i="228"/>
  <c r="BB32" i="228"/>
  <c r="BF32" i="228"/>
  <c r="BG32" i="228"/>
  <c r="BI32" i="228"/>
  <c r="BP32" i="228"/>
  <c r="BR32" i="228"/>
  <c r="BT32" i="228"/>
  <c r="BU32" i="228" s="1"/>
  <c r="C33" i="228"/>
  <c r="D33" i="228"/>
  <c r="I33" i="228"/>
  <c r="BV33" i="228" s="1"/>
  <c r="M33" i="228"/>
  <c r="Z33" i="228"/>
  <c r="AA33" i="228"/>
  <c r="AI33" i="228"/>
  <c r="AR33" i="228"/>
  <c r="AU33" i="228" s="1"/>
  <c r="AY33" i="228"/>
  <c r="BB33" i="228"/>
  <c r="BF33" i="228"/>
  <c r="BG33" i="228"/>
  <c r="BH33" i="228"/>
  <c r="BI33" i="228"/>
  <c r="BP33" i="228"/>
  <c r="BR33" i="228"/>
  <c r="BT33" i="228"/>
  <c r="BU33" i="228" s="1"/>
  <c r="C34" i="228"/>
  <c r="D34" i="228"/>
  <c r="I34" i="228"/>
  <c r="M34" i="228"/>
  <c r="Z34" i="228"/>
  <c r="AA34" i="228"/>
  <c r="AI34" i="228"/>
  <c r="AR34" i="228"/>
  <c r="AU34" i="228" s="1"/>
  <c r="AY34" i="228"/>
  <c r="BB34" i="228"/>
  <c r="BF34" i="228"/>
  <c r="BG34" i="228"/>
  <c r="BH34" i="228"/>
  <c r="BI34" i="228"/>
  <c r="BP34" i="228"/>
  <c r="BR34" i="228"/>
  <c r="BT34" i="228"/>
  <c r="BU34" i="228" s="1"/>
  <c r="C35" i="228"/>
  <c r="D35" i="228"/>
  <c r="I35" i="228"/>
  <c r="BV35" i="228" s="1"/>
  <c r="M35" i="228"/>
  <c r="Z35" i="228"/>
  <c r="AA35" i="228"/>
  <c r="AI35" i="228"/>
  <c r="CA35" i="228" s="1"/>
  <c r="AR35" i="228"/>
  <c r="AU35" i="228" s="1"/>
  <c r="AY35" i="228"/>
  <c r="BB35" i="228"/>
  <c r="BF35" i="228"/>
  <c r="BG35" i="228"/>
  <c r="BI35" i="228"/>
  <c r="BP35" i="228"/>
  <c r="BR35" i="228"/>
  <c r="BT35" i="228"/>
  <c r="BU35" i="228" s="1"/>
  <c r="C36" i="228"/>
  <c r="D36" i="228"/>
  <c r="I36" i="228"/>
  <c r="M36" i="228"/>
  <c r="Z36" i="228"/>
  <c r="AA36" i="228"/>
  <c r="AI36" i="228"/>
  <c r="AR36" i="228"/>
  <c r="AU36" i="228" s="1"/>
  <c r="AY36" i="228"/>
  <c r="BB36" i="228"/>
  <c r="BF36" i="228"/>
  <c r="BG36" i="228"/>
  <c r="BH36" i="228"/>
  <c r="BI36" i="228"/>
  <c r="BP36" i="228"/>
  <c r="BR36" i="228"/>
  <c r="BT36" i="228"/>
  <c r="BU36" i="228" s="1"/>
  <c r="C37" i="228"/>
  <c r="D37" i="228"/>
  <c r="I37" i="228"/>
  <c r="BV37" i="228" s="1"/>
  <c r="M37" i="228"/>
  <c r="Z37" i="228"/>
  <c r="AA37" i="228"/>
  <c r="AI37" i="228"/>
  <c r="AR37" i="228"/>
  <c r="AU37" i="228" s="1"/>
  <c r="AY37" i="228"/>
  <c r="BB37" i="228"/>
  <c r="BF37" i="228"/>
  <c r="BI37" i="228"/>
  <c r="BP37" i="228"/>
  <c r="BR37" i="228"/>
  <c r="BT37" i="228"/>
  <c r="BU37" i="228" s="1"/>
  <c r="C38" i="228"/>
  <c r="D38" i="228"/>
  <c r="I38" i="228"/>
  <c r="BV38" i="228" s="1"/>
  <c r="M38" i="228"/>
  <c r="Z38" i="228"/>
  <c r="AA38" i="228"/>
  <c r="AI38" i="228"/>
  <c r="AR38" i="228"/>
  <c r="AY38" i="228"/>
  <c r="BB38" i="228"/>
  <c r="BF38" i="228"/>
  <c r="BG38" i="228"/>
  <c r="BI38" i="228"/>
  <c r="BP38" i="228"/>
  <c r="BR38" i="228"/>
  <c r="BT38" i="228"/>
  <c r="BU38" i="228" s="1"/>
  <c r="C39" i="228"/>
  <c r="D39" i="228"/>
  <c r="I39" i="228"/>
  <c r="M39" i="228"/>
  <c r="Z39" i="228"/>
  <c r="AA39" i="228"/>
  <c r="AI39" i="228"/>
  <c r="CA39" i="228" s="1"/>
  <c r="AR39" i="228"/>
  <c r="AU39" i="228" s="1"/>
  <c r="AY39" i="228"/>
  <c r="BB39" i="228"/>
  <c r="BF39" i="228"/>
  <c r="BG39" i="228"/>
  <c r="BH39" i="228"/>
  <c r="BI39" i="228"/>
  <c r="BP39" i="228"/>
  <c r="BR39" i="228"/>
  <c r="BT39" i="228"/>
  <c r="BU39" i="228" s="1"/>
  <c r="C40" i="228"/>
  <c r="D40" i="228"/>
  <c r="I40" i="228"/>
  <c r="M40" i="228"/>
  <c r="Z40" i="228"/>
  <c r="AA40" i="228"/>
  <c r="AI40" i="228"/>
  <c r="AR40" i="228"/>
  <c r="AU40" i="228" s="1"/>
  <c r="AY40" i="228"/>
  <c r="BB40" i="228"/>
  <c r="BF40" i="228"/>
  <c r="BG40" i="228"/>
  <c r="BI40" i="228"/>
  <c r="BP40" i="228"/>
  <c r="BR40" i="228"/>
  <c r="BT40" i="228"/>
  <c r="BU40" i="228" s="1"/>
  <c r="C41" i="228"/>
  <c r="D41" i="228"/>
  <c r="I41" i="228"/>
  <c r="BV41" i="228" s="1"/>
  <c r="M41" i="228"/>
  <c r="Z41" i="228"/>
  <c r="AA41" i="228"/>
  <c r="AI41" i="228"/>
  <c r="AZ41" i="228" s="1"/>
  <c r="AR41" i="228"/>
  <c r="AU41" i="228" s="1"/>
  <c r="AY41" i="228"/>
  <c r="BB41" i="228"/>
  <c r="BF41" i="228"/>
  <c r="BG41" i="228"/>
  <c r="BI41" i="228"/>
  <c r="BP41" i="228"/>
  <c r="BR41" i="228"/>
  <c r="BT41" i="228"/>
  <c r="BU41" i="228" s="1"/>
  <c r="C42" i="228"/>
  <c r="D42" i="228"/>
  <c r="I42" i="228"/>
  <c r="M42" i="228"/>
  <c r="X42" i="228"/>
  <c r="Y42" i="228"/>
  <c r="AI42" i="228"/>
  <c r="AZ42" i="228" s="1"/>
  <c r="AR42" i="228"/>
  <c r="AU42" i="228" s="1"/>
  <c r="AY42" i="228"/>
  <c r="BB42" i="228"/>
  <c r="BF42" i="228"/>
  <c r="BG42" i="228"/>
  <c r="BI42" i="228"/>
  <c r="BL42" i="228"/>
  <c r="BM42" i="228"/>
  <c r="BN42" i="228"/>
  <c r="BT42" i="228"/>
  <c r="BU42" i="228" s="1"/>
  <c r="C43" i="228"/>
  <c r="D43" i="228"/>
  <c r="I43" i="228"/>
  <c r="M43" i="228"/>
  <c r="X43" i="228"/>
  <c r="AA43" i="228" s="1"/>
  <c r="Y43" i="228"/>
  <c r="AI43" i="228"/>
  <c r="AR43" i="228"/>
  <c r="AU43" i="228" s="1"/>
  <c r="AY43" i="228"/>
  <c r="BB43" i="228"/>
  <c r="BH43" i="228"/>
  <c r="BI43" i="228"/>
  <c r="BL43" i="228"/>
  <c r="BM43" i="228"/>
  <c r="BN43" i="228"/>
  <c r="BT43" i="228"/>
  <c r="BU43" i="228" s="1"/>
  <c r="C44" i="228"/>
  <c r="D44" i="228"/>
  <c r="I44" i="228"/>
  <c r="BV44" i="228" s="1"/>
  <c r="M44" i="228"/>
  <c r="Z44" i="228"/>
  <c r="AA44" i="228"/>
  <c r="AI44" i="228"/>
  <c r="AR44" i="228"/>
  <c r="AU44" i="228" s="1"/>
  <c r="AY44" i="228"/>
  <c r="BB44" i="228"/>
  <c r="BF44" i="228"/>
  <c r="BH44" i="228"/>
  <c r="BI44" i="228"/>
  <c r="BP44" i="228"/>
  <c r="BR44" i="228"/>
  <c r="BT44" i="228"/>
  <c r="BU44" i="228" s="1"/>
  <c r="C45" i="228"/>
  <c r="D45" i="228"/>
  <c r="I45" i="228"/>
  <c r="BV45" i="228" s="1"/>
  <c r="M45" i="228"/>
  <c r="Z45" i="228"/>
  <c r="AA45" i="228"/>
  <c r="AI45" i="228"/>
  <c r="CA45" i="228" s="1"/>
  <c r="AR45" i="228"/>
  <c r="AY45" i="228"/>
  <c r="BB45" i="228"/>
  <c r="BF45" i="228"/>
  <c r="BG45" i="228"/>
  <c r="BH45" i="228"/>
  <c r="BI45" i="228"/>
  <c r="BP45" i="228"/>
  <c r="BR45" i="228"/>
  <c r="BT45" i="228"/>
  <c r="BU45" i="228" s="1"/>
  <c r="C46" i="228"/>
  <c r="D46" i="228"/>
  <c r="I46" i="228"/>
  <c r="BV46" i="228" s="1"/>
  <c r="M46" i="228"/>
  <c r="X46" i="228"/>
  <c r="AA46" i="228" s="1"/>
  <c r="Y46" i="228"/>
  <c r="AI46" i="228"/>
  <c r="AR46" i="228"/>
  <c r="AU46" i="228" s="1"/>
  <c r="AY46" i="228"/>
  <c r="BB46" i="228"/>
  <c r="BF46" i="228"/>
  <c r="BG46" i="228"/>
  <c r="BH46" i="228"/>
  <c r="BI46" i="228"/>
  <c r="BP46" i="228"/>
  <c r="BR46" i="228"/>
  <c r="BT46" i="228"/>
  <c r="BU46" i="228" s="1"/>
  <c r="C47" i="228"/>
  <c r="D47" i="228"/>
  <c r="I47" i="228"/>
  <c r="M47" i="228"/>
  <c r="X47" i="228"/>
  <c r="AA47" i="228" s="1"/>
  <c r="Y47" i="228"/>
  <c r="AI47" i="228"/>
  <c r="AR47" i="228"/>
  <c r="AU47" i="228" s="1"/>
  <c r="AY47" i="228"/>
  <c r="BB47" i="228"/>
  <c r="BG47" i="228"/>
  <c r="BH47" i="228"/>
  <c r="BI47" i="228"/>
  <c r="BP47" i="228"/>
  <c r="BR47" i="228"/>
  <c r="BT47" i="228"/>
  <c r="BU47" i="228" s="1"/>
  <c r="C48" i="228"/>
  <c r="D48" i="228"/>
  <c r="I48" i="228"/>
  <c r="BV48" i="228" s="1"/>
  <c r="M48" i="228"/>
  <c r="Z48" i="228"/>
  <c r="AA48" i="228"/>
  <c r="AI48" i="228"/>
  <c r="AR48" i="228"/>
  <c r="AU48" i="228" s="1"/>
  <c r="AY48" i="228"/>
  <c r="BB48" i="228"/>
  <c r="BF48" i="228"/>
  <c r="BG48" i="228"/>
  <c r="BH48" i="228"/>
  <c r="BI48" i="228"/>
  <c r="BP48" i="228"/>
  <c r="BR48" i="228"/>
  <c r="BT48" i="228"/>
  <c r="BU48" i="228" s="1"/>
  <c r="C49" i="228"/>
  <c r="D49" i="228"/>
  <c r="I49" i="228"/>
  <c r="BV49" i="228" s="1"/>
  <c r="M49" i="228"/>
  <c r="Z49" i="228"/>
  <c r="AA49" i="228"/>
  <c r="AI49" i="228"/>
  <c r="CB49" i="228" s="1"/>
  <c r="AR49" i="228"/>
  <c r="AU49" i="228" s="1"/>
  <c r="AY49" i="228"/>
  <c r="BB49" i="228"/>
  <c r="BF49" i="228"/>
  <c r="BG49" i="228"/>
  <c r="BI49" i="228"/>
  <c r="BP49" i="228"/>
  <c r="BR49" i="228"/>
  <c r="BT49" i="228"/>
  <c r="BU49" i="228" s="1"/>
  <c r="C50" i="228"/>
  <c r="D50" i="228"/>
  <c r="I50" i="228"/>
  <c r="BV50" i="228" s="1"/>
  <c r="M50" i="228"/>
  <c r="Z50" i="228"/>
  <c r="AA50" i="228"/>
  <c r="AI50" i="228"/>
  <c r="CB50" i="228" s="1"/>
  <c r="AR50" i="228"/>
  <c r="AU50" i="228" s="1"/>
  <c r="AY50" i="228"/>
  <c r="BB50" i="228"/>
  <c r="BF50" i="228"/>
  <c r="BG50" i="228"/>
  <c r="BI50" i="228"/>
  <c r="BP50" i="228"/>
  <c r="BR50" i="228"/>
  <c r="BT50" i="228"/>
  <c r="BU50" i="228" s="1"/>
  <c r="C51" i="228"/>
  <c r="D51" i="228"/>
  <c r="I51" i="228"/>
  <c r="BV51" i="228" s="1"/>
  <c r="M51" i="228"/>
  <c r="Z51" i="228"/>
  <c r="AA51" i="228"/>
  <c r="AI51" i="228"/>
  <c r="AZ51" i="228" s="1"/>
  <c r="AR51" i="228"/>
  <c r="AU51" i="228" s="1"/>
  <c r="AY51" i="228"/>
  <c r="BB51" i="228"/>
  <c r="BF51" i="228"/>
  <c r="BG51" i="228"/>
  <c r="BH51" i="228"/>
  <c r="BI51" i="228"/>
  <c r="BP51" i="228"/>
  <c r="BR51" i="228"/>
  <c r="BT51" i="228"/>
  <c r="BU51" i="228" s="1"/>
  <c r="C52" i="228"/>
  <c r="D52" i="228"/>
  <c r="I52" i="228"/>
  <c r="M52" i="228"/>
  <c r="Z52" i="228"/>
  <c r="AA52" i="228"/>
  <c r="AI52" i="228"/>
  <c r="AR52" i="228"/>
  <c r="AY52" i="228"/>
  <c r="BB52" i="228"/>
  <c r="BF52" i="228"/>
  <c r="BI52" i="228"/>
  <c r="BP52" i="228"/>
  <c r="BR52" i="228"/>
  <c r="BT52" i="228"/>
  <c r="BU52" i="228" s="1"/>
  <c r="C53" i="228"/>
  <c r="D53" i="228"/>
  <c r="I53" i="228"/>
  <c r="BV53" i="228" s="1"/>
  <c r="M53" i="228"/>
  <c r="Z53" i="228"/>
  <c r="AA53" i="228"/>
  <c r="AI53" i="228"/>
  <c r="AR53" i="228"/>
  <c r="AU53" i="228" s="1"/>
  <c r="AY53" i="228"/>
  <c r="BB53" i="228"/>
  <c r="BF53" i="228"/>
  <c r="BG53" i="228"/>
  <c r="BI53" i="228"/>
  <c r="BP53" i="228"/>
  <c r="BR53" i="228"/>
  <c r="BT53" i="228"/>
  <c r="BU53" i="228" s="1"/>
  <c r="C54" i="228"/>
  <c r="D54" i="228"/>
  <c r="I54" i="228"/>
  <c r="M54" i="228"/>
  <c r="Z54" i="228"/>
  <c r="AA54" i="228"/>
  <c r="AI54" i="228"/>
  <c r="AR54" i="228"/>
  <c r="AU54" i="228" s="1"/>
  <c r="AY54" i="228"/>
  <c r="BB54" i="228"/>
  <c r="BF54" i="228"/>
  <c r="BG54" i="228"/>
  <c r="BH54" i="228"/>
  <c r="BI54" i="228"/>
  <c r="BP54" i="228"/>
  <c r="BR54" i="228"/>
  <c r="BT54" i="228"/>
  <c r="BU54" i="228" s="1"/>
  <c r="C55" i="228"/>
  <c r="D55" i="228"/>
  <c r="I55" i="228"/>
  <c r="BV55" i="228" s="1"/>
  <c r="M55" i="228"/>
  <c r="Z55" i="228"/>
  <c r="AA55" i="228"/>
  <c r="AI55" i="228"/>
  <c r="CA55" i="228" s="1"/>
  <c r="AR55" i="228"/>
  <c r="AY55" i="228"/>
  <c r="BB55" i="228"/>
  <c r="BF55" i="228"/>
  <c r="BG55" i="228"/>
  <c r="BI55" i="228"/>
  <c r="BP55" i="228"/>
  <c r="BR55" i="228"/>
  <c r="BT55" i="228"/>
  <c r="BU55" i="228" s="1"/>
  <c r="C56" i="228"/>
  <c r="D56" i="228"/>
  <c r="I56" i="228"/>
  <c r="M56" i="228"/>
  <c r="Z56" i="228"/>
  <c r="AA56" i="228"/>
  <c r="AI56" i="228"/>
  <c r="AR56" i="228"/>
  <c r="AU56" i="228" s="1"/>
  <c r="AY56" i="228"/>
  <c r="BB56" i="228"/>
  <c r="BO56" i="228"/>
  <c r="BP56" i="228"/>
  <c r="BR56" i="228"/>
  <c r="BT56" i="228"/>
  <c r="BU56" i="228" s="1"/>
  <c r="BX56" i="228"/>
  <c r="C57" i="228"/>
  <c r="D57" i="228"/>
  <c r="I57" i="228"/>
  <c r="BV57" i="228" s="1"/>
  <c r="M57" i="228"/>
  <c r="Z57" i="228"/>
  <c r="AA57" i="228"/>
  <c r="AI57" i="228"/>
  <c r="AR57" i="228"/>
  <c r="AU57" i="228" s="1"/>
  <c r="AY57" i="228"/>
  <c r="BB57" i="228"/>
  <c r="BG57" i="228"/>
  <c r="BI57" i="228"/>
  <c r="BP57" i="228"/>
  <c r="BR57" i="228"/>
  <c r="BT57" i="228"/>
  <c r="BU57" i="228" s="1"/>
  <c r="C58" i="228"/>
  <c r="D58" i="228"/>
  <c r="I58" i="228"/>
  <c r="BV58" i="228" s="1"/>
  <c r="M58" i="228"/>
  <c r="Z58" i="228"/>
  <c r="AA58" i="228"/>
  <c r="AI58" i="228"/>
  <c r="AR58" i="228"/>
  <c r="AU58" i="228" s="1"/>
  <c r="AY58" i="228"/>
  <c r="BB58" i="228"/>
  <c r="BG58" i="228"/>
  <c r="BI58" i="228"/>
  <c r="BP58" i="228"/>
  <c r="BR58" i="228"/>
  <c r="BT58" i="228"/>
  <c r="BU58" i="228" s="1"/>
  <c r="C59" i="228"/>
  <c r="D59" i="228"/>
  <c r="I59" i="228"/>
  <c r="BV59" i="228" s="1"/>
  <c r="M59" i="228"/>
  <c r="Z59" i="228"/>
  <c r="AA59" i="228"/>
  <c r="AI59" i="228"/>
  <c r="AZ59" i="228" s="1"/>
  <c r="AR59" i="228"/>
  <c r="AU59" i="228" s="1"/>
  <c r="AY59" i="228"/>
  <c r="BB59" i="228"/>
  <c r="BF59" i="228"/>
  <c r="BG59" i="228"/>
  <c r="BI59" i="228"/>
  <c r="BP59" i="228"/>
  <c r="BR59" i="228"/>
  <c r="BT59" i="228"/>
  <c r="BU59" i="228" s="1"/>
  <c r="C60" i="228"/>
  <c r="D60" i="228"/>
  <c r="I60" i="228"/>
  <c r="BV60" i="228" s="1"/>
  <c r="M60" i="228"/>
  <c r="Z60" i="228"/>
  <c r="AA60" i="228"/>
  <c r="AI60" i="228"/>
  <c r="AR60" i="228"/>
  <c r="AU60" i="228" s="1"/>
  <c r="AY60" i="228"/>
  <c r="BB60" i="228"/>
  <c r="BF60" i="228"/>
  <c r="BG60" i="228"/>
  <c r="BI60" i="228"/>
  <c r="BP60" i="228"/>
  <c r="BR60" i="228"/>
  <c r="BT60" i="228"/>
  <c r="BU60" i="228" s="1"/>
  <c r="C61" i="228"/>
  <c r="D61" i="228"/>
  <c r="I61" i="228"/>
  <c r="M61" i="228"/>
  <c r="Z61" i="228"/>
  <c r="AA61" i="228"/>
  <c r="AI61" i="228"/>
  <c r="AZ61" i="228" s="1"/>
  <c r="AR61" i="228"/>
  <c r="AU61" i="228" s="1"/>
  <c r="AY61" i="228"/>
  <c r="BB61" i="228"/>
  <c r="BF61" i="228"/>
  <c r="BG61" i="228"/>
  <c r="BH61" i="228"/>
  <c r="BI61" i="228"/>
  <c r="BP61" i="228"/>
  <c r="BR61" i="228"/>
  <c r="BT61" i="228"/>
  <c r="BU61" i="228" s="1"/>
  <c r="C62" i="228"/>
  <c r="D62" i="228"/>
  <c r="I62" i="228"/>
  <c r="M62" i="228"/>
  <c r="Z62" i="228"/>
  <c r="AA62" i="228"/>
  <c r="AI62" i="228"/>
  <c r="AR62" i="228"/>
  <c r="AU62" i="228" s="1"/>
  <c r="AY62" i="228"/>
  <c r="BB62" i="228"/>
  <c r="BF62" i="228"/>
  <c r="BG62" i="228"/>
  <c r="BH62" i="228"/>
  <c r="BI62" i="228"/>
  <c r="BP62" i="228"/>
  <c r="BR62" i="228"/>
  <c r="BT62" i="228"/>
  <c r="BU62" i="228" s="1"/>
  <c r="C63" i="228"/>
  <c r="D63" i="228"/>
  <c r="I63" i="228"/>
  <c r="BV63" i="228" s="1"/>
  <c r="M63" i="228"/>
  <c r="Z63" i="228"/>
  <c r="AA63" i="228"/>
  <c r="AI63" i="228"/>
  <c r="CB63" i="228" s="1"/>
  <c r="AR63" i="228"/>
  <c r="AU63" i="228" s="1"/>
  <c r="AY63" i="228"/>
  <c r="BB63" i="228"/>
  <c r="BF63" i="228"/>
  <c r="BG63" i="228"/>
  <c r="BH63" i="228"/>
  <c r="BI63" i="228"/>
  <c r="BP63" i="228"/>
  <c r="BR63" i="228"/>
  <c r="BT63" i="228"/>
  <c r="BU63" i="228" s="1"/>
  <c r="C64" i="228"/>
  <c r="D64" i="228"/>
  <c r="I64" i="228"/>
  <c r="BV64" i="228" s="1"/>
  <c r="M64" i="228"/>
  <c r="Z64" i="228"/>
  <c r="AA64" i="228"/>
  <c r="AI64" i="228"/>
  <c r="AR64" i="228"/>
  <c r="AU64" i="228" s="1"/>
  <c r="AY64" i="228"/>
  <c r="BB64" i="228"/>
  <c r="BF64" i="228"/>
  <c r="BG64" i="228"/>
  <c r="BH64" i="228"/>
  <c r="BI64" i="228"/>
  <c r="BP64" i="228"/>
  <c r="BR64" i="228"/>
  <c r="BT64" i="228"/>
  <c r="BU64" i="228" s="1"/>
  <c r="C65" i="228"/>
  <c r="D65" i="228"/>
  <c r="I65" i="228"/>
  <c r="BV65" i="228" s="1"/>
  <c r="M65" i="228"/>
  <c r="Z65" i="228"/>
  <c r="AA65" i="228"/>
  <c r="AI65" i="228"/>
  <c r="CA65" i="228" s="1"/>
  <c r="AR65" i="228"/>
  <c r="AU65" i="228" s="1"/>
  <c r="AY65" i="228"/>
  <c r="BB65" i="228"/>
  <c r="BF65" i="228"/>
  <c r="BG65" i="228"/>
  <c r="BH65" i="228"/>
  <c r="BI65" i="228"/>
  <c r="BP65" i="228"/>
  <c r="BR65" i="228"/>
  <c r="BT65" i="228"/>
  <c r="BU65" i="228" s="1"/>
  <c r="C66" i="228"/>
  <c r="D66" i="228"/>
  <c r="I66" i="228"/>
  <c r="M66" i="228"/>
  <c r="X66" i="228"/>
  <c r="AA66" i="228" s="1"/>
  <c r="Y66" i="228"/>
  <c r="AI66" i="228"/>
  <c r="AR66" i="228"/>
  <c r="AU66" i="228" s="1"/>
  <c r="AY66" i="228"/>
  <c r="BB66" i="228"/>
  <c r="BF66" i="228"/>
  <c r="BG66" i="228"/>
  <c r="BI66" i="228"/>
  <c r="BP66" i="228"/>
  <c r="BR66" i="228"/>
  <c r="BT66" i="228"/>
  <c r="BU66" i="228" s="1"/>
  <c r="C67" i="228"/>
  <c r="D67" i="228"/>
  <c r="I67" i="228"/>
  <c r="M67" i="228"/>
  <c r="X67" i="228"/>
  <c r="Y67" i="228"/>
  <c r="AI67" i="228"/>
  <c r="CA67" i="228" s="1"/>
  <c r="AR67" i="228"/>
  <c r="AU67" i="228" s="1"/>
  <c r="AY67" i="228"/>
  <c r="BB67" i="228"/>
  <c r="BF67" i="228"/>
  <c r="BG67" i="228"/>
  <c r="BH67" i="228"/>
  <c r="BI67" i="228"/>
  <c r="BP67" i="228"/>
  <c r="BR67" i="228"/>
  <c r="BT67" i="228"/>
  <c r="BU67" i="228" s="1"/>
  <c r="C68" i="228"/>
  <c r="D68" i="228"/>
  <c r="I68" i="228"/>
  <c r="BV68" i="228" s="1"/>
  <c r="M68" i="228"/>
  <c r="Z68" i="228"/>
  <c r="AA68" i="228"/>
  <c r="AI68" i="228"/>
  <c r="AR68" i="228"/>
  <c r="AU68" i="228" s="1"/>
  <c r="AY68" i="228"/>
  <c r="BB68" i="228"/>
  <c r="BF68" i="228"/>
  <c r="BG68" i="228"/>
  <c r="BH68" i="228"/>
  <c r="BI68" i="228"/>
  <c r="BP68" i="228"/>
  <c r="BR68" i="228"/>
  <c r="BT68" i="228"/>
  <c r="BU68" i="228" s="1"/>
  <c r="C69" i="228"/>
  <c r="D69" i="228"/>
  <c r="J69" i="228"/>
  <c r="I69" i="228" s="1"/>
  <c r="BV69" i="228" s="1"/>
  <c r="M69" i="228"/>
  <c r="Z69" i="228"/>
  <c r="AA69" i="228"/>
  <c r="AI69" i="228"/>
  <c r="AR69" i="228"/>
  <c r="AU69" i="228" s="1"/>
  <c r="AY69" i="228"/>
  <c r="BB69" i="228"/>
  <c r="BG69" i="228"/>
  <c r="BI69" i="228"/>
  <c r="BP69" i="228"/>
  <c r="BR69" i="228"/>
  <c r="BT69" i="228"/>
  <c r="BU69" i="228" s="1"/>
  <c r="C70" i="228"/>
  <c r="D70" i="228"/>
  <c r="J70" i="228"/>
  <c r="I70" i="228" s="1"/>
  <c r="BV70" i="228" s="1"/>
  <c r="M70" i="228"/>
  <c r="Z70" i="228"/>
  <c r="AA70" i="228"/>
  <c r="AI70" i="228"/>
  <c r="AR70" i="228"/>
  <c r="AU70" i="228" s="1"/>
  <c r="AY70" i="228"/>
  <c r="BB70" i="228"/>
  <c r="BF70" i="228"/>
  <c r="BG70" i="228"/>
  <c r="BI70" i="228"/>
  <c r="BP70" i="228"/>
  <c r="BR70" i="228"/>
  <c r="BT70" i="228"/>
  <c r="BU70" i="228" s="1"/>
  <c r="C71" i="228"/>
  <c r="D71" i="228"/>
  <c r="I71" i="228"/>
  <c r="M71" i="228"/>
  <c r="Z71" i="228"/>
  <c r="AA71" i="228"/>
  <c r="AI71" i="228"/>
  <c r="CA71" i="228" s="1"/>
  <c r="AR71" i="228"/>
  <c r="AU71" i="228" s="1"/>
  <c r="AY71" i="228"/>
  <c r="BB71" i="228"/>
  <c r="BF71" i="228"/>
  <c r="BG71" i="228"/>
  <c r="BI71" i="228"/>
  <c r="BP71" i="228"/>
  <c r="BR71" i="228"/>
  <c r="BT71" i="228"/>
  <c r="BU71" i="228" s="1"/>
  <c r="C72" i="228"/>
  <c r="D72" i="228"/>
  <c r="I72" i="228"/>
  <c r="BV72" i="228" s="1"/>
  <c r="M72" i="228"/>
  <c r="Z72" i="228"/>
  <c r="AA72" i="228"/>
  <c r="AI72" i="228"/>
  <c r="AZ72" i="228" s="1"/>
  <c r="AR72" i="228"/>
  <c r="AU72" i="228" s="1"/>
  <c r="AY72" i="228"/>
  <c r="BB72" i="228"/>
  <c r="BF72" i="228"/>
  <c r="BI72" i="228"/>
  <c r="BP72" i="228"/>
  <c r="BR72" i="228"/>
  <c r="BT72" i="228"/>
  <c r="BU72" i="228" s="1"/>
  <c r="C73" i="228"/>
  <c r="D73" i="228"/>
  <c r="I73" i="228"/>
  <c r="BV73" i="228" s="1"/>
  <c r="M73" i="228"/>
  <c r="Z73" i="228"/>
  <c r="AA73" i="228"/>
  <c r="AI73" i="228"/>
  <c r="AR73" i="228"/>
  <c r="AU73" i="228" s="1"/>
  <c r="AY73" i="228"/>
  <c r="BB73" i="228"/>
  <c r="BF73" i="228"/>
  <c r="BG73" i="228"/>
  <c r="BI73" i="228"/>
  <c r="BP73" i="228"/>
  <c r="BR73" i="228"/>
  <c r="BT73" i="228"/>
  <c r="BU73" i="228" s="1"/>
  <c r="C74" i="228"/>
  <c r="D74" i="228"/>
  <c r="I74" i="228"/>
  <c r="BV74" i="228" s="1"/>
  <c r="M74" i="228"/>
  <c r="X74" i="228"/>
  <c r="AA74" i="228" s="1"/>
  <c r="Y74" i="228"/>
  <c r="AI74" i="228"/>
  <c r="AR74" i="228"/>
  <c r="AU74" i="228" s="1"/>
  <c r="AY74" i="228"/>
  <c r="BB74" i="228"/>
  <c r="BG74" i="228"/>
  <c r="BI74" i="228"/>
  <c r="BP74" i="228"/>
  <c r="BR74" i="228"/>
  <c r="BT74" i="228"/>
  <c r="BU74" i="228" s="1"/>
  <c r="C75" i="228"/>
  <c r="D75" i="228"/>
  <c r="I75" i="228"/>
  <c r="BV75" i="228" s="1"/>
  <c r="M75" i="228"/>
  <c r="X75" i="228"/>
  <c r="AA75" i="228" s="1"/>
  <c r="Y75" i="228"/>
  <c r="AI75" i="228"/>
  <c r="AR75" i="228"/>
  <c r="AU75" i="228" s="1"/>
  <c r="AY75" i="228"/>
  <c r="BB75" i="228"/>
  <c r="BF75" i="228"/>
  <c r="BG75" i="228"/>
  <c r="BI75" i="228"/>
  <c r="BP75" i="228"/>
  <c r="BR75" i="228"/>
  <c r="BT75" i="228"/>
  <c r="BU75" i="228" s="1"/>
  <c r="C76" i="228"/>
  <c r="D76" i="228"/>
  <c r="I76" i="228"/>
  <c r="BV76" i="228" s="1"/>
  <c r="M76" i="228"/>
  <c r="Z76" i="228"/>
  <c r="AA76" i="228"/>
  <c r="AI76" i="228"/>
  <c r="AR76" i="228"/>
  <c r="AY76" i="228"/>
  <c r="BB76" i="228"/>
  <c r="BF76" i="228"/>
  <c r="BG76" i="228"/>
  <c r="BH76" i="228"/>
  <c r="BI76" i="228"/>
  <c r="BP76" i="228"/>
  <c r="BR76" i="228"/>
  <c r="BT76" i="228"/>
  <c r="BU76" i="228" s="1"/>
  <c r="C77" i="228"/>
  <c r="D77" i="228"/>
  <c r="I77" i="228"/>
  <c r="BV77" i="228" s="1"/>
  <c r="M77" i="228"/>
  <c r="Z77" i="228"/>
  <c r="AA77" i="228"/>
  <c r="AI77" i="228"/>
  <c r="AZ77" i="228" s="1"/>
  <c r="AR77" i="228"/>
  <c r="AU77" i="228" s="1"/>
  <c r="AY77" i="228"/>
  <c r="BB77" i="228"/>
  <c r="BF77" i="228"/>
  <c r="BG77" i="228"/>
  <c r="BI77" i="228"/>
  <c r="BP77" i="228"/>
  <c r="BR77" i="228"/>
  <c r="BT77" i="228"/>
  <c r="BU77" i="228" s="1"/>
  <c r="C78" i="228"/>
  <c r="D78" i="228"/>
  <c r="I78" i="228"/>
  <c r="BV78" i="228" s="1"/>
  <c r="M78" i="228"/>
  <c r="X78" i="228"/>
  <c r="Y78" i="228"/>
  <c r="AI78" i="228"/>
  <c r="AR78" i="228"/>
  <c r="AU78" i="228" s="1"/>
  <c r="AY78" i="228"/>
  <c r="BB78" i="228"/>
  <c r="BF78" i="228"/>
  <c r="BG78" i="228"/>
  <c r="BI78" i="228"/>
  <c r="BP78" i="228"/>
  <c r="BR78" i="228"/>
  <c r="BT78" i="228"/>
  <c r="BU78" i="228" s="1"/>
  <c r="C79" i="228"/>
  <c r="D79" i="228"/>
  <c r="I79" i="228"/>
  <c r="BV79" i="228" s="1"/>
  <c r="M79" i="228"/>
  <c r="X79" i="228"/>
  <c r="Y79" i="228"/>
  <c r="AI79" i="228"/>
  <c r="AZ79" i="228" s="1"/>
  <c r="AR79" i="228"/>
  <c r="AU79" i="228" s="1"/>
  <c r="AY79" i="228"/>
  <c r="BB79" i="228"/>
  <c r="BD79" i="228"/>
  <c r="BE79" i="228"/>
  <c r="BF79" i="228"/>
  <c r="BG79" i="228"/>
  <c r="BI79" i="228"/>
  <c r="BJ79" i="228"/>
  <c r="BP79" i="228"/>
  <c r="BR79" i="228"/>
  <c r="BT79" i="228"/>
  <c r="BU79" i="228" s="1"/>
  <c r="C80" i="228"/>
  <c r="D80" i="228"/>
  <c r="I80" i="228"/>
  <c r="BV80" i="228" s="1"/>
  <c r="M80" i="228"/>
  <c r="Z80" i="228"/>
  <c r="AA80" i="228"/>
  <c r="AI80" i="228"/>
  <c r="AR80" i="228"/>
  <c r="AU80" i="228" s="1"/>
  <c r="AY80" i="228"/>
  <c r="BB80" i="228"/>
  <c r="BF80" i="228"/>
  <c r="BG80" i="228"/>
  <c r="BH80" i="228"/>
  <c r="BI80" i="228"/>
  <c r="BP80" i="228"/>
  <c r="BR80" i="228"/>
  <c r="BT80" i="228"/>
  <c r="BU80" i="228" s="1"/>
  <c r="C81" i="228"/>
  <c r="D81" i="228"/>
  <c r="I81" i="228"/>
  <c r="BV81" i="228" s="1"/>
  <c r="M81" i="228"/>
  <c r="X81" i="228"/>
  <c r="AA81" i="228" s="1"/>
  <c r="Y81" i="228"/>
  <c r="AI81" i="228"/>
  <c r="AZ81" i="228" s="1"/>
  <c r="AR81" i="228"/>
  <c r="AU81" i="228" s="1"/>
  <c r="AY81" i="228"/>
  <c r="BB81" i="228"/>
  <c r="BF81" i="228"/>
  <c r="BG81" i="228"/>
  <c r="BI81" i="228"/>
  <c r="BP81" i="228"/>
  <c r="BR81" i="228"/>
  <c r="BT81" i="228"/>
  <c r="BU81" i="228" s="1"/>
  <c r="C82" i="228"/>
  <c r="D82" i="228"/>
  <c r="I82" i="228"/>
  <c r="M82" i="228"/>
  <c r="X82" i="228"/>
  <c r="AA82" i="228" s="1"/>
  <c r="Y82" i="228"/>
  <c r="AI82" i="228"/>
  <c r="AR82" i="228"/>
  <c r="AU82" i="228" s="1"/>
  <c r="AY82" i="228"/>
  <c r="BB82" i="228"/>
  <c r="BF82" i="228"/>
  <c r="BG82" i="228"/>
  <c r="BH82" i="228"/>
  <c r="BI82" i="228"/>
  <c r="BP82" i="228"/>
  <c r="BR82" i="228"/>
  <c r="BT82" i="228"/>
  <c r="BU82" i="228" s="1"/>
  <c r="C83" i="228"/>
  <c r="D83" i="228"/>
  <c r="I83" i="228"/>
  <c r="BV83" i="228" s="1"/>
  <c r="M83" i="228"/>
  <c r="X83" i="228"/>
  <c r="Y83" i="228"/>
  <c r="AI83" i="228"/>
  <c r="AZ83" i="228" s="1"/>
  <c r="AR83" i="228"/>
  <c r="AU83" i="228" s="1"/>
  <c r="AY83" i="228"/>
  <c r="BB83" i="228"/>
  <c r="BF83" i="228"/>
  <c r="BG83" i="228"/>
  <c r="BI83" i="228"/>
  <c r="BP83" i="228"/>
  <c r="BR83" i="228"/>
  <c r="BT83" i="228"/>
  <c r="BU83" i="228" s="1"/>
  <c r="C84" i="228"/>
  <c r="D84" i="228"/>
  <c r="I84" i="228"/>
  <c r="M84" i="228"/>
  <c r="X84" i="228"/>
  <c r="AA84" i="228" s="1"/>
  <c r="Y84" i="228"/>
  <c r="AI84" i="228"/>
  <c r="AR84" i="228"/>
  <c r="AU84" i="228" s="1"/>
  <c r="AY84" i="228"/>
  <c r="BB84" i="228"/>
  <c r="BF84" i="228"/>
  <c r="BG84" i="228"/>
  <c r="BH84" i="228"/>
  <c r="BI84" i="228"/>
  <c r="BP84" i="228"/>
  <c r="BR84" i="228"/>
  <c r="BT84" i="228"/>
  <c r="BU84" i="228" s="1"/>
  <c r="C85" i="228"/>
  <c r="D85" i="228"/>
  <c r="I85" i="228"/>
  <c r="BV85" i="228" s="1"/>
  <c r="M85" i="228"/>
  <c r="Z85" i="228"/>
  <c r="AA85" i="228"/>
  <c r="AI85" i="228"/>
  <c r="AZ85" i="228" s="1"/>
  <c r="AR85" i="228"/>
  <c r="AU85" i="228" s="1"/>
  <c r="AY85" i="228"/>
  <c r="BB85" i="228"/>
  <c r="BF85" i="228"/>
  <c r="BG85" i="228"/>
  <c r="BH85" i="228"/>
  <c r="BI85" i="228"/>
  <c r="BP85" i="228"/>
  <c r="BR85" i="228"/>
  <c r="BT85" i="228"/>
  <c r="BU85" i="228" s="1"/>
  <c r="C86" i="228"/>
  <c r="D86" i="228"/>
  <c r="J86" i="228"/>
  <c r="I86" i="228" s="1"/>
  <c r="BV86" i="228" s="1"/>
  <c r="M86" i="228"/>
  <c r="Z86" i="228"/>
  <c r="AA86" i="228"/>
  <c r="AI86" i="228"/>
  <c r="CB86" i="228" s="1"/>
  <c r="AR86" i="228"/>
  <c r="AU86" i="228" s="1"/>
  <c r="AY86" i="228"/>
  <c r="BB86" i="228"/>
  <c r="BG86" i="228"/>
  <c r="BH86" i="228"/>
  <c r="BI86" i="228"/>
  <c r="BP86" i="228"/>
  <c r="BR86" i="228"/>
  <c r="BT86" i="228"/>
  <c r="BU86" i="228" s="1"/>
  <c r="C87" i="228"/>
  <c r="D87" i="228"/>
  <c r="J87" i="228"/>
  <c r="I87" i="228" s="1"/>
  <c r="BV87" i="228" s="1"/>
  <c r="M87" i="228"/>
  <c r="Z87" i="228"/>
  <c r="AA87" i="228"/>
  <c r="AI87" i="228"/>
  <c r="AR87" i="228"/>
  <c r="AU87" i="228" s="1"/>
  <c r="AY87" i="228"/>
  <c r="BB87" i="228"/>
  <c r="BG87" i="228"/>
  <c r="BH87" i="228"/>
  <c r="BI87" i="228"/>
  <c r="BP87" i="228"/>
  <c r="BR87" i="228"/>
  <c r="BT87" i="228"/>
  <c r="BU87" i="228" s="1"/>
  <c r="C88" i="228"/>
  <c r="D88" i="228"/>
  <c r="I88" i="228"/>
  <c r="M88" i="228"/>
  <c r="Z88" i="228"/>
  <c r="AA88" i="228"/>
  <c r="AI88" i="228"/>
  <c r="AZ88" i="228" s="1"/>
  <c r="AR88" i="228"/>
  <c r="AU88" i="228" s="1"/>
  <c r="AY88" i="228"/>
  <c r="BB88" i="228"/>
  <c r="BG88" i="228"/>
  <c r="BH88" i="228"/>
  <c r="BI88" i="228"/>
  <c r="BP88" i="228"/>
  <c r="BR88" i="228"/>
  <c r="BT88" i="228"/>
  <c r="BU88" i="228" s="1"/>
  <c r="C89" i="228"/>
  <c r="D89" i="228"/>
  <c r="I89" i="228"/>
  <c r="M89" i="228"/>
  <c r="Z89" i="228"/>
  <c r="AA89" i="228"/>
  <c r="AI89" i="228"/>
  <c r="AR89" i="228"/>
  <c r="AU89" i="228" s="1"/>
  <c r="AY89" i="228"/>
  <c r="BB89" i="228"/>
  <c r="BG89" i="228"/>
  <c r="BH89" i="228"/>
  <c r="BI89" i="228"/>
  <c r="BP89" i="228"/>
  <c r="BR89" i="228"/>
  <c r="BT89" i="228"/>
  <c r="BU89" i="228" s="1"/>
  <c r="C90" i="228"/>
  <c r="D90" i="228"/>
  <c r="I90" i="228"/>
  <c r="BV90" i="228" s="1"/>
  <c r="M90" i="228"/>
  <c r="Z90" i="228"/>
  <c r="AA90" i="228"/>
  <c r="AI90" i="228"/>
  <c r="CB90" i="228" s="1"/>
  <c r="AR90" i="228"/>
  <c r="AU90" i="228" s="1"/>
  <c r="AY90" i="228"/>
  <c r="BB90" i="228"/>
  <c r="BG90" i="228"/>
  <c r="BH90" i="228"/>
  <c r="BI90" i="228"/>
  <c r="BP90" i="228"/>
  <c r="BR90" i="228"/>
  <c r="BT90" i="228"/>
  <c r="BU90" i="228" s="1"/>
  <c r="C91" i="228"/>
  <c r="D91" i="228"/>
  <c r="I91" i="228"/>
  <c r="BV91" i="228" s="1"/>
  <c r="M91" i="228"/>
  <c r="Z91" i="228"/>
  <c r="AA91" i="228"/>
  <c r="AI91" i="228"/>
  <c r="AR91" i="228"/>
  <c r="AU91" i="228" s="1"/>
  <c r="AY91" i="228"/>
  <c r="BB91" i="228"/>
  <c r="BF91" i="228"/>
  <c r="BG91" i="228"/>
  <c r="BH91" i="228"/>
  <c r="BI91" i="228"/>
  <c r="BP91" i="228"/>
  <c r="BR91" i="228"/>
  <c r="BT91" i="228"/>
  <c r="BU91" i="228" s="1"/>
  <c r="C92" i="228"/>
  <c r="D92" i="228"/>
  <c r="I92" i="228"/>
  <c r="BV92" i="228" s="1"/>
  <c r="M92" i="228"/>
  <c r="Z92" i="228"/>
  <c r="AA92" i="228"/>
  <c r="AI92" i="228"/>
  <c r="CA92" i="228" s="1"/>
  <c r="AR92" i="228"/>
  <c r="AU92" i="228" s="1"/>
  <c r="AY92" i="228"/>
  <c r="BB92" i="228"/>
  <c r="BG92" i="228"/>
  <c r="BH92" i="228"/>
  <c r="BI92" i="228"/>
  <c r="BP92" i="228"/>
  <c r="BR92" i="228"/>
  <c r="BT92" i="228"/>
  <c r="BU92" i="228" s="1"/>
  <c r="C93" i="228"/>
  <c r="D93" i="228"/>
  <c r="I93" i="228"/>
  <c r="BV93" i="228" s="1"/>
  <c r="M93" i="228"/>
  <c r="Z93" i="228"/>
  <c r="AA93" i="228"/>
  <c r="AI93" i="228"/>
  <c r="CB93" i="228" s="1"/>
  <c r="AR93" i="228"/>
  <c r="AY93" i="228"/>
  <c r="BB93" i="228"/>
  <c r="BG93" i="228"/>
  <c r="BH93" i="228"/>
  <c r="BI93" i="228"/>
  <c r="BP93" i="228"/>
  <c r="BR93" i="228"/>
  <c r="BT93" i="228"/>
  <c r="BU93" i="228" s="1"/>
  <c r="C94" i="228"/>
  <c r="D94" i="228"/>
  <c r="I94" i="228"/>
  <c r="M94" i="228"/>
  <c r="Z94" i="228"/>
  <c r="AA94" i="228"/>
  <c r="AI94" i="228"/>
  <c r="CA94" i="228" s="1"/>
  <c r="AR94" i="228"/>
  <c r="AU94" i="228" s="1"/>
  <c r="AY94" i="228"/>
  <c r="BB94" i="228"/>
  <c r="BG94" i="228"/>
  <c r="BH94" i="228"/>
  <c r="BI94" i="228"/>
  <c r="BP94" i="228"/>
  <c r="BR94" i="228"/>
  <c r="BT94" i="228"/>
  <c r="BU94" i="228" s="1"/>
  <c r="C95" i="228"/>
  <c r="D95" i="228"/>
  <c r="I95" i="228"/>
  <c r="M95" i="228"/>
  <c r="Y95" i="228"/>
  <c r="Z95" i="228" s="1"/>
  <c r="AA95" i="228"/>
  <c r="AI95" i="228"/>
  <c r="CA95" i="228" s="1"/>
  <c r="AR95" i="228"/>
  <c r="AU95" i="228" s="1"/>
  <c r="AY95" i="228"/>
  <c r="BB95" i="228"/>
  <c r="BG95" i="228"/>
  <c r="BH95" i="228"/>
  <c r="BI95" i="228"/>
  <c r="BL95" i="228"/>
  <c r="BN95" i="228"/>
  <c r="BP95" i="228" s="1"/>
  <c r="BT95" i="228"/>
  <c r="BU95" i="228" s="1"/>
  <c r="C96" i="228"/>
  <c r="D96" i="228"/>
  <c r="I96" i="228"/>
  <c r="BV96" i="228" s="1"/>
  <c r="M96" i="228"/>
  <c r="Y96" i="228"/>
  <c r="Z96" i="228" s="1"/>
  <c r="AA96" i="228"/>
  <c r="AI96" i="228"/>
  <c r="AZ96" i="228" s="1"/>
  <c r="AR96" i="228"/>
  <c r="AU96" i="228" s="1"/>
  <c r="AY96" i="228"/>
  <c r="BB96" i="228"/>
  <c r="BG96" i="228"/>
  <c r="BH96" i="228"/>
  <c r="BI96" i="228"/>
  <c r="BL96" i="228"/>
  <c r="BN96" i="228"/>
  <c r="BP96" i="228" s="1"/>
  <c r="BT96" i="228"/>
  <c r="BU96" i="228" s="1"/>
  <c r="C97" i="228"/>
  <c r="D97" i="228"/>
  <c r="I97" i="228"/>
  <c r="M97" i="228"/>
  <c r="X97" i="228"/>
  <c r="AA97" i="228" s="1"/>
  <c r="Y97" i="228"/>
  <c r="AI97" i="228"/>
  <c r="AR97" i="228"/>
  <c r="AU97" i="228" s="1"/>
  <c r="AY97" i="228"/>
  <c r="BB97" i="228"/>
  <c r="BG97" i="228"/>
  <c r="BO97" i="228" s="1"/>
  <c r="BL97" i="228"/>
  <c r="BN97" i="228"/>
  <c r="BP97" i="228" s="1"/>
  <c r="BT97" i="228"/>
  <c r="BU97" i="228" s="1"/>
  <c r="C98" i="228"/>
  <c r="D98" i="228"/>
  <c r="I98" i="228"/>
  <c r="M98" i="228"/>
  <c r="Z98" i="228"/>
  <c r="AA98" i="228"/>
  <c r="AI98" i="228"/>
  <c r="CA98" i="228" s="1"/>
  <c r="AR98" i="228"/>
  <c r="AU98" i="228" s="1"/>
  <c r="AY98" i="228"/>
  <c r="BB98" i="228"/>
  <c r="BF98" i="228"/>
  <c r="BG98" i="228"/>
  <c r="BI98" i="228"/>
  <c r="BP98" i="228"/>
  <c r="BR98" i="228"/>
  <c r="BT98" i="228"/>
  <c r="BU98" i="228" s="1"/>
  <c r="C99" i="228"/>
  <c r="D99" i="228"/>
  <c r="I99" i="228"/>
  <c r="BV99" i="228" s="1"/>
  <c r="M99" i="228"/>
  <c r="Y99" i="228"/>
  <c r="Z99" i="228" s="1"/>
  <c r="AA99" i="228"/>
  <c r="AI99" i="228"/>
  <c r="CA99" i="228" s="1"/>
  <c r="AR99" i="228"/>
  <c r="AU99" i="228" s="1"/>
  <c r="AY99" i="228"/>
  <c r="BB99" i="228"/>
  <c r="BO99" i="228"/>
  <c r="BP99" i="228"/>
  <c r="BR99" i="228"/>
  <c r="BT99" i="228"/>
  <c r="BU99" i="228" s="1"/>
  <c r="BX99" i="228"/>
  <c r="C100" i="228"/>
  <c r="D100" i="228"/>
  <c r="I100" i="228"/>
  <c r="M100" i="228"/>
  <c r="X100" i="228"/>
  <c r="Y100" i="228"/>
  <c r="AI100" i="228"/>
  <c r="AZ100" i="228" s="1"/>
  <c r="AR100" i="228"/>
  <c r="AY100" i="228"/>
  <c r="BB100" i="228"/>
  <c r="BG100" i="228"/>
  <c r="BI100" i="228"/>
  <c r="BP100" i="228"/>
  <c r="BR100" i="228"/>
  <c r="BT100" i="228"/>
  <c r="BU100" i="228" s="1"/>
  <c r="C101" i="228"/>
  <c r="D101" i="228"/>
  <c r="I101" i="228"/>
  <c r="M101" i="228"/>
  <c r="Z101" i="228"/>
  <c r="AA101" i="228"/>
  <c r="AI101" i="228"/>
  <c r="AR101" i="228"/>
  <c r="AU101" i="228" s="1"/>
  <c r="AY101" i="228"/>
  <c r="BB101" i="228"/>
  <c r="BF101" i="228"/>
  <c r="BG101" i="228"/>
  <c r="BH101" i="228"/>
  <c r="BI101" i="228"/>
  <c r="BP101" i="228"/>
  <c r="BR101" i="228"/>
  <c r="BT101" i="228"/>
  <c r="BU101" i="228" s="1"/>
  <c r="C102" i="228"/>
  <c r="D102" i="228"/>
  <c r="I102" i="228"/>
  <c r="BV102" i="228" s="1"/>
  <c r="M102" i="228"/>
  <c r="Z102" i="228"/>
  <c r="AA102" i="228"/>
  <c r="AI102" i="228"/>
  <c r="AZ102" i="228" s="1"/>
  <c r="AR102" i="228"/>
  <c r="AU102" i="228" s="1"/>
  <c r="AY102" i="228"/>
  <c r="BB102" i="228"/>
  <c r="BF102" i="228"/>
  <c r="BG102" i="228"/>
  <c r="BH102" i="228"/>
  <c r="BI102" i="228"/>
  <c r="BP102" i="228"/>
  <c r="BR102" i="228"/>
  <c r="BT102" i="228"/>
  <c r="BU102" i="228" s="1"/>
  <c r="C103" i="228"/>
  <c r="D103" i="228"/>
  <c r="I103" i="228"/>
  <c r="BV103" i="228" s="1"/>
  <c r="M103" i="228"/>
  <c r="Z103" i="228"/>
  <c r="AA103" i="228"/>
  <c r="AI103" i="228"/>
  <c r="AR103" i="228"/>
  <c r="AY103" i="228"/>
  <c r="BB103" i="228"/>
  <c r="BF103" i="228"/>
  <c r="BG103" i="228"/>
  <c r="BH103" i="228"/>
  <c r="BI103" i="228"/>
  <c r="BP103" i="228"/>
  <c r="BR103" i="228"/>
  <c r="BT103" i="228"/>
  <c r="BU103" i="228" s="1"/>
  <c r="C104" i="228"/>
  <c r="D104" i="228"/>
  <c r="I104" i="228"/>
  <c r="M104" i="228"/>
  <c r="Z104" i="228"/>
  <c r="AA104" i="228"/>
  <c r="AI104" i="228"/>
  <c r="CA104" i="228" s="1"/>
  <c r="AR104" i="228"/>
  <c r="AU104" i="228" s="1"/>
  <c r="AY104" i="228"/>
  <c r="BB104" i="228"/>
  <c r="BF104" i="228"/>
  <c r="BG104" i="228"/>
  <c r="BH104" i="228"/>
  <c r="BI104" i="228"/>
  <c r="BP104" i="228"/>
  <c r="BR104" i="228"/>
  <c r="BT104" i="228"/>
  <c r="BU104" i="228" s="1"/>
  <c r="C105" i="228"/>
  <c r="D105" i="228"/>
  <c r="I105" i="228"/>
  <c r="M105" i="228"/>
  <c r="Z105" i="228"/>
  <c r="AA105" i="228"/>
  <c r="AI105" i="228"/>
  <c r="AR105" i="228"/>
  <c r="AU105" i="228" s="1"/>
  <c r="AY105" i="228"/>
  <c r="BB105" i="228"/>
  <c r="BF105" i="228"/>
  <c r="BG105" i="228"/>
  <c r="BH105" i="228"/>
  <c r="BP105" i="228"/>
  <c r="BR105" i="228"/>
  <c r="BT105" i="228"/>
  <c r="BU105" i="228" s="1"/>
  <c r="C106" i="228"/>
  <c r="D106" i="228"/>
  <c r="I106" i="228"/>
  <c r="BV106" i="228" s="1"/>
  <c r="M106" i="228"/>
  <c r="Z106" i="228"/>
  <c r="AA106" i="228"/>
  <c r="AI106" i="228"/>
  <c r="AR106" i="228"/>
  <c r="AU106" i="228" s="1"/>
  <c r="AY106" i="228"/>
  <c r="BB106" i="228"/>
  <c r="BF106" i="228"/>
  <c r="BG106" i="228"/>
  <c r="BH106" i="228"/>
  <c r="BI106" i="228"/>
  <c r="BP106" i="228"/>
  <c r="BR106" i="228"/>
  <c r="BT106" i="228"/>
  <c r="BU106" i="228" s="1"/>
  <c r="C107" i="228"/>
  <c r="D107" i="228"/>
  <c r="I107" i="228"/>
  <c r="BV107" i="228" s="1"/>
  <c r="M107" i="228"/>
  <c r="Z107" i="228"/>
  <c r="AA107" i="228"/>
  <c r="AI107" i="228"/>
  <c r="AZ107" i="228" s="1"/>
  <c r="AR107" i="228"/>
  <c r="AU107" i="228" s="1"/>
  <c r="AY107" i="228"/>
  <c r="BB107" i="228"/>
  <c r="BF107" i="228"/>
  <c r="BG107" i="228"/>
  <c r="BH107" i="228"/>
  <c r="BP107" i="228"/>
  <c r="BR107" i="228"/>
  <c r="BT107" i="228"/>
  <c r="BU107" i="228" s="1"/>
  <c r="C108" i="228"/>
  <c r="D108" i="228"/>
  <c r="I108" i="228"/>
  <c r="BV108" i="228" s="1"/>
  <c r="M108" i="228"/>
  <c r="Y108" i="228"/>
  <c r="Z108" i="228" s="1"/>
  <c r="AA108" i="228"/>
  <c r="AI108" i="228"/>
  <c r="AR108" i="228"/>
  <c r="AU108" i="228" s="1"/>
  <c r="AY108" i="228"/>
  <c r="BB108" i="228"/>
  <c r="BF108" i="228"/>
  <c r="BG108" i="228"/>
  <c r="BI108" i="228"/>
  <c r="BP108" i="228"/>
  <c r="BR108" i="228"/>
  <c r="BT108" i="228"/>
  <c r="BU108" i="228" s="1"/>
  <c r="C109" i="228"/>
  <c r="D109" i="228"/>
  <c r="I109" i="228"/>
  <c r="M109" i="228"/>
  <c r="X109" i="228"/>
  <c r="AA109" i="228" s="1"/>
  <c r="Y109" i="228"/>
  <c r="AI109" i="228"/>
  <c r="AR109" i="228"/>
  <c r="AU109" i="228" s="1"/>
  <c r="AY109" i="228"/>
  <c r="BB109" i="228"/>
  <c r="BF109" i="228"/>
  <c r="BH109" i="228"/>
  <c r="BI109" i="228"/>
  <c r="BP109" i="228"/>
  <c r="BR109" i="228"/>
  <c r="BT109" i="228"/>
  <c r="BU109" i="228" s="1"/>
  <c r="C110" i="228"/>
  <c r="D110" i="228"/>
  <c r="J110" i="228"/>
  <c r="I110" i="228" s="1"/>
  <c r="BV110" i="228" s="1"/>
  <c r="M110" i="228"/>
  <c r="Y110" i="228"/>
  <c r="Z110" i="228" s="1"/>
  <c r="AA110" i="228"/>
  <c r="AI110" i="228"/>
  <c r="CB110" i="228" s="1"/>
  <c r="AR110" i="228"/>
  <c r="AY110" i="228"/>
  <c r="BB110" i="228"/>
  <c r="BF110" i="228"/>
  <c r="BG110" i="228"/>
  <c r="BH110" i="228"/>
  <c r="BI110" i="228"/>
  <c r="BP110" i="228"/>
  <c r="BR110" i="228"/>
  <c r="BT110" i="228"/>
  <c r="BU110" i="228" s="1"/>
  <c r="C111" i="228"/>
  <c r="D111" i="228"/>
  <c r="J111" i="228"/>
  <c r="I111" i="228" s="1"/>
  <c r="BV111" i="228" s="1"/>
  <c r="M111" i="228"/>
  <c r="X111" i="228"/>
  <c r="AA111" i="228" s="1"/>
  <c r="Y111" i="228"/>
  <c r="AI111" i="228"/>
  <c r="AR111" i="228"/>
  <c r="AY111" i="228"/>
  <c r="BB111" i="228"/>
  <c r="BF111" i="228"/>
  <c r="BG111" i="228"/>
  <c r="BI111" i="228"/>
  <c r="BP111" i="228"/>
  <c r="BR111" i="228"/>
  <c r="BT111" i="228"/>
  <c r="BU111" i="228" s="1"/>
  <c r="C112" i="228"/>
  <c r="D112" i="228"/>
  <c r="J112" i="228"/>
  <c r="I112" i="228" s="1"/>
  <c r="BV112" i="228" s="1"/>
  <c r="M112" i="228"/>
  <c r="X112" i="228"/>
  <c r="Y112" i="228"/>
  <c r="AI112" i="228"/>
  <c r="CA112" i="228" s="1"/>
  <c r="AR112" i="228"/>
  <c r="AU112" i="228" s="1"/>
  <c r="AY112" i="228"/>
  <c r="BB112" i="228"/>
  <c r="BF112" i="228"/>
  <c r="BG112" i="228"/>
  <c r="BI112" i="228"/>
  <c r="BP112" i="228"/>
  <c r="BR112" i="228"/>
  <c r="BT112" i="228"/>
  <c r="BU112" i="228" s="1"/>
  <c r="C113" i="228"/>
  <c r="D113" i="228"/>
  <c r="J113" i="228"/>
  <c r="I113" i="228" s="1"/>
  <c r="BV113" i="228" s="1"/>
  <c r="M113" i="228"/>
  <c r="Y113" i="228"/>
  <c r="Z113" i="228" s="1"/>
  <c r="AA113" i="228"/>
  <c r="AI113" i="228"/>
  <c r="CB113" i="228" s="1"/>
  <c r="AR113" i="228"/>
  <c r="AU113" i="228" s="1"/>
  <c r="AY113" i="228"/>
  <c r="BB113" i="228"/>
  <c r="BF113" i="228"/>
  <c r="BG113" i="228"/>
  <c r="BP113" i="228"/>
  <c r="BR113" i="228"/>
  <c r="BT113" i="228"/>
  <c r="BU113" i="228" s="1"/>
  <c r="C114" i="228"/>
  <c r="D114" i="228"/>
  <c r="J114" i="228"/>
  <c r="I114" i="228" s="1"/>
  <c r="BV114" i="228" s="1"/>
  <c r="M114" i="228"/>
  <c r="Z114" i="228"/>
  <c r="AA114" i="228"/>
  <c r="AI114" i="228"/>
  <c r="AR114" i="228"/>
  <c r="AU114" i="228" s="1"/>
  <c r="AY114" i="228"/>
  <c r="BB114" i="228"/>
  <c r="BF114" i="228"/>
  <c r="BG114" i="228"/>
  <c r="BI114" i="228"/>
  <c r="BP114" i="228"/>
  <c r="BR114" i="228"/>
  <c r="BT114" i="228"/>
  <c r="BU114" i="228" s="1"/>
  <c r="C115" i="228"/>
  <c r="D115" i="228"/>
  <c r="J115" i="228"/>
  <c r="I115" i="228" s="1"/>
  <c r="BV115" i="228" s="1"/>
  <c r="M115" i="228"/>
  <c r="X115" i="228"/>
  <c r="Y115" i="228"/>
  <c r="AI115" i="228"/>
  <c r="CB115" i="228" s="1"/>
  <c r="AR115" i="228"/>
  <c r="AU115" i="228" s="1"/>
  <c r="AY115" i="228"/>
  <c r="BB115" i="228"/>
  <c r="BO115" i="228"/>
  <c r="BP115" i="228"/>
  <c r="BR115" i="228"/>
  <c r="BT115" i="228"/>
  <c r="BU115" i="228" s="1"/>
  <c r="BX115" i="228"/>
  <c r="C116" i="228"/>
  <c r="D116" i="228"/>
  <c r="J116" i="228"/>
  <c r="I116" i="228" s="1"/>
  <c r="M116" i="228"/>
  <c r="X116" i="228"/>
  <c r="AA116" i="228" s="1"/>
  <c r="Y116" i="228"/>
  <c r="AI116" i="228"/>
  <c r="AR116" i="228"/>
  <c r="AU116" i="228" s="1"/>
  <c r="AY116" i="228"/>
  <c r="BB116" i="228"/>
  <c r="BH116" i="228"/>
  <c r="BX116" i="228" s="1"/>
  <c r="BP116" i="228"/>
  <c r="BR116" i="228"/>
  <c r="BT116" i="228"/>
  <c r="BU116" i="228" s="1"/>
  <c r="C117" i="228"/>
  <c r="D117" i="228"/>
  <c r="J117" i="228"/>
  <c r="I117" i="228" s="1"/>
  <c r="M117" i="228"/>
  <c r="Z117" i="228"/>
  <c r="AA117" i="228"/>
  <c r="AI117" i="228"/>
  <c r="AZ117" i="228" s="1"/>
  <c r="AR117" i="228"/>
  <c r="AU117" i="228" s="1"/>
  <c r="AY117" i="228"/>
  <c r="BB117" i="228"/>
  <c r="BF117" i="228"/>
  <c r="BG117" i="228"/>
  <c r="BH117" i="228"/>
  <c r="BI117" i="228"/>
  <c r="BP117" i="228"/>
  <c r="BR117" i="228"/>
  <c r="BT117" i="228"/>
  <c r="BU117" i="228" s="1"/>
  <c r="C118" i="228"/>
  <c r="D118" i="228"/>
  <c r="J118" i="228"/>
  <c r="I118" i="228" s="1"/>
  <c r="BV118" i="228" s="1"/>
  <c r="M118" i="228"/>
  <c r="X118" i="228"/>
  <c r="Y118" i="228"/>
  <c r="AI118" i="228"/>
  <c r="AR118" i="228"/>
  <c r="AU118" i="228" s="1"/>
  <c r="AY118" i="228"/>
  <c r="BB118" i="228"/>
  <c r="BO118" i="228"/>
  <c r="BP118" i="228"/>
  <c r="BR118" i="228"/>
  <c r="BT118" i="228"/>
  <c r="BU118" i="228" s="1"/>
  <c r="BX118" i="228"/>
  <c r="C119" i="228"/>
  <c r="D119" i="228"/>
  <c r="J119" i="228"/>
  <c r="I119" i="228" s="1"/>
  <c r="M119" i="228"/>
  <c r="X119" i="228"/>
  <c r="Y119" i="228"/>
  <c r="AI119" i="228"/>
  <c r="CA119" i="228" s="1"/>
  <c r="AR119" i="228"/>
  <c r="AU119" i="228" s="1"/>
  <c r="AY119" i="228"/>
  <c r="BB119" i="228"/>
  <c r="BF119" i="228"/>
  <c r="BG119" i="228"/>
  <c r="BI119" i="228"/>
  <c r="BP119" i="228"/>
  <c r="BR119" i="228"/>
  <c r="BT119" i="228"/>
  <c r="BU119" i="228" s="1"/>
  <c r="C120" i="228"/>
  <c r="D120" i="228"/>
  <c r="I120" i="228"/>
  <c r="BV120" i="228" s="1"/>
  <c r="M120" i="228"/>
  <c r="Z120" i="228"/>
  <c r="AA120" i="228"/>
  <c r="AI120" i="228"/>
  <c r="AR120" i="228"/>
  <c r="AU120" i="228" s="1"/>
  <c r="AY120" i="228"/>
  <c r="BB120" i="228"/>
  <c r="BG120" i="228"/>
  <c r="BI120" i="228"/>
  <c r="BP120" i="228"/>
  <c r="BR120" i="228"/>
  <c r="BT120" i="228"/>
  <c r="BU120" i="228" s="1"/>
  <c r="C121" i="228"/>
  <c r="D121" i="228"/>
  <c r="I121" i="228"/>
  <c r="BV121" i="228" s="1"/>
  <c r="M121" i="228"/>
  <c r="Z121" i="228"/>
  <c r="AA121" i="228"/>
  <c r="AI121" i="228"/>
  <c r="AR121" i="228"/>
  <c r="AU121" i="228" s="1"/>
  <c r="AY121" i="228"/>
  <c r="BB121" i="228"/>
  <c r="BF121" i="228"/>
  <c r="BG121" i="228"/>
  <c r="BH121" i="228"/>
  <c r="BI121" i="228"/>
  <c r="BP121" i="228"/>
  <c r="BR121" i="228"/>
  <c r="BT121" i="228"/>
  <c r="BU121" i="228" s="1"/>
  <c r="C122" i="228"/>
  <c r="D122" i="228"/>
  <c r="I122" i="228"/>
  <c r="BV122" i="228" s="1"/>
  <c r="M122" i="228"/>
  <c r="Z122" i="228"/>
  <c r="AA122" i="228"/>
  <c r="AI122" i="228"/>
  <c r="AR122" i="228"/>
  <c r="AU122" i="228" s="1"/>
  <c r="AY122" i="228"/>
  <c r="BB122" i="228"/>
  <c r="BG122" i="228"/>
  <c r="BH122" i="228"/>
  <c r="BI122" i="228"/>
  <c r="BP122" i="228"/>
  <c r="BR122" i="228"/>
  <c r="BT122" i="228"/>
  <c r="BU122" i="228" s="1"/>
  <c r="C123" i="228"/>
  <c r="D123" i="228"/>
  <c r="I123" i="228"/>
  <c r="BV123" i="228" s="1"/>
  <c r="M123" i="228"/>
  <c r="X123" i="228"/>
  <c r="AA123" i="228" s="1"/>
  <c r="Y123" i="228"/>
  <c r="AI123" i="228"/>
  <c r="CB123" i="228" s="1"/>
  <c r="AR123" i="228"/>
  <c r="AU123" i="228" s="1"/>
  <c r="AY123" i="228"/>
  <c r="BB123" i="228"/>
  <c r="BF123" i="228"/>
  <c r="BG123" i="228"/>
  <c r="BH123" i="228"/>
  <c r="BI123" i="228"/>
  <c r="BP123" i="228"/>
  <c r="BR123" i="228"/>
  <c r="BT123" i="228"/>
  <c r="BU123" i="228" s="1"/>
  <c r="C124" i="228"/>
  <c r="D124" i="228"/>
  <c r="I124" i="228"/>
  <c r="BV124" i="228" s="1"/>
  <c r="M124" i="228"/>
  <c r="X124" i="228"/>
  <c r="AA124" i="228" s="1"/>
  <c r="Y124" i="228"/>
  <c r="AI124" i="228"/>
  <c r="CA124" i="228" s="1"/>
  <c r="AR124" i="228"/>
  <c r="AU124" i="228" s="1"/>
  <c r="AY124" i="228"/>
  <c r="BB124" i="228"/>
  <c r="BG124" i="228"/>
  <c r="BH124" i="228"/>
  <c r="BI124" i="228"/>
  <c r="BP124" i="228"/>
  <c r="BR124" i="228"/>
  <c r="BT124" i="228"/>
  <c r="BU124" i="228" s="1"/>
  <c r="C125" i="228"/>
  <c r="D125" i="228"/>
  <c r="I125" i="228"/>
  <c r="M125" i="228"/>
  <c r="Z125" i="228"/>
  <c r="AA125" i="228"/>
  <c r="AI125" i="228"/>
  <c r="AR125" i="228"/>
  <c r="AU125" i="228" s="1"/>
  <c r="AY125" i="228"/>
  <c r="BB125" i="228"/>
  <c r="BG125" i="228"/>
  <c r="BH125" i="228"/>
  <c r="BI125" i="228"/>
  <c r="BP125" i="228"/>
  <c r="BR125" i="228"/>
  <c r="BT125" i="228"/>
  <c r="BU125" i="228" s="1"/>
  <c r="C126" i="228"/>
  <c r="D126" i="228"/>
  <c r="I126" i="228"/>
  <c r="BV126" i="228" s="1"/>
  <c r="M126" i="228"/>
  <c r="Z126" i="228"/>
  <c r="AA126" i="228"/>
  <c r="AI126" i="228"/>
  <c r="CA126" i="228" s="1"/>
  <c r="AR126" i="228"/>
  <c r="AU126" i="228" s="1"/>
  <c r="AY126" i="228"/>
  <c r="BB126" i="228"/>
  <c r="BF126" i="228"/>
  <c r="BG126" i="228"/>
  <c r="BH126" i="228"/>
  <c r="BI126" i="228"/>
  <c r="BP126" i="228"/>
  <c r="BR126" i="228"/>
  <c r="BT126" i="228"/>
  <c r="BU126" i="228" s="1"/>
  <c r="C127" i="228"/>
  <c r="D127" i="228"/>
  <c r="I127" i="228"/>
  <c r="BV127" i="228" s="1"/>
  <c r="M127" i="228"/>
  <c r="Z127" i="228"/>
  <c r="AA127" i="228"/>
  <c r="AI127" i="228"/>
  <c r="CA127" i="228" s="1"/>
  <c r="AR127" i="228"/>
  <c r="AY127" i="228"/>
  <c r="BB127" i="228"/>
  <c r="BF127" i="228"/>
  <c r="BG127" i="228"/>
  <c r="BH127" i="228"/>
  <c r="BI127" i="228"/>
  <c r="BP127" i="228"/>
  <c r="BR127" i="228"/>
  <c r="BT127" i="228"/>
  <c r="BU127" i="228" s="1"/>
  <c r="C128" i="228"/>
  <c r="D128" i="228"/>
  <c r="I128" i="228"/>
  <c r="M128" i="228"/>
  <c r="Z128" i="228"/>
  <c r="AA128" i="228"/>
  <c r="AI128" i="228"/>
  <c r="CB128" i="228" s="1"/>
  <c r="AR128" i="228"/>
  <c r="AU128" i="228" s="1"/>
  <c r="AY128" i="228"/>
  <c r="BB128" i="228"/>
  <c r="BF128" i="228"/>
  <c r="BG128" i="228"/>
  <c r="BH128" i="228"/>
  <c r="BI128" i="228"/>
  <c r="BP128" i="228"/>
  <c r="BR128" i="228"/>
  <c r="BT128" i="228"/>
  <c r="BU128" i="228" s="1"/>
  <c r="C129" i="228"/>
  <c r="D129" i="228"/>
  <c r="I129" i="228"/>
  <c r="M129" i="228"/>
  <c r="Z129" i="228"/>
  <c r="AA129" i="228"/>
  <c r="AI129" i="228"/>
  <c r="CB129" i="228" s="1"/>
  <c r="AR129" i="228"/>
  <c r="AU129" i="228" s="1"/>
  <c r="AY129" i="228"/>
  <c r="BB129" i="228"/>
  <c r="BF129" i="228"/>
  <c r="BG129" i="228"/>
  <c r="BH129" i="228"/>
  <c r="BI129" i="228"/>
  <c r="BP129" i="228"/>
  <c r="BR129" i="228"/>
  <c r="BT129" i="228"/>
  <c r="BU129" i="228" s="1"/>
  <c r="C130" i="228"/>
  <c r="D130" i="228"/>
  <c r="I130" i="228"/>
  <c r="M130" i="228"/>
  <c r="Z130" i="228"/>
  <c r="AA130" i="228"/>
  <c r="AI130" i="228"/>
  <c r="AZ130" i="228" s="1"/>
  <c r="AR130" i="228"/>
  <c r="AU130" i="228" s="1"/>
  <c r="AY130" i="228"/>
  <c r="BB130" i="228"/>
  <c r="BF130" i="228"/>
  <c r="BG130" i="228"/>
  <c r="BH130" i="228"/>
  <c r="BI130" i="228"/>
  <c r="BP130" i="228"/>
  <c r="BR130" i="228"/>
  <c r="BT130" i="228"/>
  <c r="BU130" i="228" s="1"/>
  <c r="C131" i="228"/>
  <c r="D131" i="228"/>
  <c r="I131" i="228"/>
  <c r="BV131" i="228" s="1"/>
  <c r="M131" i="228"/>
  <c r="Z131" i="228"/>
  <c r="AA131" i="228"/>
  <c r="AI131" i="228"/>
  <c r="AR131" i="228"/>
  <c r="AU131" i="228" s="1"/>
  <c r="AY131" i="228"/>
  <c r="BB131" i="228"/>
  <c r="BF131" i="228"/>
  <c r="BG131" i="228"/>
  <c r="BH131" i="228"/>
  <c r="BI131" i="228"/>
  <c r="BP131" i="228"/>
  <c r="BR131" i="228"/>
  <c r="BT131" i="228"/>
  <c r="BU131" i="228" s="1"/>
  <c r="C132" i="228"/>
  <c r="D132" i="228"/>
  <c r="I132" i="228"/>
  <c r="BV132" i="228" s="1"/>
  <c r="M132" i="228"/>
  <c r="Z132" i="228"/>
  <c r="AA132" i="228"/>
  <c r="AI132" i="228"/>
  <c r="AR132" i="228"/>
  <c r="AU132" i="228" s="1"/>
  <c r="AY132" i="228"/>
  <c r="BB132" i="228"/>
  <c r="BF132" i="228"/>
  <c r="BG132" i="228"/>
  <c r="BI132" i="228"/>
  <c r="BP132" i="228"/>
  <c r="BR132" i="228"/>
  <c r="BT132" i="228"/>
  <c r="BU132" i="228" s="1"/>
  <c r="C133" i="228"/>
  <c r="D133" i="228"/>
  <c r="I133" i="228"/>
  <c r="M133" i="228"/>
  <c r="Z133" i="228"/>
  <c r="AA133" i="228"/>
  <c r="AI133" i="228"/>
  <c r="AR133" i="228"/>
  <c r="AU133" i="228" s="1"/>
  <c r="AY133" i="228"/>
  <c r="BB133" i="228"/>
  <c r="BF133" i="228"/>
  <c r="BG133" i="228"/>
  <c r="BH133" i="228"/>
  <c r="BI133" i="228"/>
  <c r="BP133" i="228"/>
  <c r="BR133" i="228"/>
  <c r="BT133" i="228"/>
  <c r="BU133" i="228" s="1"/>
  <c r="C134" i="228"/>
  <c r="D134" i="228"/>
  <c r="I134" i="228"/>
  <c r="BV134" i="228" s="1"/>
  <c r="M134" i="228"/>
  <c r="Z134" i="228"/>
  <c r="AA134" i="228"/>
  <c r="AI134" i="228"/>
  <c r="AR134" i="228"/>
  <c r="AU134" i="228" s="1"/>
  <c r="AY134" i="228"/>
  <c r="BB134" i="228"/>
  <c r="BF134" i="228"/>
  <c r="BG134" i="228"/>
  <c r="BH134" i="228"/>
  <c r="BI134" i="228"/>
  <c r="BP134" i="228"/>
  <c r="BR134" i="228"/>
  <c r="BT134" i="228"/>
  <c r="BU134" i="228" s="1"/>
  <c r="C135" i="228"/>
  <c r="D135" i="228"/>
  <c r="I135" i="228"/>
  <c r="BV135" i="228" s="1"/>
  <c r="M135" i="228"/>
  <c r="Z135" i="228"/>
  <c r="AA135" i="228"/>
  <c r="AI135" i="228"/>
  <c r="AR135" i="228"/>
  <c r="AU135" i="228" s="1"/>
  <c r="AY135" i="228"/>
  <c r="BB135" i="228"/>
  <c r="BF135" i="228"/>
  <c r="BG135" i="228"/>
  <c r="BI135" i="228"/>
  <c r="BP135" i="228"/>
  <c r="BR135" i="228"/>
  <c r="BT135" i="228"/>
  <c r="BU135" i="228" s="1"/>
  <c r="C136" i="228"/>
  <c r="D136" i="228"/>
  <c r="I136" i="228"/>
  <c r="BV136" i="228" s="1"/>
  <c r="M136" i="228"/>
  <c r="Z136" i="228"/>
  <c r="AA136" i="228"/>
  <c r="AI136" i="228"/>
  <c r="AZ136" i="228" s="1"/>
  <c r="AR136" i="228"/>
  <c r="AU136" i="228" s="1"/>
  <c r="AY136" i="228"/>
  <c r="BB136" i="228"/>
  <c r="BF136" i="228"/>
  <c r="BG136" i="228"/>
  <c r="BH136" i="228"/>
  <c r="BI136" i="228"/>
  <c r="BP136" i="228"/>
  <c r="BR136" i="228"/>
  <c r="BT136" i="228"/>
  <c r="BU136" i="228" s="1"/>
  <c r="C137" i="228"/>
  <c r="D137" i="228"/>
  <c r="I137" i="228"/>
  <c r="M137" i="228"/>
  <c r="Z137" i="228"/>
  <c r="AA137" i="228"/>
  <c r="AI137" i="228"/>
  <c r="CB137" i="228" s="1"/>
  <c r="AR137" i="228"/>
  <c r="AU137" i="228" s="1"/>
  <c r="AY137" i="228"/>
  <c r="BB137" i="228"/>
  <c r="BF137" i="228"/>
  <c r="BG137" i="228"/>
  <c r="BH137" i="228"/>
  <c r="BI137" i="228"/>
  <c r="BP137" i="228"/>
  <c r="BR137" i="228"/>
  <c r="BT137" i="228"/>
  <c r="BU137" i="228" s="1"/>
  <c r="C138" i="228"/>
  <c r="D138" i="228"/>
  <c r="I138" i="228"/>
  <c r="M138" i="228"/>
  <c r="Z138" i="228"/>
  <c r="AA138" i="228"/>
  <c r="AI138" i="228"/>
  <c r="CA138" i="228" s="1"/>
  <c r="AR138" i="228"/>
  <c r="AU138" i="228" s="1"/>
  <c r="AY138" i="228"/>
  <c r="BB138" i="228"/>
  <c r="BF138" i="228"/>
  <c r="BG138" i="228"/>
  <c r="BI138" i="228"/>
  <c r="BP138" i="228"/>
  <c r="BR138" i="228"/>
  <c r="BT138" i="228"/>
  <c r="BU138" i="228" s="1"/>
  <c r="C139" i="228"/>
  <c r="D139" i="228"/>
  <c r="I139" i="228"/>
  <c r="BV139" i="228" s="1"/>
  <c r="M139" i="228"/>
  <c r="Z139" i="228"/>
  <c r="AA139" i="228"/>
  <c r="AI139" i="228"/>
  <c r="AR139" i="228"/>
  <c r="AU139" i="228" s="1"/>
  <c r="AY139" i="228"/>
  <c r="BB139" i="228"/>
  <c r="BG139" i="228"/>
  <c r="BI139" i="228"/>
  <c r="BP139" i="228"/>
  <c r="BR139" i="228"/>
  <c r="BT139" i="228"/>
  <c r="BU139" i="228" s="1"/>
  <c r="C140" i="228"/>
  <c r="D140" i="228"/>
  <c r="I140" i="228"/>
  <c r="M140" i="228"/>
  <c r="Z140" i="228"/>
  <c r="AA140" i="228"/>
  <c r="AI140" i="228"/>
  <c r="CB140" i="228" s="1"/>
  <c r="AR140" i="228"/>
  <c r="AU140" i="228" s="1"/>
  <c r="AY140" i="228"/>
  <c r="BB140" i="228"/>
  <c r="BF140" i="228"/>
  <c r="BH140" i="228"/>
  <c r="BI140" i="228"/>
  <c r="BP140" i="228"/>
  <c r="BR140" i="228"/>
  <c r="BT140" i="228"/>
  <c r="BU140" i="228" s="1"/>
  <c r="C141" i="228"/>
  <c r="D141" i="228"/>
  <c r="I141" i="228"/>
  <c r="M141" i="228"/>
  <c r="X141" i="228"/>
  <c r="Y141" i="228"/>
  <c r="AI141" i="228"/>
  <c r="AR141" i="228"/>
  <c r="AU141" i="228" s="1"/>
  <c r="AY141" i="228"/>
  <c r="BB141" i="228"/>
  <c r="BF141" i="228"/>
  <c r="BG141" i="228"/>
  <c r="BI141" i="228"/>
  <c r="BP141" i="228"/>
  <c r="BR141" i="228"/>
  <c r="BT141" i="228"/>
  <c r="BU141" i="228" s="1"/>
  <c r="C142" i="228"/>
  <c r="D142" i="228"/>
  <c r="I142" i="228"/>
  <c r="BV142" i="228" s="1"/>
  <c r="M142" i="228"/>
  <c r="X142" i="228"/>
  <c r="Y142" i="228"/>
  <c r="AI142" i="228"/>
  <c r="CB142" i="228" s="1"/>
  <c r="AR142" i="228"/>
  <c r="AU142" i="228" s="1"/>
  <c r="AY142" i="228"/>
  <c r="BB142" i="228"/>
  <c r="BF142" i="228"/>
  <c r="BG142" i="228"/>
  <c r="BI142" i="228"/>
  <c r="BP142" i="228"/>
  <c r="BR142" i="228"/>
  <c r="BT142" i="228"/>
  <c r="BU142" i="228" s="1"/>
  <c r="C143" i="228"/>
  <c r="D143" i="228"/>
  <c r="J143" i="228"/>
  <c r="I143" i="228" s="1"/>
  <c r="BV143" i="228" s="1"/>
  <c r="M143" i="228"/>
  <c r="X143" i="228"/>
  <c r="AA143" i="228" s="1"/>
  <c r="Y143" i="228"/>
  <c r="AI143" i="228"/>
  <c r="CB143" i="228" s="1"/>
  <c r="AR143" i="228"/>
  <c r="AU143" i="228" s="1"/>
  <c r="AY143" i="228"/>
  <c r="BB143" i="228"/>
  <c r="BF143" i="228"/>
  <c r="BG143" i="228"/>
  <c r="BH143" i="228"/>
  <c r="BI143" i="228"/>
  <c r="BP143" i="228"/>
  <c r="BR143" i="228"/>
  <c r="BT143" i="228"/>
  <c r="BU143" i="228" s="1"/>
  <c r="C144" i="228"/>
  <c r="D144" i="228"/>
  <c r="I144" i="228"/>
  <c r="M144" i="228"/>
  <c r="X144" i="228"/>
  <c r="AA144" i="228" s="1"/>
  <c r="Y144" i="228"/>
  <c r="AI144" i="228"/>
  <c r="AZ144" i="228" s="1"/>
  <c r="AR144" i="228"/>
  <c r="AU144" i="228" s="1"/>
  <c r="AY144" i="228"/>
  <c r="BB144" i="228"/>
  <c r="BG144" i="228"/>
  <c r="BH144" i="228"/>
  <c r="BI144" i="228"/>
  <c r="BP144" i="228"/>
  <c r="BR144" i="228"/>
  <c r="BT144" i="228"/>
  <c r="BU144" i="228" s="1"/>
  <c r="C145" i="228"/>
  <c r="D145" i="228"/>
  <c r="I145" i="228"/>
  <c r="BV145" i="228" s="1"/>
  <c r="M145" i="228"/>
  <c r="Z145" i="228"/>
  <c r="AA145" i="228"/>
  <c r="AI145" i="228"/>
  <c r="AR145" i="228"/>
  <c r="AU145" i="228" s="1"/>
  <c r="AY145" i="228"/>
  <c r="BB145" i="228"/>
  <c r="BF145" i="228"/>
  <c r="BG145" i="228"/>
  <c r="BP145" i="228"/>
  <c r="BR145" i="228"/>
  <c r="BT145" i="228"/>
  <c r="BU145" i="228" s="1"/>
  <c r="C146" i="228"/>
  <c r="D146" i="228"/>
  <c r="I146" i="228"/>
  <c r="M146" i="228"/>
  <c r="Z146" i="228"/>
  <c r="AA146" i="228"/>
  <c r="AI146" i="228"/>
  <c r="AR146" i="228"/>
  <c r="AU146" i="228" s="1"/>
  <c r="AY146" i="228"/>
  <c r="BB146" i="228"/>
  <c r="BF146" i="228"/>
  <c r="BH146" i="228"/>
  <c r="BI146" i="228"/>
  <c r="BP146" i="228"/>
  <c r="BR146" i="228"/>
  <c r="BT146" i="228"/>
  <c r="BU146" i="228" s="1"/>
  <c r="C147" i="228"/>
  <c r="D147" i="228"/>
  <c r="J147" i="228"/>
  <c r="I147" i="228" s="1"/>
  <c r="BV147" i="228" s="1"/>
  <c r="M147" i="228"/>
  <c r="Z147" i="228"/>
  <c r="AA147" i="228"/>
  <c r="AI147" i="228"/>
  <c r="AR147" i="228"/>
  <c r="AU147" i="228" s="1"/>
  <c r="AY147" i="228"/>
  <c r="BB147" i="228"/>
  <c r="BF147" i="228"/>
  <c r="BG147" i="228"/>
  <c r="BH147" i="228"/>
  <c r="BI147" i="228"/>
  <c r="BP147" i="228"/>
  <c r="BR147" i="228"/>
  <c r="BT147" i="228"/>
  <c r="BU147" i="228" s="1"/>
  <c r="C148" i="228"/>
  <c r="D148" i="228"/>
  <c r="J148" i="228"/>
  <c r="I148" i="228" s="1"/>
  <c r="BV148" i="228" s="1"/>
  <c r="M148" i="228"/>
  <c r="Z148" i="228"/>
  <c r="AA148" i="228"/>
  <c r="AI148" i="228"/>
  <c r="CA148" i="228" s="1"/>
  <c r="AR148" i="228"/>
  <c r="AU148" i="228" s="1"/>
  <c r="AY148" i="228"/>
  <c r="BB148" i="228"/>
  <c r="BD148" i="228"/>
  <c r="BE148" i="228"/>
  <c r="BJ148" i="228"/>
  <c r="BX148" i="228" s="1"/>
  <c r="BP148" i="228"/>
  <c r="BR148" i="228"/>
  <c r="BT148" i="228"/>
  <c r="BU148" i="228" s="1"/>
  <c r="C149" i="228"/>
  <c r="D149" i="228"/>
  <c r="I149" i="228"/>
  <c r="BV149" i="228" s="1"/>
  <c r="M149" i="228"/>
  <c r="Z149" i="228"/>
  <c r="AA149" i="228"/>
  <c r="AI149" i="228"/>
  <c r="AR149" i="228"/>
  <c r="AU149" i="228" s="1"/>
  <c r="AY149" i="228"/>
  <c r="BB149" i="228"/>
  <c r="BF149" i="228"/>
  <c r="BG149" i="228"/>
  <c r="BI149" i="228"/>
  <c r="BP149" i="228"/>
  <c r="BR149" i="228"/>
  <c r="BT149" i="228"/>
  <c r="BU149" i="228" s="1"/>
  <c r="C150" i="228"/>
  <c r="D150" i="228"/>
  <c r="I150" i="228"/>
  <c r="BV150" i="228" s="1"/>
  <c r="M150" i="228"/>
  <c r="Z150" i="228"/>
  <c r="AA150" i="228"/>
  <c r="AI150" i="228"/>
  <c r="CA150" i="228" s="1"/>
  <c r="AR150" i="228"/>
  <c r="AU150" i="228" s="1"/>
  <c r="AY150" i="228"/>
  <c r="BB150" i="228"/>
  <c r="BG150" i="228"/>
  <c r="BO150" i="228" s="1"/>
  <c r="BP150" i="228"/>
  <c r="BR150" i="228"/>
  <c r="BT150" i="228"/>
  <c r="BU150" i="228" s="1"/>
  <c r="C151" i="228"/>
  <c r="D151" i="228"/>
  <c r="I151" i="228"/>
  <c r="BV151" i="228" s="1"/>
  <c r="M151" i="228"/>
  <c r="Z151" i="228"/>
  <c r="AA151" i="228"/>
  <c r="AI151" i="228"/>
  <c r="CB151" i="228" s="1"/>
  <c r="AR151" i="228"/>
  <c r="AU151" i="228" s="1"/>
  <c r="AY151" i="228"/>
  <c r="BB151" i="228"/>
  <c r="BG151" i="228"/>
  <c r="BI151" i="228"/>
  <c r="BP151" i="228"/>
  <c r="BR151" i="228"/>
  <c r="BT151" i="228"/>
  <c r="BU151" i="228" s="1"/>
  <c r="C152" i="228"/>
  <c r="D152" i="228"/>
  <c r="I152" i="228"/>
  <c r="M152" i="228"/>
  <c r="Z152" i="228"/>
  <c r="AA152" i="228"/>
  <c r="AI152" i="228"/>
  <c r="AR152" i="228"/>
  <c r="AU152" i="228" s="1"/>
  <c r="AY152" i="228"/>
  <c r="BB152" i="228"/>
  <c r="BG152" i="228"/>
  <c r="BI152" i="228"/>
  <c r="BP152" i="228"/>
  <c r="BR152" i="228"/>
  <c r="BT152" i="228"/>
  <c r="BU152" i="228" s="1"/>
  <c r="C153" i="228"/>
  <c r="D153" i="228"/>
  <c r="I153" i="228"/>
  <c r="M153" i="228"/>
  <c r="Z153" i="228"/>
  <c r="AA153" i="228"/>
  <c r="AI153" i="228"/>
  <c r="CA153" i="228" s="1"/>
  <c r="AR153" i="228"/>
  <c r="AU153" i="228" s="1"/>
  <c r="AY153" i="228"/>
  <c r="BB153" i="228"/>
  <c r="BF153" i="228"/>
  <c r="BH153" i="228"/>
  <c r="BI153" i="228"/>
  <c r="BP153" i="228"/>
  <c r="BR153" i="228"/>
  <c r="BT153" i="228"/>
  <c r="BU153" i="228" s="1"/>
  <c r="C154" i="228"/>
  <c r="D154" i="228"/>
  <c r="I154" i="228"/>
  <c r="M154" i="228"/>
  <c r="Z154" i="228"/>
  <c r="AA154" i="228"/>
  <c r="AI154" i="228"/>
  <c r="CB154" i="228" s="1"/>
  <c r="AR154" i="228"/>
  <c r="AU154" i="228" s="1"/>
  <c r="AY154" i="228"/>
  <c r="BB154" i="228"/>
  <c r="BF154" i="228"/>
  <c r="BG154" i="228"/>
  <c r="BH154" i="228"/>
  <c r="BI154" i="228"/>
  <c r="BP154" i="228"/>
  <c r="BR154" i="228"/>
  <c r="BT154" i="228"/>
  <c r="BU154" i="228" s="1"/>
  <c r="C155" i="228"/>
  <c r="D155" i="228"/>
  <c r="I155" i="228"/>
  <c r="BV155" i="228" s="1"/>
  <c r="M155" i="228"/>
  <c r="Z155" i="228"/>
  <c r="AA155" i="228"/>
  <c r="AI155" i="228"/>
  <c r="CA155" i="228" s="1"/>
  <c r="AR155" i="228"/>
  <c r="AU155" i="228" s="1"/>
  <c r="AY155" i="228"/>
  <c r="BB155" i="228"/>
  <c r="BF155" i="228"/>
  <c r="BG155" i="228"/>
  <c r="BH155" i="228"/>
  <c r="BI155" i="228"/>
  <c r="BP155" i="228"/>
  <c r="BR155" i="228"/>
  <c r="BT155" i="228"/>
  <c r="BU155" i="228" s="1"/>
  <c r="C156" i="228"/>
  <c r="D156" i="228"/>
  <c r="I156" i="228"/>
  <c r="BV156" i="228" s="1"/>
  <c r="M156" i="228"/>
  <c r="Z156" i="228"/>
  <c r="AA156" i="228"/>
  <c r="AI156" i="228"/>
  <c r="AZ156" i="228" s="1"/>
  <c r="AR156" i="228"/>
  <c r="AU156" i="228" s="1"/>
  <c r="AY156" i="228"/>
  <c r="BB156" i="228"/>
  <c r="BF156" i="228"/>
  <c r="BG156" i="228"/>
  <c r="BH156" i="228"/>
  <c r="BI156" i="228"/>
  <c r="BP156" i="228"/>
  <c r="BR156" i="228"/>
  <c r="BT156" i="228"/>
  <c r="BU156" i="228" s="1"/>
  <c r="C157" i="228"/>
  <c r="D157" i="228"/>
  <c r="I157" i="228"/>
  <c r="M157" i="228"/>
  <c r="Z157" i="228"/>
  <c r="AA157" i="228"/>
  <c r="AI157" i="228"/>
  <c r="CB157" i="228" s="1"/>
  <c r="AR157" i="228"/>
  <c r="AU157" i="228" s="1"/>
  <c r="AY157" i="228"/>
  <c r="BB157" i="228"/>
  <c r="BF157" i="228"/>
  <c r="BG157" i="228"/>
  <c r="BH157" i="228"/>
  <c r="BP157" i="228"/>
  <c r="BR157" i="228"/>
  <c r="BT157" i="228"/>
  <c r="BU157" i="228" s="1"/>
  <c r="C158" i="228"/>
  <c r="D158" i="228"/>
  <c r="I158" i="228"/>
  <c r="M158" i="228"/>
  <c r="Z158" i="228"/>
  <c r="AA158" i="228"/>
  <c r="AI158" i="228"/>
  <c r="AZ158" i="228" s="1"/>
  <c r="AR158" i="228"/>
  <c r="AU158" i="228" s="1"/>
  <c r="AY158" i="228"/>
  <c r="BB158" i="228"/>
  <c r="BO158" i="228"/>
  <c r="BP158" i="228"/>
  <c r="BR158" i="228"/>
  <c r="BT158" i="228"/>
  <c r="BU158" i="228" s="1"/>
  <c r="BX158" i="228"/>
  <c r="C159" i="228"/>
  <c r="D159" i="228"/>
  <c r="I159" i="228"/>
  <c r="M159" i="228"/>
  <c r="Z159" i="228"/>
  <c r="AA159" i="228"/>
  <c r="AI159" i="228"/>
  <c r="CA159" i="228" s="1"/>
  <c r="AR159" i="228"/>
  <c r="AU159" i="228" s="1"/>
  <c r="AY159" i="228"/>
  <c r="BB159" i="228"/>
  <c r="BO159" i="228"/>
  <c r="BP159" i="228"/>
  <c r="BR159" i="228"/>
  <c r="BT159" i="228"/>
  <c r="BU159" i="228" s="1"/>
  <c r="BX159" i="228"/>
  <c r="C160" i="228"/>
  <c r="D160" i="228"/>
  <c r="I160" i="228"/>
  <c r="BV160" i="228" s="1"/>
  <c r="M160" i="228"/>
  <c r="X160" i="228"/>
  <c r="AA160" i="228" s="1"/>
  <c r="Y160" i="228"/>
  <c r="AI160" i="228"/>
  <c r="AZ160" i="228" s="1"/>
  <c r="AR160" i="228"/>
  <c r="AU160" i="228" s="1"/>
  <c r="AY160" i="228"/>
  <c r="BB160" i="228"/>
  <c r="BO160" i="228"/>
  <c r="BP160" i="228"/>
  <c r="BR160" i="228"/>
  <c r="BT160" i="228"/>
  <c r="BU160" i="228" s="1"/>
  <c r="BX160" i="228"/>
  <c r="C161" i="228"/>
  <c r="D161" i="228"/>
  <c r="I161" i="228"/>
  <c r="BV161" i="228" s="1"/>
  <c r="M161" i="228"/>
  <c r="X161" i="228"/>
  <c r="AA161" i="228" s="1"/>
  <c r="Y161" i="228"/>
  <c r="AI161" i="228"/>
  <c r="AZ161" i="228" s="1"/>
  <c r="AR161" i="228"/>
  <c r="AU161" i="228" s="1"/>
  <c r="AY161" i="228"/>
  <c r="BB161" i="228"/>
  <c r="BD161" i="228"/>
  <c r="BE161" i="228"/>
  <c r="BF161" i="228"/>
  <c r="BG161" i="228"/>
  <c r="BJ161" i="228"/>
  <c r="BP161" i="228"/>
  <c r="BR161" i="228"/>
  <c r="BT161" i="228"/>
  <c r="BU161" i="228" s="1"/>
  <c r="BO68" i="228" l="1"/>
  <c r="BO93" i="228"/>
  <c r="BR42" i="228"/>
  <c r="CH42" i="228" s="1" a="1"/>
  <c r="BO7" i="228"/>
  <c r="BO152" i="228"/>
  <c r="Z97" i="228"/>
  <c r="BO50" i="228"/>
  <c r="Z82" i="228"/>
  <c r="BO75" i="228"/>
  <c r="Z143" i="228"/>
  <c r="BO28" i="228"/>
  <c r="BX69" i="228"/>
  <c r="BY69" i="228" s="1"/>
  <c r="BZ69" i="228" s="1"/>
  <c r="BO100" i="228"/>
  <c r="BX62" i="228"/>
  <c r="BY62" i="228" s="1"/>
  <c r="BZ62" i="228" s="1"/>
  <c r="BX21" i="228"/>
  <c r="BY21" i="228" s="1"/>
  <c r="BZ21" i="228" s="1"/>
  <c r="BO5" i="228"/>
  <c r="BX87" i="228"/>
  <c r="BY87" i="228" s="1"/>
  <c r="BZ87" i="228" s="1"/>
  <c r="BO38" i="228"/>
  <c r="BO161" i="228"/>
  <c r="Z116" i="228"/>
  <c r="BX58" i="228"/>
  <c r="BY58" i="228" s="1"/>
  <c r="BZ58" i="228" s="1"/>
  <c r="AM154" i="228"/>
  <c r="AQ154" i="228" s="1"/>
  <c r="BV154" i="228"/>
  <c r="AM4" i="228"/>
  <c r="AQ4" i="228" s="1"/>
  <c r="BV4" i="228"/>
  <c r="U159" i="228"/>
  <c r="BV159" i="228"/>
  <c r="U119" i="228"/>
  <c r="BV119" i="228"/>
  <c r="AM104" i="228"/>
  <c r="AQ104" i="228" s="1"/>
  <c r="BV104" i="228"/>
  <c r="AM153" i="228"/>
  <c r="AQ153" i="228" s="1"/>
  <c r="BV153" i="228"/>
  <c r="U98" i="228"/>
  <c r="BV98" i="228"/>
  <c r="AM89" i="228"/>
  <c r="AQ89" i="228" s="1"/>
  <c r="BV89" i="228"/>
  <c r="AM47" i="228"/>
  <c r="AQ47" i="228" s="1"/>
  <c r="BV47" i="228"/>
  <c r="AM42" i="228"/>
  <c r="AQ42" i="228" s="1"/>
  <c r="BV42" i="228"/>
  <c r="U22" i="228"/>
  <c r="BV22" i="228"/>
  <c r="U13" i="228"/>
  <c r="BV13" i="228"/>
  <c r="AM40" i="228"/>
  <c r="AQ40" i="228" s="1"/>
  <c r="BV40" i="228"/>
  <c r="AM116" i="228"/>
  <c r="AQ116" i="228" s="1"/>
  <c r="BV116" i="228"/>
  <c r="U158" i="228"/>
  <c r="BV158" i="228"/>
  <c r="AM146" i="228"/>
  <c r="AQ146" i="228" s="1"/>
  <c r="BV146" i="228"/>
  <c r="U140" i="228"/>
  <c r="BV140" i="228"/>
  <c r="AM137" i="228"/>
  <c r="AQ137" i="228" s="1"/>
  <c r="BV137" i="228"/>
  <c r="AM109" i="228"/>
  <c r="AQ109" i="228" s="1"/>
  <c r="BV109" i="228"/>
  <c r="AM52" i="228"/>
  <c r="AQ52" i="228" s="1"/>
  <c r="BV52" i="228"/>
  <c r="U39" i="228"/>
  <c r="BV39" i="228"/>
  <c r="AM36" i="228"/>
  <c r="AQ36" i="228" s="1"/>
  <c r="BV36" i="228"/>
  <c r="U10" i="228"/>
  <c r="BV10" i="228"/>
  <c r="U133" i="228"/>
  <c r="BV133" i="228"/>
  <c r="AM128" i="228"/>
  <c r="AQ128" i="228" s="1"/>
  <c r="BV128" i="228"/>
  <c r="AM67" i="228"/>
  <c r="AQ67" i="228" s="1"/>
  <c r="BV67" i="228"/>
  <c r="U62" i="228"/>
  <c r="BV62" i="228"/>
  <c r="U101" i="228"/>
  <c r="BV101" i="228"/>
  <c r="U27" i="228"/>
  <c r="BV27" i="228"/>
  <c r="U6" i="228"/>
  <c r="BV6" i="228"/>
  <c r="U138" i="228"/>
  <c r="BV138" i="228"/>
  <c r="U152" i="228"/>
  <c r="BV152" i="228"/>
  <c r="AM129" i="228"/>
  <c r="AQ129" i="228" s="1"/>
  <c r="BV129" i="228"/>
  <c r="U97" i="228"/>
  <c r="BV97" i="228"/>
  <c r="AM94" i="228"/>
  <c r="AQ94" i="228" s="1"/>
  <c r="BV94" i="228"/>
  <c r="U66" i="228"/>
  <c r="BV66" i="228"/>
  <c r="U19" i="228"/>
  <c r="BV19" i="228"/>
  <c r="U16" i="228"/>
  <c r="BV16" i="228"/>
  <c r="AM144" i="228"/>
  <c r="AQ144" i="228" s="1"/>
  <c r="BV144" i="228"/>
  <c r="AM88" i="228"/>
  <c r="AQ88" i="228" s="1"/>
  <c r="BV88" i="228"/>
  <c r="U61" i="228"/>
  <c r="BV61" i="228"/>
  <c r="U34" i="228"/>
  <c r="BV34" i="228"/>
  <c r="AM28" i="228"/>
  <c r="AQ28" i="228" s="1"/>
  <c r="BV28" i="228"/>
  <c r="AM100" i="228"/>
  <c r="AQ100" i="228" s="1"/>
  <c r="BV100" i="228"/>
  <c r="U5" i="228"/>
  <c r="BV5" i="228"/>
  <c r="U84" i="228"/>
  <c r="BV84" i="228"/>
  <c r="U95" i="228"/>
  <c r="BV95" i="228"/>
  <c r="AM105" i="228"/>
  <c r="AQ105" i="228" s="1"/>
  <c r="BV105" i="228"/>
  <c r="U71" i="228"/>
  <c r="BV71" i="228"/>
  <c r="AM54" i="228"/>
  <c r="AQ54" i="228" s="1"/>
  <c r="BV54" i="228"/>
  <c r="AM15" i="228"/>
  <c r="AQ15" i="228" s="1"/>
  <c r="BV15" i="228"/>
  <c r="U141" i="228"/>
  <c r="BV141" i="228"/>
  <c r="U56" i="228"/>
  <c r="BV56" i="228"/>
  <c r="U130" i="228"/>
  <c r="BV130" i="228"/>
  <c r="U125" i="228"/>
  <c r="BV125" i="228"/>
  <c r="U157" i="228"/>
  <c r="BV157" i="228"/>
  <c r="U117" i="228"/>
  <c r="BV117" i="228"/>
  <c r="U82" i="228"/>
  <c r="BV82" i="228"/>
  <c r="U43" i="228"/>
  <c r="BV43" i="228"/>
  <c r="AM29" i="228"/>
  <c r="AQ29" i="228" s="1"/>
  <c r="BV29" i="228"/>
  <c r="U23" i="228"/>
  <c r="BV23" i="228"/>
  <c r="CH99" i="228" a="1"/>
  <c r="CH69" i="228" a="1"/>
  <c r="Z123" i="228"/>
  <c r="BO83" i="228"/>
  <c r="Z124" i="228"/>
  <c r="BX120" i="228"/>
  <c r="BY120" i="228" s="1"/>
  <c r="BZ120" i="228" s="1"/>
  <c r="BO107" i="228"/>
  <c r="AM148" i="228"/>
  <c r="AQ148" i="228" s="1"/>
  <c r="BO18" i="228"/>
  <c r="Z42" i="228"/>
  <c r="BX100" i="228"/>
  <c r="BY100" i="228" s="1"/>
  <c r="BZ100" i="228" s="1"/>
  <c r="BX103" i="228"/>
  <c r="BY103" i="228" s="1"/>
  <c r="BZ103" i="228" s="1"/>
  <c r="BO105" i="228"/>
  <c r="BO106" i="228"/>
  <c r="Z112" i="228"/>
  <c r="BO112" i="228"/>
  <c r="BO114" i="228"/>
  <c r="Z115" i="228"/>
  <c r="BX129" i="228"/>
  <c r="BY129" i="228" s="1"/>
  <c r="BZ129" i="228" s="1"/>
  <c r="BO144" i="228"/>
  <c r="BO153" i="228"/>
  <c r="CH159" i="228" a="1"/>
  <c r="CH8" i="228" a="1"/>
  <c r="CH19" i="228" a="1"/>
  <c r="CH93" i="228" a="1"/>
  <c r="AZ153" i="228"/>
  <c r="CH111" i="228" a="1"/>
  <c r="BO127" i="228"/>
  <c r="BO122" i="228"/>
  <c r="BO77" i="228"/>
  <c r="BX141" i="228"/>
  <c r="BY141" i="228" s="1"/>
  <c r="BZ141" i="228" s="1"/>
  <c r="CH55" i="228" a="1"/>
  <c r="BX155" i="228"/>
  <c r="BY155" i="228" s="1"/>
  <c r="BZ155" i="228" s="1"/>
  <c r="BX135" i="228"/>
  <c r="BY135" i="228" s="1"/>
  <c r="BZ135" i="228" s="1"/>
  <c r="AJ131" i="228"/>
  <c r="CH14" i="228" a="1"/>
  <c r="BO157" i="228"/>
  <c r="Z100" i="228"/>
  <c r="BX97" i="228"/>
  <c r="AA112" i="228"/>
  <c r="BO111" i="228"/>
  <c r="BX47" i="228"/>
  <c r="BY47" i="228" s="1"/>
  <c r="BZ47" i="228" s="1"/>
  <c r="Z46" i="228"/>
  <c r="BX31" i="228"/>
  <c r="BY31" i="228" s="1"/>
  <c r="BZ31" i="228" s="1"/>
  <c r="BO14" i="228"/>
  <c r="CH107" i="228" a="1"/>
  <c r="CH41" i="228" a="1"/>
  <c r="BX151" i="228"/>
  <c r="BY151" i="228" s="1"/>
  <c r="BZ151" i="228" s="1"/>
  <c r="BX11" i="228"/>
  <c r="BY11" i="228" s="1"/>
  <c r="BZ11" i="228" s="1"/>
  <c r="BO44" i="228"/>
  <c r="BX41" i="228"/>
  <c r="BY41" i="228" s="1"/>
  <c r="BZ41" i="228" s="1"/>
  <c r="CH141" i="228" a="1"/>
  <c r="BR96" i="228"/>
  <c r="CH96" i="228" s="1" a="1"/>
  <c r="BX33" i="228"/>
  <c r="BY33" i="228" s="1"/>
  <c r="BZ33" i="228" s="1"/>
  <c r="BX79" i="228"/>
  <c r="BY79" i="228" s="1"/>
  <c r="BZ79" i="228" s="1"/>
  <c r="Z47" i="228"/>
  <c r="BY15" i="228"/>
  <c r="BZ15" i="228" s="1"/>
  <c r="BO109" i="228"/>
  <c r="BO48" i="228"/>
  <c r="BX43" i="228"/>
  <c r="BX19" i="228"/>
  <c r="BY19" i="228" s="1"/>
  <c r="BZ19" i="228" s="1"/>
  <c r="CH18" i="228" a="1"/>
  <c r="BX147" i="228"/>
  <c r="BY147" i="228" s="1"/>
  <c r="BZ147" i="228" s="1"/>
  <c r="CH26" i="228" a="1"/>
  <c r="Z119" i="228"/>
  <c r="BX52" i="228"/>
  <c r="BY52" i="228" s="1"/>
  <c r="BZ52" i="228" s="1"/>
  <c r="CA26" i="228"/>
  <c r="BO137" i="228"/>
  <c r="AA115" i="228"/>
  <c r="BX127" i="228"/>
  <c r="BY127" i="228" s="1"/>
  <c r="BZ127" i="228" s="1"/>
  <c r="Z118" i="228"/>
  <c r="BR97" i="228"/>
  <c r="CF97" i="228" s="1"/>
  <c r="BR95" i="228"/>
  <c r="BQ95" i="228" s="1"/>
  <c r="CH87" i="228" a="1"/>
  <c r="BO37" i="228"/>
  <c r="CH36" i="228" a="1"/>
  <c r="BO4" i="228"/>
  <c r="BX156" i="228"/>
  <c r="BY156" i="228" s="1"/>
  <c r="BZ156" i="228" s="1"/>
  <c r="BO128" i="228"/>
  <c r="Z78" i="228"/>
  <c r="BX61" i="228"/>
  <c r="BY61" i="228" s="1"/>
  <c r="BZ61" i="228" s="1"/>
  <c r="BO116" i="228"/>
  <c r="BX93" i="228"/>
  <c r="BY93" i="228" s="1"/>
  <c r="BZ93" i="228" s="1"/>
  <c r="CH84" i="228" a="1"/>
  <c r="BX80" i="228"/>
  <c r="BY80" i="228" s="1"/>
  <c r="BZ80" i="228" s="1"/>
  <c r="BX73" i="228"/>
  <c r="BY73" i="228" s="1"/>
  <c r="BZ73" i="228" s="1"/>
  <c r="BO62" i="228"/>
  <c r="BO57" i="228"/>
  <c r="CH3" i="228" a="1"/>
  <c r="BO103" i="228"/>
  <c r="BO124" i="228"/>
  <c r="BO102" i="228"/>
  <c r="BO80" i="228"/>
  <c r="BO64" i="228"/>
  <c r="BO59" i="228"/>
  <c r="BR43" i="228"/>
  <c r="CH43" i="228" s="1" a="1"/>
  <c r="BX10" i="228"/>
  <c r="BY10" i="228" s="1"/>
  <c r="BZ10" i="228" s="1"/>
  <c r="BX5" i="228"/>
  <c r="BY5" i="228" s="1"/>
  <c r="BZ5" i="228" s="1"/>
  <c r="BX91" i="228"/>
  <c r="BY91" i="228" s="1"/>
  <c r="BZ91" i="228" s="1"/>
  <c r="BX152" i="228"/>
  <c r="BY152" i="228" s="1"/>
  <c r="BZ152" i="228" s="1"/>
  <c r="BO82" i="228"/>
  <c r="CB27" i="228"/>
  <c r="CH156" i="228" a="1"/>
  <c r="CH115" i="228" a="1"/>
  <c r="BO156" i="228"/>
  <c r="BO133" i="228"/>
  <c r="Z83" i="228"/>
  <c r="BX59" i="228"/>
  <c r="BY59" i="228" s="1"/>
  <c r="BZ59" i="228" s="1"/>
  <c r="CH45" i="228" a="1"/>
  <c r="BO140" i="228"/>
  <c r="AA100" i="228"/>
  <c r="CH58" i="228" a="1"/>
  <c r="AA42" i="228"/>
  <c r="CH17" i="228" a="1"/>
  <c r="Z4" i="228"/>
  <c r="CH140" i="228" a="1"/>
  <c r="BX154" i="228"/>
  <c r="BY154" i="228" s="1"/>
  <c r="BZ154" i="228" s="1"/>
  <c r="BX150" i="228"/>
  <c r="BY150" i="228" s="1"/>
  <c r="BZ150" i="228" s="1"/>
  <c r="CH147" i="228" a="1"/>
  <c r="Z144" i="228"/>
  <c r="BO126" i="228"/>
  <c r="CH125" i="228" a="1"/>
  <c r="AA119" i="228"/>
  <c r="CH88" i="228" a="1"/>
  <c r="BO52" i="228"/>
  <c r="BO27" i="228"/>
  <c r="BX20" i="228"/>
  <c r="BY20" i="228" s="1"/>
  <c r="BZ20" i="228" s="1"/>
  <c r="BX142" i="228"/>
  <c r="BY142" i="228" s="1"/>
  <c r="BZ142" i="228" s="1"/>
  <c r="BX102" i="228"/>
  <c r="BY102" i="228" s="1"/>
  <c r="BZ102" i="228" s="1"/>
  <c r="BO104" i="228"/>
  <c r="BO91" i="228"/>
  <c r="BO132" i="228"/>
  <c r="BO6" i="228"/>
  <c r="Z160" i="228"/>
  <c r="BO146" i="228"/>
  <c r="BX136" i="228"/>
  <c r="BY136" i="228" s="1"/>
  <c r="BZ136" i="228" s="1"/>
  <c r="BX125" i="228"/>
  <c r="BY125" i="228" s="1"/>
  <c r="BZ125" i="228" s="1"/>
  <c r="BX114" i="228"/>
  <c r="BY114" i="228" s="1"/>
  <c r="BZ114" i="228" s="1"/>
  <c r="CH101" i="228" a="1"/>
  <c r="BX83" i="228"/>
  <c r="BY83" i="228" s="1"/>
  <c r="BZ83" i="228" s="1"/>
  <c r="Z74" i="228"/>
  <c r="BX48" i="228"/>
  <c r="BY48" i="228" s="1"/>
  <c r="BZ48" i="228" s="1"/>
  <c r="BP43" i="228"/>
  <c r="BO31" i="228"/>
  <c r="BO24" i="228"/>
  <c r="BO9" i="228"/>
  <c r="BX126" i="228"/>
  <c r="BY126" i="228" s="1"/>
  <c r="BZ126" i="228" s="1"/>
  <c r="CH56" i="228" a="1"/>
  <c r="BX44" i="228"/>
  <c r="BY44" i="228" s="1"/>
  <c r="BZ44" i="228" s="1"/>
  <c r="Z16" i="228"/>
  <c r="BO148" i="228"/>
  <c r="BO141" i="228"/>
  <c r="BO134" i="228"/>
  <c r="BX124" i="228"/>
  <c r="BY124" i="228" s="1"/>
  <c r="BZ124" i="228" s="1"/>
  <c r="BX121" i="228"/>
  <c r="BY121" i="228" s="1"/>
  <c r="BZ121" i="228" s="1"/>
  <c r="CH113" i="228" a="1"/>
  <c r="Z111" i="228"/>
  <c r="BO110" i="228"/>
  <c r="BO108" i="228"/>
  <c r="Z84" i="228"/>
  <c r="BX72" i="228"/>
  <c r="BY72" i="228" s="1"/>
  <c r="BZ72" i="228" s="1"/>
  <c r="Z66" i="228"/>
  <c r="BX50" i="228"/>
  <c r="BY50" i="228" s="1"/>
  <c r="BZ50" i="228" s="1"/>
  <c r="BO149" i="228"/>
  <c r="BO85" i="228"/>
  <c r="BO129" i="228"/>
  <c r="BO120" i="228"/>
  <c r="BX113" i="228"/>
  <c r="BY113" i="228" s="1"/>
  <c r="BZ113" i="228" s="1"/>
  <c r="CH94" i="228" a="1"/>
  <c r="BO90" i="228"/>
  <c r="BX77" i="228"/>
  <c r="BY77" i="228" s="1"/>
  <c r="BZ77" i="228" s="1"/>
  <c r="BX27" i="228"/>
  <c r="BY27" i="228" s="1"/>
  <c r="BZ27" i="228" s="1"/>
  <c r="BO23" i="228"/>
  <c r="CH7" i="228" a="1"/>
  <c r="BX4" i="228"/>
  <c r="BY4" i="228" s="1"/>
  <c r="BZ4" i="228" s="1"/>
  <c r="BO70" i="228"/>
  <c r="BX57" i="228"/>
  <c r="BY57" i="228" s="1"/>
  <c r="BZ57" i="228" s="1"/>
  <c r="BO17" i="228"/>
  <c r="BX101" i="228"/>
  <c r="BY101" i="228" s="1"/>
  <c r="BZ101" i="228" s="1"/>
  <c r="CH80" i="228" a="1"/>
  <c r="BO79" i="228"/>
  <c r="BO130" i="228"/>
  <c r="BO29" i="228"/>
  <c r="BO155" i="228"/>
  <c r="BX132" i="228"/>
  <c r="BY132" i="228" s="1"/>
  <c r="BZ132" i="228" s="1"/>
  <c r="BO131" i="228"/>
  <c r="BO87" i="228"/>
  <c r="BX76" i="228"/>
  <c r="BY76" i="228" s="1"/>
  <c r="BZ76" i="228" s="1"/>
  <c r="BX70" i="228"/>
  <c r="BY70" i="228" s="1"/>
  <c r="BZ70" i="228" s="1"/>
  <c r="CH68" i="228" a="1"/>
  <c r="BO47" i="228"/>
  <c r="CH44" i="228" a="1"/>
  <c r="BX38" i="228"/>
  <c r="BY38" i="228" s="1"/>
  <c r="BZ38" i="228" s="1"/>
  <c r="BO20" i="228"/>
  <c r="BX143" i="228"/>
  <c r="BY143" i="228" s="1"/>
  <c r="BZ143" i="228" s="1"/>
  <c r="BX134" i="228"/>
  <c r="BY134" i="228" s="1"/>
  <c r="BZ134" i="228" s="1"/>
  <c r="CH106" i="228" a="1"/>
  <c r="BO94" i="228"/>
  <c r="AA83" i="228"/>
  <c r="BX82" i="228"/>
  <c r="BY82" i="228" s="1"/>
  <c r="BZ82" i="228" s="1"/>
  <c r="CH59" i="228" a="1"/>
  <c r="CH32" i="228" a="1"/>
  <c r="BX24" i="228"/>
  <c r="BY24" i="228" s="1"/>
  <c r="BZ24" i="228" s="1"/>
  <c r="Z14" i="228"/>
  <c r="BX6" i="228"/>
  <c r="BY6" i="228" s="1"/>
  <c r="BZ6" i="228" s="1"/>
  <c r="BX32" i="228"/>
  <c r="BY32" i="228" s="1"/>
  <c r="BZ32" i="228" s="1"/>
  <c r="Z43" i="228"/>
  <c r="BX157" i="228"/>
  <c r="BY157" i="228" s="1"/>
  <c r="BZ157" i="228" s="1"/>
  <c r="CH139" i="228" a="1"/>
  <c r="BO135" i="228"/>
  <c r="CH114" i="228" a="1"/>
  <c r="BX108" i="228"/>
  <c r="BY108" i="228" s="1"/>
  <c r="BZ108" i="228" s="1"/>
  <c r="BX98" i="228"/>
  <c r="BY98" i="228" s="1"/>
  <c r="BZ98" i="228" s="1"/>
  <c r="Z75" i="228"/>
  <c r="BO40" i="228"/>
  <c r="BX17" i="228"/>
  <c r="BY17" i="228" s="1"/>
  <c r="BZ17" i="228" s="1"/>
  <c r="BX9" i="228"/>
  <c r="BY9" i="228" s="1"/>
  <c r="BZ9" i="228" s="1"/>
  <c r="CH126" i="228" a="1"/>
  <c r="CB161" i="228"/>
  <c r="CH149" i="228" a="1"/>
  <c r="CH142" i="228" a="1"/>
  <c r="CH119" i="228" a="1"/>
  <c r="CH47" i="228" a="1"/>
  <c r="CB23" i="228"/>
  <c r="CC23" i="228" s="1"/>
  <c r="CD23" i="228" s="1"/>
  <c r="CH104" i="228" a="1"/>
  <c r="CH98" i="228" a="1"/>
  <c r="CH86" i="228" a="1"/>
  <c r="CH54" i="228" a="1"/>
  <c r="CH5" i="228" a="1"/>
  <c r="CH144" i="228" a="1"/>
  <c r="CH128" i="228" a="1"/>
  <c r="CH132" i="228" a="1"/>
  <c r="CH91" i="228" a="1"/>
  <c r="CH57" i="228" a="1"/>
  <c r="CH51" i="228" a="1"/>
  <c r="CH35" i="228" a="1"/>
  <c r="CH123" i="228" a="1"/>
  <c r="CH116" i="228" a="1"/>
  <c r="CH85" i="228" a="1"/>
  <c r="CH63" i="228" a="1"/>
  <c r="CH48" i="228" a="1"/>
  <c r="CH46" i="228" a="1"/>
  <c r="CH83" i="228" a="1"/>
  <c r="CH143" i="228" a="1"/>
  <c r="CH129" i="228" a="1"/>
  <c r="CB77" i="228"/>
  <c r="CH65" i="228" a="1"/>
  <c r="CH61" i="228" a="1"/>
  <c r="AZ23" i="228"/>
  <c r="CH4" i="228" a="1"/>
  <c r="CA143" i="228"/>
  <c r="CC143" i="228" s="1"/>
  <c r="CD143" i="228" s="1"/>
  <c r="CH158" i="228" a="1"/>
  <c r="CH131" i="228" a="1"/>
  <c r="CH103" i="228" a="1"/>
  <c r="CH90" i="228" a="1"/>
  <c r="CH15" i="228" a="1"/>
  <c r="BY99" i="228"/>
  <c r="BZ99" i="228" s="1"/>
  <c r="CH77" i="228" a="1"/>
  <c r="CH50" i="228" a="1"/>
  <c r="CA50" i="228"/>
  <c r="CC50" i="228" s="1"/>
  <c r="CD50" i="228" s="1"/>
  <c r="AZ50" i="228"/>
  <c r="CH60" i="228" a="1"/>
  <c r="CH52" i="228" a="1"/>
  <c r="CH29" i="228" a="1"/>
  <c r="CH31" i="228" a="1"/>
  <c r="CH64" i="228" a="1"/>
  <c r="CH22" i="228" a="1"/>
  <c r="CH102" i="228" a="1"/>
  <c r="CH9" i="228" a="1"/>
  <c r="CH10" i="228" a="1"/>
  <c r="CH89" i="228" a="1"/>
  <c r="CH105" i="228" a="1"/>
  <c r="AZ52" i="228"/>
  <c r="CB52" i="228"/>
  <c r="AZ134" i="228"/>
  <c r="CB134" i="228"/>
  <c r="CH49" i="228" a="1"/>
  <c r="CH100" i="228" a="1"/>
  <c r="CH110" i="228" a="1"/>
  <c r="CH118" i="228" a="1"/>
  <c r="CH124" i="228" a="1"/>
  <c r="CH127" i="228" a="1"/>
  <c r="CH130" i="228" a="1"/>
  <c r="CH136" i="228" a="1"/>
  <c r="CH137" i="228" a="1"/>
  <c r="CH138" i="228" a="1"/>
  <c r="CH146" i="228" a="1"/>
  <c r="CH160" i="228" a="1"/>
  <c r="CH112" i="228" a="1"/>
  <c r="CH120" i="228" a="1"/>
  <c r="CH28" i="228" a="1"/>
  <c r="CH109" i="228" a="1"/>
  <c r="CH117" i="228" a="1"/>
  <c r="CH148" i="228" a="1"/>
  <c r="CH121" i="228" a="1"/>
  <c r="CH150" i="228" a="1"/>
  <c r="CH151" i="228" a="1"/>
  <c r="CH82" i="228" a="1"/>
  <c r="CH25" i="228" a="1"/>
  <c r="CH81" i="228" a="1"/>
  <c r="CH145" i="228" a="1"/>
  <c r="CH152" i="228" a="1"/>
  <c r="CH153" i="228" a="1"/>
  <c r="CH155" i="228" a="1"/>
  <c r="CH6" i="228" a="1"/>
  <c r="CH11" i="228" a="1"/>
  <c r="CH12" i="228" a="1"/>
  <c r="CH13" i="228" a="1"/>
  <c r="CH24" i="228" a="1"/>
  <c r="CH27" i="228" a="1"/>
  <c r="CH34" i="228" a="1"/>
  <c r="CH37" i="228" a="1"/>
  <c r="CH39" i="228" a="1"/>
  <c r="CH66" i="228" a="1"/>
  <c r="CH70" i="228" a="1"/>
  <c r="CH71" i="228" a="1"/>
  <c r="CH78" i="228" a="1"/>
  <c r="CH133" i="228" a="1"/>
  <c r="CH134" i="228" a="1"/>
  <c r="CH157" i="228" a="1"/>
  <c r="CH23" i="228" a="1"/>
  <c r="CH30" i="228" a="1"/>
  <c r="CH33" i="228" a="1"/>
  <c r="CH38" i="228" a="1"/>
  <c r="CH62" i="228" a="1"/>
  <c r="CH67" i="228" a="1"/>
  <c r="CH72" i="228" a="1"/>
  <c r="CH73" i="228" a="1"/>
  <c r="CH75" i="228" a="1"/>
  <c r="CH76" i="228" a="1"/>
  <c r="CH108" i="228" a="1"/>
  <c r="AZ121" i="228"/>
  <c r="CA121" i="228"/>
  <c r="CH154" i="228" a="1"/>
  <c r="CH40" i="228" a="1"/>
  <c r="CH53" i="228" a="1"/>
  <c r="CH74" i="228" a="1"/>
  <c r="CH92" i="228" a="1"/>
  <c r="CH122" i="228" a="1"/>
  <c r="CH135" i="228" a="1"/>
  <c r="AZ108" i="228"/>
  <c r="CB108" i="228"/>
  <c r="CB135" i="228"/>
  <c r="AZ135" i="228"/>
  <c r="CH20" i="228" a="1"/>
  <c r="CF87" i="228"/>
  <c r="CF79" i="228"/>
  <c r="CH79" i="228" a="1"/>
  <c r="BQ161" i="228"/>
  <c r="CH161" i="228" a="1"/>
  <c r="AJ3" i="228"/>
  <c r="AT83" i="228"/>
  <c r="AJ79" i="228"/>
  <c r="AJ73" i="228"/>
  <c r="AK102" i="228"/>
  <c r="CF21" i="228"/>
  <c r="CH21" i="228" a="1"/>
  <c r="CA102" i="228"/>
  <c r="CB102" i="228"/>
  <c r="AZ147" i="228"/>
  <c r="CB147" i="228"/>
  <c r="CB51" i="228"/>
  <c r="CA86" i="228"/>
  <c r="CC86" i="228" s="1"/>
  <c r="AS54" i="228"/>
  <c r="U145" i="228"/>
  <c r="AM141" i="228"/>
  <c r="AQ141" i="228" s="1"/>
  <c r="CA137" i="228"/>
  <c r="CC137" i="228" s="1"/>
  <c r="CD137" i="228" s="1"/>
  <c r="CA147" i="228"/>
  <c r="AJ116" i="228"/>
  <c r="AT60" i="228"/>
  <c r="AS58" i="228"/>
  <c r="CA123" i="228"/>
  <c r="CC123" i="228" s="1"/>
  <c r="CD123" i="228" s="1"/>
  <c r="CA52" i="228"/>
  <c r="AT19" i="228"/>
  <c r="CF18" i="228"/>
  <c r="CF142" i="228"/>
  <c r="AS122" i="228"/>
  <c r="U100" i="228"/>
  <c r="U148" i="228"/>
  <c r="AM22" i="228"/>
  <c r="AQ22" i="228" s="1"/>
  <c r="AT118" i="228"/>
  <c r="AJ113" i="228"/>
  <c r="CF104" i="228"/>
  <c r="CB55" i="228"/>
  <c r="CC55" i="228" s="1"/>
  <c r="CD55" i="228" s="1"/>
  <c r="CB144" i="228"/>
  <c r="CF156" i="228"/>
  <c r="CB156" i="228"/>
  <c r="AZ28" i="228"/>
  <c r="U149" i="228"/>
  <c r="CA90" i="228"/>
  <c r="CC90" i="228" s="1"/>
  <c r="CD90" i="228" s="1"/>
  <c r="AZ128" i="228"/>
  <c r="AJ6" i="228"/>
  <c r="U3" i="228"/>
  <c r="AJ56" i="228"/>
  <c r="AK122" i="228"/>
  <c r="AJ98" i="228"/>
  <c r="AK73" i="228"/>
  <c r="CB42" i="228"/>
  <c r="AT125" i="228"/>
  <c r="AM101" i="228"/>
  <c r="AQ101" i="228" s="1"/>
  <c r="AZ99" i="228"/>
  <c r="AJ40" i="228"/>
  <c r="U127" i="228"/>
  <c r="AS152" i="228"/>
  <c r="U14" i="228"/>
  <c r="U40" i="228"/>
  <c r="BQ10" i="228"/>
  <c r="CF33" i="228"/>
  <c r="CA144" i="228"/>
  <c r="AJ84" i="228"/>
  <c r="CF32" i="228"/>
  <c r="CA81" i="228"/>
  <c r="BQ19" i="228"/>
  <c r="AM145" i="228"/>
  <c r="AQ145" i="228" s="1"/>
  <c r="AZ90" i="228"/>
  <c r="CB29" i="228"/>
  <c r="CC29" i="228" s="1"/>
  <c r="CD29" i="228" s="1"/>
  <c r="CF108" i="228"/>
  <c r="BY159" i="228"/>
  <c r="BZ159" i="228" s="1"/>
  <c r="BQ151" i="228"/>
  <c r="CA135" i="228"/>
  <c r="AJ114" i="228"/>
  <c r="AZ45" i="228"/>
  <c r="AJ93" i="228"/>
  <c r="AJ145" i="228"/>
  <c r="BY115" i="228"/>
  <c r="BZ115" i="228" s="1"/>
  <c r="CB45" i="228"/>
  <c r="CC45" i="228" s="1"/>
  <c r="BQ159" i="228"/>
  <c r="AJ157" i="228"/>
  <c r="U104" i="228"/>
  <c r="CF75" i="228"/>
  <c r="AK138" i="228"/>
  <c r="BQ82" i="228"/>
  <c r="AS117" i="228"/>
  <c r="CF86" i="228"/>
  <c r="CF63" i="228"/>
  <c r="CB125" i="228"/>
  <c r="AT79" i="228"/>
  <c r="AT61" i="228"/>
  <c r="CF45" i="228"/>
  <c r="AM3" i="228"/>
  <c r="AQ3" i="228" s="1"/>
  <c r="CF145" i="228"/>
  <c r="BQ87" i="228"/>
  <c r="AS79" i="228"/>
  <c r="AM149" i="228"/>
  <c r="AQ149" i="228" s="1"/>
  <c r="AT104" i="228"/>
  <c r="AM76" i="228"/>
  <c r="AQ76" i="228" s="1"/>
  <c r="AM61" i="228"/>
  <c r="AQ61" i="228" s="1"/>
  <c r="CB15" i="228"/>
  <c r="CC15" i="228" s="1"/>
  <c r="CD15" i="228" s="1"/>
  <c r="AK3" i="228"/>
  <c r="AM79" i="228"/>
  <c r="AQ79" i="228" s="1"/>
  <c r="AZ65" i="228"/>
  <c r="CA28" i="228"/>
  <c r="CC28" i="228" s="1"/>
  <c r="CD28" i="228" s="1"/>
  <c r="BQ36" i="228"/>
  <c r="CB160" i="228"/>
  <c r="BY14" i="228"/>
  <c r="BZ14" i="228" s="1"/>
  <c r="BQ155" i="228"/>
  <c r="AT112" i="228"/>
  <c r="CB71" i="228"/>
  <c r="CC71" i="228" s="1"/>
  <c r="CD71" i="228" s="1"/>
  <c r="AJ38" i="228"/>
  <c r="AZ112" i="228"/>
  <c r="AT87" i="228"/>
  <c r="AJ149" i="228"/>
  <c r="AJ61" i="228"/>
  <c r="CB13" i="228"/>
  <c r="BQ156" i="228"/>
  <c r="BQ142" i="228"/>
  <c r="CB138" i="228"/>
  <c r="CC138" i="228" s="1"/>
  <c r="CD138" i="228" s="1"/>
  <c r="CB112" i="228"/>
  <c r="CC112" i="228" s="1"/>
  <c r="CD112" i="228" s="1"/>
  <c r="CE112" i="228" s="1"/>
  <c r="U107" i="228"/>
  <c r="AZ86" i="228"/>
  <c r="AS81" i="228"/>
  <c r="CB65" i="228"/>
  <c r="CC65" i="228" s="1"/>
  <c r="CD65" i="228" s="1"/>
  <c r="CF52" i="228"/>
  <c r="U38" i="228"/>
  <c r="AT21" i="228"/>
  <c r="AK10" i="228"/>
  <c r="AK4" i="228"/>
  <c r="AK33" i="228"/>
  <c r="AZ124" i="228"/>
  <c r="BQ8" i="228"/>
  <c r="AK161" i="228"/>
  <c r="AT160" i="228"/>
  <c r="CF135" i="228"/>
  <c r="CF105" i="228"/>
  <c r="CF99" i="228"/>
  <c r="AZ98" i="228"/>
  <c r="AJ83" i="228"/>
  <c r="CB81" i="228"/>
  <c r="BQ129" i="228"/>
  <c r="AS83" i="228"/>
  <c r="CB72" i="228"/>
  <c r="BQ56" i="228"/>
  <c r="BQ5" i="228"/>
  <c r="CB152" i="228"/>
  <c r="CA149" i="228"/>
  <c r="CB145" i="228"/>
  <c r="CF143" i="228"/>
  <c r="U89" i="228"/>
  <c r="AM77" i="228"/>
  <c r="AQ77" i="228" s="1"/>
  <c r="CF50" i="228"/>
  <c r="U28" i="228"/>
  <c r="AT141" i="228"/>
  <c r="AK125" i="228"/>
  <c r="AJ106" i="228"/>
  <c r="AM106" i="228"/>
  <c r="AQ106" i="228" s="1"/>
  <c r="AM99" i="228"/>
  <c r="AQ99" i="228" s="1"/>
  <c r="AM97" i="228"/>
  <c r="AQ97" i="228" s="1"/>
  <c r="BQ83" i="228"/>
  <c r="AK83" i="228"/>
  <c r="BQ79" i="228"/>
  <c r="U67" i="228"/>
  <c r="BQ58" i="228"/>
  <c r="BY56" i="228"/>
  <c r="BZ56" i="228" s="1"/>
  <c r="U37" i="228"/>
  <c r="U15" i="228"/>
  <c r="AM21" i="228"/>
  <c r="AQ21" i="228" s="1"/>
  <c r="U21" i="228"/>
  <c r="AZ11" i="228"/>
  <c r="U11" i="228"/>
  <c r="AM140" i="228"/>
  <c r="AQ140" i="228" s="1"/>
  <c r="AM31" i="228"/>
  <c r="AQ31" i="228" s="1"/>
  <c r="CB26" i="228"/>
  <c r="AM83" i="228"/>
  <c r="AQ83" i="228" s="1"/>
  <c r="AJ74" i="228"/>
  <c r="AM74" i="228"/>
  <c r="AQ74" i="228" s="1"/>
  <c r="BQ119" i="228"/>
  <c r="AJ82" i="228"/>
  <c r="CB158" i="228"/>
  <c r="AK112" i="228"/>
  <c r="CF93" i="228"/>
  <c r="BQ93" i="228"/>
  <c r="AZ84" i="228"/>
  <c r="CF82" i="228"/>
  <c r="AM66" i="228"/>
  <c r="AQ66" i="228" s="1"/>
  <c r="AM57" i="228"/>
  <c r="AQ57" i="228" s="1"/>
  <c r="CA44" i="228"/>
  <c r="AZ44" i="228"/>
  <c r="CA13" i="228"/>
  <c r="CA158" i="228"/>
  <c r="AJ141" i="228"/>
  <c r="AJ140" i="228"/>
  <c r="AT128" i="228"/>
  <c r="CF126" i="228"/>
  <c r="BQ122" i="228"/>
  <c r="BQ68" i="228"/>
  <c r="CA54" i="228"/>
  <c r="CB54" i="228"/>
  <c r="CA19" i="228"/>
  <c r="CC19" i="228" s="1"/>
  <c r="CD19" i="228" s="1"/>
  <c r="AZ19" i="228"/>
  <c r="AZ5" i="228"/>
  <c r="AZ151" i="228"/>
  <c r="AK127" i="228"/>
  <c r="AK117" i="228"/>
  <c r="CF113" i="228"/>
  <c r="AS106" i="228"/>
  <c r="CA88" i="228"/>
  <c r="AK86" i="228"/>
  <c r="CB84" i="228"/>
  <c r="BQ81" i="228"/>
  <c r="U70" i="228"/>
  <c r="AM70" i="228"/>
  <c r="AQ70" i="228" s="1"/>
  <c r="AK66" i="228"/>
  <c r="AM39" i="228"/>
  <c r="AQ39" i="228" s="1"/>
  <c r="AS33" i="228"/>
  <c r="AT15" i="228"/>
  <c r="AM11" i="228"/>
  <c r="AQ11" i="228" s="1"/>
  <c r="CF5" i="228"/>
  <c r="CF155" i="228"/>
  <c r="AZ155" i="228"/>
  <c r="CB150" i="228"/>
  <c r="CC150" i="228" s="1"/>
  <c r="AZ143" i="228"/>
  <c r="AJ127" i="228"/>
  <c r="AJ119" i="228"/>
  <c r="AM119" i="228"/>
  <c r="AQ119" i="228" s="1"/>
  <c r="CA84" i="228"/>
  <c r="AK77" i="228"/>
  <c r="BQ51" i="228"/>
  <c r="AJ24" i="228"/>
  <c r="BQ11" i="228"/>
  <c r="CA10" i="228"/>
  <c r="AZ10" i="228"/>
  <c r="CB5" i="228"/>
  <c r="CC5" i="228" s="1"/>
  <c r="CB155" i="228"/>
  <c r="CC155" i="228" s="1"/>
  <c r="CD155" i="228" s="1"/>
  <c r="CF127" i="228"/>
  <c r="AT127" i="228"/>
  <c r="CB127" i="228"/>
  <c r="CC127" i="228" s="1"/>
  <c r="CD127" i="228" s="1"/>
  <c r="AK126" i="228"/>
  <c r="U122" i="228"/>
  <c r="AM122" i="228"/>
  <c r="AQ122" i="228" s="1"/>
  <c r="BY116" i="228"/>
  <c r="BZ116" i="228" s="1"/>
  <c r="AK114" i="228"/>
  <c r="CA100" i="228"/>
  <c r="AM84" i="228"/>
  <c r="AQ84" i="228" s="1"/>
  <c r="CF83" i="228"/>
  <c r="U83" i="228"/>
  <c r="CB79" i="228"/>
  <c r="AS77" i="228"/>
  <c r="U73" i="228"/>
  <c r="AM73" i="228"/>
  <c r="AQ73" i="228" s="1"/>
  <c r="AS69" i="228"/>
  <c r="AZ55" i="228"/>
  <c r="AJ39" i="228"/>
  <c r="AJ28" i="228"/>
  <c r="AK11" i="228"/>
  <c r="AM6" i="228"/>
  <c r="AQ6" i="228" s="1"/>
  <c r="AZ152" i="228"/>
  <c r="AZ149" i="228"/>
  <c r="CA128" i="228"/>
  <c r="CC128" i="228" s="1"/>
  <c r="CD128" i="228" s="1"/>
  <c r="AS128" i="228"/>
  <c r="AT119" i="228"/>
  <c r="CA83" i="228"/>
  <c r="CA79" i="228"/>
  <c r="AK79" i="228"/>
  <c r="U79" i="228"/>
  <c r="AZ70" i="228"/>
  <c r="AJ67" i="228"/>
  <c r="AJ36" i="228"/>
  <c r="BQ27" i="228"/>
  <c r="CF27" i="228"/>
  <c r="AS23" i="228"/>
  <c r="AJ11" i="228"/>
  <c r="CF10" i="228"/>
  <c r="BQ108" i="228"/>
  <c r="AS57" i="228"/>
  <c r="AT23" i="228"/>
  <c r="BQ13" i="228"/>
  <c r="AJ124" i="228"/>
  <c r="AT114" i="228"/>
  <c r="BQ67" i="228"/>
  <c r="CA7" i="228"/>
  <c r="CC7" i="228" s="1"/>
  <c r="CD7" i="228" s="1"/>
  <c r="CF66" i="228"/>
  <c r="CB62" i="228"/>
  <c r="CA62" i="228"/>
  <c r="AZ62" i="228"/>
  <c r="AK61" i="228"/>
  <c r="U20" i="228"/>
  <c r="AS20" i="228"/>
  <c r="CA161" i="228"/>
  <c r="U155" i="228"/>
  <c r="BQ121" i="228"/>
  <c r="CB118" i="228"/>
  <c r="AS118" i="228"/>
  <c r="AJ88" i="228"/>
  <c r="AK88" i="228"/>
  <c r="U88" i="228"/>
  <c r="CF62" i="228"/>
  <c r="AT50" i="228"/>
  <c r="AM50" i="228"/>
  <c r="AQ50" i="228" s="1"/>
  <c r="CB48" i="228"/>
  <c r="AZ48" i="228"/>
  <c r="CA48" i="228"/>
  <c r="AZ32" i="228"/>
  <c r="U25" i="228"/>
  <c r="AM25" i="228"/>
  <c r="AQ25" i="228" s="1"/>
  <c r="AT17" i="228"/>
  <c r="AK131" i="228"/>
  <c r="U131" i="228"/>
  <c r="AM80" i="228"/>
  <c r="AQ80" i="228" s="1"/>
  <c r="AK69" i="228"/>
  <c r="AM55" i="228"/>
  <c r="AQ55" i="228" s="1"/>
  <c r="AT55" i="228"/>
  <c r="U55" i="228"/>
  <c r="BQ44" i="228"/>
  <c r="CF44" i="228"/>
  <c r="BY160" i="228"/>
  <c r="BZ160" i="228" s="1"/>
  <c r="CB153" i="228"/>
  <c r="CC153" i="228" s="1"/>
  <c r="CD153" i="228" s="1"/>
  <c r="AS153" i="228"/>
  <c r="AS141" i="228"/>
  <c r="AT129" i="228"/>
  <c r="AJ122" i="228"/>
  <c r="AT122" i="228"/>
  <c r="AZ122" i="228"/>
  <c r="AK113" i="228"/>
  <c r="AK108" i="228"/>
  <c r="BQ69" i="228"/>
  <c r="AT159" i="228"/>
  <c r="AM157" i="228"/>
  <c r="AQ157" i="228" s="1"/>
  <c r="CF151" i="228"/>
  <c r="CB148" i="228"/>
  <c r="CC148" i="228" s="1"/>
  <c r="CD148" i="228" s="1"/>
  <c r="AZ148" i="228"/>
  <c r="BQ143" i="228"/>
  <c r="CB131" i="228"/>
  <c r="AS129" i="228"/>
  <c r="CA125" i="228"/>
  <c r="AZ125" i="228"/>
  <c r="AJ103" i="228"/>
  <c r="U103" i="228"/>
  <c r="AM81" i="228"/>
  <c r="AQ81" i="228" s="1"/>
  <c r="AT81" i="228"/>
  <c r="U81" i="228"/>
  <c r="AJ81" i="228"/>
  <c r="BQ74" i="228"/>
  <c r="AM51" i="228"/>
  <c r="AQ51" i="228" s="1"/>
  <c r="U51" i="228"/>
  <c r="AJ51" i="228"/>
  <c r="AK51" i="228"/>
  <c r="BQ41" i="228"/>
  <c r="CF41" i="228"/>
  <c r="AJ34" i="228"/>
  <c r="AS115" i="228"/>
  <c r="U115" i="228"/>
  <c r="AS76" i="228"/>
  <c r="AZ76" i="228"/>
  <c r="CB76" i="228"/>
  <c r="AT124" i="228"/>
  <c r="U124" i="228"/>
  <c r="AK124" i="228"/>
  <c r="AM124" i="228"/>
  <c r="AQ124" i="228" s="1"/>
  <c r="CA111" i="228"/>
  <c r="CB111" i="228"/>
  <c r="AZ111" i="228"/>
  <c r="AS161" i="228"/>
  <c r="BQ153" i="228"/>
  <c r="CF153" i="228"/>
  <c r="CA80" i="228"/>
  <c r="U68" i="228"/>
  <c r="CF158" i="228"/>
  <c r="BQ158" i="228"/>
  <c r="CB133" i="228"/>
  <c r="AT133" i="228"/>
  <c r="AZ133" i="228"/>
  <c r="CA133" i="228"/>
  <c r="AK101" i="228"/>
  <c r="CA101" i="228"/>
  <c r="CF110" i="228"/>
  <c r="U91" i="228"/>
  <c r="AM91" i="228"/>
  <c r="AQ91" i="228" s="1"/>
  <c r="BQ80" i="228"/>
  <c r="AK34" i="228"/>
  <c r="CF34" i="228"/>
  <c r="CF159" i="228"/>
  <c r="AK146" i="228"/>
  <c r="AJ139" i="228"/>
  <c r="CB139" i="228"/>
  <c r="BQ94" i="228"/>
  <c r="CF94" i="228"/>
  <c r="BQ60" i="228"/>
  <c r="CF139" i="228"/>
  <c r="AZ103" i="228"/>
  <c r="CA103" i="228"/>
  <c r="CB103" i="228"/>
  <c r="AT103" i="228"/>
  <c r="CF160" i="228"/>
  <c r="AS136" i="228"/>
  <c r="AT136" i="228"/>
  <c r="CA136" i="228"/>
  <c r="CB136" i="228"/>
  <c r="CA131" i="228"/>
  <c r="BQ125" i="228"/>
  <c r="CF125" i="228"/>
  <c r="AS124" i="228"/>
  <c r="CB124" i="228"/>
  <c r="CC124" i="228" s="1"/>
  <c r="CD124" i="228" s="1"/>
  <c r="CF131" i="228"/>
  <c r="AZ109" i="228"/>
  <c r="AJ137" i="228"/>
  <c r="AK137" i="228"/>
  <c r="U137" i="228"/>
  <c r="CF112" i="228"/>
  <c r="BQ112" i="228"/>
  <c r="AJ66" i="228"/>
  <c r="AS66" i="228"/>
  <c r="CB66" i="228"/>
  <c r="AK56" i="228"/>
  <c r="AS56" i="228"/>
  <c r="CA56" i="228"/>
  <c r="AT56" i="228"/>
  <c r="CB56" i="228"/>
  <c r="AZ56" i="228"/>
  <c r="CF133" i="228"/>
  <c r="BQ110" i="228"/>
  <c r="AT153" i="228"/>
  <c r="AJ126" i="228"/>
  <c r="CA75" i="228"/>
  <c r="CB75" i="228"/>
  <c r="AZ75" i="228"/>
  <c r="AT65" i="228"/>
  <c r="U65" i="228"/>
  <c r="AK65" i="228"/>
  <c r="AM65" i="228"/>
  <c r="AQ65" i="228" s="1"/>
  <c r="CA32" i="228"/>
  <c r="CB32" i="228"/>
  <c r="AS17" i="228"/>
  <c r="AK154" i="228"/>
  <c r="AZ150" i="228"/>
  <c r="CF136" i="228"/>
  <c r="AS134" i="228"/>
  <c r="AT131" i="228"/>
  <c r="AJ105" i="228"/>
  <c r="U105" i="228"/>
  <c r="U9" i="228"/>
  <c r="AM9" i="228"/>
  <c r="AQ9" i="228" s="1"/>
  <c r="AZ159" i="228"/>
  <c r="CF152" i="228"/>
  <c r="AS148" i="228"/>
  <c r="BQ146" i="228"/>
  <c r="AZ110" i="228"/>
  <c r="CB109" i="228"/>
  <c r="AS94" i="228"/>
  <c r="CB94" i="228"/>
  <c r="CC94" i="228" s="1"/>
  <c r="CD94" i="228" s="1"/>
  <c r="AZ94" i="228"/>
  <c r="CF71" i="228"/>
  <c r="AU55" i="228"/>
  <c r="AS55" i="228"/>
  <c r="CF39" i="228"/>
  <c r="AT39" i="228"/>
  <c r="CB39" i="228"/>
  <c r="CC39" i="228" s="1"/>
  <c r="CD39" i="228" s="1"/>
  <c r="AT35" i="228"/>
  <c r="U35" i="228"/>
  <c r="AM35" i="228"/>
  <c r="AQ35" i="228" s="1"/>
  <c r="BQ32" i="228"/>
  <c r="AT150" i="228"/>
  <c r="AZ141" i="228"/>
  <c r="AK141" i="228"/>
  <c r="AM131" i="228"/>
  <c r="AQ131" i="228" s="1"/>
  <c r="BQ120" i="228"/>
  <c r="AZ116" i="228"/>
  <c r="AK116" i="228"/>
  <c r="CA116" i="228"/>
  <c r="CB116" i="228"/>
  <c r="AJ112" i="228"/>
  <c r="AM112" i="228"/>
  <c r="AQ112" i="228" s="1"/>
  <c r="U112" i="228"/>
  <c r="CA110" i="228"/>
  <c r="CC110" i="228" s="1"/>
  <c r="CA109" i="228"/>
  <c r="AS99" i="228"/>
  <c r="BQ71" i="228"/>
  <c r="U63" i="228"/>
  <c r="AM63" i="228"/>
  <c r="AQ63" i="228" s="1"/>
  <c r="AM53" i="228"/>
  <c r="AQ53" i="228" s="1"/>
  <c r="U53" i="228"/>
  <c r="AT49" i="228"/>
  <c r="AJ49" i="228"/>
  <c r="AM49" i="228"/>
  <c r="AQ49" i="228" s="1"/>
  <c r="AJ37" i="228"/>
  <c r="CA37" i="228"/>
  <c r="CB37" i="228"/>
  <c r="U26" i="228"/>
  <c r="AK26" i="228"/>
  <c r="AT26" i="228"/>
  <c r="U18" i="228"/>
  <c r="AM18" i="228"/>
  <c r="AQ18" i="228" s="1"/>
  <c r="AK18" i="228"/>
  <c r="BY158" i="228"/>
  <c r="BZ158" i="228" s="1"/>
  <c r="AM136" i="228"/>
  <c r="AQ136" i="228" s="1"/>
  <c r="U136" i="228"/>
  <c r="AJ136" i="228"/>
  <c r="CF116" i="228"/>
  <c r="BQ116" i="228"/>
  <c r="AS112" i="228"/>
  <c r="AJ76" i="228"/>
  <c r="AT45" i="228"/>
  <c r="U45" i="228"/>
  <c r="AJ45" i="228"/>
  <c r="AM45" i="228"/>
  <c r="AQ45" i="228" s="1"/>
  <c r="AT33" i="228"/>
  <c r="CB33" i="228"/>
  <c r="AZ33" i="228"/>
  <c r="CA25" i="228"/>
  <c r="CB25" i="228"/>
  <c r="AZ25" i="228"/>
  <c r="AM87" i="228"/>
  <c r="AQ87" i="228" s="1"/>
  <c r="AK84" i="228"/>
  <c r="AZ82" i="228"/>
  <c r="AK78" i="228"/>
  <c r="CA77" i="228"/>
  <c r="U76" i="228"/>
  <c r="CB67" i="228"/>
  <c r="CC67" i="228" s="1"/>
  <c r="AT67" i="228"/>
  <c r="AK64" i="228"/>
  <c r="AZ58" i="228"/>
  <c r="AS19" i="228"/>
  <c r="CA12" i="228"/>
  <c r="CC12" i="228" s="1"/>
  <c r="AK129" i="228"/>
  <c r="BQ124" i="228"/>
  <c r="AK120" i="228"/>
  <c r="AK119" i="228"/>
  <c r="AM113" i="228"/>
  <c r="AQ113" i="228" s="1"/>
  <c r="AS107" i="228"/>
  <c r="CB82" i="228"/>
  <c r="AS67" i="228"/>
  <c r="AK13" i="228"/>
  <c r="AJ10" i="228"/>
  <c r="AJ9" i="228"/>
  <c r="AZ7" i="228"/>
  <c r="AJ154" i="228"/>
  <c r="BQ147" i="228"/>
  <c r="AM127" i="228"/>
  <c r="AQ127" i="228" s="1"/>
  <c r="AK87" i="228"/>
  <c r="CA82" i="228"/>
  <c r="CB70" i="228"/>
  <c r="CB61" i="228"/>
  <c r="AT57" i="228"/>
  <c r="BQ52" i="228"/>
  <c r="CB44" i="228"/>
  <c r="CA41" i="228"/>
  <c r="AM34" i="228"/>
  <c r="AQ34" i="228" s="1"/>
  <c r="AS28" i="228"/>
  <c r="AJ21" i="228"/>
  <c r="BQ14" i="228"/>
  <c r="CF12" i="228"/>
  <c r="AT11" i="228"/>
  <c r="CA6" i="228"/>
  <c r="BQ127" i="228"/>
  <c r="BY118" i="228"/>
  <c r="BZ118" i="228" s="1"/>
  <c r="CB59" i="228"/>
  <c r="CF48" i="228"/>
  <c r="AM43" i="228"/>
  <c r="AQ43" i="228" s="1"/>
  <c r="AM38" i="228"/>
  <c r="AQ38" i="228" s="1"/>
  <c r="AM37" i="228"/>
  <c r="AQ37" i="228" s="1"/>
  <c r="AJ35" i="228"/>
  <c r="BQ12" i="228"/>
  <c r="CF7" i="228"/>
  <c r="AT7" i="228"/>
  <c r="CF81" i="228"/>
  <c r="U78" i="228"/>
  <c r="CF74" i="228"/>
  <c r="U64" i="228"/>
  <c r="BQ63" i="228"/>
  <c r="CA59" i="228"/>
  <c r="AT59" i="228"/>
  <c r="BQ48" i="228"/>
  <c r="AS44" i="228"/>
  <c r="BQ34" i="228"/>
  <c r="CF122" i="228"/>
  <c r="CF92" i="228"/>
  <c r="CF58" i="228"/>
  <c r="BQ33" i="228"/>
  <c r="CB99" i="228"/>
  <c r="CC99" i="228" s="1"/>
  <c r="CD99" i="228" s="1"/>
  <c r="AM98" i="228"/>
  <c r="AQ98" i="228" s="1"/>
  <c r="CB96" i="228"/>
  <c r="BQ92" i="228"/>
  <c r="CF72" i="228"/>
  <c r="AJ70" i="228"/>
  <c r="CF56" i="228"/>
  <c r="AZ29" i="228"/>
  <c r="CF14" i="228"/>
  <c r="CB14" i="228"/>
  <c r="CF11" i="228"/>
  <c r="AS11" i="228"/>
  <c r="AT10" i="228"/>
  <c r="AJ15" i="228"/>
  <c r="AT14" i="228"/>
  <c r="AT13" i="228"/>
  <c r="CB11" i="228"/>
  <c r="CC11" i="228" s="1"/>
  <c r="CD11" i="228" s="1"/>
  <c r="CF8" i="228"/>
  <c r="CF147" i="228"/>
  <c r="CA140" i="228"/>
  <c r="CC140" i="228" s="1"/>
  <c r="CD140" i="228" s="1"/>
  <c r="CF128" i="228"/>
  <c r="AJ111" i="228"/>
  <c r="CA107" i="228"/>
  <c r="AM78" i="228"/>
  <c r="AQ78" i="228" s="1"/>
  <c r="AZ67" i="228"/>
  <c r="AS14" i="228"/>
  <c r="AS13" i="228"/>
  <c r="BQ4" i="228"/>
  <c r="BQ131" i="228"/>
  <c r="BQ72" i="228"/>
  <c r="CF46" i="228"/>
  <c r="CF22" i="228"/>
  <c r="AM10" i="228"/>
  <c r="AQ10" i="228" s="1"/>
  <c r="CA9" i="228"/>
  <c r="CC9" i="228" s="1"/>
  <c r="AM147" i="228"/>
  <c r="AQ147" i="228" s="1"/>
  <c r="AJ147" i="228"/>
  <c r="AK147" i="228"/>
  <c r="U147" i="228"/>
  <c r="AS147" i="228"/>
  <c r="AT147" i="228"/>
  <c r="AT135" i="228"/>
  <c r="U135" i="228"/>
  <c r="AJ135" i="228"/>
  <c r="AK135" i="228"/>
  <c r="BQ109" i="228"/>
  <c r="CF109" i="228"/>
  <c r="BO89" i="228"/>
  <c r="BX89" i="228"/>
  <c r="BY89" i="228" s="1"/>
  <c r="BZ89" i="228" s="1"/>
  <c r="AM156" i="228"/>
  <c r="AQ156" i="228" s="1"/>
  <c r="U156" i="228"/>
  <c r="AK156" i="228"/>
  <c r="AJ156" i="228"/>
  <c r="BQ148" i="228"/>
  <c r="AK148" i="228"/>
  <c r="CF132" i="228"/>
  <c r="BQ132" i="228"/>
  <c r="AS132" i="228"/>
  <c r="AT132" i="228"/>
  <c r="BQ128" i="228"/>
  <c r="BQ117" i="228"/>
  <c r="CF117" i="228"/>
  <c r="AU93" i="228"/>
  <c r="AS93" i="228"/>
  <c r="AK158" i="228"/>
  <c r="AJ158" i="228"/>
  <c r="AM158" i="228"/>
  <c r="AQ158" i="228" s="1"/>
  <c r="AT143" i="228"/>
  <c r="AK143" i="228"/>
  <c r="U143" i="228"/>
  <c r="AJ143" i="228"/>
  <c r="AM143" i="228"/>
  <c r="AQ143" i="228" s="1"/>
  <c r="AT156" i="228"/>
  <c r="BY148" i="228"/>
  <c r="BZ148" i="228" s="1"/>
  <c r="AT146" i="228"/>
  <c r="CF146" i="228"/>
  <c r="AS146" i="228"/>
  <c r="AZ146" i="228"/>
  <c r="AS123" i="228"/>
  <c r="AZ123" i="228"/>
  <c r="CF123" i="228"/>
  <c r="AT123" i="228"/>
  <c r="BX122" i="228"/>
  <c r="BY122" i="228" s="1"/>
  <c r="BZ122" i="228" s="1"/>
  <c r="BX109" i="228"/>
  <c r="BY109" i="228" s="1"/>
  <c r="BZ109" i="228" s="1"/>
  <c r="U90" i="228"/>
  <c r="AJ90" i="228"/>
  <c r="AM90" i="228"/>
  <c r="AQ90" i="228" s="1"/>
  <c r="AT90" i="228"/>
  <c r="AK90" i="228"/>
  <c r="BX84" i="228"/>
  <c r="BY84" i="228" s="1"/>
  <c r="BZ84" i="228" s="1"/>
  <c r="BO84" i="228"/>
  <c r="AS159" i="228"/>
  <c r="AT158" i="228"/>
  <c r="AS156" i="228"/>
  <c r="AJ153" i="228"/>
  <c r="U153" i="228"/>
  <c r="AK153" i="228"/>
  <c r="CF148" i="228"/>
  <c r="BO142" i="228"/>
  <c r="AA141" i="228"/>
  <c r="Z141" i="228"/>
  <c r="AM135" i="228"/>
  <c r="AQ135" i="228" s="1"/>
  <c r="AU127" i="228"/>
  <c r="BQ111" i="228"/>
  <c r="AK111" i="228"/>
  <c r="U110" i="228"/>
  <c r="AT110" i="228"/>
  <c r="AM110" i="228"/>
  <c r="AQ110" i="228" s="1"/>
  <c r="AK110" i="228"/>
  <c r="AJ110" i="228"/>
  <c r="BX107" i="228"/>
  <c r="BY107" i="228" s="1"/>
  <c r="BZ107" i="228" s="1"/>
  <c r="AK85" i="228"/>
  <c r="AJ85" i="228"/>
  <c r="U85" i="228"/>
  <c r="AM85" i="228"/>
  <c r="AQ85" i="228" s="1"/>
  <c r="AT85" i="228"/>
  <c r="AS85" i="228"/>
  <c r="BX53" i="228"/>
  <c r="BY53" i="228" s="1"/>
  <c r="BZ53" i="228" s="1"/>
  <c r="BO53" i="228"/>
  <c r="AM130" i="228"/>
  <c r="AQ130" i="228" s="1"/>
  <c r="AJ130" i="228"/>
  <c r="AK130" i="228"/>
  <c r="BX161" i="228"/>
  <c r="BY161" i="228" s="1"/>
  <c r="BZ161" i="228" s="1"/>
  <c r="AM161" i="228"/>
  <c r="AQ161" i="228" s="1"/>
  <c r="U161" i="228"/>
  <c r="AJ161" i="228"/>
  <c r="AS158" i="228"/>
  <c r="CA154" i="228"/>
  <c r="AS154" i="228"/>
  <c r="AT154" i="228"/>
  <c r="AZ154" i="228"/>
  <c r="AK149" i="228"/>
  <c r="AK145" i="228"/>
  <c r="CF144" i="228"/>
  <c r="AK140" i="228"/>
  <c r="BX137" i="228"/>
  <c r="BY137" i="228" s="1"/>
  <c r="BZ137" i="228" s="1"/>
  <c r="BQ135" i="228"/>
  <c r="BO138" i="228"/>
  <c r="BX138" i="228"/>
  <c r="BY138" i="228" s="1"/>
  <c r="BZ138" i="228" s="1"/>
  <c r="BO139" i="228"/>
  <c r="BX139" i="228"/>
  <c r="BY139" i="228" s="1"/>
  <c r="BZ139" i="228" s="1"/>
  <c r="U134" i="228"/>
  <c r="AM134" i="228"/>
  <c r="AQ134" i="228" s="1"/>
  <c r="AJ134" i="228"/>
  <c r="AK134" i="228"/>
  <c r="BX149" i="228"/>
  <c r="BY149" i="228" s="1"/>
  <c r="BZ149" i="228" s="1"/>
  <c r="BX130" i="228"/>
  <c r="BY130" i="228" s="1"/>
  <c r="BZ130" i="228" s="1"/>
  <c r="BX146" i="228"/>
  <c r="BY146" i="228" s="1"/>
  <c r="BZ146" i="228" s="1"/>
  <c r="BQ145" i="228"/>
  <c r="AZ139" i="228"/>
  <c r="CA139" i="228"/>
  <c r="AS139" i="228"/>
  <c r="AT139" i="228"/>
  <c r="CF138" i="228"/>
  <c r="AZ138" i="228"/>
  <c r="AS138" i="228"/>
  <c r="AT138" i="228"/>
  <c r="CF120" i="228"/>
  <c r="AT120" i="228"/>
  <c r="AS120" i="228"/>
  <c r="CA120" i="228"/>
  <c r="AZ120" i="228"/>
  <c r="CB120" i="228"/>
  <c r="BX105" i="228"/>
  <c r="BY105" i="228" s="1"/>
  <c r="BZ105" i="228" s="1"/>
  <c r="AS103" i="228"/>
  <c r="AU103" i="228"/>
  <c r="AM92" i="228"/>
  <c r="AQ92" i="228" s="1"/>
  <c r="U92" i="228"/>
  <c r="AJ92" i="228"/>
  <c r="AK92" i="228"/>
  <c r="BX63" i="228"/>
  <c r="BY63" i="228" s="1"/>
  <c r="BZ63" i="228" s="1"/>
  <c r="BO63" i="228"/>
  <c r="BO51" i="228"/>
  <c r="BX51" i="228"/>
  <c r="BY51" i="228" s="1"/>
  <c r="BZ51" i="228" s="1"/>
  <c r="BX88" i="228"/>
  <c r="BY88" i="228" s="1"/>
  <c r="BZ88" i="228" s="1"/>
  <c r="BO88" i="228"/>
  <c r="BQ103" i="228"/>
  <c r="AK103" i="228"/>
  <c r="CF103" i="228"/>
  <c r="BX96" i="228"/>
  <c r="BO96" i="228"/>
  <c r="BO54" i="228"/>
  <c r="BX54" i="228"/>
  <c r="BY54" i="228" s="1"/>
  <c r="BZ54" i="228" s="1"/>
  <c r="AJ151" i="228"/>
  <c r="AK151" i="228"/>
  <c r="AM151" i="228"/>
  <c r="AQ151" i="228" s="1"/>
  <c r="AA142" i="228"/>
  <c r="Z142" i="228"/>
  <c r="AJ159" i="228"/>
  <c r="AK159" i="228"/>
  <c r="AM159" i="228"/>
  <c r="AQ159" i="228" s="1"/>
  <c r="AJ152" i="228"/>
  <c r="AK152" i="228"/>
  <c r="AM152" i="228"/>
  <c r="AQ152" i="228" s="1"/>
  <c r="CB149" i="228"/>
  <c r="BQ149" i="228"/>
  <c r="AS149" i="228"/>
  <c r="CF149" i="228"/>
  <c r="AT149" i="228"/>
  <c r="AJ144" i="228"/>
  <c r="U144" i="228"/>
  <c r="AK144" i="228"/>
  <c r="BO92" i="228"/>
  <c r="BX92" i="228"/>
  <c r="BY92" i="228" s="1"/>
  <c r="BZ92" i="228" s="1"/>
  <c r="CF64" i="228"/>
  <c r="AJ160" i="228"/>
  <c r="AK160" i="228"/>
  <c r="AS160" i="228"/>
  <c r="BX131" i="228"/>
  <c r="BY131" i="228" s="1"/>
  <c r="BZ131" i="228" s="1"/>
  <c r="AT111" i="228"/>
  <c r="U111" i="228"/>
  <c r="BQ144" i="228"/>
  <c r="AS157" i="228"/>
  <c r="BQ157" i="228"/>
  <c r="CF157" i="228"/>
  <c r="AT157" i="228"/>
  <c r="AZ157" i="228"/>
  <c r="U142" i="228"/>
  <c r="AJ142" i="228"/>
  <c r="AK142" i="228"/>
  <c r="AT142" i="228"/>
  <c r="AM142" i="228"/>
  <c r="AQ142" i="228" s="1"/>
  <c r="AS135" i="228"/>
  <c r="BQ113" i="228"/>
  <c r="AK109" i="228"/>
  <c r="CA3" i="228"/>
  <c r="CB3" i="228"/>
  <c r="BQ3" i="228"/>
  <c r="AS3" i="228"/>
  <c r="AT3" i="228"/>
  <c r="AZ3" i="228"/>
  <c r="CF3" i="228"/>
  <c r="AM160" i="228"/>
  <c r="AQ160" i="228" s="1"/>
  <c r="AS151" i="228"/>
  <c r="BX140" i="228"/>
  <c r="BY140" i="228" s="1"/>
  <c r="BZ140" i="228" s="1"/>
  <c r="AK121" i="228"/>
  <c r="AJ121" i="228"/>
  <c r="U121" i="228"/>
  <c r="AM121" i="228"/>
  <c r="AQ121" i="228" s="1"/>
  <c r="BX119" i="228"/>
  <c r="BY119" i="228" s="1"/>
  <c r="BZ119" i="228" s="1"/>
  <c r="BO119" i="228"/>
  <c r="AM115" i="228"/>
  <c r="AQ115" i="228" s="1"/>
  <c r="AJ115" i="228"/>
  <c r="AK115" i="228"/>
  <c r="AM111" i="228"/>
  <c r="AQ111" i="228" s="1"/>
  <c r="AS105" i="228"/>
  <c r="AT105" i="228"/>
  <c r="AZ105" i="228"/>
  <c r="AK105" i="228"/>
  <c r="CA105" i="228"/>
  <c r="BX104" i="228"/>
  <c r="BY104" i="228" s="1"/>
  <c r="BZ104" i="228" s="1"/>
  <c r="CA157" i="228"/>
  <c r="CC157" i="228" s="1"/>
  <c r="AJ155" i="228"/>
  <c r="AK155" i="228"/>
  <c r="AM155" i="228"/>
  <c r="AQ155" i="228" s="1"/>
  <c r="AS155" i="228"/>
  <c r="AS140" i="228"/>
  <c r="CF140" i="228"/>
  <c r="BQ140" i="228"/>
  <c r="AZ140" i="228"/>
  <c r="AT140" i="228"/>
  <c r="CB132" i="228"/>
  <c r="AZ132" i="228"/>
  <c r="AT121" i="228"/>
  <c r="AJ118" i="228"/>
  <c r="AK118" i="228"/>
  <c r="U118" i="228"/>
  <c r="AM118" i="228"/>
  <c r="AQ118" i="228" s="1"/>
  <c r="U160" i="228"/>
  <c r="U151" i="228"/>
  <c r="U150" i="228"/>
  <c r="AK150" i="228"/>
  <c r="AJ150" i="228"/>
  <c r="AM150" i="228"/>
  <c r="AQ150" i="228" s="1"/>
  <c r="AS150" i="228"/>
  <c r="CB146" i="228"/>
  <c r="AK136" i="228"/>
  <c r="CA132" i="228"/>
  <c r="CF111" i="228"/>
  <c r="AS110" i="228"/>
  <c r="AU110" i="228"/>
  <c r="BO154" i="228"/>
  <c r="CA146" i="228"/>
  <c r="AS144" i="228"/>
  <c r="BQ136" i="228"/>
  <c r="BX123" i="228"/>
  <c r="BY123" i="228" s="1"/>
  <c r="BZ123" i="228" s="1"/>
  <c r="BO123" i="228"/>
  <c r="CF106" i="228"/>
  <c r="BQ106" i="228"/>
  <c r="CB105" i="228"/>
  <c r="AJ97" i="228"/>
  <c r="CA97" i="228"/>
  <c r="CB97" i="228"/>
  <c r="AT97" i="228"/>
  <c r="AS97" i="228"/>
  <c r="AZ97" i="228"/>
  <c r="CF76" i="228"/>
  <c r="BQ76" i="228"/>
  <c r="BQ64" i="228"/>
  <c r="AK133" i="228"/>
  <c r="BX67" i="228"/>
  <c r="BY67" i="228" s="1"/>
  <c r="BZ67" i="228" s="1"/>
  <c r="BO67" i="228"/>
  <c r="CF42" i="228"/>
  <c r="AJ32" i="228"/>
  <c r="AK32" i="228"/>
  <c r="AT32" i="228"/>
  <c r="U32" i="228"/>
  <c r="AM32" i="228"/>
  <c r="AQ32" i="228" s="1"/>
  <c r="AS32" i="228"/>
  <c r="BO145" i="228"/>
  <c r="CA145" i="228"/>
  <c r="AT145" i="228"/>
  <c r="CF134" i="228"/>
  <c r="BQ134" i="228"/>
  <c r="BQ133" i="228"/>
  <c r="AS133" i="228"/>
  <c r="CB126" i="228"/>
  <c r="U123" i="228"/>
  <c r="AS114" i="228"/>
  <c r="BQ114" i="228"/>
  <c r="BX111" i="228"/>
  <c r="BY111" i="228" s="1"/>
  <c r="BZ111" i="228" s="1"/>
  <c r="AZ106" i="228"/>
  <c r="BQ98" i="228"/>
  <c r="CF98" i="228"/>
  <c r="AK98" i="228"/>
  <c r="AJ95" i="228"/>
  <c r="AM95" i="228"/>
  <c r="AQ95" i="228" s="1"/>
  <c r="AT95" i="228"/>
  <c r="CF85" i="228"/>
  <c r="CF55" i="228"/>
  <c r="BQ55" i="228"/>
  <c r="BP42" i="228"/>
  <c r="BQ16" i="228"/>
  <c r="CF16" i="228"/>
  <c r="BQ160" i="228"/>
  <c r="CA156" i="228"/>
  <c r="U154" i="228"/>
  <c r="BX153" i="228"/>
  <c r="BY153" i="228" s="1"/>
  <c r="BZ153" i="228" s="1"/>
  <c r="BQ152" i="228"/>
  <c r="U146" i="228"/>
  <c r="AT144" i="228"/>
  <c r="CF141" i="228"/>
  <c r="BQ141" i="228"/>
  <c r="AK139" i="228"/>
  <c r="U139" i="228"/>
  <c r="AM125" i="228"/>
  <c r="AQ125" i="228" s="1"/>
  <c r="AJ125" i="228"/>
  <c r="BO121" i="228"/>
  <c r="BO117" i="228"/>
  <c r="AT107" i="228"/>
  <c r="BQ104" i="228"/>
  <c r="BX95" i="228"/>
  <c r="BO95" i="228"/>
  <c r="BQ85" i="228"/>
  <c r="Z81" i="228"/>
  <c r="BQ78" i="228"/>
  <c r="CF78" i="228"/>
  <c r="AJ78" i="228"/>
  <c r="AS78" i="228"/>
  <c r="AZ78" i="228"/>
  <c r="CA78" i="228"/>
  <c r="AT78" i="228"/>
  <c r="CB78" i="228"/>
  <c r="AK132" i="228"/>
  <c r="U132" i="228"/>
  <c r="AS137" i="228"/>
  <c r="CF137" i="228"/>
  <c r="Z161" i="228"/>
  <c r="BO147" i="228"/>
  <c r="AZ145" i="228"/>
  <c r="BO143" i="228"/>
  <c r="AJ138" i="228"/>
  <c r="AZ137" i="228"/>
  <c r="BO136" i="228"/>
  <c r="CF129" i="228"/>
  <c r="CA129" i="228"/>
  <c r="AZ129" i="228"/>
  <c r="BX128" i="228"/>
  <c r="BY128" i="228" s="1"/>
  <c r="BZ128" i="228" s="1"/>
  <c r="CA118" i="228"/>
  <c r="AZ118" i="228"/>
  <c r="BQ118" i="228"/>
  <c r="CF118" i="228"/>
  <c r="AT115" i="228"/>
  <c r="AZ115" i="228"/>
  <c r="CA115" i="228"/>
  <c r="BQ115" i="228"/>
  <c r="CF115" i="228"/>
  <c r="CF114" i="228"/>
  <c r="BO101" i="228"/>
  <c r="CB101" i="228"/>
  <c r="AS101" i="228"/>
  <c r="AJ101" i="228"/>
  <c r="AT101" i="228"/>
  <c r="AZ101" i="228"/>
  <c r="AS100" i="228"/>
  <c r="AU100" i="228"/>
  <c r="BO98" i="228"/>
  <c r="AS92" i="228"/>
  <c r="AZ89" i="228"/>
  <c r="CA89" i="228"/>
  <c r="BQ89" i="228"/>
  <c r="CF89" i="228"/>
  <c r="AS89" i="228"/>
  <c r="AT89" i="228"/>
  <c r="CB89" i="228"/>
  <c r="BO74" i="228"/>
  <c r="BX74" i="228"/>
  <c r="BY74" i="228" s="1"/>
  <c r="BZ74" i="228" s="1"/>
  <c r="CF60" i="228"/>
  <c r="AS60" i="228"/>
  <c r="AZ60" i="228"/>
  <c r="CA60" i="228"/>
  <c r="CB60" i="228"/>
  <c r="BX55" i="228"/>
  <c r="BY55" i="228" s="1"/>
  <c r="BZ55" i="228" s="1"/>
  <c r="BO55" i="228"/>
  <c r="AK157" i="228"/>
  <c r="AJ146" i="228"/>
  <c r="BX145" i="228"/>
  <c r="BY145" i="228" s="1"/>
  <c r="BZ145" i="228" s="1"/>
  <c r="AM133" i="228"/>
  <c r="AQ133" i="228" s="1"/>
  <c r="AM126" i="228"/>
  <c r="AQ126" i="228" s="1"/>
  <c r="U126" i="228"/>
  <c r="AS125" i="228"/>
  <c r="AM123" i="228"/>
  <c r="AQ123" i="228" s="1"/>
  <c r="CF121" i="228"/>
  <c r="CB121" i="228"/>
  <c r="AS121" i="228"/>
  <c r="AA118" i="228"/>
  <c r="CB117" i="228"/>
  <c r="AT116" i="228"/>
  <c r="U116" i="228"/>
  <c r="AS116" i="228"/>
  <c r="CB114" i="228"/>
  <c r="U113" i="228"/>
  <c r="AT113" i="228"/>
  <c r="AM108" i="228"/>
  <c r="AQ108" i="228" s="1"/>
  <c r="U108" i="228"/>
  <c r="AJ108" i="228"/>
  <c r="BX106" i="228"/>
  <c r="BY106" i="228" s="1"/>
  <c r="BZ106" i="228" s="1"/>
  <c r="U99" i="228"/>
  <c r="AT99" i="228"/>
  <c r="AJ99" i="228"/>
  <c r="AK99" i="228"/>
  <c r="U94" i="228"/>
  <c r="AJ94" i="228"/>
  <c r="AK94" i="228"/>
  <c r="BQ84" i="228"/>
  <c r="CF84" i="228"/>
  <c r="AT126" i="228"/>
  <c r="BQ126" i="228"/>
  <c r="AZ126" i="228"/>
  <c r="AM132" i="228"/>
  <c r="AQ132" i="228" s="1"/>
  <c r="AT130" i="228"/>
  <c r="BQ130" i="228"/>
  <c r="AS130" i="228"/>
  <c r="CF130" i="228"/>
  <c r="CA114" i="228"/>
  <c r="U109" i="228"/>
  <c r="AJ109" i="228"/>
  <c r="BQ107" i="228"/>
  <c r="CF107" i="228"/>
  <c r="CB106" i="228"/>
  <c r="AK106" i="228"/>
  <c r="U106" i="228"/>
  <c r="AS104" i="228"/>
  <c r="AZ104" i="228"/>
  <c r="AJ104" i="228"/>
  <c r="CB104" i="228"/>
  <c r="CC104" i="228" s="1"/>
  <c r="CD104" i="228" s="1"/>
  <c r="AK104" i="228"/>
  <c r="AS102" i="228"/>
  <c r="AT96" i="228"/>
  <c r="AS96" i="228"/>
  <c r="CA96" i="228"/>
  <c r="BQ91" i="228"/>
  <c r="CF91" i="228"/>
  <c r="BX86" i="228"/>
  <c r="BY86" i="228" s="1"/>
  <c r="BZ86" i="228" s="1"/>
  <c r="BO86" i="228"/>
  <c r="BX78" i="228"/>
  <c r="BY78" i="228" s="1"/>
  <c r="BZ78" i="228" s="1"/>
  <c r="BO78" i="228"/>
  <c r="AJ75" i="228"/>
  <c r="AK75" i="228"/>
  <c r="U75" i="228"/>
  <c r="AM75" i="228"/>
  <c r="AQ75" i="228" s="1"/>
  <c r="AT75" i="228"/>
  <c r="AJ71" i="228"/>
  <c r="AK71" i="228"/>
  <c r="AM71" i="228"/>
  <c r="AQ71" i="228" s="1"/>
  <c r="AS71" i="228"/>
  <c r="CA117" i="228"/>
  <c r="CA160" i="228"/>
  <c r="AS109" i="228"/>
  <c r="AS95" i="228"/>
  <c r="AS91" i="228"/>
  <c r="AZ91" i="228"/>
  <c r="AK91" i="228"/>
  <c r="CA91" i="228"/>
  <c r="AJ91" i="228"/>
  <c r="AT91" i="228"/>
  <c r="CB91" i="228"/>
  <c r="U86" i="228"/>
  <c r="AJ86" i="228"/>
  <c r="AM86" i="228"/>
  <c r="AQ86" i="228" s="1"/>
  <c r="AS86" i="228"/>
  <c r="AT86" i="228"/>
  <c r="AT63" i="228"/>
  <c r="AZ63" i="228"/>
  <c r="AK63" i="228"/>
  <c r="CA63" i="228"/>
  <c r="CC63" i="228" s="1"/>
  <c r="AS63" i="228"/>
  <c r="AT46" i="228"/>
  <c r="CA46" i="228"/>
  <c r="CB46" i="228"/>
  <c r="AS46" i="228"/>
  <c r="AZ46" i="228"/>
  <c r="BQ46" i="228"/>
  <c r="AS143" i="228"/>
  <c r="Z67" i="228"/>
  <c r="AA67" i="228"/>
  <c r="CF154" i="228"/>
  <c r="AT152" i="228"/>
  <c r="CF150" i="228"/>
  <c r="BQ154" i="228"/>
  <c r="CA152" i="228"/>
  <c r="BQ150" i="228"/>
  <c r="AS145" i="228"/>
  <c r="AS142" i="228"/>
  <c r="AZ142" i="228"/>
  <c r="CA142" i="228"/>
  <c r="CC142" i="228" s="1"/>
  <c r="CB141" i="228"/>
  <c r="AT137" i="228"/>
  <c r="AJ133" i="228"/>
  <c r="CB130" i="228"/>
  <c r="AK128" i="228"/>
  <c r="U128" i="228"/>
  <c r="AJ128" i="228"/>
  <c r="AS126" i="228"/>
  <c r="AK123" i="228"/>
  <c r="AJ117" i="228"/>
  <c r="AM117" i="228"/>
  <c r="AQ117" i="228" s="1"/>
  <c r="AZ114" i="228"/>
  <c r="AM114" i="228"/>
  <c r="AQ114" i="228" s="1"/>
  <c r="U114" i="228"/>
  <c r="AS111" i="228"/>
  <c r="AU111" i="228"/>
  <c r="BX110" i="228"/>
  <c r="BY110" i="228" s="1"/>
  <c r="BZ110" i="228" s="1"/>
  <c r="CB107" i="228"/>
  <c r="CA106" i="228"/>
  <c r="BQ105" i="228"/>
  <c r="CF102" i="228"/>
  <c r="CF161" i="228"/>
  <c r="AT161" i="228"/>
  <c r="CB159" i="228"/>
  <c r="AT155" i="228"/>
  <c r="BO151" i="228"/>
  <c r="CA151" i="228"/>
  <c r="AT151" i="228"/>
  <c r="AT148" i="228"/>
  <c r="AJ148" i="228"/>
  <c r="CA141" i="228"/>
  <c r="BQ139" i="228"/>
  <c r="AM139" i="228"/>
  <c r="AQ139" i="228" s="1"/>
  <c r="AM138" i="228"/>
  <c r="AQ138" i="228" s="1"/>
  <c r="AJ132" i="228"/>
  <c r="CA130" i="228"/>
  <c r="AJ129" i="228"/>
  <c r="U129" i="228"/>
  <c r="CF124" i="228"/>
  <c r="AJ123" i="228"/>
  <c r="CB119" i="228"/>
  <c r="AS119" i="228"/>
  <c r="AZ119" i="228"/>
  <c r="BX117" i="228"/>
  <c r="BY117" i="228" s="1"/>
  <c r="BZ117" i="228" s="1"/>
  <c r="AT117" i="228"/>
  <c r="AS108" i="228"/>
  <c r="AT106" i="228"/>
  <c r="BQ102" i="228"/>
  <c r="BX90" i="228"/>
  <c r="BY90" i="228" s="1"/>
  <c r="BZ90" i="228" s="1"/>
  <c r="AU76" i="228"/>
  <c r="AM72" i="228"/>
  <c r="AQ72" i="228" s="1"/>
  <c r="AK72" i="228"/>
  <c r="U72" i="228"/>
  <c r="AJ72" i="228"/>
  <c r="BO71" i="228"/>
  <c r="BX71" i="228"/>
  <c r="BY71" i="228" s="1"/>
  <c r="BZ71" i="228" s="1"/>
  <c r="BO66" i="228"/>
  <c r="BX66" i="228"/>
  <c r="BY66" i="228" s="1"/>
  <c r="BZ66" i="228" s="1"/>
  <c r="CB47" i="228"/>
  <c r="AS47" i="228"/>
  <c r="AT47" i="228"/>
  <c r="CF47" i="228"/>
  <c r="CA47" i="228"/>
  <c r="BQ47" i="228"/>
  <c r="AZ47" i="228"/>
  <c r="AJ47" i="228"/>
  <c r="BX144" i="228"/>
  <c r="BY144" i="228" s="1"/>
  <c r="BZ144" i="228" s="1"/>
  <c r="BQ138" i="228"/>
  <c r="CA134" i="228"/>
  <c r="CA122" i="228"/>
  <c r="U120" i="228"/>
  <c r="AJ120" i="228"/>
  <c r="BO113" i="228"/>
  <c r="AZ113" i="228"/>
  <c r="CA113" i="228"/>
  <c r="AJ107" i="228"/>
  <c r="AK107" i="228"/>
  <c r="AS90" i="228"/>
  <c r="AT73" i="228"/>
  <c r="AZ73" i="228"/>
  <c r="CA73" i="228"/>
  <c r="AS73" i="228"/>
  <c r="CB73" i="228"/>
  <c r="CA69" i="228"/>
  <c r="AT69" i="228"/>
  <c r="AZ69" i="228"/>
  <c r="CB69" i="228"/>
  <c r="CF69" i="228"/>
  <c r="AS52" i="228"/>
  <c r="AU52" i="228"/>
  <c r="AK8" i="228"/>
  <c r="AM8" i="228"/>
  <c r="AQ8" i="228" s="1"/>
  <c r="U8" i="228"/>
  <c r="AJ8" i="228"/>
  <c r="AS8" i="228"/>
  <c r="AT8" i="228"/>
  <c r="AS131" i="228"/>
  <c r="AZ131" i="228"/>
  <c r="BO125" i="228"/>
  <c r="CB122" i="228"/>
  <c r="BQ99" i="228"/>
  <c r="AJ96" i="228"/>
  <c r="AM96" i="228"/>
  <c r="AQ96" i="228" s="1"/>
  <c r="U96" i="228"/>
  <c r="AK89" i="228"/>
  <c r="AJ89" i="228"/>
  <c r="AZ87" i="228"/>
  <c r="CA87" i="228"/>
  <c r="AS87" i="228"/>
  <c r="CB87" i="228"/>
  <c r="BQ77" i="228"/>
  <c r="CF77" i="228"/>
  <c r="AS75" i="228"/>
  <c r="AS72" i="228"/>
  <c r="CF68" i="228"/>
  <c r="AK68" i="228"/>
  <c r="AK93" i="228"/>
  <c r="U93" i="228"/>
  <c r="AM93" i="228"/>
  <c r="AQ93" i="228" s="1"/>
  <c r="CA85" i="228"/>
  <c r="AZ57" i="228"/>
  <c r="CA57" i="228"/>
  <c r="CF57" i="228"/>
  <c r="CB57" i="228"/>
  <c r="BQ57" i="228"/>
  <c r="CB53" i="228"/>
  <c r="BQ53" i="228"/>
  <c r="AS53" i="228"/>
  <c r="AT53" i="228"/>
  <c r="AZ53" i="228"/>
  <c r="CA53" i="228"/>
  <c r="CF53" i="228"/>
  <c r="AK53" i="228"/>
  <c r="AJ53" i="228"/>
  <c r="U102" i="228"/>
  <c r="AJ102" i="228"/>
  <c r="AM102" i="228"/>
  <c r="AQ102" i="228" s="1"/>
  <c r="BX94" i="228"/>
  <c r="BY94" i="228" s="1"/>
  <c r="BZ94" i="228" s="1"/>
  <c r="BQ90" i="228"/>
  <c r="CF90" i="228"/>
  <c r="AM82" i="228"/>
  <c r="AQ82" i="228" s="1"/>
  <c r="AK82" i="228"/>
  <c r="AT82" i="228"/>
  <c r="AS80" i="228"/>
  <c r="AT80" i="228"/>
  <c r="AZ80" i="228"/>
  <c r="CB80" i="228"/>
  <c r="BQ75" i="228"/>
  <c r="U59" i="228"/>
  <c r="AJ59" i="228"/>
  <c r="AK59" i="228"/>
  <c r="AM59" i="228"/>
  <c r="AQ59" i="228" s="1"/>
  <c r="AS59" i="228"/>
  <c r="Z109" i="228"/>
  <c r="BQ101" i="228"/>
  <c r="CF101" i="228"/>
  <c r="BQ100" i="228"/>
  <c r="CF100" i="228"/>
  <c r="AT93" i="228"/>
  <c r="AS88" i="228"/>
  <c r="CB88" i="228"/>
  <c r="BQ88" i="228"/>
  <c r="CF88" i="228"/>
  <c r="AT88" i="228"/>
  <c r="BQ86" i="228"/>
  <c r="CB85" i="228"/>
  <c r="AS82" i="228"/>
  <c r="BQ137" i="228"/>
  <c r="AT134" i="228"/>
  <c r="BX133" i="228"/>
  <c r="BY133" i="228" s="1"/>
  <c r="BZ133" i="228" s="1"/>
  <c r="AS127" i="228"/>
  <c r="AZ127" i="228"/>
  <c r="BQ123" i="228"/>
  <c r="AM120" i="228"/>
  <c r="AQ120" i="228" s="1"/>
  <c r="CF119" i="228"/>
  <c r="AS113" i="228"/>
  <c r="BX112" i="228"/>
  <c r="BY112" i="228" s="1"/>
  <c r="BZ112" i="228" s="1"/>
  <c r="AT109" i="228"/>
  <c r="CA108" i="228"/>
  <c r="AT108" i="228"/>
  <c r="AM107" i="228"/>
  <c r="AQ107" i="228" s="1"/>
  <c r="AT102" i="228"/>
  <c r="AJ100" i="228"/>
  <c r="AK100" i="228"/>
  <c r="CB100" i="228"/>
  <c r="AT100" i="228"/>
  <c r="AS98" i="228"/>
  <c r="AZ95" i="228"/>
  <c r="CB95" i="228"/>
  <c r="CC95" i="228" s="1"/>
  <c r="CD95" i="228" s="1"/>
  <c r="U87" i="228"/>
  <c r="AJ87" i="228"/>
  <c r="BX85" i="228"/>
  <c r="BY85" i="228" s="1"/>
  <c r="BZ85" i="228" s="1"/>
  <c r="BX81" i="228"/>
  <c r="BY81" i="228" s="1"/>
  <c r="BZ81" i="228" s="1"/>
  <c r="BO81" i="228"/>
  <c r="AJ69" i="228"/>
  <c r="AM69" i="228"/>
  <c r="AQ69" i="228" s="1"/>
  <c r="U69" i="228"/>
  <c r="AJ62" i="228"/>
  <c r="AK62" i="228"/>
  <c r="AM62" i="228"/>
  <c r="AQ62" i="228" s="1"/>
  <c r="AT94" i="228"/>
  <c r="CB74" i="228"/>
  <c r="AT74" i="228"/>
  <c r="AZ74" i="228"/>
  <c r="CA68" i="228"/>
  <c r="AT68" i="228"/>
  <c r="AZ68" i="228"/>
  <c r="AT64" i="228"/>
  <c r="AZ64" i="228"/>
  <c r="AM58" i="228"/>
  <c r="AQ58" i="228" s="1"/>
  <c r="U58" i="228"/>
  <c r="AK58" i="228"/>
  <c r="AJ58" i="228"/>
  <c r="AT58" i="228"/>
  <c r="CA43" i="228"/>
  <c r="CB43" i="228"/>
  <c r="AS43" i="228"/>
  <c r="AT43" i="228"/>
  <c r="AZ43" i="228"/>
  <c r="BO34" i="228"/>
  <c r="AM103" i="228"/>
  <c r="AQ103" i="228" s="1"/>
  <c r="AZ93" i="228"/>
  <c r="CA93" i="228"/>
  <c r="AT84" i="228"/>
  <c r="AJ80" i="228"/>
  <c r="AK80" i="228"/>
  <c r="U80" i="228"/>
  <c r="AA78" i="228"/>
  <c r="AT77" i="228"/>
  <c r="CA76" i="228"/>
  <c r="AK76" i="228"/>
  <c r="AT76" i="228"/>
  <c r="BQ70" i="228"/>
  <c r="CB68" i="228"/>
  <c r="BX68" i="228"/>
  <c r="BY68" i="228" s="1"/>
  <c r="BZ68" i="228" s="1"/>
  <c r="AS65" i="228"/>
  <c r="AJ65" i="228"/>
  <c r="CF65" i="228"/>
  <c r="CB64" i="228"/>
  <c r="BX49" i="228"/>
  <c r="BY49" i="228" s="1"/>
  <c r="BZ49" i="228" s="1"/>
  <c r="BO49" i="228"/>
  <c r="BQ18" i="228"/>
  <c r="AS18" i="228"/>
  <c r="AT18" i="228"/>
  <c r="CA18" i="228"/>
  <c r="CB18" i="228"/>
  <c r="AZ18" i="228"/>
  <c r="AT98" i="228"/>
  <c r="CB92" i="228"/>
  <c r="AT92" i="228"/>
  <c r="CA74" i="228"/>
  <c r="CF67" i="228"/>
  <c r="AK67" i="228"/>
  <c r="CA64" i="228"/>
  <c r="AS62" i="228"/>
  <c r="BX60" i="228"/>
  <c r="BY60" i="228" s="1"/>
  <c r="BZ60" i="228" s="1"/>
  <c r="BO60" i="228"/>
  <c r="CF59" i="228"/>
  <c r="BQ59" i="228"/>
  <c r="AS50" i="228"/>
  <c r="Z79" i="228"/>
  <c r="AA79" i="228"/>
  <c r="BO76" i="228"/>
  <c r="U74" i="228"/>
  <c r="AK74" i="228"/>
  <c r="AS70" i="228"/>
  <c r="AT70" i="228"/>
  <c r="CF70" i="228"/>
  <c r="BO65" i="228"/>
  <c r="AJ60" i="228"/>
  <c r="U60" i="228"/>
  <c r="AK60" i="228"/>
  <c r="AM60" i="228"/>
  <c r="AQ60" i="228" s="1"/>
  <c r="AJ57" i="228"/>
  <c r="U57" i="228"/>
  <c r="AK57" i="228"/>
  <c r="AJ52" i="228"/>
  <c r="AK52" i="228"/>
  <c r="U52" i="228"/>
  <c r="AT52" i="228"/>
  <c r="AM30" i="228"/>
  <c r="AQ30" i="228" s="1"/>
  <c r="U30" i="228"/>
  <c r="AK30" i="228"/>
  <c r="AJ30" i="228"/>
  <c r="AS74" i="228"/>
  <c r="CA70" i="228"/>
  <c r="BQ62" i="228"/>
  <c r="AZ54" i="228"/>
  <c r="AT54" i="228"/>
  <c r="AJ54" i="228"/>
  <c r="AK54" i="228"/>
  <c r="BQ50" i="228"/>
  <c r="U48" i="228"/>
  <c r="AJ48" i="228"/>
  <c r="AK48" i="228"/>
  <c r="AM48" i="228"/>
  <c r="AQ48" i="228" s="1"/>
  <c r="AS48" i="228"/>
  <c r="AT48" i="228"/>
  <c r="BO42" i="228"/>
  <c r="BX42" i="228"/>
  <c r="BQ40" i="228"/>
  <c r="CF40" i="228"/>
  <c r="CB40" i="228"/>
  <c r="AZ40" i="228"/>
  <c r="AK40" i="228"/>
  <c r="AS40" i="228"/>
  <c r="AT40" i="228"/>
  <c r="CA40" i="228"/>
  <c r="BX22" i="228"/>
  <c r="BY22" i="228" s="1"/>
  <c r="BZ22" i="228" s="1"/>
  <c r="BO22" i="228"/>
  <c r="CB98" i="228"/>
  <c r="CC98" i="228" s="1"/>
  <c r="AZ92" i="228"/>
  <c r="AJ77" i="228"/>
  <c r="U77" i="228"/>
  <c r="BQ73" i="228"/>
  <c r="CF73" i="228"/>
  <c r="AS68" i="228"/>
  <c r="BX65" i="228"/>
  <c r="BY65" i="228" s="1"/>
  <c r="BZ65" i="228" s="1"/>
  <c r="AS64" i="228"/>
  <c r="BO45" i="228"/>
  <c r="BX39" i="228"/>
  <c r="BY39" i="228" s="1"/>
  <c r="BZ39" i="228" s="1"/>
  <c r="BO39" i="228"/>
  <c r="AS36" i="228"/>
  <c r="AT36" i="228"/>
  <c r="AZ36" i="228"/>
  <c r="CA36" i="228"/>
  <c r="CF36" i="228"/>
  <c r="BQ29" i="228"/>
  <c r="CF29" i="228"/>
  <c r="AS84" i="228"/>
  <c r="AK70" i="228"/>
  <c r="BQ66" i="228"/>
  <c r="BX64" i="228"/>
  <c r="BY64" i="228" s="1"/>
  <c r="BZ64" i="228" s="1"/>
  <c r="BX45" i="228"/>
  <c r="BY45" i="228" s="1"/>
  <c r="BZ45" i="228" s="1"/>
  <c r="CA38" i="228"/>
  <c r="CF23" i="228"/>
  <c r="BO8" i="228"/>
  <c r="BX8" i="228"/>
  <c r="BY8" i="228" s="1"/>
  <c r="BZ8" i="228" s="1"/>
  <c r="CF54" i="228"/>
  <c r="BQ54" i="228"/>
  <c r="CA49" i="228"/>
  <c r="AS49" i="228"/>
  <c r="AZ49" i="228"/>
  <c r="BX35" i="228"/>
  <c r="BY35" i="228" s="1"/>
  <c r="BZ35" i="228" s="1"/>
  <c r="BO35" i="228"/>
  <c r="AS34" i="228"/>
  <c r="AT34" i="228"/>
  <c r="AZ34" i="228"/>
  <c r="CA34" i="228"/>
  <c r="CB34" i="228"/>
  <c r="CA24" i="228"/>
  <c r="CB24" i="228"/>
  <c r="AT24" i="228"/>
  <c r="AS24" i="228"/>
  <c r="AZ24" i="228"/>
  <c r="BQ23" i="228"/>
  <c r="AK23" i="228"/>
  <c r="AJ68" i="228"/>
  <c r="AM68" i="228"/>
  <c r="AQ68" i="228" s="1"/>
  <c r="AT66" i="228"/>
  <c r="AZ66" i="228"/>
  <c r="AM64" i="228"/>
  <c r="AQ64" i="228" s="1"/>
  <c r="AJ64" i="228"/>
  <c r="AT62" i="228"/>
  <c r="CB58" i="228"/>
  <c r="CA58" i="228"/>
  <c r="U41" i="228"/>
  <c r="AK41" i="228"/>
  <c r="AS41" i="228"/>
  <c r="AT41" i="228"/>
  <c r="AJ41" i="228"/>
  <c r="AM41" i="228"/>
  <c r="AQ41" i="228" s="1"/>
  <c r="AZ38" i="228"/>
  <c r="AK38" i="228"/>
  <c r="CB38" i="228"/>
  <c r="AS38" i="228"/>
  <c r="BQ38" i="228"/>
  <c r="CF38" i="228"/>
  <c r="AT38" i="228"/>
  <c r="BO30" i="228"/>
  <c r="BX30" i="228"/>
  <c r="BY30" i="228" s="1"/>
  <c r="BZ30" i="228" s="1"/>
  <c r="BO26" i="228"/>
  <c r="BX26" i="228"/>
  <c r="BY26" i="228" s="1"/>
  <c r="BZ26" i="228" s="1"/>
  <c r="AT16" i="228"/>
  <c r="AZ16" i="228"/>
  <c r="AK16" i="228"/>
  <c r="CA16" i="228"/>
  <c r="CB16" i="228"/>
  <c r="AS16" i="228"/>
  <c r="AJ16" i="228"/>
  <c r="CF80" i="228"/>
  <c r="BO73" i="228"/>
  <c r="BO72" i="228"/>
  <c r="CA72" i="228"/>
  <c r="AT72" i="228"/>
  <c r="AZ71" i="228"/>
  <c r="AT71" i="228"/>
  <c r="CA66" i="228"/>
  <c r="CA61" i="228"/>
  <c r="AS61" i="228"/>
  <c r="CF61" i="228"/>
  <c r="BO58" i="228"/>
  <c r="AM56" i="228"/>
  <c r="AQ56" i="228" s="1"/>
  <c r="BX46" i="228"/>
  <c r="BY46" i="228" s="1"/>
  <c r="BZ46" i="228" s="1"/>
  <c r="BO46" i="228"/>
  <c r="AJ46" i="228"/>
  <c r="AK46" i="228"/>
  <c r="AQ46" i="228"/>
  <c r="U46" i="228"/>
  <c r="U44" i="228"/>
  <c r="AJ44" i="228"/>
  <c r="AK44" i="228"/>
  <c r="AM44" i="228"/>
  <c r="AQ44" i="228" s="1"/>
  <c r="BO41" i="228"/>
  <c r="CB36" i="228"/>
  <c r="CF24" i="228"/>
  <c r="BQ24" i="228"/>
  <c r="U12" i="228"/>
  <c r="AK12" i="228"/>
  <c r="AJ12" i="228"/>
  <c r="AM12" i="228"/>
  <c r="AQ12" i="228" s="1"/>
  <c r="CB83" i="228"/>
  <c r="AK81" i="228"/>
  <c r="BX75" i="228"/>
  <c r="BY75" i="228" s="1"/>
  <c r="BZ75" i="228" s="1"/>
  <c r="BO69" i="228"/>
  <c r="BQ65" i="228"/>
  <c r="AJ63" i="228"/>
  <c r="BQ61" i="228"/>
  <c r="AJ55" i="228"/>
  <c r="AK55" i="228"/>
  <c r="CA51" i="228"/>
  <c r="AS51" i="228"/>
  <c r="AT51" i="228"/>
  <c r="CF51" i="228"/>
  <c r="U49" i="228"/>
  <c r="AK49" i="228"/>
  <c r="BO43" i="228"/>
  <c r="AK37" i="228"/>
  <c r="BX34" i="228"/>
  <c r="BY34" i="228" s="1"/>
  <c r="BZ34" i="228" s="1"/>
  <c r="AM33" i="228"/>
  <c r="AQ33" i="228" s="1"/>
  <c r="U33" i="228"/>
  <c r="AJ33" i="228"/>
  <c r="AS27" i="228"/>
  <c r="AS22" i="228"/>
  <c r="BQ22" i="228"/>
  <c r="AT22" i="228"/>
  <c r="AJ22" i="228"/>
  <c r="AZ22" i="228"/>
  <c r="CA22" i="228"/>
  <c r="CC22" i="228" s="1"/>
  <c r="AJ19" i="228"/>
  <c r="AK19" i="228"/>
  <c r="AM19" i="228"/>
  <c r="AQ19" i="228" s="1"/>
  <c r="BX36" i="228"/>
  <c r="BY36" i="228" s="1"/>
  <c r="BZ36" i="228" s="1"/>
  <c r="BO36" i="228"/>
  <c r="AK36" i="228"/>
  <c r="U36" i="228"/>
  <c r="BQ35" i="228"/>
  <c r="AJ29" i="228"/>
  <c r="U29" i="228"/>
  <c r="AK29" i="228"/>
  <c r="U54" i="228"/>
  <c r="AS45" i="228"/>
  <c r="AU45" i="228"/>
  <c r="U42" i="228"/>
  <c r="AJ42" i="228"/>
  <c r="AZ37" i="228"/>
  <c r="AS37" i="228"/>
  <c r="AT37" i="228"/>
  <c r="AZ35" i="228"/>
  <c r="AK35" i="228"/>
  <c r="CB35" i="228"/>
  <c r="CC35" i="228" s="1"/>
  <c r="AS35" i="228"/>
  <c r="AK24" i="228"/>
  <c r="AM24" i="228"/>
  <c r="AQ24" i="228" s="1"/>
  <c r="U24" i="228"/>
  <c r="BO12" i="228"/>
  <c r="BX12" i="228"/>
  <c r="BY12" i="228" s="1"/>
  <c r="BZ12" i="228" s="1"/>
  <c r="CF31" i="228"/>
  <c r="BQ31" i="228"/>
  <c r="AK31" i="228"/>
  <c r="AM17" i="228"/>
  <c r="AQ17" i="228" s="1"/>
  <c r="U17" i="228"/>
  <c r="AJ17" i="228"/>
  <c r="AK17" i="228"/>
  <c r="AJ5" i="228"/>
  <c r="AK5" i="228"/>
  <c r="AM5" i="228"/>
  <c r="AQ5" i="228" s="1"/>
  <c r="AS5" i="228"/>
  <c r="AT5" i="228"/>
  <c r="AJ50" i="228"/>
  <c r="U50" i="228"/>
  <c r="AK50" i="228"/>
  <c r="BQ45" i="228"/>
  <c r="AT42" i="228"/>
  <c r="AU38" i="228"/>
  <c r="CF35" i="228"/>
  <c r="AT31" i="228"/>
  <c r="AZ31" i="228"/>
  <c r="AS31" i="228"/>
  <c r="CA31" i="228"/>
  <c r="CB31" i="228"/>
  <c r="AS30" i="228"/>
  <c r="AT29" i="228"/>
  <c r="BX28" i="228"/>
  <c r="BY28" i="228" s="1"/>
  <c r="BZ28" i="228" s="1"/>
  <c r="BX25" i="228"/>
  <c r="BY25" i="228" s="1"/>
  <c r="BZ25" i="228" s="1"/>
  <c r="BO25" i="228"/>
  <c r="AT20" i="228"/>
  <c r="CB20" i="228"/>
  <c r="BQ20" i="228"/>
  <c r="AZ20" i="228"/>
  <c r="CA20" i="228"/>
  <c r="CF20" i="228"/>
  <c r="BO61" i="228"/>
  <c r="AK47" i="228"/>
  <c r="U47" i="228"/>
  <c r="AK45" i="228"/>
  <c r="BX40" i="228"/>
  <c r="BY40" i="228" s="1"/>
  <c r="BZ40" i="228" s="1"/>
  <c r="BQ39" i="228"/>
  <c r="AS39" i="228"/>
  <c r="AZ39" i="228"/>
  <c r="CF37" i="228"/>
  <c r="BX37" i="228"/>
  <c r="BY37" i="228" s="1"/>
  <c r="BZ37" i="228" s="1"/>
  <c r="AS29" i="228"/>
  <c r="CA27" i="228"/>
  <c r="AT27" i="228"/>
  <c r="CF19" i="228"/>
  <c r="AM16" i="228"/>
  <c r="AQ16" i="228" s="1"/>
  <c r="CF13" i="228"/>
  <c r="BO3" i="228"/>
  <c r="BX3" i="228"/>
  <c r="BY3" i="228" s="1"/>
  <c r="BZ3" i="228" s="1"/>
  <c r="CF49" i="228"/>
  <c r="CA33" i="228"/>
  <c r="BO32" i="228"/>
  <c r="AJ26" i="228"/>
  <c r="AM26" i="228"/>
  <c r="AQ26" i="228" s="1"/>
  <c r="AK21" i="228"/>
  <c r="CF17" i="228"/>
  <c r="BQ17" i="228"/>
  <c r="CF9" i="228"/>
  <c r="AS9" i="228"/>
  <c r="AT9" i="228"/>
  <c r="AZ9" i="228"/>
  <c r="AU7" i="228"/>
  <c r="AS7" i="228"/>
  <c r="BQ49" i="228"/>
  <c r="AT44" i="228"/>
  <c r="AJ43" i="228"/>
  <c r="AS42" i="228"/>
  <c r="CA42" i="228"/>
  <c r="AK39" i="228"/>
  <c r="BO33" i="228"/>
  <c r="BX29" i="228"/>
  <c r="BY29" i="228" s="1"/>
  <c r="BZ29" i="228" s="1"/>
  <c r="BX23" i="228"/>
  <c r="BY23" i="228" s="1"/>
  <c r="BZ23" i="228" s="1"/>
  <c r="BQ9" i="228"/>
  <c r="CA8" i="228"/>
  <c r="CB8" i="228"/>
  <c r="BQ25" i="228"/>
  <c r="AS25" i="228"/>
  <c r="AT25" i="228"/>
  <c r="AJ25" i="228"/>
  <c r="AK25" i="228"/>
  <c r="CA21" i="228"/>
  <c r="CB21" i="228"/>
  <c r="AS21" i="228"/>
  <c r="AZ21" i="228"/>
  <c r="AJ20" i="228"/>
  <c r="AK20" i="228"/>
  <c r="AM20" i="228"/>
  <c r="AQ20" i="228" s="1"/>
  <c r="CF30" i="228"/>
  <c r="BQ30" i="228"/>
  <c r="CA30" i="228"/>
  <c r="CB30" i="228"/>
  <c r="AT30" i="228"/>
  <c r="AS26" i="228"/>
  <c r="CA17" i="228"/>
  <c r="CB17" i="228"/>
  <c r="AZ17" i="228"/>
  <c r="AJ14" i="228"/>
  <c r="AK14" i="228"/>
  <c r="AM14" i="228"/>
  <c r="AQ14" i="228" s="1"/>
  <c r="BX13" i="228"/>
  <c r="BY13" i="228" s="1"/>
  <c r="BZ13" i="228" s="1"/>
  <c r="Z13" i="228"/>
  <c r="AA13" i="228"/>
  <c r="BO11" i="228"/>
  <c r="BQ7" i="228"/>
  <c r="AK7" i="228"/>
  <c r="CF4" i="228"/>
  <c r="BQ37" i="228"/>
  <c r="AJ27" i="228"/>
  <c r="AK27" i="228"/>
  <c r="AM27" i="228"/>
  <c r="AQ27" i="228" s="1"/>
  <c r="CF26" i="228"/>
  <c r="BQ26" i="228"/>
  <c r="BO21" i="228"/>
  <c r="AT12" i="228"/>
  <c r="AS4" i="228"/>
  <c r="AT4" i="228"/>
  <c r="AZ4" i="228"/>
  <c r="CA4" i="228"/>
  <c r="CB4" i="228"/>
  <c r="CB41" i="228"/>
  <c r="U31" i="228"/>
  <c r="AJ31" i="228"/>
  <c r="CF25" i="228"/>
  <c r="BX18" i="228"/>
  <c r="BY18" i="228" s="1"/>
  <c r="BZ18" i="228" s="1"/>
  <c r="BY16" i="228"/>
  <c r="BZ16" i="228" s="1"/>
  <c r="AK15" i="228"/>
  <c r="BO13" i="228"/>
  <c r="AS12" i="228"/>
  <c r="BX7" i="228"/>
  <c r="BY7" i="228" s="1"/>
  <c r="BZ7" i="228" s="1"/>
  <c r="Z3" i="228"/>
  <c r="AJ23" i="228"/>
  <c r="BQ21" i="228"/>
  <c r="BO19" i="228"/>
  <c r="CF15" i="228"/>
  <c r="BQ15" i="228"/>
  <c r="AS15" i="228"/>
  <c r="AJ13" i="228"/>
  <c r="AM13" i="228"/>
  <c r="AQ13" i="228" s="1"/>
  <c r="U7" i="228"/>
  <c r="AJ7" i="228"/>
  <c r="AM7" i="228"/>
  <c r="AQ7" i="228" s="1"/>
  <c r="AK6" i="228"/>
  <c r="CB6" i="228"/>
  <c r="BQ6" i="228"/>
  <c r="AS6" i="228"/>
  <c r="AT6" i="228"/>
  <c r="CF6" i="228"/>
  <c r="AZ6" i="228"/>
  <c r="BQ28" i="228"/>
  <c r="CF28" i="228"/>
  <c r="AK28" i="228"/>
  <c r="AM23" i="228"/>
  <c r="AQ23" i="228" s="1"/>
  <c r="AZ15" i="228"/>
  <c r="Z15" i="228"/>
  <c r="U4" i="228"/>
  <c r="AJ4" i="228"/>
  <c r="AK22" i="228"/>
  <c r="AJ18" i="228"/>
  <c r="AS10" i="228"/>
  <c r="AK9" i="228"/>
  <c r="AT28" i="228"/>
  <c r="AA16" i="228"/>
  <c r="CA14" i="228"/>
  <c r="AZ12" i="228"/>
  <c r="BO10" i="228"/>
  <c r="BS186" i="228"/>
  <c r="BK186" i="228"/>
  <c r="J54" i="237" s="1" a="1"/>
  <c r="BJ186" i="228"/>
  <c r="BE186" i="228"/>
  <c r="BD186" i="228"/>
  <c r="BC186" i="228"/>
  <c r="AI192" i="228"/>
  <c r="AZ192" i="228" s="1"/>
  <c r="AI191" i="228"/>
  <c r="AI190" i="228"/>
  <c r="CA190" i="228" s="1"/>
  <c r="AI189" i="228"/>
  <c r="AI188" i="228"/>
  <c r="CA188" i="228" s="1"/>
  <c r="AI187" i="228"/>
  <c r="AI185" i="228"/>
  <c r="AI184" i="228"/>
  <c r="CB184" i="228" s="1"/>
  <c r="AI183" i="228"/>
  <c r="AI182" i="228"/>
  <c r="CA182" i="228" s="1"/>
  <c r="AI181" i="228"/>
  <c r="AZ181" i="228" s="1"/>
  <c r="AI180" i="228"/>
  <c r="AZ180" i="228" s="1"/>
  <c r="AI179" i="228"/>
  <c r="CA179" i="228" s="1"/>
  <c r="AI178" i="228"/>
  <c r="AI177" i="228"/>
  <c r="AI176" i="228"/>
  <c r="AI175" i="228"/>
  <c r="AI174" i="228"/>
  <c r="AI173" i="228"/>
  <c r="CA173" i="228" s="1"/>
  <c r="AI172" i="228"/>
  <c r="CB172" i="228" s="1"/>
  <c r="AI171" i="228"/>
  <c r="AI170" i="228"/>
  <c r="AI169" i="228"/>
  <c r="AI168" i="228"/>
  <c r="AI167" i="228"/>
  <c r="AI166" i="228"/>
  <c r="AI165" i="228"/>
  <c r="AI164" i="228"/>
  <c r="AI163" i="228"/>
  <c r="AI162" i="228"/>
  <c r="C162" i="228"/>
  <c r="D162" i="228"/>
  <c r="I162" i="228"/>
  <c r="BV162" i="228" s="1"/>
  <c r="M162" i="228"/>
  <c r="Z162" i="228"/>
  <c r="AA162" i="228"/>
  <c r="AR162" i="228"/>
  <c r="AU162" i="228" s="1"/>
  <c r="AY162" i="228"/>
  <c r="BB162" i="228"/>
  <c r="BO162" i="228"/>
  <c r="BP162" i="228"/>
  <c r="BR162" i="228"/>
  <c r="BT162" i="228"/>
  <c r="BU162" i="228" s="1"/>
  <c r="BX162" i="228"/>
  <c r="C163" i="228"/>
  <c r="D163" i="228"/>
  <c r="I163" i="228"/>
  <c r="M163" i="228"/>
  <c r="Z163" i="228"/>
  <c r="AA163" i="228"/>
  <c r="AR163" i="228"/>
  <c r="AU163" i="228" s="1"/>
  <c r="AY163" i="228"/>
  <c r="BB163" i="228"/>
  <c r="BO163" i="228"/>
  <c r="BP163" i="228"/>
  <c r="BR163" i="228"/>
  <c r="BT163" i="228"/>
  <c r="BU163" i="228" s="1"/>
  <c r="BX163" i="228"/>
  <c r="C164" i="228"/>
  <c r="D164" i="228"/>
  <c r="I164" i="228"/>
  <c r="M164" i="228"/>
  <c r="Z164" i="228"/>
  <c r="AA164" i="228"/>
  <c r="AR164" i="228"/>
  <c r="AU164" i="228" s="1"/>
  <c r="AY164" i="228"/>
  <c r="BB164" i="228"/>
  <c r="BO164" i="228"/>
  <c r="BP164" i="228"/>
  <c r="BR164" i="228"/>
  <c r="BT164" i="228"/>
  <c r="BU164" i="228" s="1"/>
  <c r="BX164" i="228"/>
  <c r="C165" i="228"/>
  <c r="D165" i="228"/>
  <c r="I165" i="228"/>
  <c r="M165" i="228"/>
  <c r="Z165" i="228"/>
  <c r="AA165" i="228"/>
  <c r="AR165" i="228"/>
  <c r="AU165" i="228" s="1"/>
  <c r="AY165" i="228"/>
  <c r="BB165" i="228"/>
  <c r="BO165" i="228"/>
  <c r="BP165" i="228"/>
  <c r="BR165" i="228"/>
  <c r="BT165" i="228"/>
  <c r="BU165" i="228" s="1"/>
  <c r="BX165" i="228"/>
  <c r="C166" i="228"/>
  <c r="D166" i="228"/>
  <c r="I166" i="228"/>
  <c r="M166" i="228"/>
  <c r="Z166" i="228"/>
  <c r="AA166" i="228"/>
  <c r="AR166" i="228"/>
  <c r="AU166" i="228" s="1"/>
  <c r="AY166" i="228"/>
  <c r="BB166" i="228"/>
  <c r="BO166" i="228"/>
  <c r="BP166" i="228"/>
  <c r="BR166" i="228"/>
  <c r="BT166" i="228"/>
  <c r="BU166" i="228" s="1"/>
  <c r="BX166" i="228"/>
  <c r="C167" i="228"/>
  <c r="D167" i="228"/>
  <c r="I167" i="228"/>
  <c r="M167" i="228"/>
  <c r="Z167" i="228"/>
  <c r="AA167" i="228"/>
  <c r="AR167" i="228"/>
  <c r="AU167" i="228" s="1"/>
  <c r="AY167" i="228"/>
  <c r="BB167" i="228"/>
  <c r="BO167" i="228"/>
  <c r="BP167" i="228"/>
  <c r="BR167" i="228"/>
  <c r="BT167" i="228"/>
  <c r="BU167" i="228" s="1"/>
  <c r="BX167" i="228"/>
  <c r="C168" i="228"/>
  <c r="D168" i="228"/>
  <c r="I168" i="228"/>
  <c r="M168" i="228"/>
  <c r="Z168" i="228"/>
  <c r="AA168" i="228"/>
  <c r="AR168" i="228"/>
  <c r="AU168" i="228" s="1"/>
  <c r="AY168" i="228"/>
  <c r="BB168" i="228"/>
  <c r="BO168" i="228"/>
  <c r="BP168" i="228"/>
  <c r="BR168" i="228"/>
  <c r="BT168" i="228"/>
  <c r="BU168" i="228" s="1"/>
  <c r="BX168" i="228"/>
  <c r="C169" i="228"/>
  <c r="D169" i="228"/>
  <c r="I169" i="228"/>
  <c r="BV169" i="228" s="1"/>
  <c r="M169" i="228"/>
  <c r="Z169" i="228"/>
  <c r="AA169" i="228"/>
  <c r="AR169" i="228"/>
  <c r="AU169" i="228" s="1"/>
  <c r="AY169" i="228"/>
  <c r="BB169" i="228"/>
  <c r="BO169" i="228"/>
  <c r="BP169" i="228"/>
  <c r="BR169" i="228"/>
  <c r="BT169" i="228"/>
  <c r="BU169" i="228" s="1"/>
  <c r="BX169" i="228"/>
  <c r="C170" i="228"/>
  <c r="D170" i="228"/>
  <c r="I170" i="228"/>
  <c r="M170" i="228"/>
  <c r="Z170" i="228"/>
  <c r="AA170" i="228"/>
  <c r="AR170" i="228"/>
  <c r="AU170" i="228" s="1"/>
  <c r="AY170" i="228"/>
  <c r="BB170" i="228"/>
  <c r="BO170" i="228"/>
  <c r="BP170" i="228"/>
  <c r="BR170" i="228"/>
  <c r="BT170" i="228"/>
  <c r="BU170" i="228" s="1"/>
  <c r="BX170" i="228"/>
  <c r="C171" i="228"/>
  <c r="D171" i="228"/>
  <c r="I171" i="228"/>
  <c r="M171" i="228"/>
  <c r="Z171" i="228"/>
  <c r="AA171" i="228"/>
  <c r="AR171" i="228"/>
  <c r="AU171" i="228" s="1"/>
  <c r="AY171" i="228"/>
  <c r="BB171" i="228"/>
  <c r="BO171" i="228"/>
  <c r="BP171" i="228"/>
  <c r="BR171" i="228"/>
  <c r="BT171" i="228"/>
  <c r="BU171" i="228" s="1"/>
  <c r="BX171" i="228"/>
  <c r="C172" i="228"/>
  <c r="D172" i="228"/>
  <c r="I172" i="228"/>
  <c r="M172" i="228"/>
  <c r="Z172" i="228"/>
  <c r="AA172" i="228"/>
  <c r="AR172" i="228"/>
  <c r="AU172" i="228" s="1"/>
  <c r="AY172" i="228"/>
  <c r="BB172" i="228"/>
  <c r="BO172" i="228"/>
  <c r="BP172" i="228"/>
  <c r="BR172" i="228"/>
  <c r="BT172" i="228"/>
  <c r="BU172" i="228" s="1"/>
  <c r="BX172" i="228"/>
  <c r="C173" i="228"/>
  <c r="D173" i="228"/>
  <c r="I173" i="228"/>
  <c r="M173" i="228"/>
  <c r="Z173" i="228"/>
  <c r="AA173" i="228"/>
  <c r="AR173" i="228"/>
  <c r="AU173" i="228" s="1"/>
  <c r="AY173" i="228"/>
  <c r="BB173" i="228"/>
  <c r="BO173" i="228"/>
  <c r="BP173" i="228"/>
  <c r="BR173" i="228"/>
  <c r="BT173" i="228"/>
  <c r="BU173" i="228" s="1"/>
  <c r="BX173" i="228"/>
  <c r="C174" i="228"/>
  <c r="D174" i="228"/>
  <c r="I174" i="228"/>
  <c r="M174" i="228"/>
  <c r="Z174" i="228"/>
  <c r="AA174" i="228"/>
  <c r="AR174" i="228"/>
  <c r="AU174" i="228" s="1"/>
  <c r="AY174" i="228"/>
  <c r="BB174" i="228"/>
  <c r="BO174" i="228"/>
  <c r="BP174" i="228"/>
  <c r="BR174" i="228"/>
  <c r="BT174" i="228"/>
  <c r="BU174" i="228" s="1"/>
  <c r="BX174" i="228"/>
  <c r="C175" i="228"/>
  <c r="D175" i="228"/>
  <c r="I175" i="228"/>
  <c r="M175" i="228"/>
  <c r="Z175" i="228"/>
  <c r="AA175" i="228"/>
  <c r="AR175" i="228"/>
  <c r="AU175" i="228" s="1"/>
  <c r="AY175" i="228"/>
  <c r="BB175" i="228"/>
  <c r="BO175" i="228"/>
  <c r="BP175" i="228"/>
  <c r="BR175" i="228"/>
  <c r="BT175" i="228"/>
  <c r="BU175" i="228" s="1"/>
  <c r="BX175" i="228"/>
  <c r="C176" i="228"/>
  <c r="D176" i="228"/>
  <c r="I176" i="228"/>
  <c r="M176" i="228"/>
  <c r="Z176" i="228"/>
  <c r="AA176" i="228"/>
  <c r="AR176" i="228"/>
  <c r="AU176" i="228" s="1"/>
  <c r="AY176" i="228"/>
  <c r="BB176" i="228"/>
  <c r="BO176" i="228"/>
  <c r="BP176" i="228"/>
  <c r="BR176" i="228"/>
  <c r="BT176" i="228"/>
  <c r="BU176" i="228" s="1"/>
  <c r="BX176" i="228"/>
  <c r="C177" i="228"/>
  <c r="D177" i="228"/>
  <c r="I177" i="228"/>
  <c r="BV177" i="228" s="1"/>
  <c r="M177" i="228"/>
  <c r="T177" i="228"/>
  <c r="AA177" i="228" s="1"/>
  <c r="Y177" i="228"/>
  <c r="Z177" i="228" s="1"/>
  <c r="AR177" i="228"/>
  <c r="AU177" i="228" s="1"/>
  <c r="AY177" i="228"/>
  <c r="BB177" i="228"/>
  <c r="BO177" i="228"/>
  <c r="BP177" i="228"/>
  <c r="BR177" i="228"/>
  <c r="BT177" i="228"/>
  <c r="BU177" i="228" s="1"/>
  <c r="BX177" i="228"/>
  <c r="C178" i="228"/>
  <c r="D178" i="228"/>
  <c r="I178" i="228"/>
  <c r="M178" i="228"/>
  <c r="T178" i="228"/>
  <c r="AA178" i="228" s="1"/>
  <c r="Y178" i="228"/>
  <c r="Z178" i="228" s="1"/>
  <c r="AR178" i="228"/>
  <c r="AU178" i="228" s="1"/>
  <c r="AY178" i="228"/>
  <c r="BB178" i="228"/>
  <c r="BO178" i="228"/>
  <c r="BP178" i="228"/>
  <c r="BR178" i="228"/>
  <c r="BT178" i="228"/>
  <c r="BU178" i="228" s="1"/>
  <c r="BX178" i="228"/>
  <c r="C179" i="228"/>
  <c r="D179" i="228"/>
  <c r="I179" i="228"/>
  <c r="M179" i="228"/>
  <c r="X179" i="228"/>
  <c r="AA179" i="228" s="1"/>
  <c r="AR179" i="228"/>
  <c r="AU179" i="228" s="1"/>
  <c r="AY179" i="228"/>
  <c r="BB179" i="228"/>
  <c r="BO179" i="228"/>
  <c r="BP179" i="228"/>
  <c r="BR179" i="228"/>
  <c r="BT179" i="228"/>
  <c r="BU179" i="228" s="1"/>
  <c r="BX179" i="228"/>
  <c r="C180" i="228"/>
  <c r="D180" i="228"/>
  <c r="I180" i="228"/>
  <c r="BV180" i="228" s="1"/>
  <c r="M180" i="228"/>
  <c r="Z180" i="228"/>
  <c r="AA180" i="228"/>
  <c r="AR180" i="228"/>
  <c r="AU180" i="228" s="1"/>
  <c r="AY180" i="228"/>
  <c r="BB180" i="228"/>
  <c r="BO180" i="228"/>
  <c r="BP180" i="228"/>
  <c r="BR180" i="228"/>
  <c r="BT180" i="228"/>
  <c r="BU180" i="228" s="1"/>
  <c r="BX180" i="228"/>
  <c r="C181" i="228"/>
  <c r="D181" i="228"/>
  <c r="I181" i="228"/>
  <c r="M181" i="228"/>
  <c r="Z181" i="228"/>
  <c r="AA181" i="228"/>
  <c r="AR181" i="228"/>
  <c r="AU181" i="228" s="1"/>
  <c r="AY181" i="228"/>
  <c r="BB181" i="228"/>
  <c r="BO181" i="228"/>
  <c r="BP181" i="228"/>
  <c r="BR181" i="228"/>
  <c r="BT181" i="228"/>
  <c r="BU181" i="228" s="1"/>
  <c r="BX181" i="228"/>
  <c r="C182" i="228"/>
  <c r="D182" i="228"/>
  <c r="I182" i="228"/>
  <c r="M182" i="228"/>
  <c r="Z182" i="228"/>
  <c r="AA182" i="228"/>
  <c r="AR182" i="228"/>
  <c r="AU182" i="228" s="1"/>
  <c r="AY182" i="228"/>
  <c r="BB182" i="228"/>
  <c r="BO182" i="228"/>
  <c r="BP182" i="228"/>
  <c r="BR182" i="228"/>
  <c r="BT182" i="228"/>
  <c r="BU182" i="228" s="1"/>
  <c r="BX182" i="228"/>
  <c r="C183" i="228"/>
  <c r="D183" i="228"/>
  <c r="I183" i="228"/>
  <c r="M183" i="228"/>
  <c r="Z183" i="228"/>
  <c r="AA183" i="228"/>
  <c r="AR183" i="228"/>
  <c r="AU183" i="228" s="1"/>
  <c r="AY183" i="228"/>
  <c r="BB183" i="228"/>
  <c r="BO183" i="228"/>
  <c r="BP183" i="228"/>
  <c r="BR183" i="228"/>
  <c r="BT183" i="228"/>
  <c r="BU183" i="228" s="1"/>
  <c r="BX183" i="228"/>
  <c r="C184" i="228"/>
  <c r="D184" i="228"/>
  <c r="I184" i="228"/>
  <c r="M184" i="228"/>
  <c r="Z184" i="228"/>
  <c r="AA184" i="228"/>
  <c r="AR184" i="228"/>
  <c r="AU184" i="228" s="1"/>
  <c r="AY184" i="228"/>
  <c r="BB184" i="228"/>
  <c r="BO184" i="228"/>
  <c r="BP184" i="228"/>
  <c r="BR184" i="228"/>
  <c r="BT184" i="228"/>
  <c r="BU184" i="228" s="1"/>
  <c r="BX184" i="228"/>
  <c r="C185" i="228"/>
  <c r="D185" i="228"/>
  <c r="I185" i="228"/>
  <c r="M185" i="228"/>
  <c r="Z185" i="228"/>
  <c r="AA185" i="228"/>
  <c r="AR185" i="228"/>
  <c r="AU185" i="228" s="1"/>
  <c r="AY185" i="228"/>
  <c r="BB185" i="228"/>
  <c r="BO185" i="228"/>
  <c r="BP185" i="228"/>
  <c r="BR185" i="228"/>
  <c r="BT185" i="228"/>
  <c r="BU185" i="228" s="1"/>
  <c r="BX185" i="228"/>
  <c r="C186" i="228"/>
  <c r="D186" i="228"/>
  <c r="I186" i="228"/>
  <c r="M186" i="228"/>
  <c r="Z186" i="228"/>
  <c r="AA186" i="228"/>
  <c r="AR186" i="228"/>
  <c r="AU186" i="228" s="1"/>
  <c r="AY186" i="228"/>
  <c r="BR186" i="228"/>
  <c r="C187" i="228"/>
  <c r="D187" i="228"/>
  <c r="I187" i="228"/>
  <c r="BV187" i="228" s="1"/>
  <c r="M187" i="228"/>
  <c r="Z187" i="228"/>
  <c r="AA187" i="228"/>
  <c r="AR187" i="228"/>
  <c r="AU187" i="228" s="1"/>
  <c r="AY187" i="228"/>
  <c r="BB187" i="228"/>
  <c r="BO187" i="228"/>
  <c r="BP187" i="228"/>
  <c r="BR187" i="228"/>
  <c r="BT187" i="228"/>
  <c r="BU187" i="228" s="1"/>
  <c r="BX187" i="228"/>
  <c r="C188" i="228"/>
  <c r="D188" i="228"/>
  <c r="I188" i="228"/>
  <c r="M188" i="228"/>
  <c r="Z188" i="228"/>
  <c r="AA188" i="228"/>
  <c r="AR188" i="228"/>
  <c r="AU188" i="228" s="1"/>
  <c r="AY188" i="228"/>
  <c r="BB188" i="228"/>
  <c r="BO188" i="228"/>
  <c r="BP188" i="228"/>
  <c r="BR188" i="228"/>
  <c r="BT188" i="228"/>
  <c r="BU188" i="228" s="1"/>
  <c r="BX188" i="228"/>
  <c r="C189" i="228"/>
  <c r="D189" i="228"/>
  <c r="I189" i="228"/>
  <c r="M189" i="228"/>
  <c r="S189" i="228"/>
  <c r="X189" i="228"/>
  <c r="AA189" i="228" s="1"/>
  <c r="Y189" i="228"/>
  <c r="AR189" i="228"/>
  <c r="AU189" i="228" s="1"/>
  <c r="AY189" i="228"/>
  <c r="BB189" i="228"/>
  <c r="BO189" i="228"/>
  <c r="BP189" i="228"/>
  <c r="BR189" i="228"/>
  <c r="BT189" i="228"/>
  <c r="BU189" i="228" s="1"/>
  <c r="BX189" i="228"/>
  <c r="C190" i="228"/>
  <c r="D190" i="228"/>
  <c r="I190" i="228"/>
  <c r="M190" i="228"/>
  <c r="S190" i="228"/>
  <c r="X190" i="228"/>
  <c r="AA190" i="228" s="1"/>
  <c r="Y190" i="228"/>
  <c r="AR190" i="228"/>
  <c r="AU190" i="228" s="1"/>
  <c r="AY190" i="228"/>
  <c r="BB190" i="228"/>
  <c r="BO190" i="228"/>
  <c r="BP190" i="228"/>
  <c r="BR190" i="228"/>
  <c r="BT190" i="228"/>
  <c r="BU190" i="228" s="1"/>
  <c r="BX190" i="228"/>
  <c r="C191" i="228"/>
  <c r="D191" i="228"/>
  <c r="I191" i="228"/>
  <c r="M191" i="228"/>
  <c r="S191" i="228"/>
  <c r="X191" i="228"/>
  <c r="Y191" i="228"/>
  <c r="AR191" i="228"/>
  <c r="AU191" i="228" s="1"/>
  <c r="AY191" i="228"/>
  <c r="BB191" i="228"/>
  <c r="BO191" i="228"/>
  <c r="BP191" i="228"/>
  <c r="BR191" i="228"/>
  <c r="BT191" i="228"/>
  <c r="BU191" i="228" s="1"/>
  <c r="BX191" i="228"/>
  <c r="C192" i="228"/>
  <c r="D192" i="228"/>
  <c r="I192" i="228"/>
  <c r="M192" i="228"/>
  <c r="S192" i="228"/>
  <c r="X192" i="228"/>
  <c r="Y192" i="228"/>
  <c r="AR192" i="228"/>
  <c r="AU192" i="228" s="1"/>
  <c r="AY192" i="228"/>
  <c r="BB192" i="228"/>
  <c r="BO192" i="228"/>
  <c r="BP192" i="228"/>
  <c r="BR192" i="228"/>
  <c r="BT192" i="228"/>
  <c r="BU192" i="228" s="1"/>
  <c r="BX192" i="228"/>
  <c r="AK42" i="228" l="1"/>
  <c r="BQ42" i="228"/>
  <c r="BY42" i="228"/>
  <c r="BZ42" i="228" s="1"/>
  <c r="BP186" i="228"/>
  <c r="U192" i="228"/>
  <c r="BV192" i="228"/>
  <c r="U185" i="228"/>
  <c r="BV185" i="228"/>
  <c r="AM178" i="228"/>
  <c r="AQ178" i="228" s="1"/>
  <c r="BV178" i="228"/>
  <c r="AM172" i="228"/>
  <c r="AQ172" i="228" s="1"/>
  <c r="BV172" i="228"/>
  <c r="AM166" i="228"/>
  <c r="AQ166" i="228" s="1"/>
  <c r="BV166" i="228"/>
  <c r="AM188" i="228"/>
  <c r="AQ188" i="228" s="1"/>
  <c r="BV188" i="228"/>
  <c r="U179" i="228"/>
  <c r="BV179" i="228"/>
  <c r="U176" i="228"/>
  <c r="BV176" i="228"/>
  <c r="U170" i="228"/>
  <c r="BV170" i="228"/>
  <c r="AM164" i="228"/>
  <c r="AQ164" i="228" s="1"/>
  <c r="BV164" i="228"/>
  <c r="U167" i="228"/>
  <c r="BV167" i="228"/>
  <c r="AM184" i="228"/>
  <c r="AQ184" i="228" s="1"/>
  <c r="BV184" i="228"/>
  <c r="U173" i="228"/>
  <c r="BV173" i="228"/>
  <c r="U171" i="228"/>
  <c r="BV171" i="228"/>
  <c r="AM165" i="228"/>
  <c r="AQ165" i="228" s="1"/>
  <c r="BV165" i="228"/>
  <c r="AM182" i="228"/>
  <c r="AQ182" i="228" s="1"/>
  <c r="BV182" i="228"/>
  <c r="AM175" i="228"/>
  <c r="AQ175" i="228" s="1"/>
  <c r="BV175" i="228"/>
  <c r="AM163" i="228"/>
  <c r="AQ163" i="228" s="1"/>
  <c r="BV163" i="228"/>
  <c r="U186" i="228"/>
  <c r="BV186" i="228"/>
  <c r="AM191" i="228"/>
  <c r="AQ191" i="228" s="1"/>
  <c r="BV191" i="228"/>
  <c r="U183" i="228"/>
  <c r="BV183" i="228"/>
  <c r="U181" i="228"/>
  <c r="BV181" i="228"/>
  <c r="AM190" i="228"/>
  <c r="AQ190" i="228" s="1"/>
  <c r="BV190" i="228"/>
  <c r="AM189" i="228"/>
  <c r="AQ189" i="228" s="1"/>
  <c r="BV189" i="228"/>
  <c r="AM174" i="228"/>
  <c r="AQ174" i="228" s="1"/>
  <c r="BV174" i="228"/>
  <c r="AM168" i="228"/>
  <c r="AQ168" i="228" s="1"/>
  <c r="BV168" i="228"/>
  <c r="BO186" i="228"/>
  <c r="BB186" i="228"/>
  <c r="BQ96" i="228"/>
  <c r="BY43" i="228"/>
  <c r="BZ43" i="228" s="1"/>
  <c r="BY95" i="228"/>
  <c r="BZ95" i="228" s="1"/>
  <c r="AK96" i="228"/>
  <c r="CC26" i="228"/>
  <c r="CD26" i="228" s="1"/>
  <c r="CG26" i="228" s="1"/>
  <c r="CI26" i="228" s="1"/>
  <c r="CF96" i="228"/>
  <c r="CH97" i="228" a="1"/>
  <c r="BQ97" i="228"/>
  <c r="AK97" i="228"/>
  <c r="CF43" i="228"/>
  <c r="BQ43" i="228"/>
  <c r="AK43" i="228"/>
  <c r="BY97" i="228"/>
  <c r="BZ97" i="228" s="1"/>
  <c r="CC131" i="228"/>
  <c r="CD131" i="228" s="1"/>
  <c r="CG131" i="228" s="1"/>
  <c r="CI131" i="228" s="1"/>
  <c r="BY96" i="228"/>
  <c r="BZ96" i="228" s="1"/>
  <c r="CC147" i="228"/>
  <c r="CD147" i="228" s="1"/>
  <c r="CG147" i="228" s="1"/>
  <c r="CI147" i="228" s="1"/>
  <c r="AK95" i="228"/>
  <c r="CF95" i="228"/>
  <c r="CH95" i="228" a="1"/>
  <c r="Z191" i="228"/>
  <c r="CC52" i="228"/>
  <c r="CD52" i="228" s="1"/>
  <c r="CE52" i="228" s="1"/>
  <c r="U177" i="228"/>
  <c r="CC102" i="228"/>
  <c r="CD102" i="228" s="1"/>
  <c r="CE102" i="228" s="1"/>
  <c r="BX186" i="228"/>
  <c r="BY186" i="228" s="1"/>
  <c r="BZ186" i="228" s="1"/>
  <c r="CC161" i="228"/>
  <c r="CD161" i="228" s="1"/>
  <c r="BT186" i="228"/>
  <c r="BU186" i="228" s="1"/>
  <c r="Y179" i="228"/>
  <c r="Z179" i="228" s="1"/>
  <c r="AI186" i="228"/>
  <c r="AZ186" i="228" s="1"/>
  <c r="CH188" i="228" a="1"/>
  <c r="CC158" i="228"/>
  <c r="CD158" i="228" s="1"/>
  <c r="CE158" i="228" s="1"/>
  <c r="CH168" i="228" a="1"/>
  <c r="CH182" i="228" a="1"/>
  <c r="CH170" i="228" a="1"/>
  <c r="CH186" i="228" a="1"/>
  <c r="CH171" i="228" a="1"/>
  <c r="CC144" i="228"/>
  <c r="CD144" i="228" s="1"/>
  <c r="CH173" i="228" a="1"/>
  <c r="CH175" i="228" a="1"/>
  <c r="CH181" i="228" a="1"/>
  <c r="CH172" i="228" a="1"/>
  <c r="CH176" i="228" a="1"/>
  <c r="CC135" i="228"/>
  <c r="CD135" i="228" s="1"/>
  <c r="CH178" i="228" a="1"/>
  <c r="CH191" i="228" a="1"/>
  <c r="CH174" i="228" a="1"/>
  <c r="CH192" i="228" a="1"/>
  <c r="CH165" i="228" a="1"/>
  <c r="CH184" i="228" a="1"/>
  <c r="CH187" i="228" a="1"/>
  <c r="CH190" i="228" a="1"/>
  <c r="CH177" i="228" a="1"/>
  <c r="CH179" i="228" a="1"/>
  <c r="CH183" i="228" a="1"/>
  <c r="CH185" i="228" a="1"/>
  <c r="CH189" i="228" a="1"/>
  <c r="CH164" i="228" a="1"/>
  <c r="CH163" i="228" a="1"/>
  <c r="CC121" i="228"/>
  <c r="CD121" i="228" s="1"/>
  <c r="CG121" i="228" s="1"/>
  <c r="CI121" i="228" s="1"/>
  <c r="CH180" i="228" a="1"/>
  <c r="CH162" i="228" a="1"/>
  <c r="CH166" i="228" a="1"/>
  <c r="CH169" i="228" a="1"/>
  <c r="CC61" i="228"/>
  <c r="CD61" i="228" s="1"/>
  <c r="CD86" i="228"/>
  <c r="CH167" i="228" a="1"/>
  <c r="U174" i="228"/>
  <c r="AS192" i="228"/>
  <c r="CC96" i="228"/>
  <c r="CD96" i="228" s="1"/>
  <c r="CC89" i="228"/>
  <c r="CD89" i="228" s="1"/>
  <c r="CC53" i="228"/>
  <c r="CD53" i="228" s="1"/>
  <c r="CC84" i="228"/>
  <c r="CD84" i="228" s="1"/>
  <c r="U165" i="228"/>
  <c r="CC33" i="228"/>
  <c r="CD33" i="228" s="1"/>
  <c r="CC149" i="228"/>
  <c r="CD149" i="228" s="1"/>
  <c r="CC101" i="228"/>
  <c r="CD101" i="228" s="1"/>
  <c r="CE101" i="228" s="1"/>
  <c r="U166" i="228"/>
  <c r="BY163" i="228"/>
  <c r="BZ163" i="228" s="1"/>
  <c r="CC69" i="228"/>
  <c r="CD69" i="228" s="1"/>
  <c r="CC120" i="228"/>
  <c r="CD120" i="228" s="1"/>
  <c r="CC81" i="228"/>
  <c r="CD81" i="228" s="1"/>
  <c r="CC54" i="228"/>
  <c r="CD54" i="228" s="1"/>
  <c r="CE54" i="228" s="1"/>
  <c r="AK167" i="228"/>
  <c r="CD45" i="228"/>
  <c r="CG45" i="228" s="1"/>
  <c r="CI45" i="228" s="1"/>
  <c r="CC114" i="228"/>
  <c r="CD114" i="228" s="1"/>
  <c r="CC4" i="228"/>
  <c r="CD4" i="228" s="1"/>
  <c r="CC41" i="228"/>
  <c r="CD41" i="228" s="1"/>
  <c r="CC48" i="228"/>
  <c r="CD48" i="228" s="1"/>
  <c r="CG48" i="228" s="1"/>
  <c r="CI48" i="228" s="1"/>
  <c r="CE28" i="228"/>
  <c r="CG28" i="228"/>
  <c r="CI28" i="228" s="1"/>
  <c r="AM170" i="228"/>
  <c r="AQ170" i="228" s="1"/>
  <c r="CC66" i="228"/>
  <c r="CD66" i="228" s="1"/>
  <c r="CC46" i="228"/>
  <c r="CD46" i="228" s="1"/>
  <c r="CC32" i="228"/>
  <c r="CD32" i="228" s="1"/>
  <c r="CE32" i="228" s="1"/>
  <c r="AM173" i="228"/>
  <c r="AQ173" i="228" s="1"/>
  <c r="CC13" i="228"/>
  <c r="CD13" i="228" s="1"/>
  <c r="BY188" i="228"/>
  <c r="BZ188" i="228" s="1"/>
  <c r="AM186" i="228"/>
  <c r="CC37" i="228"/>
  <c r="CD37" i="228" s="1"/>
  <c r="CG37" i="228" s="1"/>
  <c r="CI37" i="228" s="1"/>
  <c r="AJ183" i="228"/>
  <c r="CD150" i="228"/>
  <c r="AJ175" i="228"/>
  <c r="CC25" i="228"/>
  <c r="CD25" i="228" s="1"/>
  <c r="CC107" i="228"/>
  <c r="CD107" i="228" s="1"/>
  <c r="CC70" i="228"/>
  <c r="CD70" i="228" s="1"/>
  <c r="CF176" i="228"/>
  <c r="CC31" i="228"/>
  <c r="CD31" i="228" s="1"/>
  <c r="AZ173" i="228"/>
  <c r="AJ165" i="228"/>
  <c r="CC18" i="228"/>
  <c r="CD18" i="228" s="1"/>
  <c r="CE128" i="228"/>
  <c r="CG128" i="228"/>
  <c r="CI128" i="228" s="1"/>
  <c r="CE29" i="228"/>
  <c r="CG29" i="228"/>
  <c r="CI29" i="228" s="1"/>
  <c r="CB188" i="228"/>
  <c r="CC188" i="228" s="1"/>
  <c r="CD188" i="228" s="1"/>
  <c r="AJ174" i="228"/>
  <c r="U191" i="228"/>
  <c r="U175" i="228"/>
  <c r="U169" i="228"/>
  <c r="AM169" i="228"/>
  <c r="AQ169" i="228" s="1"/>
  <c r="AM179" i="228"/>
  <c r="AQ179" i="228" s="1"/>
  <c r="AM185" i="228"/>
  <c r="AQ185" i="228" s="1"/>
  <c r="CD5" i="228"/>
  <c r="BQ166" i="228"/>
  <c r="CC10" i="228"/>
  <c r="CD10" i="228" s="1"/>
  <c r="CC20" i="228"/>
  <c r="CD20" i="228" s="1"/>
  <c r="CC109" i="228"/>
  <c r="CD109" i="228" s="1"/>
  <c r="CC56" i="228"/>
  <c r="CD56" i="228" s="1"/>
  <c r="CE56" i="228" s="1"/>
  <c r="CB180" i="228"/>
  <c r="CC60" i="228"/>
  <c r="CD60" i="228" s="1"/>
  <c r="CC59" i="228"/>
  <c r="CD59" i="228" s="1"/>
  <c r="CG59" i="228" s="1"/>
  <c r="CI59" i="228" s="1"/>
  <c r="AT180" i="228"/>
  <c r="CC79" i="228"/>
  <c r="CD79" i="228" s="1"/>
  <c r="CE79" i="228" s="1"/>
  <c r="BY183" i="228"/>
  <c r="BZ183" i="228" s="1"/>
  <c r="CC72" i="228"/>
  <c r="CD72" i="228" s="1"/>
  <c r="CC152" i="228"/>
  <c r="CD152" i="228" s="1"/>
  <c r="CC44" i="228"/>
  <c r="CD44" i="228" s="1"/>
  <c r="CE44" i="228" s="1"/>
  <c r="CC103" i="228"/>
  <c r="CD103" i="228" s="1"/>
  <c r="CC133" i="228"/>
  <c r="CD133" i="228" s="1"/>
  <c r="CE133" i="228" s="1"/>
  <c r="CC3" i="228"/>
  <c r="CD3" i="228" s="1"/>
  <c r="CC125" i="228"/>
  <c r="CD125" i="228" s="1"/>
  <c r="AT178" i="228"/>
  <c r="BY178" i="228"/>
  <c r="BZ178" i="228" s="1"/>
  <c r="AM177" i="228"/>
  <c r="AQ177" i="228" s="1"/>
  <c r="U187" i="228"/>
  <c r="BY182" i="228"/>
  <c r="BZ182" i="228" s="1"/>
  <c r="U182" i="228"/>
  <c r="U178" i="228"/>
  <c r="AK163" i="228"/>
  <c r="AM187" i="228"/>
  <c r="AQ187" i="228" s="1"/>
  <c r="AS182" i="228"/>
  <c r="BY174" i="228"/>
  <c r="BZ174" i="228" s="1"/>
  <c r="AM181" i="228"/>
  <c r="AQ181" i="228" s="1"/>
  <c r="U189" i="228"/>
  <c r="U180" i="228"/>
  <c r="AM162" i="228"/>
  <c r="AQ162" i="228" s="1"/>
  <c r="AJ187" i="228"/>
  <c r="AS191" i="228"/>
  <c r="CC57" i="228"/>
  <c r="CD57" i="228" s="1"/>
  <c r="CC75" i="228"/>
  <c r="CD75" i="228" s="1"/>
  <c r="CG75" i="228" s="1"/>
  <c r="CI75" i="228" s="1"/>
  <c r="CB173" i="228"/>
  <c r="CC173" i="228" s="1"/>
  <c r="CD173" i="228" s="1"/>
  <c r="AM167" i="228"/>
  <c r="AQ167" i="228" s="1"/>
  <c r="AM171" i="228"/>
  <c r="AQ171" i="228" s="1"/>
  <c r="AM183" i="228"/>
  <c r="AQ183" i="228" s="1"/>
  <c r="AT192" i="228"/>
  <c r="CD12" i="228"/>
  <c r="CE12" i="228" s="1"/>
  <c r="CD9" i="228"/>
  <c r="CE9" i="228" s="1"/>
  <c r="AJ172" i="228"/>
  <c r="CC77" i="228"/>
  <c r="CD77" i="228" s="1"/>
  <c r="CC111" i="228"/>
  <c r="CD111" i="228" s="1"/>
  <c r="CC62" i="228"/>
  <c r="CD62" i="228" s="1"/>
  <c r="CE62" i="228" s="1"/>
  <c r="U162" i="228"/>
  <c r="AM192" i="228"/>
  <c r="AQ192" i="228" s="1"/>
  <c r="CD98" i="228"/>
  <c r="CG98" i="228" s="1"/>
  <c r="CI98" i="228" s="1"/>
  <c r="CD67" i="228"/>
  <c r="CE67" i="228" s="1"/>
  <c r="CC116" i="228"/>
  <c r="CD116" i="228" s="1"/>
  <c r="AM176" i="228"/>
  <c r="AQ176" i="228" s="1"/>
  <c r="AM180" i="228"/>
  <c r="AQ180" i="228" s="1"/>
  <c r="CG112" i="228"/>
  <c r="CI112" i="228" s="1"/>
  <c r="CC136" i="228"/>
  <c r="CD136" i="228" s="1"/>
  <c r="CC40" i="228"/>
  <c r="CD40" i="228" s="1"/>
  <c r="CD110" i="228"/>
  <c r="CG110" i="228" s="1"/>
  <c r="CI110" i="228" s="1"/>
  <c r="CC73" i="228"/>
  <c r="CD73" i="228" s="1"/>
  <c r="CC47" i="228"/>
  <c r="CD47" i="228" s="1"/>
  <c r="CC82" i="228"/>
  <c r="CD82" i="228" s="1"/>
  <c r="CG23" i="228"/>
  <c r="CI23" i="228" s="1"/>
  <c r="CE23" i="228"/>
  <c r="CE94" i="228"/>
  <c r="CG94" i="228"/>
  <c r="CI94" i="228" s="1"/>
  <c r="CE140" i="228"/>
  <c r="CG140" i="228"/>
  <c r="CI140" i="228" s="1"/>
  <c r="CG19" i="228"/>
  <c r="CI19" i="228" s="1"/>
  <c r="CE19" i="228"/>
  <c r="CG104" i="228"/>
  <c r="CI104" i="228" s="1"/>
  <c r="CE104" i="228"/>
  <c r="CE153" i="228"/>
  <c r="CG153" i="228"/>
  <c r="CI153" i="228" s="1"/>
  <c r="CG7" i="228"/>
  <c r="CI7" i="228" s="1"/>
  <c r="CE7" i="228"/>
  <c r="CE65" i="228"/>
  <c r="CG65" i="228"/>
  <c r="CI65" i="228" s="1"/>
  <c r="CE15" i="228"/>
  <c r="CG15" i="228"/>
  <c r="CI15" i="228" s="1"/>
  <c r="CG95" i="228"/>
  <c r="CI95" i="228" s="1"/>
  <c r="CE95" i="228"/>
  <c r="CG138" i="228"/>
  <c r="CI138" i="228" s="1"/>
  <c r="CE138" i="228"/>
  <c r="CG148" i="228"/>
  <c r="CI148" i="228" s="1"/>
  <c r="CE148" i="228"/>
  <c r="CG90" i="228"/>
  <c r="CI90" i="228" s="1"/>
  <c r="CE90" i="228"/>
  <c r="CC93" i="228"/>
  <c r="CD93" i="228" s="1"/>
  <c r="CC115" i="228"/>
  <c r="CD115" i="228" s="1"/>
  <c r="CC145" i="228"/>
  <c r="CD145" i="228" s="1"/>
  <c r="CC68" i="228"/>
  <c r="CD68" i="228" s="1"/>
  <c r="CE143" i="228"/>
  <c r="CG143" i="228"/>
  <c r="CI143" i="228" s="1"/>
  <c r="CC30" i="228"/>
  <c r="CD30" i="228" s="1"/>
  <c r="CC108" i="228"/>
  <c r="CD108" i="228" s="1"/>
  <c r="CG71" i="228"/>
  <c r="CI71" i="228" s="1"/>
  <c r="CE71" i="228"/>
  <c r="CC117" i="228"/>
  <c r="CD117" i="228" s="1"/>
  <c r="CE99" i="228"/>
  <c r="CG99" i="228"/>
  <c r="CI99" i="228" s="1"/>
  <c r="CC92" i="228"/>
  <c r="CD92" i="228" s="1"/>
  <c r="CC91" i="228"/>
  <c r="CD91" i="228" s="1"/>
  <c r="CE137" i="228"/>
  <c r="CG137" i="228"/>
  <c r="CI137" i="228" s="1"/>
  <c r="CC139" i="228"/>
  <c r="CD139" i="228" s="1"/>
  <c r="CE11" i="228"/>
  <c r="CG11" i="228"/>
  <c r="CI11" i="228" s="1"/>
  <c r="CE55" i="228"/>
  <c r="CG55" i="228"/>
  <c r="CI55" i="228" s="1"/>
  <c r="CC64" i="228"/>
  <c r="CD64" i="228" s="1"/>
  <c r="CC134" i="228"/>
  <c r="CD134" i="228" s="1"/>
  <c r="CC119" i="228"/>
  <c r="CD119" i="228" s="1"/>
  <c r="CC78" i="228"/>
  <c r="CD78" i="228" s="1"/>
  <c r="CC126" i="228"/>
  <c r="CD126" i="228" s="1"/>
  <c r="CC6" i="228"/>
  <c r="CD6" i="228" s="1"/>
  <c r="CC100" i="228"/>
  <c r="CD100" i="228" s="1"/>
  <c r="CC85" i="228"/>
  <c r="CD85" i="228" s="1"/>
  <c r="CC141" i="228"/>
  <c r="CD141" i="228" s="1"/>
  <c r="CE50" i="228"/>
  <c r="CG50" i="228"/>
  <c r="CI50" i="228" s="1"/>
  <c r="CC43" i="228"/>
  <c r="CD43" i="228" s="1"/>
  <c r="CC154" i="228"/>
  <c r="CD154" i="228" s="1"/>
  <c r="CC17" i="228"/>
  <c r="CD17" i="228" s="1"/>
  <c r="CC16" i="228"/>
  <c r="CD16" i="228" s="1"/>
  <c r="CC34" i="228"/>
  <c r="CD34" i="228" s="1"/>
  <c r="CD35" i="228"/>
  <c r="CC80" i="228"/>
  <c r="CD80" i="228" s="1"/>
  <c r="CE155" i="228"/>
  <c r="CG155" i="228"/>
  <c r="CI155" i="228" s="1"/>
  <c r="CC106" i="228"/>
  <c r="CD106" i="228" s="1"/>
  <c r="CC118" i="228"/>
  <c r="CD118" i="228" s="1"/>
  <c r="CC14" i="228"/>
  <c r="CD14" i="228" s="1"/>
  <c r="CC42" i="228"/>
  <c r="CD42" i="228" s="1"/>
  <c r="CG39" i="228"/>
  <c r="CI39" i="228" s="1"/>
  <c r="CE39" i="228"/>
  <c r="CC83" i="228"/>
  <c r="CD83" i="228" s="1"/>
  <c r="CC24" i="228"/>
  <c r="CD24" i="228" s="1"/>
  <c r="CC36" i="228"/>
  <c r="CD36" i="228" s="1"/>
  <c r="CG123" i="228"/>
  <c r="CI123" i="228" s="1"/>
  <c r="CE123" i="228"/>
  <c r="CC88" i="228"/>
  <c r="CD88" i="228" s="1"/>
  <c r="CC146" i="228"/>
  <c r="CD146" i="228" s="1"/>
  <c r="CG127" i="228"/>
  <c r="CI127" i="228" s="1"/>
  <c r="CE127" i="228"/>
  <c r="CC130" i="228"/>
  <c r="CD130" i="228" s="1"/>
  <c r="CC76" i="228"/>
  <c r="CD76" i="228" s="1"/>
  <c r="CC159" i="228"/>
  <c r="CD159" i="228" s="1"/>
  <c r="CC38" i="228"/>
  <c r="CD38" i="228" s="1"/>
  <c r="CE124" i="228"/>
  <c r="CG124" i="228"/>
  <c r="CI124" i="228" s="1"/>
  <c r="CC49" i="228"/>
  <c r="CD49" i="228" s="1"/>
  <c r="CC122" i="228"/>
  <c r="CD122" i="228" s="1"/>
  <c r="CC21" i="228"/>
  <c r="CD21" i="228" s="1"/>
  <c r="CC8" i="228"/>
  <c r="CD8" i="228" s="1"/>
  <c r="CC27" i="228"/>
  <c r="CD27" i="228" s="1"/>
  <c r="CD22" i="228"/>
  <c r="CC74" i="228"/>
  <c r="CD74" i="228" s="1"/>
  <c r="CC87" i="228"/>
  <c r="CD87" i="228" s="1"/>
  <c r="CC113" i="228"/>
  <c r="CD113" i="228" s="1"/>
  <c r="CD142" i="228"/>
  <c r="CC160" i="228"/>
  <c r="CD160" i="228" s="1"/>
  <c r="CC132" i="228"/>
  <c r="CD132" i="228" s="1"/>
  <c r="CC51" i="228"/>
  <c r="CD51" i="228" s="1"/>
  <c r="CC58" i="228"/>
  <c r="CD58" i="228" s="1"/>
  <c r="CC151" i="228"/>
  <c r="CD151" i="228" s="1"/>
  <c r="CD63" i="228"/>
  <c r="CC129" i="228"/>
  <c r="CD129" i="228" s="1"/>
  <c r="CC156" i="228"/>
  <c r="CD156" i="228" s="1"/>
  <c r="CC97" i="228"/>
  <c r="CD97" i="228" s="1"/>
  <c r="CD157" i="228"/>
  <c r="CC105" i="228"/>
  <c r="CD105" i="228" s="1"/>
  <c r="BY171" i="228"/>
  <c r="BZ171" i="228" s="1"/>
  <c r="BY172" i="228"/>
  <c r="BZ172" i="228" s="1"/>
  <c r="AK185" i="228"/>
  <c r="CB179" i="228"/>
  <c r="CC179" i="228" s="1"/>
  <c r="CD179" i="228" s="1"/>
  <c r="BY192" i="228"/>
  <c r="BZ192" i="228" s="1"/>
  <c r="CA191" i="228"/>
  <c r="BQ183" i="228"/>
  <c r="BY179" i="228"/>
  <c r="BZ179" i="228" s="1"/>
  <c r="BY173" i="228"/>
  <c r="BZ173" i="228" s="1"/>
  <c r="AK162" i="228"/>
  <c r="AK166" i="228"/>
  <c r="AK164" i="228"/>
  <c r="CA183" i="228"/>
  <c r="AK175" i="228"/>
  <c r="AZ172" i="228"/>
  <c r="AZ163" i="228"/>
  <c r="AK176" i="228"/>
  <c r="BY187" i="228"/>
  <c r="BZ187" i="228" s="1"/>
  <c r="AK168" i="228"/>
  <c r="AK183" i="228"/>
  <c r="CB185" i="228"/>
  <c r="AK188" i="228"/>
  <c r="BY185" i="228"/>
  <c r="BZ185" i="228" s="1"/>
  <c r="AT189" i="228"/>
  <c r="BQ171" i="228"/>
  <c r="CB166" i="228"/>
  <c r="CA166" i="228"/>
  <c r="CA185" i="228"/>
  <c r="CA172" i="228"/>
  <c r="CC172" i="228" s="1"/>
  <c r="CD172" i="228" s="1"/>
  <c r="AJ164" i="228"/>
  <c r="AK177" i="228"/>
  <c r="AK187" i="228"/>
  <c r="CF183" i="228"/>
  <c r="AJ171" i="228"/>
  <c r="AK190" i="228"/>
  <c r="AS185" i="228"/>
  <c r="AJ190" i="228"/>
  <c r="BY191" i="228"/>
  <c r="BZ191" i="228" s="1"/>
  <c r="BQ188" i="228"/>
  <c r="AK171" i="228"/>
  <c r="AK181" i="228"/>
  <c r="BQ192" i="228"/>
  <c r="AJ178" i="228"/>
  <c r="CA180" i="228"/>
  <c r="AK178" i="228"/>
  <c r="AK182" i="228"/>
  <c r="AZ188" i="228"/>
  <c r="BQ169" i="228"/>
  <c r="AS180" i="228"/>
  <c r="CB168" i="228"/>
  <c r="AT168" i="228"/>
  <c r="CB165" i="228"/>
  <c r="AJ163" i="228"/>
  <c r="AZ182" i="228"/>
  <c r="CA168" i="228"/>
  <c r="AS168" i="228"/>
  <c r="BY165" i="228"/>
  <c r="BZ165" i="228" s="1"/>
  <c r="AJ166" i="228"/>
  <c r="CF173" i="228"/>
  <c r="AJ176" i="228"/>
  <c r="AJ188" i="228"/>
  <c r="AZ168" i="228"/>
  <c r="BY180" i="228"/>
  <c r="BZ180" i="228" s="1"/>
  <c r="CF182" i="228"/>
  <c r="BY181" i="228"/>
  <c r="BZ181" i="228" s="1"/>
  <c r="CF171" i="228"/>
  <c r="BY162" i="228"/>
  <c r="BZ162" i="228" s="1"/>
  <c r="AJ169" i="228"/>
  <c r="CB181" i="228"/>
  <c r="AJ162" i="228"/>
  <c r="AK169" i="228"/>
  <c r="AJ167" i="228"/>
  <c r="AK174" i="228"/>
  <c r="CA165" i="228"/>
  <c r="AK172" i="228"/>
  <c r="AJ177" i="228"/>
  <c r="AK184" i="228"/>
  <c r="AJ189" i="228"/>
  <c r="CF180" i="228"/>
  <c r="AK165" i="228"/>
  <c r="AJ170" i="228"/>
  <c r="AJ182" i="228"/>
  <c r="AK189" i="228"/>
  <c r="AJ181" i="228"/>
  <c r="CA174" i="228"/>
  <c r="CB169" i="228"/>
  <c r="AK179" i="228"/>
  <c r="AK191" i="228"/>
  <c r="CF170" i="228"/>
  <c r="AK170" i="228"/>
  <c r="AZ189" i="228"/>
  <c r="CF181" i="228"/>
  <c r="AJ168" i="228"/>
  <c r="AJ180" i="228"/>
  <c r="AJ192" i="228"/>
  <c r="CB192" i="228"/>
  <c r="BQ173" i="228"/>
  <c r="BY168" i="228"/>
  <c r="BZ168" i="228" s="1"/>
  <c r="BQ165" i="228"/>
  <c r="AJ173" i="228"/>
  <c r="AK180" i="228"/>
  <c r="AJ185" i="228"/>
  <c r="AK192" i="228"/>
  <c r="AT191" i="228"/>
  <c r="AJ179" i="228"/>
  <c r="AJ191" i="228"/>
  <c r="AJ184" i="228"/>
  <c r="AS189" i="228"/>
  <c r="CA192" i="228"/>
  <c r="CF189" i="228"/>
  <c r="BQ177" i="228"/>
  <c r="AK173" i="228"/>
  <c r="CF169" i="228"/>
  <c r="BQ179" i="228"/>
  <c r="CF162" i="228"/>
  <c r="U190" i="228"/>
  <c r="CA175" i="228"/>
  <c r="AZ175" i="228"/>
  <c r="CB175" i="228"/>
  <c r="BY164" i="228"/>
  <c r="BZ164" i="228" s="1"/>
  <c r="BY177" i="228"/>
  <c r="BZ177" i="228" s="1"/>
  <c r="CA177" i="228"/>
  <c r="AT177" i="228"/>
  <c r="AS177" i="228"/>
  <c r="CF167" i="228"/>
  <c r="BQ167" i="228"/>
  <c r="BY167" i="228"/>
  <c r="BZ167" i="228" s="1"/>
  <c r="BQ189" i="228"/>
  <c r="AS187" i="228"/>
  <c r="BQ187" i="228"/>
  <c r="CF187" i="228"/>
  <c r="BY184" i="228"/>
  <c r="BZ184" i="228" s="1"/>
  <c r="BQ175" i="228"/>
  <c r="AS173" i="228"/>
  <c r="AT173" i="228"/>
  <c r="BQ184" i="228"/>
  <c r="CF177" i="228"/>
  <c r="CF190" i="228"/>
  <c r="BY190" i="228"/>
  <c r="BZ190" i="228" s="1"/>
  <c r="AT188" i="228"/>
  <c r="BQ178" i="228"/>
  <c r="AS178" i="228"/>
  <c r="CB170" i="228"/>
  <c r="AT170" i="228"/>
  <c r="AS170" i="228"/>
  <c r="AZ170" i="228"/>
  <c r="CA170" i="228"/>
  <c r="BQ164" i="228"/>
  <c r="AS162" i="228"/>
  <c r="AT162" i="228"/>
  <c r="AZ162" i="228"/>
  <c r="CA162" i="228"/>
  <c r="CB162" i="228"/>
  <c r="Z192" i="228"/>
  <c r="AA192" i="228"/>
  <c r="AS188" i="228"/>
  <c r="CF184" i="228"/>
  <c r="AZ177" i="228"/>
  <c r="AS190" i="228"/>
  <c r="AT190" i="228"/>
  <c r="CB187" i="228"/>
  <c r="AT179" i="228"/>
  <c r="CF175" i="228"/>
  <c r="AS174" i="228"/>
  <c r="AT174" i="228"/>
  <c r="BQ170" i="228"/>
  <c r="BY170" i="228"/>
  <c r="BZ170" i="228" s="1"/>
  <c r="U163" i="228"/>
  <c r="BY189" i="228"/>
  <c r="BZ189" i="228" s="1"/>
  <c r="CA187" i="228"/>
  <c r="AZ187" i="228"/>
  <c r="U184" i="228"/>
  <c r="AT181" i="228"/>
  <c r="AS179" i="228"/>
  <c r="CB177" i="228"/>
  <c r="AT175" i="228"/>
  <c r="AT185" i="228"/>
  <c r="AZ185" i="228"/>
  <c r="AS181" i="228"/>
  <c r="CB178" i="228"/>
  <c r="BY176" i="228"/>
  <c r="BZ176" i="228" s="1"/>
  <c r="AT176" i="228"/>
  <c r="CA176" i="228"/>
  <c r="AS176" i="228"/>
  <c r="AZ176" i="228"/>
  <c r="CB176" i="228"/>
  <c r="BY175" i="228"/>
  <c r="BZ175" i="228" s="1"/>
  <c r="AS175" i="228"/>
  <c r="BQ168" i="228"/>
  <c r="CB191" i="228"/>
  <c r="AZ191" i="228"/>
  <c r="BQ191" i="228"/>
  <c r="CF191" i="228"/>
  <c r="AZ190" i="228"/>
  <c r="AT187" i="228"/>
  <c r="BQ185" i="228"/>
  <c r="AS184" i="228"/>
  <c r="CA178" i="228"/>
  <c r="AZ178" i="228"/>
  <c r="BQ176" i="228"/>
  <c r="CF168" i="228"/>
  <c r="CB167" i="228"/>
  <c r="AS167" i="228"/>
  <c r="AT167" i="228"/>
  <c r="AZ167" i="228"/>
  <c r="CA167" i="228"/>
  <c r="AA191" i="228"/>
  <c r="CF185" i="228"/>
  <c r="AZ179" i="228"/>
  <c r="CF179" i="228"/>
  <c r="AT164" i="228"/>
  <c r="AS164" i="228"/>
  <c r="CA164" i="228"/>
  <c r="CB164" i="228"/>
  <c r="AZ164" i="228"/>
  <c r="U172" i="228"/>
  <c r="AT183" i="228"/>
  <c r="BQ190" i="228"/>
  <c r="AS183" i="228"/>
  <c r="BQ162" i="228"/>
  <c r="CB190" i="228"/>
  <c r="CC190" i="228" s="1"/>
  <c r="U188" i="228"/>
  <c r="CB174" i="228"/>
  <c r="AZ174" i="228"/>
  <c r="BY169" i="228"/>
  <c r="BZ169" i="228" s="1"/>
  <c r="AS169" i="228"/>
  <c r="AT169" i="228"/>
  <c r="AZ169" i="228"/>
  <c r="CA169" i="228"/>
  <c r="AZ166" i="228"/>
  <c r="AS166" i="228"/>
  <c r="AT166" i="228"/>
  <c r="CF164" i="228"/>
  <c r="U164" i="228"/>
  <c r="AS171" i="228"/>
  <c r="AT171" i="228"/>
  <c r="AS165" i="228"/>
  <c r="AT165" i="228"/>
  <c r="CA163" i="228"/>
  <c r="CB163" i="228"/>
  <c r="AS163" i="228"/>
  <c r="AT163" i="228"/>
  <c r="Z190" i="228"/>
  <c r="CF188" i="228"/>
  <c r="AT184" i="228"/>
  <c r="BQ182" i="228"/>
  <c r="BQ180" i="228"/>
  <c r="AS172" i="228"/>
  <c r="AT172" i="228"/>
  <c r="BQ163" i="228"/>
  <c r="CB189" i="228"/>
  <c r="Z189" i="228"/>
  <c r="CA184" i="228"/>
  <c r="AZ183" i="228"/>
  <c r="AT182" i="228"/>
  <c r="BQ181" i="228"/>
  <c r="BQ172" i="228"/>
  <c r="U168" i="228"/>
  <c r="CA189" i="228"/>
  <c r="AZ184" i="228"/>
  <c r="CB183" i="228"/>
  <c r="CB182" i="228"/>
  <c r="CC182" i="228" s="1"/>
  <c r="CD182" i="228" s="1"/>
  <c r="CA181" i="228"/>
  <c r="CF178" i="228"/>
  <c r="CF172" i="228"/>
  <c r="CB171" i="228"/>
  <c r="CF165" i="228"/>
  <c r="CF163" i="228"/>
  <c r="CA171" i="228"/>
  <c r="AZ171" i="228"/>
  <c r="BY166" i="228"/>
  <c r="BZ166" i="228" s="1"/>
  <c r="CF166" i="228"/>
  <c r="AZ165" i="228"/>
  <c r="CF174" i="228"/>
  <c r="CF192" i="228"/>
  <c r="BQ174" i="228"/>
  <c r="CG52" i="228" l="1"/>
  <c r="CI52" i="228" s="1"/>
  <c r="CE26" i="228"/>
  <c r="CE147" i="228"/>
  <c r="CG102" i="228"/>
  <c r="CI102" i="228" s="1"/>
  <c r="AQ186" i="228"/>
  <c r="CF186" i="228"/>
  <c r="CC166" i="228"/>
  <c r="CD166" i="228" s="1"/>
  <c r="CG166" i="228" s="1"/>
  <c r="CI166" i="228" s="1"/>
  <c r="AK186" i="228"/>
  <c r="AS186" i="228"/>
  <c r="CA186" i="228"/>
  <c r="AJ186" i="228"/>
  <c r="CB186" i="228"/>
  <c r="BQ186" i="228"/>
  <c r="AT186" i="228"/>
  <c r="CE144" i="228"/>
  <c r="CG144" i="228"/>
  <c r="CI144" i="228" s="1"/>
  <c r="CE135" i="228"/>
  <c r="CG135" i="228"/>
  <c r="CI135" i="228" s="1"/>
  <c r="CG161" i="228"/>
  <c r="CI161" i="228" s="1"/>
  <c r="CE161" i="228"/>
  <c r="CE86" i="228"/>
  <c r="CG86" i="228"/>
  <c r="CI86" i="228" s="1"/>
  <c r="CG84" i="228"/>
  <c r="CI84" i="228" s="1"/>
  <c r="CE84" i="228"/>
  <c r="CG150" i="228"/>
  <c r="CI150" i="228" s="1"/>
  <c r="CE150" i="228"/>
  <c r="CG81" i="228"/>
  <c r="CI81" i="228" s="1"/>
  <c r="CE81" i="228"/>
  <c r="CC162" i="228"/>
  <c r="CD162" i="228" s="1"/>
  <c r="CE131" i="228"/>
  <c r="CE121" i="228"/>
  <c r="CG67" i="228"/>
  <c r="CI67" i="228" s="1"/>
  <c r="CE37" i="228"/>
  <c r="CG158" i="228"/>
  <c r="CI158" i="228" s="1"/>
  <c r="CE48" i="228"/>
  <c r="CG62" i="228"/>
  <c r="CI62" i="228" s="1"/>
  <c r="CE45" i="228"/>
  <c r="CE59" i="228"/>
  <c r="CG13" i="228"/>
  <c r="CI13" i="228" s="1"/>
  <c r="CE13" i="228"/>
  <c r="CE25" i="228"/>
  <c r="CG25" i="228"/>
  <c r="CI25" i="228" s="1"/>
  <c r="CG32" i="228"/>
  <c r="CI32" i="228" s="1"/>
  <c r="CG9" i="228"/>
  <c r="CI9" i="228" s="1"/>
  <c r="CE110" i="228"/>
  <c r="CG12" i="228"/>
  <c r="CI12" i="228" s="1"/>
  <c r="CC180" i="228"/>
  <c r="CD180" i="228" s="1"/>
  <c r="CG109" i="228"/>
  <c r="CI109" i="228" s="1"/>
  <c r="CE109" i="228"/>
  <c r="CE103" i="228"/>
  <c r="CG103" i="228"/>
  <c r="CI103" i="228" s="1"/>
  <c r="CG56" i="228"/>
  <c r="CI56" i="228" s="1"/>
  <c r="CG54" i="228"/>
  <c r="CI54" i="228" s="1"/>
  <c r="CG44" i="228"/>
  <c r="CI44" i="228" s="1"/>
  <c r="CE98" i="228"/>
  <c r="CG79" i="228"/>
  <c r="CI79" i="228" s="1"/>
  <c r="CE10" i="228"/>
  <c r="CG10" i="228"/>
  <c r="CI10" i="228" s="1"/>
  <c r="CC185" i="228"/>
  <c r="CD185" i="228" s="1"/>
  <c r="CE185" i="228" s="1"/>
  <c r="CG5" i="228"/>
  <c r="CI5" i="228" s="1"/>
  <c r="CE5" i="228"/>
  <c r="CG82" i="228"/>
  <c r="CI82" i="228" s="1"/>
  <c r="CE82" i="228"/>
  <c r="CG125" i="228"/>
  <c r="CI125" i="228" s="1"/>
  <c r="CE125" i="228"/>
  <c r="CG116" i="228"/>
  <c r="CI116" i="228" s="1"/>
  <c r="CE116" i="228"/>
  <c r="CE75" i="228"/>
  <c r="CE77" i="228"/>
  <c r="CG77" i="228"/>
  <c r="CI77" i="228" s="1"/>
  <c r="CG101" i="228"/>
  <c r="CI101" i="228" s="1"/>
  <c r="CE136" i="228"/>
  <c r="CG136" i="228"/>
  <c r="CI136" i="228" s="1"/>
  <c r="CG133" i="228"/>
  <c r="CI133" i="228" s="1"/>
  <c r="CE111" i="228"/>
  <c r="CG111" i="228"/>
  <c r="CI111" i="228" s="1"/>
  <c r="CE117" i="228"/>
  <c r="CG117" i="228"/>
  <c r="CI117" i="228" s="1"/>
  <c r="CG16" i="228"/>
  <c r="CI16" i="228" s="1"/>
  <c r="CE16" i="228"/>
  <c r="CG21" i="228"/>
  <c r="CI21" i="228" s="1"/>
  <c r="CE21" i="228"/>
  <c r="CE130" i="228"/>
  <c r="CG130" i="228"/>
  <c r="CI130" i="228" s="1"/>
  <c r="CE146" i="228"/>
  <c r="CG146" i="228"/>
  <c r="CI146" i="228" s="1"/>
  <c r="CE36" i="228"/>
  <c r="CG36" i="228"/>
  <c r="CI36" i="228" s="1"/>
  <c r="CE118" i="228"/>
  <c r="CG118" i="228"/>
  <c r="CI118" i="228" s="1"/>
  <c r="CE154" i="228"/>
  <c r="CG154" i="228"/>
  <c r="CI154" i="228" s="1"/>
  <c r="CG78" i="228"/>
  <c r="CI78" i="228" s="1"/>
  <c r="CE78" i="228"/>
  <c r="CE24" i="228"/>
  <c r="CG24" i="228"/>
  <c r="CI24" i="228" s="1"/>
  <c r="CG106" i="228"/>
  <c r="CI106" i="228" s="1"/>
  <c r="CE106" i="228"/>
  <c r="CE91" i="228"/>
  <c r="CG91" i="228"/>
  <c r="CI91" i="228" s="1"/>
  <c r="CG88" i="228"/>
  <c r="CI88" i="228" s="1"/>
  <c r="CE88" i="228"/>
  <c r="CE83" i="228"/>
  <c r="CG83" i="228"/>
  <c r="CI83" i="228" s="1"/>
  <c r="CE43" i="228"/>
  <c r="CG43" i="228"/>
  <c r="CI43" i="228" s="1"/>
  <c r="CE58" i="228"/>
  <c r="CG58" i="228"/>
  <c r="CI58" i="228" s="1"/>
  <c r="CE134" i="228"/>
  <c r="CG134" i="228"/>
  <c r="CI134" i="228" s="1"/>
  <c r="CE17" i="228"/>
  <c r="CG17" i="228"/>
  <c r="CI17" i="228" s="1"/>
  <c r="CG38" i="228"/>
  <c r="CI38" i="228" s="1"/>
  <c r="CE38" i="228"/>
  <c r="CE126" i="228"/>
  <c r="CG126" i="228"/>
  <c r="CI126" i="228" s="1"/>
  <c r="CE51" i="228"/>
  <c r="CG51" i="228"/>
  <c r="CI51" i="228" s="1"/>
  <c r="CG76" i="228"/>
  <c r="CI76" i="228" s="1"/>
  <c r="CE76" i="228"/>
  <c r="CG42" i="228"/>
  <c r="CI42" i="228" s="1"/>
  <c r="CE42" i="228"/>
  <c r="CE115" i="228"/>
  <c r="CG115" i="228"/>
  <c r="CI115" i="228" s="1"/>
  <c r="CE49" i="228"/>
  <c r="CG49" i="228"/>
  <c r="CI49" i="228" s="1"/>
  <c r="CG119" i="228"/>
  <c r="CI119" i="228" s="1"/>
  <c r="CE119" i="228"/>
  <c r="CE93" i="228"/>
  <c r="CG93" i="228"/>
  <c r="CI93" i="228" s="1"/>
  <c r="CG156" i="228"/>
  <c r="CI156" i="228" s="1"/>
  <c r="CE156" i="228"/>
  <c r="CG160" i="228"/>
  <c r="CI160" i="228" s="1"/>
  <c r="CE160" i="228"/>
  <c r="CG105" i="228"/>
  <c r="CI105" i="228" s="1"/>
  <c r="CE105" i="228"/>
  <c r="CG30" i="228"/>
  <c r="CI30" i="228" s="1"/>
  <c r="CE30" i="228"/>
  <c r="CE152" i="228"/>
  <c r="CG152" i="228"/>
  <c r="CI152" i="228" s="1"/>
  <c r="CE97" i="228"/>
  <c r="CG97" i="228"/>
  <c r="CI97" i="228" s="1"/>
  <c r="CE85" i="228"/>
  <c r="CG85" i="228"/>
  <c r="CI85" i="228" s="1"/>
  <c r="CE46" i="228"/>
  <c r="CG46" i="228"/>
  <c r="CI46" i="228" s="1"/>
  <c r="CE113" i="228"/>
  <c r="CG113" i="228"/>
  <c r="CI113" i="228" s="1"/>
  <c r="CE122" i="228"/>
  <c r="CG122" i="228"/>
  <c r="CI122" i="228" s="1"/>
  <c r="CE60" i="228"/>
  <c r="CG60" i="228"/>
  <c r="CI60" i="228" s="1"/>
  <c r="CE141" i="228"/>
  <c r="CG141" i="228"/>
  <c r="CI141" i="228" s="1"/>
  <c r="CE14" i="228"/>
  <c r="CG14" i="228"/>
  <c r="CI14" i="228" s="1"/>
  <c r="CE64" i="228"/>
  <c r="CG64" i="228"/>
  <c r="CI64" i="228" s="1"/>
  <c r="CG149" i="228"/>
  <c r="CI149" i="228" s="1"/>
  <c r="CE149" i="228"/>
  <c r="CE159" i="228"/>
  <c r="CG159" i="228"/>
  <c r="CI159" i="228" s="1"/>
  <c r="CG132" i="228"/>
  <c r="CI132" i="228" s="1"/>
  <c r="CE132" i="228"/>
  <c r="CE108" i="228"/>
  <c r="CG108" i="228"/>
  <c r="CI108" i="228" s="1"/>
  <c r="CE63" i="228"/>
  <c r="CG63" i="228"/>
  <c r="CI63" i="228" s="1"/>
  <c r="CE107" i="228"/>
  <c r="CG107" i="228"/>
  <c r="CI107" i="228" s="1"/>
  <c r="CG35" i="228"/>
  <c r="CI35" i="228" s="1"/>
  <c r="CE35" i="228"/>
  <c r="CE27" i="228"/>
  <c r="CG27" i="228"/>
  <c r="CI27" i="228" s="1"/>
  <c r="CG8" i="228"/>
  <c r="CI8" i="228" s="1"/>
  <c r="CE8" i="228"/>
  <c r="CG139" i="228"/>
  <c r="CI139" i="228" s="1"/>
  <c r="CE139" i="228"/>
  <c r="CG80" i="228"/>
  <c r="CI80" i="228" s="1"/>
  <c r="CE80" i="228"/>
  <c r="CG120" i="228"/>
  <c r="CI120" i="228" s="1"/>
  <c r="CE120" i="228"/>
  <c r="CE151" i="228"/>
  <c r="CG151" i="228"/>
  <c r="CI151" i="228" s="1"/>
  <c r="CG74" i="228"/>
  <c r="CI74" i="228" s="1"/>
  <c r="CE74" i="228"/>
  <c r="CE57" i="228"/>
  <c r="CG57" i="228"/>
  <c r="CI57" i="228" s="1"/>
  <c r="CE40" i="228"/>
  <c r="CG40" i="228"/>
  <c r="CI40" i="228" s="1"/>
  <c r="CE3" i="228"/>
  <c r="CG3" i="228"/>
  <c r="CI3" i="228" s="1"/>
  <c r="CE31" i="228"/>
  <c r="CG31" i="228"/>
  <c r="CI31" i="228" s="1"/>
  <c r="CG72" i="228"/>
  <c r="CI72" i="228" s="1"/>
  <c r="CE72" i="228"/>
  <c r="CE53" i="228"/>
  <c r="CG53" i="228"/>
  <c r="CI53" i="228" s="1"/>
  <c r="CE6" i="228"/>
  <c r="CG6" i="228"/>
  <c r="CI6" i="228" s="1"/>
  <c r="CE47" i="228"/>
  <c r="CG47" i="228"/>
  <c r="CI47" i="228" s="1"/>
  <c r="CG92" i="228"/>
  <c r="CI92" i="228" s="1"/>
  <c r="CE92" i="228"/>
  <c r="CE145" i="228"/>
  <c r="CG145" i="228"/>
  <c r="CI145" i="228" s="1"/>
  <c r="CG89" i="228"/>
  <c r="CI89" i="228" s="1"/>
  <c r="CE89" i="228"/>
  <c r="CE157" i="228"/>
  <c r="CG157" i="228"/>
  <c r="CI157" i="228" s="1"/>
  <c r="CE33" i="228"/>
  <c r="CG33" i="228"/>
  <c r="CI33" i="228" s="1"/>
  <c r="CE41" i="228"/>
  <c r="CG41" i="228"/>
  <c r="CI41" i="228" s="1"/>
  <c r="CG87" i="228"/>
  <c r="CI87" i="228" s="1"/>
  <c r="CE87" i="228"/>
  <c r="CE129" i="228"/>
  <c r="CG129" i="228"/>
  <c r="CI129" i="228" s="1"/>
  <c r="CE70" i="228"/>
  <c r="CG70" i="228"/>
  <c r="CI70" i="228" s="1"/>
  <c r="CE142" i="228"/>
  <c r="CG142" i="228"/>
  <c r="CI142" i="228" s="1"/>
  <c r="CE73" i="228"/>
  <c r="CG73" i="228"/>
  <c r="CI73" i="228" s="1"/>
  <c r="CE4" i="228"/>
  <c r="CG4" i="228"/>
  <c r="CI4" i="228" s="1"/>
  <c r="CG100" i="228"/>
  <c r="CI100" i="228" s="1"/>
  <c r="CE100" i="228"/>
  <c r="CE114" i="228"/>
  <c r="CG114" i="228"/>
  <c r="CI114" i="228" s="1"/>
  <c r="CE61" i="228"/>
  <c r="CG61" i="228"/>
  <c r="CI61" i="228" s="1"/>
  <c r="CG69" i="228"/>
  <c r="CI69" i="228" s="1"/>
  <c r="CE69" i="228"/>
  <c r="CE22" i="228"/>
  <c r="CG22" i="228"/>
  <c r="CI22" i="228" s="1"/>
  <c r="CE96" i="228"/>
  <c r="CG96" i="228"/>
  <c r="CI96" i="228" s="1"/>
  <c r="CE18" i="228"/>
  <c r="CG18" i="228"/>
  <c r="CI18" i="228" s="1"/>
  <c r="CG34" i="228"/>
  <c r="CI34" i="228" s="1"/>
  <c r="CE34" i="228"/>
  <c r="CE68" i="228"/>
  <c r="CG68" i="228"/>
  <c r="CI68" i="228" s="1"/>
  <c r="CG20" i="228"/>
  <c r="CI20" i="228" s="1"/>
  <c r="CE20" i="228"/>
  <c r="CE66" i="228"/>
  <c r="CG66" i="228"/>
  <c r="CI66" i="228" s="1"/>
  <c r="CC167" i="228"/>
  <c r="CD167" i="228" s="1"/>
  <c r="CC175" i="228"/>
  <c r="CD175" i="228" s="1"/>
  <c r="CC165" i="228"/>
  <c r="CD165" i="228" s="1"/>
  <c r="CE165" i="228" s="1"/>
  <c r="CC168" i="228"/>
  <c r="CD168" i="228" s="1"/>
  <c r="CE168" i="228" s="1"/>
  <c r="CC183" i="228"/>
  <c r="CD183" i="228" s="1"/>
  <c r="CE183" i="228" s="1"/>
  <c r="CD190" i="228"/>
  <c r="CG190" i="228" s="1"/>
  <c r="CI190" i="228" s="1"/>
  <c r="CG173" i="228"/>
  <c r="CI173" i="228" s="1"/>
  <c r="CE173" i="228"/>
  <c r="CC192" i="228"/>
  <c r="CD192" i="228" s="1"/>
  <c r="CC164" i="228"/>
  <c r="CD164" i="228" s="1"/>
  <c r="CE182" i="228"/>
  <c r="CG182" i="228"/>
  <c r="CI182" i="228" s="1"/>
  <c r="CE172" i="228"/>
  <c r="CG172" i="228"/>
  <c r="CI172" i="228" s="1"/>
  <c r="CC163" i="228"/>
  <c r="CD163" i="228" s="1"/>
  <c r="CC170" i="228"/>
  <c r="CD170" i="228" s="1"/>
  <c r="CC181" i="228"/>
  <c r="CD181" i="228" s="1"/>
  <c r="CC184" i="228"/>
  <c r="CD184" i="228" s="1"/>
  <c r="CC169" i="228"/>
  <c r="CD169" i="228" s="1"/>
  <c r="CC187" i="228"/>
  <c r="CD187" i="228" s="1"/>
  <c r="CC174" i="228"/>
  <c r="CD174" i="228" s="1"/>
  <c r="CG188" i="228"/>
  <c r="CI188" i="228" s="1"/>
  <c r="CE188" i="228"/>
  <c r="CC189" i="228"/>
  <c r="CD189" i="228" s="1"/>
  <c r="CC176" i="228"/>
  <c r="CD176" i="228" s="1"/>
  <c r="CC177" i="228"/>
  <c r="CD177" i="228" s="1"/>
  <c r="CC178" i="228"/>
  <c r="CD178" i="228" s="1"/>
  <c r="CC171" i="228"/>
  <c r="CD171" i="228" s="1"/>
  <c r="CC191" i="228"/>
  <c r="CD191" i="228" s="1"/>
  <c r="CE179" i="228"/>
  <c r="CG179" i="228"/>
  <c r="CI179" i="228" s="1"/>
  <c r="CC186" i="228" l="1"/>
  <c r="CD186" i="228" s="1"/>
  <c r="CG186" i="228" s="1"/>
  <c r="CI186" i="228" s="1"/>
  <c r="CE180" i="228"/>
  <c r="CG180" i="228"/>
  <c r="CI180" i="228" s="1"/>
  <c r="CG185" i="228"/>
  <c r="CI185" i="228" s="1"/>
  <c r="CE166" i="228"/>
  <c r="CG168" i="228"/>
  <c r="CI168" i="228" s="1"/>
  <c r="CG165" i="228"/>
  <c r="CI165" i="228" s="1"/>
  <c r="CE190" i="228"/>
  <c r="CE192" i="228"/>
  <c r="CG192" i="228"/>
  <c r="CI192" i="228" s="1"/>
  <c r="CG183" i="228"/>
  <c r="CI183" i="228" s="1"/>
  <c r="CG174" i="228"/>
  <c r="CI174" i="228" s="1"/>
  <c r="CE174" i="228"/>
  <c r="CE167" i="228"/>
  <c r="CG167" i="228"/>
  <c r="CI167" i="228" s="1"/>
  <c r="CG187" i="228"/>
  <c r="CI187" i="228" s="1"/>
  <c r="CE187" i="228"/>
  <c r="CE171" i="228"/>
  <c r="CG171" i="228"/>
  <c r="CI171" i="228" s="1"/>
  <c r="CG162" i="228"/>
  <c r="CI162" i="228" s="1"/>
  <c r="CE162" i="228"/>
  <c r="CG176" i="228"/>
  <c r="CI176" i="228" s="1"/>
  <c r="CE176" i="228"/>
  <c r="CG169" i="228"/>
  <c r="CI169" i="228" s="1"/>
  <c r="CE169" i="228"/>
  <c r="CE163" i="228"/>
  <c r="CG163" i="228"/>
  <c r="CI163" i="228" s="1"/>
  <c r="CE178" i="228"/>
  <c r="CG178" i="228"/>
  <c r="CI178" i="228" s="1"/>
  <c r="CE184" i="228"/>
  <c r="CG184" i="228"/>
  <c r="CI184" i="228" s="1"/>
  <c r="CE170" i="228"/>
  <c r="CG170" i="228"/>
  <c r="CI170" i="228" s="1"/>
  <c r="CE191" i="228"/>
  <c r="CG191" i="228"/>
  <c r="CI191" i="228" s="1"/>
  <c r="CE189" i="228"/>
  <c r="CG189" i="228"/>
  <c r="CI189" i="228" s="1"/>
  <c r="CG164" i="228"/>
  <c r="CI164" i="228" s="1"/>
  <c r="CE164" i="228"/>
  <c r="CE181" i="228"/>
  <c r="CG181" i="228"/>
  <c r="CI181" i="228" s="1"/>
  <c r="CE175" i="228"/>
  <c r="CG175" i="228"/>
  <c r="CI175" i="228" s="1"/>
  <c r="CE177" i="228"/>
  <c r="CG177" i="228"/>
  <c r="CI177" i="228" s="1"/>
  <c r="CE186" i="228" l="1"/>
  <c r="I1" i="228"/>
  <c r="BT1" i="228" l="1"/>
  <c r="H11" i="241" l="1"/>
  <c r="H7" i="241"/>
  <c r="H63" i="237" l="1" a="1"/>
  <c r="H56" i="237" a="1"/>
  <c r="H40" i="242"/>
  <c r="H73" i="242"/>
  <c r="H74" i="242"/>
  <c r="H72" i="242"/>
  <c r="H71" i="242"/>
  <c r="H70" i="242"/>
  <c r="H69" i="242"/>
  <c r="H68" i="242"/>
  <c r="H67" i="242"/>
  <c r="H66" i="242"/>
  <c r="H65" i="242"/>
  <c r="H64" i="242"/>
  <c r="H63" i="242"/>
  <c r="H62" i="242"/>
  <c r="H61" i="242"/>
  <c r="H60" i="242"/>
  <c r="H59" i="242"/>
  <c r="H58" i="242"/>
  <c r="H57" i="242"/>
  <c r="H56" i="242"/>
  <c r="H55" i="242"/>
  <c r="H54" i="242"/>
  <c r="H53" i="242"/>
  <c r="H52" i="242"/>
  <c r="H51" i="242"/>
  <c r="H50" i="242"/>
  <c r="H49" i="242"/>
  <c r="H48" i="242"/>
  <c r="H47" i="242"/>
  <c r="H46" i="242"/>
  <c r="H45" i="242"/>
  <c r="H44" i="242"/>
  <c r="H43" i="242"/>
  <c r="H41" i="242"/>
  <c r="H39" i="242"/>
  <c r="H38" i="242"/>
  <c r="H4" i="242"/>
  <c r="H5" i="242"/>
  <c r="H6" i="242"/>
  <c r="H7" i="242"/>
  <c r="H8" i="242"/>
  <c r="H9" i="242"/>
  <c r="H10" i="242"/>
  <c r="H11" i="242"/>
  <c r="H12" i="242"/>
  <c r="H13" i="242"/>
  <c r="H14" i="242"/>
  <c r="H15" i="242"/>
  <c r="H16" i="242"/>
  <c r="H17" i="242"/>
  <c r="H18" i="242"/>
  <c r="H19" i="242"/>
  <c r="H20" i="242"/>
  <c r="H21" i="242"/>
  <c r="H22" i="242"/>
  <c r="H23" i="242"/>
  <c r="H24" i="242"/>
  <c r="H25" i="242"/>
  <c r="H26" i="242"/>
  <c r="H27" i="242"/>
  <c r="H28" i="242"/>
  <c r="H29" i="242"/>
  <c r="H30" i="242"/>
  <c r="H31" i="242"/>
  <c r="H32" i="242"/>
  <c r="H33" i="242"/>
  <c r="H34" i="242"/>
  <c r="H35" i="242"/>
  <c r="H36" i="242"/>
  <c r="H37" i="242"/>
  <c r="H3" i="242"/>
  <c r="G63" i="237"/>
  <c r="I63" i="237" s="1"/>
  <c r="G62" i="237"/>
  <c r="H62" i="237" s="1" a="1"/>
  <c r="G61" i="237"/>
  <c r="H61" i="237" s="1" a="1"/>
  <c r="G60" i="237"/>
  <c r="H60" i="237" s="1" a="1"/>
  <c r="G59" i="237"/>
  <c r="H59" i="237" s="1" a="1"/>
  <c r="G58" i="237"/>
  <c r="G57" i="237"/>
  <c r="G56" i="237"/>
  <c r="G55" i="237"/>
  <c r="H55" i="237" s="1" a="1"/>
  <c r="G54" i="237"/>
  <c r="G53" i="237"/>
  <c r="G52" i="237"/>
  <c r="I62" i="237"/>
  <c r="I57" i="237"/>
  <c r="BW175" i="228" l="1"/>
  <c r="BW176" i="228"/>
  <c r="BW183" i="228"/>
  <c r="BW184" i="228"/>
  <c r="BW185" i="228"/>
  <c r="BW186" i="228"/>
  <c r="BW187" i="228"/>
  <c r="BW188" i="228"/>
  <c r="BW189" i="228"/>
  <c r="BW191" i="228"/>
  <c r="BW170" i="228"/>
  <c r="BW173" i="228"/>
  <c r="BW169" i="228"/>
  <c r="BW168" i="228"/>
  <c r="BW165" i="228"/>
  <c r="BW162" i="228"/>
  <c r="BW171" i="228"/>
  <c r="BW164" i="228"/>
  <c r="BW82" i="228"/>
  <c r="BW80" i="228"/>
  <c r="BW88" i="228"/>
  <c r="BW83" i="228"/>
  <c r="BW85" i="228"/>
  <c r="BW84" i="228"/>
  <c r="BW81" i="228"/>
  <c r="BW87" i="228"/>
  <c r="BW79" i="228"/>
  <c r="BW100" i="228"/>
  <c r="BW102" i="228"/>
  <c r="BW91" i="228"/>
  <c r="BW95" i="228"/>
  <c r="BW98" i="228"/>
  <c r="BW101" i="228"/>
  <c r="BW77" i="228"/>
  <c r="BW143" i="228"/>
  <c r="BW190" i="228"/>
  <c r="BW181" i="228"/>
  <c r="BW182" i="228"/>
  <c r="BW192" i="228"/>
  <c r="BW178" i="228"/>
  <c r="BW180" i="228"/>
  <c r="BW177" i="228"/>
  <c r="BW174" i="228"/>
  <c r="BW179" i="228"/>
  <c r="BW166" i="228"/>
  <c r="BW148" i="228"/>
  <c r="H52" i="237" a="1"/>
  <c r="I59" i="237"/>
  <c r="H57" i="237" a="1"/>
  <c r="H58" i="237" a="1"/>
  <c r="I58" i="237"/>
  <c r="H54" i="237" a="1"/>
  <c r="I54" i="237" s="1"/>
  <c r="H53" i="237" a="1"/>
  <c r="I53" i="237" s="1"/>
  <c r="I60" i="237"/>
  <c r="I55" i="237"/>
  <c r="I61" i="237"/>
  <c r="I56" i="237"/>
  <c r="BF7" i="237"/>
  <c r="BE7" i="237"/>
  <c r="BF5" i="237"/>
  <c r="BE5" i="237"/>
  <c r="BD5" i="237"/>
  <c r="BC5" i="237"/>
  <c r="BF4" i="237"/>
  <c r="BE4" i="237"/>
  <c r="AY7" i="237"/>
  <c r="BB6" i="237"/>
  <c r="AY6" i="237"/>
  <c r="AY5" i="237"/>
  <c r="AY4" i="237"/>
  <c r="BB3" i="237"/>
  <c r="AY3" i="237"/>
  <c r="BF2" i="237"/>
  <c r="BF6" i="237" s="1"/>
  <c r="BE2" i="237"/>
  <c r="BE6" i="237" s="1"/>
  <c r="BD2" i="237"/>
  <c r="BD7" i="237" s="1"/>
  <c r="BC2" i="237"/>
  <c r="BC7" i="237" s="1"/>
  <c r="BB2" i="237"/>
  <c r="BB5" i="237" s="1"/>
  <c r="BA2" i="237"/>
  <c r="BA6" i="237" s="1"/>
  <c r="AZ2" i="237"/>
  <c r="AZ6" i="237" s="1"/>
  <c r="AY2" i="237"/>
  <c r="AX2" i="237"/>
  <c r="AX7" i="237" s="1"/>
  <c r="AW2" i="237"/>
  <c r="AW4" i="237" s="1"/>
  <c r="AV2" i="237"/>
  <c r="AV3" i="237" s="1"/>
  <c r="AU2" i="237"/>
  <c r="AU3" i="237" s="1"/>
  <c r="D208" i="237"/>
  <c r="E208" i="237" s="1"/>
  <c r="D209" i="237"/>
  <c r="E209" i="237" s="1"/>
  <c r="D210" i="237"/>
  <c r="E210" i="237" s="1"/>
  <c r="D211" i="237"/>
  <c r="E211" i="237" s="1"/>
  <c r="D212" i="237"/>
  <c r="E212" i="237" s="1"/>
  <c r="D213" i="237"/>
  <c r="E213" i="237" s="1"/>
  <c r="D214" i="237"/>
  <c r="E214" i="237" s="1"/>
  <c r="D215" i="237"/>
  <c r="E215" i="237" s="1"/>
  <c r="D216" i="237"/>
  <c r="E216" i="237" s="1"/>
  <c r="D217" i="237"/>
  <c r="E217" i="237" s="1"/>
  <c r="D218" i="237"/>
  <c r="E218" i="237" s="1"/>
  <c r="D219" i="237"/>
  <c r="E219" i="237" s="1"/>
  <c r="D220" i="237"/>
  <c r="E220" i="237" s="1"/>
  <c r="D221" i="237"/>
  <c r="E221" i="237" s="1"/>
  <c r="D222" i="237"/>
  <c r="E222" i="237" s="1"/>
  <c r="D223" i="237"/>
  <c r="E223" i="237" s="1"/>
  <c r="D224" i="237"/>
  <c r="E224" i="237"/>
  <c r="D225" i="237"/>
  <c r="E225" i="237" s="1"/>
  <c r="D226" i="237"/>
  <c r="E226" i="237" s="1"/>
  <c r="D227" i="237"/>
  <c r="E227" i="237" s="1"/>
  <c r="D228" i="237"/>
  <c r="E228" i="237" s="1"/>
  <c r="D229" i="237"/>
  <c r="E229" i="237" s="1"/>
  <c r="D230" i="237"/>
  <c r="E230" i="237"/>
  <c r="D231" i="237"/>
  <c r="E231" i="237" s="1"/>
  <c r="D232" i="237"/>
  <c r="E232" i="237" s="1"/>
  <c r="D233" i="237"/>
  <c r="E233" i="237" s="1"/>
  <c r="D234" i="237"/>
  <c r="E234" i="237"/>
  <c r="D235" i="237"/>
  <c r="E235" i="237"/>
  <c r="D236" i="237"/>
  <c r="E236" i="237" s="1"/>
  <c r="D237" i="237"/>
  <c r="E237" i="237" s="1"/>
  <c r="D238" i="237"/>
  <c r="E238" i="237" s="1"/>
  <c r="D239" i="237"/>
  <c r="E239" i="237"/>
  <c r="D240" i="237"/>
  <c r="E240" i="237" s="1"/>
  <c r="D241" i="237"/>
  <c r="E241" i="237"/>
  <c r="D242" i="237"/>
  <c r="E242" i="237" s="1"/>
  <c r="D243" i="237"/>
  <c r="E243" i="237" s="1"/>
  <c r="D244" i="237"/>
  <c r="E244" i="237"/>
  <c r="D245" i="237"/>
  <c r="E245" i="237" s="1"/>
  <c r="D246" i="237"/>
  <c r="E246" i="237"/>
  <c r="D247" i="237"/>
  <c r="E247" i="237" s="1"/>
  <c r="D248" i="237"/>
  <c r="E248" i="237" s="1"/>
  <c r="D249" i="237"/>
  <c r="E249" i="237" s="1"/>
  <c r="D250" i="237"/>
  <c r="E250" i="237"/>
  <c r="D251" i="237"/>
  <c r="E251" i="237"/>
  <c r="D252" i="237"/>
  <c r="E252" i="237" s="1"/>
  <c r="D253" i="237"/>
  <c r="E253" i="237" s="1"/>
  <c r="D254" i="237"/>
  <c r="E254" i="237" s="1"/>
  <c r="D255" i="237"/>
  <c r="E255" i="237" s="1"/>
  <c r="D256" i="237"/>
  <c r="E256" i="237"/>
  <c r="D257" i="237"/>
  <c r="E257" i="237"/>
  <c r="D258" i="237"/>
  <c r="E258" i="237"/>
  <c r="D259" i="237"/>
  <c r="E259" i="237" s="1"/>
  <c r="D260" i="237"/>
  <c r="E260" i="237" s="1"/>
  <c r="D261" i="237"/>
  <c r="E261" i="237" s="1"/>
  <c r="D262" i="237"/>
  <c r="E262" i="237" s="1"/>
  <c r="D263" i="237"/>
  <c r="E263" i="237" s="1"/>
  <c r="D264" i="237"/>
  <c r="E264" i="237" s="1"/>
  <c r="D265" i="237"/>
  <c r="E265" i="237" s="1"/>
  <c r="D266" i="237"/>
  <c r="E266" i="237" s="1"/>
  <c r="D267" i="237"/>
  <c r="E267" i="237"/>
  <c r="D268" i="237"/>
  <c r="E268" i="237" s="1"/>
  <c r="D269" i="237"/>
  <c r="E269" i="237" s="1"/>
  <c r="D270" i="237"/>
  <c r="E270" i="237" s="1"/>
  <c r="D271" i="237"/>
  <c r="E271" i="237" s="1"/>
  <c r="D207" i="237"/>
  <c r="E207" i="237" s="1"/>
  <c r="E164" i="237"/>
  <c r="F164" i="237" s="1"/>
  <c r="G164" i="237" s="1"/>
  <c r="E165" i="237"/>
  <c r="F165" i="237" s="1"/>
  <c r="G165" i="237" s="1"/>
  <c r="E166" i="237"/>
  <c r="F166" i="237" s="1"/>
  <c r="G166" i="237" s="1"/>
  <c r="E167" i="237"/>
  <c r="F167" i="237" s="1"/>
  <c r="G167" i="237" s="1"/>
  <c r="E168" i="237"/>
  <c r="F168" i="237" s="1"/>
  <c r="G168" i="237" s="1"/>
  <c r="E169" i="237"/>
  <c r="F169" i="237" s="1"/>
  <c r="G169" i="237" s="1"/>
  <c r="E170" i="237"/>
  <c r="F170" i="237" s="1"/>
  <c r="G170" i="237" s="1"/>
  <c r="E171" i="237"/>
  <c r="F171" i="237" s="1"/>
  <c r="G171" i="237" s="1"/>
  <c r="E172" i="237"/>
  <c r="F172" i="237" s="1"/>
  <c r="G172" i="237" s="1"/>
  <c r="E173" i="237"/>
  <c r="F173" i="237" s="1"/>
  <c r="G173" i="237" s="1"/>
  <c r="E174" i="237"/>
  <c r="F174" i="237" s="1"/>
  <c r="G174" i="237" s="1"/>
  <c r="E175" i="237"/>
  <c r="F175" i="237" s="1"/>
  <c r="G175" i="237" s="1"/>
  <c r="E176" i="237"/>
  <c r="E177" i="237"/>
  <c r="F177" i="237" s="1"/>
  <c r="G177" i="237" s="1"/>
  <c r="F176" i="237"/>
  <c r="G176" i="237" s="1"/>
  <c r="E178" i="237"/>
  <c r="D187" i="237"/>
  <c r="E187" i="237" s="1"/>
  <c r="D188" i="237"/>
  <c r="E188" i="237" s="1"/>
  <c r="D189" i="237"/>
  <c r="D190" i="237"/>
  <c r="E190" i="237" s="1"/>
  <c r="D191" i="237"/>
  <c r="E191" i="237" s="1"/>
  <c r="D192" i="237"/>
  <c r="E192" i="237" s="1"/>
  <c r="D193" i="237"/>
  <c r="E193" i="237" s="1"/>
  <c r="D194" i="237"/>
  <c r="E194" i="237" s="1"/>
  <c r="D195" i="237"/>
  <c r="E195" i="237" s="1"/>
  <c r="D196" i="237"/>
  <c r="E196" i="237" s="1"/>
  <c r="D197" i="237"/>
  <c r="E197" i="237" s="1"/>
  <c r="D198" i="237"/>
  <c r="E198" i="237" s="1"/>
  <c r="D199" i="237"/>
  <c r="E199" i="237" s="1"/>
  <c r="D200" i="237"/>
  <c r="E200" i="237" s="1"/>
  <c r="E189" i="237"/>
  <c r="E160" i="237"/>
  <c r="F160" i="237" s="1"/>
  <c r="G160" i="237" s="1"/>
  <c r="E161" i="237"/>
  <c r="F161" i="237" s="1"/>
  <c r="G161" i="237" s="1"/>
  <c r="E162" i="237"/>
  <c r="F162" i="237" s="1"/>
  <c r="G162" i="237" s="1"/>
  <c r="E163" i="237"/>
  <c r="F163" i="237" s="1"/>
  <c r="G163" i="237" s="1"/>
  <c r="E159" i="237"/>
  <c r="F159" i="237" s="1"/>
  <c r="G159" i="237" s="1"/>
  <c r="D186" i="237"/>
  <c r="E186" i="237" s="1"/>
  <c r="D185" i="237"/>
  <c r="E185" i="237" s="1"/>
  <c r="D184" i="237"/>
  <c r="E184" i="237" s="1"/>
  <c r="D183" i="237"/>
  <c r="E183" i="237" s="1"/>
  <c r="D182" i="237"/>
  <c r="E182" i="237" s="1"/>
  <c r="BW86" i="228" l="1"/>
  <c r="BW78" i="228"/>
  <c r="BW112" i="228"/>
  <c r="BW104" i="228"/>
  <c r="BW107" i="228"/>
  <c r="BW106" i="228"/>
  <c r="BW109" i="228"/>
  <c r="BW114" i="228"/>
  <c r="BW108" i="228"/>
  <c r="BW113" i="228"/>
  <c r="BW110" i="228"/>
  <c r="BW105" i="228"/>
  <c r="BW111" i="228"/>
  <c r="BW99" i="228"/>
  <c r="BW103" i="228"/>
  <c r="BW96" i="228"/>
  <c r="BW92" i="228"/>
  <c r="BW97" i="228"/>
  <c r="BW89" i="228"/>
  <c r="BW90" i="228"/>
  <c r="BW94" i="228"/>
  <c r="BW93" i="228"/>
  <c r="BW76" i="228"/>
  <c r="BW74" i="228"/>
  <c r="BW69" i="228"/>
  <c r="BW66" i="228"/>
  <c r="BW73" i="228"/>
  <c r="BW75" i="228"/>
  <c r="BW72" i="228"/>
  <c r="BW60" i="228"/>
  <c r="BW59" i="228"/>
  <c r="BW65" i="228"/>
  <c r="BW67" i="228"/>
  <c r="BW61" i="228"/>
  <c r="BW63" i="228"/>
  <c r="BW71" i="228"/>
  <c r="BW62" i="228"/>
  <c r="BW64" i="228"/>
  <c r="BW68" i="228"/>
  <c r="BW70" i="228"/>
  <c r="BW47" i="228"/>
  <c r="BW57" i="228"/>
  <c r="BW58" i="228"/>
  <c r="BW48" i="228"/>
  <c r="BW42" i="228"/>
  <c r="BW54" i="228"/>
  <c r="BW44" i="228"/>
  <c r="BW49" i="228"/>
  <c r="BW52" i="228"/>
  <c r="BW46" i="228"/>
  <c r="BW55" i="228"/>
  <c r="BW45" i="228"/>
  <c r="BW50" i="228"/>
  <c r="BW53" i="228"/>
  <c r="BW51" i="228"/>
  <c r="BW43" i="228"/>
  <c r="BW56" i="228"/>
  <c r="BW145" i="228"/>
  <c r="BW138" i="228"/>
  <c r="BW137" i="228"/>
  <c r="BW139" i="228"/>
  <c r="BW146" i="228"/>
  <c r="BW142" i="228"/>
  <c r="BW140" i="228"/>
  <c r="BW144" i="228"/>
  <c r="BW136" i="228"/>
  <c r="BW141" i="228"/>
  <c r="BW124" i="228"/>
  <c r="BW118" i="228"/>
  <c r="BW123" i="228"/>
  <c r="BW125" i="228"/>
  <c r="BW116" i="228"/>
  <c r="BW120" i="228"/>
  <c r="BW121" i="228"/>
  <c r="BW122" i="228"/>
  <c r="BW126" i="228"/>
  <c r="BW117" i="228"/>
  <c r="BW115" i="228"/>
  <c r="BW119" i="228"/>
  <c r="BW31" i="228"/>
  <c r="BW34" i="228"/>
  <c r="BW41" i="228"/>
  <c r="BW29" i="228"/>
  <c r="BW39" i="228"/>
  <c r="BW32" i="228"/>
  <c r="BW33" i="228"/>
  <c r="BW40" i="228"/>
  <c r="BW36" i="228"/>
  <c r="BW37" i="228"/>
  <c r="BW38" i="228"/>
  <c r="BW35" i="228"/>
  <c r="BW30" i="228"/>
  <c r="BW132" i="228"/>
  <c r="BW129" i="228"/>
  <c r="BW127" i="228"/>
  <c r="BW135" i="228"/>
  <c r="BW128" i="228"/>
  <c r="BW130" i="228"/>
  <c r="BW131" i="228"/>
  <c r="BW134" i="228"/>
  <c r="BW133" i="228"/>
  <c r="BW28" i="228"/>
  <c r="BW26" i="228"/>
  <c r="BW27" i="228"/>
  <c r="BW22" i="228"/>
  <c r="BW21" i="228"/>
  <c r="BW18" i="228"/>
  <c r="BW24" i="228"/>
  <c r="BW20" i="228"/>
  <c r="BW19" i="228"/>
  <c r="BW25" i="228"/>
  <c r="BW23" i="228"/>
  <c r="BW167" i="228"/>
  <c r="BW163" i="228"/>
  <c r="BW172" i="228"/>
  <c r="BW152" i="228"/>
  <c r="BW157" i="228"/>
  <c r="BW149" i="228"/>
  <c r="BW155" i="228"/>
  <c r="BW161" i="228"/>
  <c r="BW151" i="228"/>
  <c r="BW153" i="228"/>
  <c r="BW147" i="228"/>
  <c r="BW158" i="228"/>
  <c r="BW154" i="228"/>
  <c r="BW159" i="228"/>
  <c r="BW150" i="228"/>
  <c r="BW160" i="228"/>
  <c r="BW156" i="228"/>
  <c r="BW14" i="228"/>
  <c r="BW17" i="228"/>
  <c r="BW4" i="228"/>
  <c r="BW9" i="228"/>
  <c r="BW5" i="228"/>
  <c r="BW12" i="228"/>
  <c r="BW8" i="228"/>
  <c r="BW6" i="228"/>
  <c r="BW3" i="228"/>
  <c r="BW10" i="228"/>
  <c r="BW13" i="228"/>
  <c r="BW16" i="228"/>
  <c r="BW11" i="228"/>
  <c r="BW7" i="228"/>
  <c r="BW15" i="228"/>
  <c r="AZ4" i="237"/>
  <c r="AZ7" i="237"/>
  <c r="BA4" i="237"/>
  <c r="BA7" i="237"/>
  <c r="BB4" i="237"/>
  <c r="BB7" i="237"/>
  <c r="AZ5" i="237"/>
  <c r="BC3" i="237"/>
  <c r="BC6" i="237"/>
  <c r="BA5" i="237"/>
  <c r="BD3" i="237"/>
  <c r="BD6" i="237"/>
  <c r="BE3" i="237"/>
  <c r="BF3" i="237"/>
  <c r="AZ3" i="237"/>
  <c r="BC4" i="237"/>
  <c r="BA3" i="237"/>
  <c r="BD4" i="237"/>
  <c r="I52" i="237"/>
  <c r="AV4" i="237"/>
  <c r="AV5" i="237"/>
  <c r="AV6" i="237"/>
  <c r="AV7" i="237"/>
  <c r="AW5" i="237"/>
  <c r="AU4" i="237"/>
  <c r="AU5" i="237"/>
  <c r="AU6" i="237"/>
  <c r="AU7" i="237"/>
  <c r="AW6" i="237"/>
  <c r="AW7" i="237"/>
  <c r="AX3" i="237"/>
  <c r="AX4" i="237"/>
  <c r="AX5" i="237"/>
  <c r="AX6" i="237"/>
  <c r="AW3" i="237"/>
  <c r="H5" i="241"/>
  <c r="H8" i="241"/>
  <c r="H9" i="241"/>
  <c r="H13" i="241"/>
  <c r="H14" i="241"/>
  <c r="H15" i="241"/>
  <c r="H16" i="241"/>
  <c r="H17" i="241"/>
  <c r="H18" i="241"/>
  <c r="H19" i="241"/>
  <c r="H4" i="241"/>
  <c r="B380" i="232"/>
  <c r="B379" i="232"/>
  <c r="C12" i="241"/>
  <c r="H12" i="241" s="1"/>
  <c r="H10" i="241"/>
  <c r="H6" i="241"/>
  <c r="B371" i="232" l="1"/>
  <c r="B372" i="232"/>
  <c r="B373" i="232"/>
  <c r="B374" i="232"/>
  <c r="B375" i="232"/>
  <c r="B376" i="232"/>
  <c r="B377" i="232"/>
  <c r="B378" i="232"/>
  <c r="B381" i="232"/>
  <c r="B382" i="232"/>
  <c r="B383" i="232"/>
  <c r="B384" i="232"/>
  <c r="I2" i="232" l="1"/>
  <c r="I3" i="232"/>
  <c r="I4" i="232"/>
  <c r="I5" i="232"/>
  <c r="I6" i="232"/>
  <c r="I7" i="232"/>
  <c r="I8" i="232"/>
  <c r="I9" i="232"/>
  <c r="I10" i="232"/>
  <c r="I11" i="232"/>
  <c r="I12" i="232"/>
  <c r="I13" i="232"/>
  <c r="I14" i="232"/>
  <c r="I15" i="232"/>
  <c r="I16" i="232"/>
  <c r="I17" i="232"/>
  <c r="I18" i="232"/>
  <c r="I19" i="232"/>
  <c r="I20" i="232"/>
  <c r="I21" i="232"/>
  <c r="I22" i="232"/>
  <c r="I23" i="232"/>
  <c r="I24" i="232"/>
  <c r="I25" i="232"/>
  <c r="I26" i="232"/>
  <c r="I27" i="232"/>
  <c r="I28" i="232"/>
  <c r="I29" i="232"/>
  <c r="I30" i="232"/>
  <c r="I31" i="232"/>
  <c r="I32" i="232"/>
  <c r="I33" i="232"/>
  <c r="I34" i="232"/>
  <c r="I35" i="232"/>
  <c r="I36" i="232"/>
  <c r="I37" i="232"/>
  <c r="I38" i="232"/>
  <c r="I39" i="232"/>
  <c r="I40" i="232"/>
  <c r="I41" i="232"/>
  <c r="I42" i="232"/>
  <c r="I43" i="232"/>
  <c r="I44" i="232"/>
  <c r="I45" i="232"/>
  <c r="I46" i="232"/>
  <c r="I47" i="232"/>
  <c r="I48" i="232"/>
  <c r="I49" i="232"/>
  <c r="I50" i="232"/>
  <c r="I51" i="232"/>
  <c r="I52" i="232"/>
  <c r="I53" i="232"/>
  <c r="I54" i="232"/>
  <c r="I55" i="232"/>
  <c r="I56" i="232"/>
  <c r="I57" i="232"/>
  <c r="I58" i="232"/>
  <c r="I59" i="232"/>
  <c r="I60" i="232"/>
  <c r="I61" i="232"/>
  <c r="I62" i="232"/>
  <c r="I63" i="232"/>
  <c r="I64" i="232"/>
  <c r="I65" i="232"/>
  <c r="I66" i="232"/>
  <c r="I67" i="232"/>
  <c r="I68" i="232"/>
  <c r="I69" i="232"/>
  <c r="I70" i="232"/>
  <c r="I71" i="232"/>
  <c r="I72" i="232"/>
  <c r="I73" i="232"/>
  <c r="I74" i="232"/>
  <c r="I75" i="232"/>
  <c r="I76" i="232"/>
  <c r="I77" i="232"/>
  <c r="I78" i="232"/>
  <c r="I79" i="232"/>
  <c r="I80" i="232"/>
  <c r="I81" i="232"/>
  <c r="I82" i="232"/>
  <c r="I83" i="232"/>
  <c r="I84" i="232"/>
  <c r="I85" i="232"/>
  <c r="I86" i="232"/>
  <c r="I87" i="232"/>
  <c r="I88" i="232"/>
  <c r="I89" i="232"/>
  <c r="I90" i="232"/>
  <c r="I91" i="232"/>
  <c r="I92" i="232"/>
  <c r="I93" i="232"/>
  <c r="I94" i="232"/>
  <c r="I95" i="232"/>
  <c r="I96" i="232"/>
  <c r="I97" i="232"/>
  <c r="I98" i="232"/>
  <c r="I99" i="232"/>
  <c r="I100" i="232"/>
  <c r="I101" i="232"/>
  <c r="I102" i="232"/>
  <c r="I103" i="232"/>
  <c r="I104" i="232"/>
  <c r="I105" i="232"/>
  <c r="I106" i="232"/>
  <c r="I107" i="232"/>
  <c r="I108" i="232"/>
  <c r="I109" i="232"/>
  <c r="I110" i="232"/>
  <c r="I111" i="232"/>
  <c r="I112" i="232"/>
  <c r="I113" i="232"/>
  <c r="I114" i="232"/>
  <c r="I115" i="232"/>
  <c r="I116" i="232"/>
  <c r="I117" i="232"/>
  <c r="I118" i="232"/>
  <c r="I119" i="232"/>
  <c r="I120" i="232"/>
  <c r="I121" i="232"/>
  <c r="I122" i="232"/>
  <c r="I123" i="232"/>
  <c r="I124" i="232"/>
  <c r="I125" i="232"/>
  <c r="I126" i="232"/>
  <c r="I127" i="232"/>
  <c r="I128" i="232"/>
  <c r="I129" i="232"/>
  <c r="I130" i="232"/>
  <c r="I131" i="232"/>
  <c r="I132" i="232"/>
  <c r="I133" i="232"/>
  <c r="I134" i="232"/>
  <c r="I135" i="232"/>
  <c r="I136" i="232"/>
  <c r="I137" i="232"/>
  <c r="I138" i="232"/>
  <c r="I139" i="232"/>
  <c r="I140" i="232"/>
  <c r="I141" i="232"/>
  <c r="I142" i="232"/>
  <c r="I143" i="232"/>
  <c r="I144" i="232"/>
  <c r="I145" i="232"/>
  <c r="I146" i="232"/>
  <c r="I147" i="232"/>
  <c r="I148" i="232"/>
  <c r="I149" i="232"/>
  <c r="I150" i="232"/>
  <c r="I151" i="232"/>
  <c r="I152" i="232"/>
  <c r="I153" i="232"/>
  <c r="I154" i="232"/>
  <c r="I155" i="232"/>
  <c r="I156" i="232"/>
  <c r="I157" i="232"/>
  <c r="I158" i="232"/>
  <c r="I159" i="232"/>
  <c r="I160" i="232"/>
  <c r="I161" i="232"/>
  <c r="I162" i="232"/>
  <c r="I163" i="232"/>
  <c r="I164" i="232"/>
  <c r="I165" i="232"/>
  <c r="I166" i="232"/>
  <c r="I167" i="232"/>
  <c r="I168" i="232"/>
  <c r="I169" i="232"/>
  <c r="I170" i="232"/>
  <c r="I171" i="232"/>
  <c r="I172" i="232"/>
  <c r="I173" i="232"/>
  <c r="I174" i="232"/>
  <c r="I175" i="232"/>
  <c r="I176" i="232"/>
  <c r="I177" i="232"/>
  <c r="I178" i="232"/>
  <c r="I179" i="232"/>
  <c r="I180" i="232"/>
  <c r="I181" i="232"/>
  <c r="I182" i="232"/>
  <c r="I183" i="232"/>
  <c r="I184" i="232"/>
  <c r="I185" i="232"/>
  <c r="I186" i="232"/>
  <c r="I187" i="232"/>
  <c r="I188" i="232"/>
  <c r="I189" i="232"/>
  <c r="I190" i="232"/>
  <c r="I191" i="232"/>
  <c r="I192" i="232"/>
  <c r="I193" i="232"/>
  <c r="I194" i="232"/>
  <c r="I195" i="232"/>
  <c r="I196" i="232"/>
  <c r="I197" i="232"/>
  <c r="I198" i="232"/>
  <c r="I199" i="232"/>
  <c r="I200" i="232"/>
  <c r="I201" i="232"/>
  <c r="I202" i="232"/>
  <c r="I203" i="232"/>
  <c r="I204" i="232"/>
  <c r="I205" i="232"/>
  <c r="I206" i="232"/>
  <c r="I207" i="232"/>
  <c r="I208" i="232"/>
  <c r="I209" i="232"/>
  <c r="I210" i="232"/>
  <c r="I211" i="232"/>
  <c r="I212" i="232"/>
  <c r="I213" i="232"/>
  <c r="I214" i="232"/>
  <c r="I215" i="232"/>
  <c r="I216" i="232"/>
  <c r="I217" i="232"/>
  <c r="I218" i="232"/>
  <c r="I219" i="232"/>
  <c r="I220" i="232"/>
  <c r="I221" i="232"/>
  <c r="I222" i="232"/>
  <c r="I223" i="232"/>
  <c r="I224" i="232"/>
  <c r="I225" i="232"/>
  <c r="I226" i="232"/>
  <c r="I227" i="232"/>
  <c r="I228" i="232"/>
  <c r="I229" i="232"/>
  <c r="I230" i="232"/>
  <c r="I231" i="232"/>
  <c r="I232" i="232"/>
  <c r="I233" i="232"/>
  <c r="I234" i="232"/>
  <c r="I235" i="232"/>
  <c r="I236" i="232"/>
  <c r="I237" i="232"/>
  <c r="I238" i="232"/>
  <c r="I239" i="232"/>
  <c r="I240" i="232"/>
  <c r="I241" i="232"/>
  <c r="I242" i="232"/>
  <c r="I243" i="232"/>
  <c r="I244" i="232"/>
  <c r="I245" i="232"/>
  <c r="I246" i="232"/>
  <c r="I247" i="232"/>
  <c r="I248" i="232"/>
  <c r="I249" i="232"/>
  <c r="I250" i="232"/>
  <c r="I251" i="232"/>
  <c r="I252" i="232"/>
  <c r="I253" i="232"/>
  <c r="I254" i="232"/>
  <c r="I255" i="232"/>
  <c r="I256" i="232"/>
  <c r="I257" i="232"/>
  <c r="I258" i="232"/>
  <c r="I259" i="232"/>
  <c r="I260" i="232"/>
  <c r="I261" i="232"/>
  <c r="I262" i="232"/>
  <c r="I263" i="232"/>
  <c r="I264" i="232"/>
  <c r="I265" i="232"/>
  <c r="I266" i="232"/>
  <c r="I267" i="232"/>
  <c r="I268" i="232"/>
  <c r="I269" i="232"/>
  <c r="I270" i="232"/>
  <c r="I271" i="232"/>
  <c r="I272" i="232"/>
  <c r="I273" i="232"/>
  <c r="I274" i="232"/>
  <c r="I275" i="232"/>
  <c r="I276" i="232"/>
  <c r="I277" i="232"/>
  <c r="I278" i="232"/>
  <c r="I279" i="232"/>
  <c r="I280" i="232"/>
  <c r="I281" i="232"/>
  <c r="I282" i="232"/>
  <c r="I283" i="232"/>
  <c r="I284" i="232"/>
  <c r="I285" i="232"/>
  <c r="I286" i="232"/>
  <c r="I287" i="232"/>
  <c r="I288" i="232"/>
  <c r="I289" i="232"/>
  <c r="I290" i="232"/>
  <c r="I291" i="232"/>
  <c r="I292" i="232"/>
  <c r="I293" i="232"/>
  <c r="I294" i="232"/>
  <c r="I295" i="232"/>
  <c r="I296" i="232"/>
  <c r="I297" i="232"/>
  <c r="I298" i="232"/>
  <c r="I299" i="232"/>
  <c r="I300" i="232"/>
  <c r="I301" i="232"/>
  <c r="I302" i="232"/>
  <c r="I303" i="232"/>
  <c r="I304" i="232"/>
  <c r="I305" i="232"/>
  <c r="I306" i="232"/>
  <c r="I307" i="232"/>
  <c r="I308" i="232"/>
  <c r="I309" i="232"/>
  <c r="I310" i="232"/>
  <c r="I311" i="232"/>
  <c r="I312" i="232"/>
  <c r="I313" i="232"/>
  <c r="I314" i="232"/>
  <c r="I315" i="232"/>
  <c r="I316" i="232"/>
  <c r="I317" i="232"/>
  <c r="I318" i="232"/>
  <c r="I319" i="232"/>
  <c r="I320" i="232"/>
  <c r="I321" i="232"/>
  <c r="I322" i="232"/>
  <c r="I323" i="232"/>
  <c r="I324" i="232"/>
  <c r="I325" i="232"/>
  <c r="I326" i="232"/>
  <c r="I327" i="232"/>
  <c r="I328" i="232"/>
  <c r="I329" i="232"/>
  <c r="I330" i="232"/>
  <c r="I331" i="232"/>
  <c r="I332" i="232"/>
  <c r="I333" i="232"/>
  <c r="I334" i="232"/>
  <c r="I335" i="232"/>
  <c r="I336" i="232"/>
  <c r="I337" i="232"/>
  <c r="I338" i="232"/>
  <c r="I339" i="232"/>
  <c r="I340" i="232"/>
  <c r="I341" i="232"/>
  <c r="I342" i="232"/>
  <c r="I343" i="232"/>
  <c r="I344" i="232"/>
  <c r="I345" i="232"/>
  <c r="I346" i="232"/>
  <c r="I347" i="232"/>
  <c r="I348" i="232"/>
  <c r="I349" i="232"/>
  <c r="I350" i="232"/>
  <c r="I351" i="232"/>
  <c r="I352" i="232"/>
  <c r="I353" i="232"/>
  <c r="I354" i="232"/>
  <c r="I355" i="232"/>
  <c r="I356" i="232"/>
  <c r="I357" i="232"/>
  <c r="I358" i="232"/>
  <c r="I359" i="232"/>
  <c r="I360" i="232"/>
  <c r="I361" i="232"/>
  <c r="I362" i="232"/>
  <c r="I363" i="232"/>
  <c r="I364" i="232"/>
  <c r="I365" i="232"/>
  <c r="I366" i="232"/>
  <c r="D2" i="232"/>
  <c r="D3" i="232"/>
  <c r="D4" i="232"/>
  <c r="D5" i="232"/>
  <c r="D6" i="232"/>
  <c r="D7" i="232"/>
  <c r="D8" i="232"/>
  <c r="D9" i="232"/>
  <c r="D10" i="232"/>
  <c r="D11" i="232"/>
  <c r="D12" i="232"/>
  <c r="D13" i="232"/>
  <c r="D14" i="232"/>
  <c r="D15" i="232"/>
  <c r="D16" i="232"/>
  <c r="D17" i="232"/>
  <c r="D18" i="232"/>
  <c r="D19" i="232"/>
  <c r="D20" i="232"/>
  <c r="D21" i="232"/>
  <c r="D22" i="232"/>
  <c r="D23" i="232"/>
  <c r="D24" i="232"/>
  <c r="D25" i="232"/>
  <c r="D26" i="232"/>
  <c r="D27" i="232"/>
  <c r="D28" i="232"/>
  <c r="D29" i="232"/>
  <c r="D30" i="232"/>
  <c r="D31" i="232"/>
  <c r="D32" i="232"/>
  <c r="D33" i="232"/>
  <c r="D34" i="232"/>
  <c r="D35" i="232"/>
  <c r="D36" i="232"/>
  <c r="D37" i="232"/>
  <c r="D38" i="232"/>
  <c r="D39" i="232"/>
  <c r="D40" i="232"/>
  <c r="D41" i="232"/>
  <c r="D42" i="232"/>
  <c r="D43" i="232"/>
  <c r="D44" i="232"/>
  <c r="D45" i="232"/>
  <c r="D46" i="232"/>
  <c r="D47" i="232"/>
  <c r="D48" i="232"/>
  <c r="D49" i="232"/>
  <c r="D50" i="232"/>
  <c r="D51" i="232"/>
  <c r="D52" i="232"/>
  <c r="D53" i="232"/>
  <c r="D54" i="232"/>
  <c r="D55" i="232"/>
  <c r="D56" i="232"/>
  <c r="D57" i="232"/>
  <c r="D58" i="232"/>
  <c r="D59" i="232"/>
  <c r="D60" i="232"/>
  <c r="D61" i="232"/>
  <c r="D62" i="232"/>
  <c r="D63" i="232"/>
  <c r="D64" i="232"/>
  <c r="D65" i="232"/>
  <c r="D66" i="232"/>
  <c r="D67" i="232"/>
  <c r="D68" i="232"/>
  <c r="D69" i="232"/>
  <c r="D70" i="232"/>
  <c r="D71" i="232"/>
  <c r="D72" i="232"/>
  <c r="D73" i="232"/>
  <c r="D74" i="232"/>
  <c r="D75" i="232"/>
  <c r="D76" i="232"/>
  <c r="D77" i="232"/>
  <c r="D78" i="232"/>
  <c r="D79" i="232"/>
  <c r="D80" i="232"/>
  <c r="D81" i="232"/>
  <c r="D82" i="232"/>
  <c r="D83" i="232"/>
  <c r="D84" i="232"/>
  <c r="D85" i="232"/>
  <c r="D86" i="232"/>
  <c r="D87" i="232"/>
  <c r="D88" i="232"/>
  <c r="D89" i="232"/>
  <c r="D90" i="232"/>
  <c r="D91" i="232"/>
  <c r="D92" i="232"/>
  <c r="D93" i="232"/>
  <c r="D94" i="232"/>
  <c r="D95" i="232"/>
  <c r="D96" i="232"/>
  <c r="D97" i="232"/>
  <c r="D98" i="232"/>
  <c r="D99" i="232"/>
  <c r="D100" i="232"/>
  <c r="D101" i="232"/>
  <c r="D102" i="232"/>
  <c r="D103" i="232"/>
  <c r="D104" i="232"/>
  <c r="D105" i="232"/>
  <c r="D106" i="232"/>
  <c r="D107" i="232"/>
  <c r="D108" i="232"/>
  <c r="D109" i="232"/>
  <c r="D110" i="232"/>
  <c r="D111" i="232"/>
  <c r="D112" i="232"/>
  <c r="D113" i="232"/>
  <c r="D114" i="232"/>
  <c r="D115" i="232"/>
  <c r="D116" i="232"/>
  <c r="D117" i="232"/>
  <c r="D118" i="232"/>
  <c r="D119" i="232"/>
  <c r="D120" i="232"/>
  <c r="D121" i="232"/>
  <c r="D122" i="232"/>
  <c r="D123" i="232"/>
  <c r="D124" i="232"/>
  <c r="D125" i="232"/>
  <c r="D126" i="232"/>
  <c r="D127" i="232"/>
  <c r="D128" i="232"/>
  <c r="D129" i="232"/>
  <c r="D130" i="232"/>
  <c r="D131" i="232"/>
  <c r="D132" i="232"/>
  <c r="D133" i="232"/>
  <c r="D134" i="232"/>
  <c r="D135" i="232"/>
  <c r="D136" i="232"/>
  <c r="D137" i="232"/>
  <c r="D138" i="232"/>
  <c r="D139" i="232"/>
  <c r="D140" i="232"/>
  <c r="D141" i="232"/>
  <c r="D142" i="232"/>
  <c r="D143" i="232"/>
  <c r="D144" i="232"/>
  <c r="D145" i="232"/>
  <c r="D146" i="232"/>
  <c r="D147" i="232"/>
  <c r="D148" i="232"/>
  <c r="D149" i="232"/>
  <c r="D150" i="232"/>
  <c r="D151" i="232"/>
  <c r="D152" i="232"/>
  <c r="D153" i="232"/>
  <c r="D154" i="232"/>
  <c r="D155" i="232"/>
  <c r="D156" i="232"/>
  <c r="D157" i="232"/>
  <c r="D158" i="232"/>
  <c r="D159" i="232"/>
  <c r="D160" i="232"/>
  <c r="D161" i="232"/>
  <c r="D162" i="232"/>
  <c r="D163" i="232"/>
  <c r="D164" i="232"/>
  <c r="D165" i="232"/>
  <c r="D166" i="232"/>
  <c r="D167" i="232"/>
  <c r="D168" i="232"/>
  <c r="D169" i="232"/>
  <c r="D170" i="232"/>
  <c r="D171" i="232"/>
  <c r="D172" i="232"/>
  <c r="D173" i="232"/>
  <c r="D174" i="232"/>
  <c r="D175" i="232"/>
  <c r="D176" i="232"/>
  <c r="D177" i="232"/>
  <c r="D178" i="232"/>
  <c r="D179" i="232"/>
  <c r="D180" i="232"/>
  <c r="D181" i="232"/>
  <c r="D182" i="232"/>
  <c r="D183" i="232"/>
  <c r="D184" i="232"/>
  <c r="D185" i="232"/>
  <c r="D186" i="232"/>
  <c r="D187" i="232"/>
  <c r="D188" i="232"/>
  <c r="D189" i="232"/>
  <c r="D190" i="232"/>
  <c r="D191" i="232"/>
  <c r="D192" i="232"/>
  <c r="D193" i="232"/>
  <c r="D194" i="232"/>
  <c r="D195" i="232"/>
  <c r="D196" i="232"/>
  <c r="D197" i="232"/>
  <c r="D198" i="232"/>
  <c r="D199" i="232"/>
  <c r="D200" i="232"/>
  <c r="D201" i="232"/>
  <c r="D202" i="232"/>
  <c r="D203" i="232"/>
  <c r="D204" i="232"/>
  <c r="D205" i="232"/>
  <c r="D206" i="232"/>
  <c r="D207" i="232"/>
  <c r="D208" i="232"/>
  <c r="D209" i="232"/>
  <c r="D210" i="232"/>
  <c r="D211" i="232"/>
  <c r="D212" i="232"/>
  <c r="D213" i="232"/>
  <c r="D214" i="232"/>
  <c r="D215" i="232"/>
  <c r="D216" i="232"/>
  <c r="D217" i="232"/>
  <c r="D218" i="232"/>
  <c r="D219" i="232"/>
  <c r="D220" i="232"/>
  <c r="D221" i="232"/>
  <c r="D222" i="232"/>
  <c r="D223" i="232"/>
  <c r="D224" i="232"/>
  <c r="D225" i="232"/>
  <c r="D226" i="232"/>
  <c r="D227" i="232"/>
  <c r="D228" i="232"/>
  <c r="D229" i="232"/>
  <c r="D230" i="232"/>
  <c r="D231" i="232"/>
  <c r="D232" i="232"/>
  <c r="D233" i="232"/>
  <c r="D234" i="232"/>
  <c r="D235" i="232"/>
  <c r="D236" i="232"/>
  <c r="D237" i="232"/>
  <c r="D238" i="232"/>
  <c r="D239" i="232"/>
  <c r="D240" i="232"/>
  <c r="D241" i="232"/>
  <c r="D242" i="232"/>
  <c r="D243" i="232"/>
  <c r="D244" i="232"/>
  <c r="D245" i="232"/>
  <c r="D246" i="232"/>
  <c r="D247" i="232"/>
  <c r="D248" i="232"/>
  <c r="D249" i="232"/>
  <c r="D250" i="232"/>
  <c r="D251" i="232"/>
  <c r="D252" i="232"/>
  <c r="D253" i="232"/>
  <c r="D254" i="232"/>
  <c r="D255" i="232"/>
  <c r="D256" i="232"/>
  <c r="D257" i="232"/>
  <c r="D258" i="232"/>
  <c r="D259" i="232"/>
  <c r="D260" i="232"/>
  <c r="D261" i="232"/>
  <c r="D262" i="232"/>
  <c r="D263" i="232"/>
  <c r="D264" i="232"/>
  <c r="D265" i="232"/>
  <c r="D266" i="232"/>
  <c r="D267" i="232"/>
  <c r="D268" i="232"/>
  <c r="D269" i="232"/>
  <c r="D270" i="232"/>
  <c r="D271" i="232"/>
  <c r="D272" i="232"/>
  <c r="D273" i="232"/>
  <c r="D274" i="232"/>
  <c r="D275" i="232"/>
  <c r="D276" i="232"/>
  <c r="D277" i="232"/>
  <c r="D278" i="232"/>
  <c r="D279" i="232"/>
  <c r="D280" i="232"/>
  <c r="D281" i="232"/>
  <c r="D282" i="232"/>
  <c r="D283" i="232"/>
  <c r="D284" i="232"/>
  <c r="D285" i="232"/>
  <c r="D286" i="232"/>
  <c r="D287" i="232"/>
  <c r="D288" i="232"/>
  <c r="D289" i="232"/>
  <c r="D290" i="232"/>
  <c r="D291" i="232"/>
  <c r="D292" i="232"/>
  <c r="D293" i="232"/>
  <c r="D294" i="232"/>
  <c r="D295" i="232"/>
  <c r="D296" i="232"/>
  <c r="D297" i="232"/>
  <c r="D298" i="232"/>
  <c r="D299" i="232"/>
  <c r="D300" i="232"/>
  <c r="D301" i="232"/>
  <c r="D302" i="232"/>
  <c r="D303" i="232"/>
  <c r="D304" i="232"/>
  <c r="D305" i="232"/>
  <c r="D306" i="232"/>
  <c r="D307" i="232"/>
  <c r="D308" i="232"/>
  <c r="D309" i="232"/>
  <c r="D310" i="232"/>
  <c r="D311" i="232"/>
  <c r="D312" i="232"/>
  <c r="D313" i="232"/>
  <c r="D314" i="232"/>
  <c r="D315" i="232"/>
  <c r="D316" i="232"/>
  <c r="D317" i="232"/>
  <c r="D318" i="232"/>
  <c r="D319" i="232"/>
  <c r="D320" i="232"/>
  <c r="D321" i="232"/>
  <c r="D322" i="232"/>
  <c r="D323" i="232"/>
  <c r="D324" i="232"/>
  <c r="D325" i="232"/>
  <c r="D326" i="232"/>
  <c r="D327" i="232"/>
  <c r="D328" i="232"/>
  <c r="D329" i="232"/>
  <c r="D330" i="232"/>
  <c r="D331" i="232"/>
  <c r="D332" i="232"/>
  <c r="D333" i="232"/>
  <c r="D334" i="232"/>
  <c r="D335" i="232"/>
  <c r="D336" i="232"/>
  <c r="D337" i="232"/>
  <c r="D338" i="232"/>
  <c r="D339" i="232"/>
  <c r="D340" i="232"/>
  <c r="D341" i="232"/>
  <c r="D342" i="232"/>
  <c r="D343" i="232"/>
  <c r="D344" i="232"/>
  <c r="D345" i="232"/>
  <c r="D346" i="232"/>
  <c r="D347" i="232"/>
  <c r="D348" i="232"/>
  <c r="D349" i="232"/>
  <c r="D350" i="232"/>
  <c r="D351" i="232"/>
  <c r="D352" i="232"/>
  <c r="D353" i="232"/>
  <c r="D354" i="232"/>
  <c r="D355" i="232"/>
  <c r="D356" i="232"/>
  <c r="D357" i="232"/>
  <c r="D358" i="232"/>
  <c r="D359" i="232"/>
  <c r="D360" i="232"/>
  <c r="D361" i="232"/>
  <c r="D362" i="232"/>
  <c r="D363" i="232"/>
  <c r="D364" i="232"/>
  <c r="D365" i="232"/>
  <c r="D366" i="232"/>
  <c r="BI1" i="228" l="1"/>
  <c r="H366" i="232"/>
  <c r="F366" i="232"/>
  <c r="G366" i="232" s="1"/>
  <c r="E366" i="232"/>
  <c r="C366" i="232"/>
  <c r="B366" i="232"/>
  <c r="H365" i="232"/>
  <c r="F365" i="232"/>
  <c r="G365" i="232" s="1"/>
  <c r="E365" i="232"/>
  <c r="C365" i="232"/>
  <c r="B365" i="232"/>
  <c r="H364" i="232"/>
  <c r="F364" i="232"/>
  <c r="G364" i="232" s="1"/>
  <c r="E364" i="232"/>
  <c r="C364" i="232"/>
  <c r="B364" i="232"/>
  <c r="H363" i="232"/>
  <c r="F363" i="232"/>
  <c r="G363" i="232" s="1"/>
  <c r="E363" i="232"/>
  <c r="C363" i="232"/>
  <c r="B363" i="232"/>
  <c r="H362" i="232"/>
  <c r="F362" i="232"/>
  <c r="G362" i="232" s="1"/>
  <c r="E362" i="232"/>
  <c r="C362" i="232"/>
  <c r="B362" i="232"/>
  <c r="H361" i="232"/>
  <c r="F361" i="232"/>
  <c r="G361" i="232" s="1"/>
  <c r="E361" i="232"/>
  <c r="C361" i="232"/>
  <c r="B361" i="232"/>
  <c r="H360" i="232"/>
  <c r="F360" i="232"/>
  <c r="G360" i="232" s="1"/>
  <c r="E360" i="232"/>
  <c r="C360" i="232"/>
  <c r="B360" i="232"/>
  <c r="H359" i="232"/>
  <c r="F359" i="232"/>
  <c r="G359" i="232" s="1"/>
  <c r="E359" i="232"/>
  <c r="C359" i="232"/>
  <c r="B359" i="232"/>
  <c r="H358" i="232"/>
  <c r="F358" i="232"/>
  <c r="G358" i="232" s="1"/>
  <c r="E358" i="232"/>
  <c r="C358" i="232"/>
  <c r="B358" i="232"/>
  <c r="H357" i="232"/>
  <c r="F357" i="232"/>
  <c r="G357" i="232" s="1"/>
  <c r="E357" i="232"/>
  <c r="C357" i="232"/>
  <c r="B357" i="232"/>
  <c r="H356" i="232"/>
  <c r="F356" i="232"/>
  <c r="G356" i="232" s="1"/>
  <c r="E356" i="232"/>
  <c r="C356" i="232"/>
  <c r="B356" i="232"/>
  <c r="H355" i="232"/>
  <c r="F355" i="232"/>
  <c r="G355" i="232" s="1"/>
  <c r="E355" i="232"/>
  <c r="C355" i="232"/>
  <c r="B355" i="232"/>
  <c r="H354" i="232"/>
  <c r="F354" i="232"/>
  <c r="G354" i="232" s="1"/>
  <c r="E354" i="232"/>
  <c r="C354" i="232"/>
  <c r="B354" i="232"/>
  <c r="H353" i="232"/>
  <c r="F353" i="232"/>
  <c r="G353" i="232" s="1"/>
  <c r="E353" i="232"/>
  <c r="C353" i="232"/>
  <c r="B353" i="232"/>
  <c r="H352" i="232"/>
  <c r="F352" i="232"/>
  <c r="G352" i="232" s="1"/>
  <c r="E352" i="232"/>
  <c r="C352" i="232"/>
  <c r="B352" i="232"/>
  <c r="H351" i="232"/>
  <c r="F351" i="232"/>
  <c r="G351" i="232" s="1"/>
  <c r="E351" i="232"/>
  <c r="C351" i="232"/>
  <c r="B351" i="232"/>
  <c r="H350" i="232"/>
  <c r="F350" i="232"/>
  <c r="G350" i="232" s="1"/>
  <c r="E350" i="232"/>
  <c r="C350" i="232"/>
  <c r="B350" i="232"/>
  <c r="H349" i="232"/>
  <c r="F349" i="232"/>
  <c r="G349" i="232" s="1"/>
  <c r="E349" i="232"/>
  <c r="C349" i="232"/>
  <c r="B349" i="232"/>
  <c r="H348" i="232"/>
  <c r="F348" i="232"/>
  <c r="G348" i="232" s="1"/>
  <c r="E348" i="232"/>
  <c r="C348" i="232"/>
  <c r="B348" i="232"/>
  <c r="H347" i="232"/>
  <c r="F347" i="232"/>
  <c r="G347" i="232" s="1"/>
  <c r="E347" i="232"/>
  <c r="C347" i="232"/>
  <c r="B347" i="232"/>
  <c r="H346" i="232"/>
  <c r="F346" i="232"/>
  <c r="G346" i="232" s="1"/>
  <c r="E346" i="232"/>
  <c r="C346" i="232"/>
  <c r="B346" i="232"/>
  <c r="H345" i="232"/>
  <c r="F345" i="232"/>
  <c r="G345" i="232" s="1"/>
  <c r="E345" i="232"/>
  <c r="C345" i="232"/>
  <c r="B345" i="232"/>
  <c r="H344" i="232"/>
  <c r="F344" i="232"/>
  <c r="G344" i="232" s="1"/>
  <c r="E344" i="232"/>
  <c r="C344" i="232"/>
  <c r="B344" i="232"/>
  <c r="H343" i="232"/>
  <c r="F343" i="232"/>
  <c r="G343" i="232" s="1"/>
  <c r="E343" i="232"/>
  <c r="C343" i="232"/>
  <c r="B343" i="232"/>
  <c r="H342" i="232"/>
  <c r="F342" i="232"/>
  <c r="G342" i="232" s="1"/>
  <c r="E342" i="232"/>
  <c r="C342" i="232"/>
  <c r="B342" i="232"/>
  <c r="H341" i="232"/>
  <c r="F341" i="232"/>
  <c r="G341" i="232" s="1"/>
  <c r="E341" i="232"/>
  <c r="C341" i="232"/>
  <c r="B341" i="232"/>
  <c r="H340" i="232"/>
  <c r="F340" i="232"/>
  <c r="G340" i="232" s="1"/>
  <c r="E340" i="232"/>
  <c r="C340" i="232"/>
  <c r="B340" i="232"/>
  <c r="H339" i="232"/>
  <c r="F339" i="232"/>
  <c r="G339" i="232" s="1"/>
  <c r="E339" i="232"/>
  <c r="C339" i="232"/>
  <c r="B339" i="232"/>
  <c r="H338" i="232"/>
  <c r="F338" i="232"/>
  <c r="G338" i="232" s="1"/>
  <c r="E338" i="232"/>
  <c r="C338" i="232"/>
  <c r="B338" i="232"/>
  <c r="H337" i="232"/>
  <c r="F337" i="232"/>
  <c r="G337" i="232" s="1"/>
  <c r="E337" i="232"/>
  <c r="C337" i="232"/>
  <c r="B337" i="232"/>
  <c r="H336" i="232"/>
  <c r="F336" i="232"/>
  <c r="G336" i="232" s="1"/>
  <c r="E336" i="232"/>
  <c r="C336" i="232"/>
  <c r="B336" i="232"/>
  <c r="H335" i="232"/>
  <c r="F335" i="232"/>
  <c r="G335" i="232" s="1"/>
  <c r="E335" i="232"/>
  <c r="C335" i="232"/>
  <c r="B335" i="232"/>
  <c r="H334" i="232"/>
  <c r="F334" i="232"/>
  <c r="G334" i="232" s="1"/>
  <c r="E334" i="232"/>
  <c r="C334" i="232"/>
  <c r="B334" i="232"/>
  <c r="H333" i="232"/>
  <c r="F333" i="232"/>
  <c r="G333" i="232" s="1"/>
  <c r="E333" i="232"/>
  <c r="C333" i="232"/>
  <c r="B333" i="232"/>
  <c r="H332" i="232"/>
  <c r="F332" i="232"/>
  <c r="G332" i="232" s="1"/>
  <c r="E332" i="232"/>
  <c r="C332" i="232"/>
  <c r="B332" i="232"/>
  <c r="H331" i="232"/>
  <c r="F331" i="232"/>
  <c r="G331" i="232" s="1"/>
  <c r="E331" i="232"/>
  <c r="C331" i="232"/>
  <c r="B331" i="232"/>
  <c r="H330" i="232"/>
  <c r="F330" i="232"/>
  <c r="G330" i="232" s="1"/>
  <c r="E330" i="232"/>
  <c r="C330" i="232"/>
  <c r="B330" i="232"/>
  <c r="H329" i="232"/>
  <c r="F329" i="232"/>
  <c r="G329" i="232" s="1"/>
  <c r="E329" i="232"/>
  <c r="C329" i="232"/>
  <c r="B329" i="232"/>
  <c r="H328" i="232"/>
  <c r="F328" i="232"/>
  <c r="G328" i="232" s="1"/>
  <c r="E328" i="232"/>
  <c r="C328" i="232"/>
  <c r="B328" i="232"/>
  <c r="H327" i="232"/>
  <c r="F327" i="232"/>
  <c r="G327" i="232" s="1"/>
  <c r="E327" i="232"/>
  <c r="C327" i="232"/>
  <c r="B327" i="232"/>
  <c r="H326" i="232"/>
  <c r="F326" i="232"/>
  <c r="G326" i="232" s="1"/>
  <c r="E326" i="232"/>
  <c r="C326" i="232"/>
  <c r="B326" i="232"/>
  <c r="H325" i="232"/>
  <c r="F325" i="232"/>
  <c r="G325" i="232" s="1"/>
  <c r="E325" i="232"/>
  <c r="C325" i="232"/>
  <c r="B325" i="232"/>
  <c r="H324" i="232"/>
  <c r="F324" i="232"/>
  <c r="G324" i="232" s="1"/>
  <c r="E324" i="232"/>
  <c r="C324" i="232"/>
  <c r="B324" i="232"/>
  <c r="H323" i="232"/>
  <c r="F323" i="232"/>
  <c r="G323" i="232" s="1"/>
  <c r="E323" i="232"/>
  <c r="C323" i="232"/>
  <c r="B323" i="232"/>
  <c r="H322" i="232"/>
  <c r="F322" i="232"/>
  <c r="G322" i="232" s="1"/>
  <c r="E322" i="232"/>
  <c r="C322" i="232"/>
  <c r="B322" i="232"/>
  <c r="H321" i="232"/>
  <c r="F321" i="232"/>
  <c r="G321" i="232" s="1"/>
  <c r="E321" i="232"/>
  <c r="C321" i="232"/>
  <c r="B321" i="232"/>
  <c r="H320" i="232"/>
  <c r="F320" i="232"/>
  <c r="G320" i="232" s="1"/>
  <c r="E320" i="232"/>
  <c r="C320" i="232"/>
  <c r="B320" i="232"/>
  <c r="H319" i="232"/>
  <c r="F319" i="232"/>
  <c r="G319" i="232" s="1"/>
  <c r="E319" i="232"/>
  <c r="C319" i="232"/>
  <c r="B319" i="232"/>
  <c r="H318" i="232"/>
  <c r="F318" i="232"/>
  <c r="G318" i="232" s="1"/>
  <c r="E318" i="232"/>
  <c r="C318" i="232"/>
  <c r="B318" i="232"/>
  <c r="H317" i="232"/>
  <c r="F317" i="232"/>
  <c r="G317" i="232" s="1"/>
  <c r="E317" i="232"/>
  <c r="C317" i="232"/>
  <c r="B317" i="232"/>
  <c r="H316" i="232"/>
  <c r="F316" i="232"/>
  <c r="G316" i="232" s="1"/>
  <c r="E316" i="232"/>
  <c r="C316" i="232"/>
  <c r="B316" i="232"/>
  <c r="H315" i="232"/>
  <c r="F315" i="232"/>
  <c r="G315" i="232" s="1"/>
  <c r="E315" i="232"/>
  <c r="C315" i="232"/>
  <c r="B315" i="232"/>
  <c r="H314" i="232"/>
  <c r="F314" i="232"/>
  <c r="G314" i="232" s="1"/>
  <c r="E314" i="232"/>
  <c r="C314" i="232"/>
  <c r="B314" i="232"/>
  <c r="H313" i="232"/>
  <c r="F313" i="232"/>
  <c r="G313" i="232" s="1"/>
  <c r="E313" i="232"/>
  <c r="C313" i="232"/>
  <c r="B313" i="232"/>
  <c r="H312" i="232"/>
  <c r="F312" i="232"/>
  <c r="G312" i="232" s="1"/>
  <c r="E312" i="232"/>
  <c r="C312" i="232"/>
  <c r="B312" i="232"/>
  <c r="H311" i="232"/>
  <c r="F311" i="232"/>
  <c r="G311" i="232" s="1"/>
  <c r="E311" i="232"/>
  <c r="C311" i="232"/>
  <c r="B311" i="232"/>
  <c r="H310" i="232"/>
  <c r="F310" i="232"/>
  <c r="G310" i="232" s="1"/>
  <c r="E310" i="232"/>
  <c r="C310" i="232"/>
  <c r="B310" i="232"/>
  <c r="H309" i="232"/>
  <c r="F309" i="232"/>
  <c r="G309" i="232" s="1"/>
  <c r="E309" i="232"/>
  <c r="C309" i="232"/>
  <c r="B309" i="232"/>
  <c r="H308" i="232"/>
  <c r="F308" i="232"/>
  <c r="G308" i="232" s="1"/>
  <c r="E308" i="232"/>
  <c r="C308" i="232"/>
  <c r="B308" i="232"/>
  <c r="H307" i="232"/>
  <c r="F307" i="232"/>
  <c r="G307" i="232" s="1"/>
  <c r="E307" i="232"/>
  <c r="C307" i="232"/>
  <c r="B307" i="232"/>
  <c r="H306" i="232"/>
  <c r="F306" i="232"/>
  <c r="G306" i="232" s="1"/>
  <c r="E306" i="232"/>
  <c r="C306" i="232"/>
  <c r="B306" i="232"/>
  <c r="H305" i="232"/>
  <c r="F305" i="232"/>
  <c r="G305" i="232" s="1"/>
  <c r="E305" i="232"/>
  <c r="C305" i="232"/>
  <c r="B305" i="232"/>
  <c r="H304" i="232"/>
  <c r="F304" i="232"/>
  <c r="G304" i="232" s="1"/>
  <c r="E304" i="232"/>
  <c r="C304" i="232"/>
  <c r="B304" i="232"/>
  <c r="H303" i="232"/>
  <c r="F303" i="232"/>
  <c r="G303" i="232" s="1"/>
  <c r="E303" i="232"/>
  <c r="C303" i="232"/>
  <c r="B303" i="232"/>
  <c r="H302" i="232"/>
  <c r="F302" i="232"/>
  <c r="G302" i="232" s="1"/>
  <c r="E302" i="232"/>
  <c r="C302" i="232"/>
  <c r="B302" i="232"/>
  <c r="H301" i="232"/>
  <c r="F301" i="232"/>
  <c r="G301" i="232" s="1"/>
  <c r="E301" i="232"/>
  <c r="C301" i="232"/>
  <c r="B301" i="232"/>
  <c r="H300" i="232"/>
  <c r="F300" i="232"/>
  <c r="G300" i="232" s="1"/>
  <c r="E300" i="232"/>
  <c r="C300" i="232"/>
  <c r="B300" i="232"/>
  <c r="H299" i="232"/>
  <c r="F299" i="232"/>
  <c r="G299" i="232" s="1"/>
  <c r="E299" i="232"/>
  <c r="C299" i="232"/>
  <c r="B299" i="232"/>
  <c r="H298" i="232"/>
  <c r="F298" i="232"/>
  <c r="G298" i="232" s="1"/>
  <c r="E298" i="232"/>
  <c r="C298" i="232"/>
  <c r="B298" i="232"/>
  <c r="H297" i="232"/>
  <c r="F297" i="232"/>
  <c r="G297" i="232" s="1"/>
  <c r="E297" i="232"/>
  <c r="C297" i="232"/>
  <c r="B297" i="232"/>
  <c r="H296" i="232"/>
  <c r="F296" i="232"/>
  <c r="G296" i="232" s="1"/>
  <c r="E296" i="232"/>
  <c r="C296" i="232"/>
  <c r="B296" i="232"/>
  <c r="H295" i="232"/>
  <c r="F295" i="232"/>
  <c r="G295" i="232" s="1"/>
  <c r="E295" i="232"/>
  <c r="C295" i="232"/>
  <c r="B295" i="232"/>
  <c r="H294" i="232"/>
  <c r="F294" i="232"/>
  <c r="G294" i="232" s="1"/>
  <c r="E294" i="232"/>
  <c r="C294" i="232"/>
  <c r="B294" i="232"/>
  <c r="H293" i="232"/>
  <c r="F293" i="232"/>
  <c r="G293" i="232" s="1"/>
  <c r="E293" i="232"/>
  <c r="C293" i="232"/>
  <c r="B293" i="232"/>
  <c r="H292" i="232"/>
  <c r="F292" i="232"/>
  <c r="G292" i="232" s="1"/>
  <c r="E292" i="232"/>
  <c r="C292" i="232"/>
  <c r="B292" i="232"/>
  <c r="H291" i="232"/>
  <c r="F291" i="232"/>
  <c r="G291" i="232" s="1"/>
  <c r="E291" i="232"/>
  <c r="C291" i="232"/>
  <c r="B291" i="232"/>
  <c r="H290" i="232"/>
  <c r="F290" i="232"/>
  <c r="G290" i="232" s="1"/>
  <c r="E290" i="232"/>
  <c r="C290" i="232"/>
  <c r="B290" i="232"/>
  <c r="H289" i="232"/>
  <c r="F289" i="232"/>
  <c r="G289" i="232" s="1"/>
  <c r="E289" i="232"/>
  <c r="C289" i="232"/>
  <c r="B289" i="232"/>
  <c r="H288" i="232"/>
  <c r="F288" i="232"/>
  <c r="G288" i="232" s="1"/>
  <c r="E288" i="232"/>
  <c r="C288" i="232"/>
  <c r="B288" i="232"/>
  <c r="H287" i="232"/>
  <c r="F287" i="232"/>
  <c r="G287" i="232" s="1"/>
  <c r="E287" i="232"/>
  <c r="C287" i="232"/>
  <c r="B287" i="232"/>
  <c r="H286" i="232"/>
  <c r="F286" i="232"/>
  <c r="G286" i="232" s="1"/>
  <c r="E286" i="232"/>
  <c r="C286" i="232"/>
  <c r="B286" i="232"/>
  <c r="H285" i="232"/>
  <c r="F285" i="232"/>
  <c r="G285" i="232" s="1"/>
  <c r="E285" i="232"/>
  <c r="C285" i="232"/>
  <c r="B285" i="232"/>
  <c r="H284" i="232"/>
  <c r="F284" i="232"/>
  <c r="G284" i="232" s="1"/>
  <c r="E284" i="232"/>
  <c r="C284" i="232"/>
  <c r="B284" i="232"/>
  <c r="H283" i="232"/>
  <c r="F283" i="232"/>
  <c r="G283" i="232" s="1"/>
  <c r="E283" i="232"/>
  <c r="C283" i="232"/>
  <c r="B283" i="232"/>
  <c r="H282" i="232"/>
  <c r="F282" i="232"/>
  <c r="G282" i="232" s="1"/>
  <c r="E282" i="232"/>
  <c r="C282" i="232"/>
  <c r="B282" i="232"/>
  <c r="H281" i="232"/>
  <c r="F281" i="232"/>
  <c r="G281" i="232" s="1"/>
  <c r="E281" i="232"/>
  <c r="C281" i="232"/>
  <c r="B281" i="232"/>
  <c r="H280" i="232"/>
  <c r="F280" i="232"/>
  <c r="G280" i="232" s="1"/>
  <c r="E280" i="232"/>
  <c r="C280" i="232"/>
  <c r="B280" i="232"/>
  <c r="H279" i="232"/>
  <c r="F279" i="232"/>
  <c r="G279" i="232" s="1"/>
  <c r="E279" i="232"/>
  <c r="C279" i="232"/>
  <c r="B279" i="232"/>
  <c r="H278" i="232"/>
  <c r="F278" i="232"/>
  <c r="G278" i="232" s="1"/>
  <c r="E278" i="232"/>
  <c r="C278" i="232"/>
  <c r="B278" i="232"/>
  <c r="H277" i="232"/>
  <c r="F277" i="232"/>
  <c r="G277" i="232" s="1"/>
  <c r="E277" i="232"/>
  <c r="C277" i="232"/>
  <c r="B277" i="232"/>
  <c r="H276" i="232"/>
  <c r="F276" i="232"/>
  <c r="G276" i="232" s="1"/>
  <c r="E276" i="232"/>
  <c r="C276" i="232"/>
  <c r="B276" i="232"/>
  <c r="H275" i="232"/>
  <c r="F275" i="232"/>
  <c r="G275" i="232" s="1"/>
  <c r="E275" i="232"/>
  <c r="C275" i="232"/>
  <c r="B275" i="232"/>
  <c r="H274" i="232"/>
  <c r="F274" i="232"/>
  <c r="G274" i="232" s="1"/>
  <c r="E274" i="232"/>
  <c r="C274" i="232"/>
  <c r="B274" i="232"/>
  <c r="H273" i="232"/>
  <c r="F273" i="232"/>
  <c r="G273" i="232" s="1"/>
  <c r="E273" i="232"/>
  <c r="C273" i="232"/>
  <c r="B273" i="232"/>
  <c r="H272" i="232"/>
  <c r="F272" i="232"/>
  <c r="G272" i="232" s="1"/>
  <c r="E272" i="232"/>
  <c r="C272" i="232"/>
  <c r="B272" i="232"/>
  <c r="H271" i="232"/>
  <c r="F271" i="232"/>
  <c r="G271" i="232" s="1"/>
  <c r="E271" i="232"/>
  <c r="C271" i="232"/>
  <c r="B271" i="232"/>
  <c r="H270" i="232"/>
  <c r="F270" i="232"/>
  <c r="G270" i="232" s="1"/>
  <c r="E270" i="232"/>
  <c r="C270" i="232"/>
  <c r="B270" i="232"/>
  <c r="H269" i="232"/>
  <c r="F269" i="232"/>
  <c r="G269" i="232" s="1"/>
  <c r="E269" i="232"/>
  <c r="C269" i="232"/>
  <c r="B269" i="232"/>
  <c r="H268" i="232"/>
  <c r="F268" i="232"/>
  <c r="G268" i="232" s="1"/>
  <c r="E268" i="232"/>
  <c r="C268" i="232"/>
  <c r="B268" i="232"/>
  <c r="H267" i="232"/>
  <c r="F267" i="232"/>
  <c r="G267" i="232" s="1"/>
  <c r="E267" i="232"/>
  <c r="C267" i="232"/>
  <c r="B267" i="232"/>
  <c r="H266" i="232"/>
  <c r="F266" i="232"/>
  <c r="G266" i="232" s="1"/>
  <c r="E266" i="232"/>
  <c r="C266" i="232"/>
  <c r="B266" i="232"/>
  <c r="H265" i="232"/>
  <c r="F265" i="232"/>
  <c r="G265" i="232" s="1"/>
  <c r="E265" i="232"/>
  <c r="C265" i="232"/>
  <c r="B265" i="232"/>
  <c r="H264" i="232"/>
  <c r="F264" i="232"/>
  <c r="G264" i="232" s="1"/>
  <c r="E264" i="232"/>
  <c r="C264" i="232"/>
  <c r="B264" i="232"/>
  <c r="H263" i="232"/>
  <c r="F263" i="232"/>
  <c r="G263" i="232" s="1"/>
  <c r="E263" i="232"/>
  <c r="C263" i="232"/>
  <c r="B263" i="232"/>
  <c r="H262" i="232"/>
  <c r="F262" i="232"/>
  <c r="G262" i="232" s="1"/>
  <c r="E262" i="232"/>
  <c r="C262" i="232"/>
  <c r="B262" i="232"/>
  <c r="H261" i="232"/>
  <c r="F261" i="232"/>
  <c r="G261" i="232" s="1"/>
  <c r="E261" i="232"/>
  <c r="C261" i="232"/>
  <c r="B261" i="232"/>
  <c r="H260" i="232"/>
  <c r="F260" i="232"/>
  <c r="G260" i="232" s="1"/>
  <c r="E260" i="232"/>
  <c r="C260" i="232"/>
  <c r="B260" i="232"/>
  <c r="H259" i="232"/>
  <c r="F259" i="232"/>
  <c r="G259" i="232" s="1"/>
  <c r="E259" i="232"/>
  <c r="C259" i="232"/>
  <c r="B259" i="232"/>
  <c r="H258" i="232"/>
  <c r="F258" i="232"/>
  <c r="G258" i="232" s="1"/>
  <c r="E258" i="232"/>
  <c r="C258" i="232"/>
  <c r="B258" i="232"/>
  <c r="H257" i="232"/>
  <c r="F257" i="232"/>
  <c r="G257" i="232" s="1"/>
  <c r="E257" i="232"/>
  <c r="C257" i="232"/>
  <c r="B257" i="232"/>
  <c r="H256" i="232"/>
  <c r="F256" i="232"/>
  <c r="G256" i="232" s="1"/>
  <c r="E256" i="232"/>
  <c r="C256" i="232"/>
  <c r="B256" i="232"/>
  <c r="H255" i="232"/>
  <c r="F255" i="232"/>
  <c r="G255" i="232" s="1"/>
  <c r="E255" i="232"/>
  <c r="C255" i="232"/>
  <c r="B255" i="232"/>
  <c r="H254" i="232"/>
  <c r="F254" i="232"/>
  <c r="G254" i="232" s="1"/>
  <c r="E254" i="232"/>
  <c r="C254" i="232"/>
  <c r="B254" i="232"/>
  <c r="H253" i="232"/>
  <c r="F253" i="232"/>
  <c r="G253" i="232" s="1"/>
  <c r="E253" i="232"/>
  <c r="C253" i="232"/>
  <c r="B253" i="232"/>
  <c r="H252" i="232"/>
  <c r="F252" i="232"/>
  <c r="G252" i="232" s="1"/>
  <c r="E252" i="232"/>
  <c r="C252" i="232"/>
  <c r="B252" i="232"/>
  <c r="H251" i="232"/>
  <c r="F251" i="232"/>
  <c r="G251" i="232" s="1"/>
  <c r="E251" i="232"/>
  <c r="C251" i="232"/>
  <c r="B251" i="232"/>
  <c r="H250" i="232"/>
  <c r="F250" i="232"/>
  <c r="G250" i="232" s="1"/>
  <c r="E250" i="232"/>
  <c r="C250" i="232"/>
  <c r="B250" i="232"/>
  <c r="H249" i="232"/>
  <c r="F249" i="232"/>
  <c r="G249" i="232" s="1"/>
  <c r="E249" i="232"/>
  <c r="C249" i="232"/>
  <c r="B249" i="232"/>
  <c r="H248" i="232"/>
  <c r="F248" i="232"/>
  <c r="G248" i="232" s="1"/>
  <c r="E248" i="232"/>
  <c r="C248" i="232"/>
  <c r="B248" i="232"/>
  <c r="H247" i="232"/>
  <c r="F247" i="232"/>
  <c r="G247" i="232" s="1"/>
  <c r="E247" i="232"/>
  <c r="C247" i="232"/>
  <c r="B247" i="232"/>
  <c r="H246" i="232"/>
  <c r="F246" i="232"/>
  <c r="G246" i="232" s="1"/>
  <c r="E246" i="232"/>
  <c r="C246" i="232"/>
  <c r="B246" i="232"/>
  <c r="H245" i="232"/>
  <c r="F245" i="232"/>
  <c r="G245" i="232" s="1"/>
  <c r="E245" i="232"/>
  <c r="C245" i="232"/>
  <c r="B245" i="232"/>
  <c r="H244" i="232"/>
  <c r="F244" i="232"/>
  <c r="G244" i="232" s="1"/>
  <c r="E244" i="232"/>
  <c r="C244" i="232"/>
  <c r="B244" i="232"/>
  <c r="H243" i="232"/>
  <c r="F243" i="232"/>
  <c r="G243" i="232" s="1"/>
  <c r="E243" i="232"/>
  <c r="C243" i="232"/>
  <c r="B243" i="232"/>
  <c r="H242" i="232"/>
  <c r="F242" i="232"/>
  <c r="G242" i="232" s="1"/>
  <c r="E242" i="232"/>
  <c r="C242" i="232"/>
  <c r="B242" i="232"/>
  <c r="H241" i="232"/>
  <c r="F241" i="232"/>
  <c r="G241" i="232" s="1"/>
  <c r="E241" i="232"/>
  <c r="C241" i="232"/>
  <c r="B241" i="232"/>
  <c r="H240" i="232"/>
  <c r="F240" i="232"/>
  <c r="G240" i="232" s="1"/>
  <c r="E240" i="232"/>
  <c r="C240" i="232"/>
  <c r="B240" i="232"/>
  <c r="H239" i="232"/>
  <c r="F239" i="232"/>
  <c r="G239" i="232" s="1"/>
  <c r="E239" i="232"/>
  <c r="C239" i="232"/>
  <c r="B239" i="232"/>
  <c r="H238" i="232"/>
  <c r="F238" i="232"/>
  <c r="G238" i="232" s="1"/>
  <c r="E238" i="232"/>
  <c r="C238" i="232"/>
  <c r="B238" i="232"/>
  <c r="H237" i="232"/>
  <c r="F237" i="232"/>
  <c r="G237" i="232" s="1"/>
  <c r="E237" i="232"/>
  <c r="C237" i="232"/>
  <c r="B237" i="232"/>
  <c r="H236" i="232"/>
  <c r="F236" i="232"/>
  <c r="G236" i="232" s="1"/>
  <c r="E236" i="232"/>
  <c r="C236" i="232"/>
  <c r="B236" i="232"/>
  <c r="H235" i="232"/>
  <c r="F235" i="232"/>
  <c r="G235" i="232" s="1"/>
  <c r="E235" i="232"/>
  <c r="C235" i="232"/>
  <c r="B235" i="232"/>
  <c r="H234" i="232"/>
  <c r="F234" i="232"/>
  <c r="G234" i="232" s="1"/>
  <c r="E234" i="232"/>
  <c r="C234" i="232"/>
  <c r="B234" i="232"/>
  <c r="H233" i="232"/>
  <c r="F233" i="232"/>
  <c r="G233" i="232" s="1"/>
  <c r="E233" i="232"/>
  <c r="C233" i="232"/>
  <c r="B233" i="232"/>
  <c r="H232" i="232"/>
  <c r="F232" i="232"/>
  <c r="G232" i="232" s="1"/>
  <c r="E232" i="232"/>
  <c r="C232" i="232"/>
  <c r="B232" i="232"/>
  <c r="H231" i="232"/>
  <c r="F231" i="232"/>
  <c r="G231" i="232" s="1"/>
  <c r="E231" i="232"/>
  <c r="C231" i="232"/>
  <c r="B231" i="232"/>
  <c r="H230" i="232"/>
  <c r="F230" i="232"/>
  <c r="G230" i="232" s="1"/>
  <c r="E230" i="232"/>
  <c r="C230" i="232"/>
  <c r="B230" i="232"/>
  <c r="H229" i="232"/>
  <c r="F229" i="232"/>
  <c r="G229" i="232" s="1"/>
  <c r="E229" i="232"/>
  <c r="C229" i="232"/>
  <c r="B229" i="232"/>
  <c r="H228" i="232"/>
  <c r="F228" i="232"/>
  <c r="G228" i="232" s="1"/>
  <c r="E228" i="232"/>
  <c r="C228" i="232"/>
  <c r="B228" i="232"/>
  <c r="H227" i="232"/>
  <c r="F227" i="232"/>
  <c r="G227" i="232" s="1"/>
  <c r="E227" i="232"/>
  <c r="C227" i="232"/>
  <c r="B227" i="232"/>
  <c r="H226" i="232"/>
  <c r="F226" i="232"/>
  <c r="G226" i="232" s="1"/>
  <c r="E226" i="232"/>
  <c r="C226" i="232"/>
  <c r="B226" i="232"/>
  <c r="H225" i="232"/>
  <c r="F225" i="232"/>
  <c r="G225" i="232" s="1"/>
  <c r="E225" i="232"/>
  <c r="C225" i="232"/>
  <c r="B225" i="232"/>
  <c r="H224" i="232"/>
  <c r="F224" i="232"/>
  <c r="G224" i="232" s="1"/>
  <c r="E224" i="232"/>
  <c r="C224" i="232"/>
  <c r="B224" i="232"/>
  <c r="H223" i="232"/>
  <c r="F223" i="232"/>
  <c r="G223" i="232" s="1"/>
  <c r="E223" i="232"/>
  <c r="C223" i="232"/>
  <c r="B223" i="232"/>
  <c r="H222" i="232"/>
  <c r="F222" i="232"/>
  <c r="G222" i="232" s="1"/>
  <c r="E222" i="232"/>
  <c r="C222" i="232"/>
  <c r="B222" i="232"/>
  <c r="H221" i="232"/>
  <c r="F221" i="232"/>
  <c r="G221" i="232" s="1"/>
  <c r="E221" i="232"/>
  <c r="C221" i="232"/>
  <c r="B221" i="232"/>
  <c r="H220" i="232"/>
  <c r="F220" i="232"/>
  <c r="G220" i="232" s="1"/>
  <c r="E220" i="232"/>
  <c r="C220" i="232"/>
  <c r="B220" i="232"/>
  <c r="H219" i="232"/>
  <c r="F219" i="232"/>
  <c r="G219" i="232" s="1"/>
  <c r="E219" i="232"/>
  <c r="C219" i="232"/>
  <c r="B219" i="232"/>
  <c r="H218" i="232"/>
  <c r="F218" i="232"/>
  <c r="G218" i="232" s="1"/>
  <c r="E218" i="232"/>
  <c r="C218" i="232"/>
  <c r="B218" i="232"/>
  <c r="H217" i="232"/>
  <c r="F217" i="232"/>
  <c r="G217" i="232" s="1"/>
  <c r="E217" i="232"/>
  <c r="C217" i="232"/>
  <c r="B217" i="232"/>
  <c r="H216" i="232"/>
  <c r="F216" i="232"/>
  <c r="G216" i="232" s="1"/>
  <c r="E216" i="232"/>
  <c r="C216" i="232"/>
  <c r="B216" i="232"/>
  <c r="H215" i="232"/>
  <c r="F215" i="232"/>
  <c r="G215" i="232" s="1"/>
  <c r="E215" i="232"/>
  <c r="C215" i="232"/>
  <c r="B215" i="232"/>
  <c r="H214" i="232"/>
  <c r="F214" i="232"/>
  <c r="G214" i="232" s="1"/>
  <c r="E214" i="232"/>
  <c r="C214" i="232"/>
  <c r="B214" i="232"/>
  <c r="H213" i="232"/>
  <c r="F213" i="232"/>
  <c r="G213" i="232" s="1"/>
  <c r="E213" i="232"/>
  <c r="C213" i="232"/>
  <c r="B213" i="232"/>
  <c r="H212" i="232"/>
  <c r="F212" i="232"/>
  <c r="G212" i="232" s="1"/>
  <c r="E212" i="232"/>
  <c r="C212" i="232"/>
  <c r="B212" i="232"/>
  <c r="H211" i="232"/>
  <c r="F211" i="232"/>
  <c r="G211" i="232" s="1"/>
  <c r="E211" i="232"/>
  <c r="C211" i="232"/>
  <c r="B211" i="232"/>
  <c r="H210" i="232"/>
  <c r="F210" i="232"/>
  <c r="G210" i="232" s="1"/>
  <c r="E210" i="232"/>
  <c r="C210" i="232"/>
  <c r="B210" i="232"/>
  <c r="H209" i="232"/>
  <c r="F209" i="232"/>
  <c r="G209" i="232" s="1"/>
  <c r="E209" i="232"/>
  <c r="C209" i="232"/>
  <c r="B209" i="232"/>
  <c r="H208" i="232"/>
  <c r="F208" i="232"/>
  <c r="G208" i="232" s="1"/>
  <c r="E208" i="232"/>
  <c r="C208" i="232"/>
  <c r="B208" i="232"/>
  <c r="H207" i="232"/>
  <c r="F207" i="232"/>
  <c r="G207" i="232" s="1"/>
  <c r="E207" i="232"/>
  <c r="C207" i="232"/>
  <c r="B207" i="232"/>
  <c r="H206" i="232"/>
  <c r="F206" i="232"/>
  <c r="G206" i="232" s="1"/>
  <c r="E206" i="232"/>
  <c r="C206" i="232"/>
  <c r="B206" i="232"/>
  <c r="H205" i="232"/>
  <c r="F205" i="232"/>
  <c r="G205" i="232" s="1"/>
  <c r="E205" i="232"/>
  <c r="C205" i="232"/>
  <c r="B205" i="232"/>
  <c r="H204" i="232"/>
  <c r="F204" i="232"/>
  <c r="G204" i="232" s="1"/>
  <c r="E204" i="232"/>
  <c r="C204" i="232"/>
  <c r="B204" i="232"/>
  <c r="H203" i="232"/>
  <c r="F203" i="232"/>
  <c r="G203" i="232" s="1"/>
  <c r="E203" i="232"/>
  <c r="C203" i="232"/>
  <c r="B203" i="232"/>
  <c r="H202" i="232"/>
  <c r="F202" i="232"/>
  <c r="G202" i="232" s="1"/>
  <c r="E202" i="232"/>
  <c r="C202" i="232"/>
  <c r="B202" i="232"/>
  <c r="H201" i="232"/>
  <c r="F201" i="232"/>
  <c r="G201" i="232" s="1"/>
  <c r="E201" i="232"/>
  <c r="C201" i="232"/>
  <c r="B201" i="232"/>
  <c r="H200" i="232"/>
  <c r="F200" i="232"/>
  <c r="G200" i="232" s="1"/>
  <c r="E200" i="232"/>
  <c r="C200" i="232"/>
  <c r="B200" i="232"/>
  <c r="H199" i="232"/>
  <c r="F199" i="232"/>
  <c r="G199" i="232" s="1"/>
  <c r="E199" i="232"/>
  <c r="C199" i="232"/>
  <c r="B199" i="232"/>
  <c r="H198" i="232"/>
  <c r="F198" i="232"/>
  <c r="G198" i="232" s="1"/>
  <c r="E198" i="232"/>
  <c r="C198" i="232"/>
  <c r="B198" i="232"/>
  <c r="H197" i="232"/>
  <c r="F197" i="232"/>
  <c r="G197" i="232" s="1"/>
  <c r="E197" i="232"/>
  <c r="C197" i="232"/>
  <c r="B197" i="232"/>
  <c r="H196" i="232"/>
  <c r="F196" i="232"/>
  <c r="G196" i="232" s="1"/>
  <c r="E196" i="232"/>
  <c r="C196" i="232"/>
  <c r="B196" i="232"/>
  <c r="H195" i="232"/>
  <c r="F195" i="232"/>
  <c r="G195" i="232" s="1"/>
  <c r="E195" i="232"/>
  <c r="C195" i="232"/>
  <c r="B195" i="232"/>
  <c r="H194" i="232"/>
  <c r="F194" i="232"/>
  <c r="G194" i="232" s="1"/>
  <c r="E194" i="232"/>
  <c r="C194" i="232"/>
  <c r="B194" i="232"/>
  <c r="H193" i="232"/>
  <c r="F193" i="232"/>
  <c r="G193" i="232" s="1"/>
  <c r="E193" i="232"/>
  <c r="C193" i="232"/>
  <c r="B193" i="232"/>
  <c r="H192" i="232"/>
  <c r="F192" i="232"/>
  <c r="G192" i="232" s="1"/>
  <c r="E192" i="232"/>
  <c r="C192" i="232"/>
  <c r="B192" i="232"/>
  <c r="H191" i="232"/>
  <c r="F191" i="232"/>
  <c r="G191" i="232" s="1"/>
  <c r="E191" i="232"/>
  <c r="C191" i="232"/>
  <c r="B191" i="232"/>
  <c r="H190" i="232"/>
  <c r="F190" i="232"/>
  <c r="G190" i="232" s="1"/>
  <c r="E190" i="232"/>
  <c r="C190" i="232"/>
  <c r="B190" i="232"/>
  <c r="H189" i="232"/>
  <c r="F189" i="232"/>
  <c r="G189" i="232" s="1"/>
  <c r="E189" i="232"/>
  <c r="C189" i="232"/>
  <c r="B189" i="232"/>
  <c r="H188" i="232"/>
  <c r="F188" i="232"/>
  <c r="G188" i="232" s="1"/>
  <c r="E188" i="232"/>
  <c r="C188" i="232"/>
  <c r="B188" i="232"/>
  <c r="H187" i="232"/>
  <c r="F187" i="232"/>
  <c r="G187" i="232" s="1"/>
  <c r="E187" i="232"/>
  <c r="C187" i="232"/>
  <c r="B187" i="232"/>
  <c r="H186" i="232"/>
  <c r="F186" i="232"/>
  <c r="G186" i="232" s="1"/>
  <c r="E186" i="232"/>
  <c r="C186" i="232"/>
  <c r="B186" i="232"/>
  <c r="H185" i="232"/>
  <c r="F185" i="232"/>
  <c r="G185" i="232" s="1"/>
  <c r="E185" i="232"/>
  <c r="C185" i="232"/>
  <c r="B185" i="232"/>
  <c r="H184" i="232"/>
  <c r="F184" i="232"/>
  <c r="G184" i="232" s="1"/>
  <c r="E184" i="232"/>
  <c r="C184" i="232"/>
  <c r="B184" i="232"/>
  <c r="H183" i="232"/>
  <c r="F183" i="232"/>
  <c r="G183" i="232" s="1"/>
  <c r="E183" i="232"/>
  <c r="C183" i="232"/>
  <c r="B183" i="232"/>
  <c r="H182" i="232"/>
  <c r="F182" i="232"/>
  <c r="G182" i="232" s="1"/>
  <c r="E182" i="232"/>
  <c r="C182" i="232"/>
  <c r="B182" i="232"/>
  <c r="H181" i="232"/>
  <c r="F181" i="232"/>
  <c r="G181" i="232" s="1"/>
  <c r="E181" i="232"/>
  <c r="C181" i="232"/>
  <c r="B181" i="232"/>
  <c r="H180" i="232"/>
  <c r="F180" i="232"/>
  <c r="G180" i="232" s="1"/>
  <c r="E180" i="232"/>
  <c r="C180" i="232"/>
  <c r="B180" i="232"/>
  <c r="H179" i="232"/>
  <c r="F179" i="232"/>
  <c r="G179" i="232" s="1"/>
  <c r="E179" i="232"/>
  <c r="C179" i="232"/>
  <c r="B179" i="232"/>
  <c r="H178" i="232"/>
  <c r="F178" i="232"/>
  <c r="G178" i="232" s="1"/>
  <c r="E178" i="232"/>
  <c r="C178" i="232"/>
  <c r="B178" i="232"/>
  <c r="H177" i="232"/>
  <c r="F177" i="232"/>
  <c r="G177" i="232" s="1"/>
  <c r="E177" i="232"/>
  <c r="C177" i="232"/>
  <c r="B177" i="232"/>
  <c r="H176" i="232"/>
  <c r="F176" i="232"/>
  <c r="G176" i="232" s="1"/>
  <c r="E176" i="232"/>
  <c r="C176" i="232"/>
  <c r="B176" i="232"/>
  <c r="H175" i="232"/>
  <c r="F175" i="232"/>
  <c r="G175" i="232" s="1"/>
  <c r="E175" i="232"/>
  <c r="C175" i="232"/>
  <c r="B175" i="232"/>
  <c r="H174" i="232"/>
  <c r="F174" i="232"/>
  <c r="G174" i="232" s="1"/>
  <c r="E174" i="232"/>
  <c r="C174" i="232"/>
  <c r="B174" i="232"/>
  <c r="H173" i="232"/>
  <c r="F173" i="232"/>
  <c r="G173" i="232" s="1"/>
  <c r="E173" i="232"/>
  <c r="C173" i="232"/>
  <c r="B173" i="232"/>
  <c r="H172" i="232"/>
  <c r="F172" i="232"/>
  <c r="G172" i="232" s="1"/>
  <c r="E172" i="232"/>
  <c r="C172" i="232"/>
  <c r="B172" i="232"/>
  <c r="H171" i="232"/>
  <c r="F171" i="232"/>
  <c r="G171" i="232" s="1"/>
  <c r="E171" i="232"/>
  <c r="C171" i="232"/>
  <c r="B171" i="232"/>
  <c r="H170" i="232"/>
  <c r="F170" i="232"/>
  <c r="G170" i="232" s="1"/>
  <c r="E170" i="232"/>
  <c r="C170" i="232"/>
  <c r="B170" i="232"/>
  <c r="H169" i="232"/>
  <c r="F169" i="232"/>
  <c r="G169" i="232" s="1"/>
  <c r="E169" i="232"/>
  <c r="C169" i="232"/>
  <c r="B169" i="232"/>
  <c r="H168" i="232"/>
  <c r="F168" i="232"/>
  <c r="G168" i="232" s="1"/>
  <c r="E168" i="232"/>
  <c r="C168" i="232"/>
  <c r="B168" i="232"/>
  <c r="H167" i="232"/>
  <c r="F167" i="232"/>
  <c r="G167" i="232" s="1"/>
  <c r="E167" i="232"/>
  <c r="C167" i="232"/>
  <c r="B167" i="232"/>
  <c r="H166" i="232"/>
  <c r="F166" i="232"/>
  <c r="G166" i="232" s="1"/>
  <c r="E166" i="232"/>
  <c r="C166" i="232"/>
  <c r="B166" i="232"/>
  <c r="H165" i="232"/>
  <c r="F165" i="232"/>
  <c r="G165" i="232" s="1"/>
  <c r="E165" i="232"/>
  <c r="C165" i="232"/>
  <c r="B165" i="232"/>
  <c r="H164" i="232"/>
  <c r="F164" i="232"/>
  <c r="G164" i="232" s="1"/>
  <c r="E164" i="232"/>
  <c r="C164" i="232"/>
  <c r="B164" i="232"/>
  <c r="H163" i="232"/>
  <c r="F163" i="232"/>
  <c r="G163" i="232" s="1"/>
  <c r="E163" i="232"/>
  <c r="C163" i="232"/>
  <c r="B163" i="232"/>
  <c r="H162" i="232"/>
  <c r="F162" i="232"/>
  <c r="G162" i="232" s="1"/>
  <c r="E162" i="232"/>
  <c r="C162" i="232"/>
  <c r="B162" i="232"/>
  <c r="H161" i="232"/>
  <c r="F161" i="232"/>
  <c r="G161" i="232" s="1"/>
  <c r="E161" i="232"/>
  <c r="C161" i="232"/>
  <c r="B161" i="232"/>
  <c r="H160" i="232"/>
  <c r="F160" i="232"/>
  <c r="G160" i="232" s="1"/>
  <c r="E160" i="232"/>
  <c r="C160" i="232"/>
  <c r="B160" i="232"/>
  <c r="H159" i="232"/>
  <c r="F159" i="232"/>
  <c r="G159" i="232" s="1"/>
  <c r="E159" i="232"/>
  <c r="C159" i="232"/>
  <c r="B159" i="232"/>
  <c r="H158" i="232"/>
  <c r="F158" i="232"/>
  <c r="G158" i="232" s="1"/>
  <c r="E158" i="232"/>
  <c r="C158" i="232"/>
  <c r="B158" i="232"/>
  <c r="H157" i="232"/>
  <c r="F157" i="232"/>
  <c r="G157" i="232" s="1"/>
  <c r="E157" i="232"/>
  <c r="C157" i="232"/>
  <c r="B157" i="232"/>
  <c r="H156" i="232"/>
  <c r="F156" i="232"/>
  <c r="G156" i="232" s="1"/>
  <c r="E156" i="232"/>
  <c r="C156" i="232"/>
  <c r="B156" i="232"/>
  <c r="H155" i="232"/>
  <c r="F155" i="232"/>
  <c r="G155" i="232" s="1"/>
  <c r="E155" i="232"/>
  <c r="C155" i="232"/>
  <c r="B155" i="232"/>
  <c r="H154" i="232"/>
  <c r="F154" i="232"/>
  <c r="G154" i="232" s="1"/>
  <c r="E154" i="232"/>
  <c r="C154" i="232"/>
  <c r="B154" i="232"/>
  <c r="H153" i="232"/>
  <c r="F153" i="232"/>
  <c r="G153" i="232" s="1"/>
  <c r="E153" i="232"/>
  <c r="C153" i="232"/>
  <c r="B153" i="232"/>
  <c r="H152" i="232"/>
  <c r="F152" i="232"/>
  <c r="G152" i="232" s="1"/>
  <c r="E152" i="232"/>
  <c r="C152" i="232"/>
  <c r="B152" i="232"/>
  <c r="H151" i="232"/>
  <c r="F151" i="232"/>
  <c r="G151" i="232" s="1"/>
  <c r="E151" i="232"/>
  <c r="C151" i="232"/>
  <c r="B151" i="232"/>
  <c r="H150" i="232"/>
  <c r="F150" i="232"/>
  <c r="G150" i="232" s="1"/>
  <c r="E150" i="232"/>
  <c r="C150" i="232"/>
  <c r="B150" i="232"/>
  <c r="H149" i="232"/>
  <c r="F149" i="232"/>
  <c r="G149" i="232" s="1"/>
  <c r="E149" i="232"/>
  <c r="C149" i="232"/>
  <c r="B149" i="232"/>
  <c r="H148" i="232"/>
  <c r="F148" i="232"/>
  <c r="G148" i="232" s="1"/>
  <c r="E148" i="232"/>
  <c r="C148" i="232"/>
  <c r="B148" i="232"/>
  <c r="H147" i="232"/>
  <c r="F147" i="232"/>
  <c r="G147" i="232" s="1"/>
  <c r="E147" i="232"/>
  <c r="C147" i="232"/>
  <c r="B147" i="232"/>
  <c r="H146" i="232"/>
  <c r="F146" i="232"/>
  <c r="G146" i="232" s="1"/>
  <c r="E146" i="232"/>
  <c r="C146" i="232"/>
  <c r="B146" i="232"/>
  <c r="H145" i="232"/>
  <c r="F145" i="232"/>
  <c r="G145" i="232" s="1"/>
  <c r="E145" i="232"/>
  <c r="C145" i="232"/>
  <c r="B145" i="232"/>
  <c r="H144" i="232"/>
  <c r="F144" i="232"/>
  <c r="G144" i="232" s="1"/>
  <c r="E144" i="232"/>
  <c r="C144" i="232"/>
  <c r="B144" i="232"/>
  <c r="H143" i="232"/>
  <c r="F143" i="232"/>
  <c r="G143" i="232" s="1"/>
  <c r="E143" i="232"/>
  <c r="C143" i="232"/>
  <c r="B143" i="232"/>
  <c r="H142" i="232"/>
  <c r="F142" i="232"/>
  <c r="G142" i="232" s="1"/>
  <c r="E142" i="232"/>
  <c r="C142" i="232"/>
  <c r="B142" i="232"/>
  <c r="H141" i="232"/>
  <c r="F141" i="232"/>
  <c r="G141" i="232" s="1"/>
  <c r="E141" i="232"/>
  <c r="C141" i="232"/>
  <c r="B141" i="232"/>
  <c r="H140" i="232"/>
  <c r="F140" i="232"/>
  <c r="G140" i="232" s="1"/>
  <c r="E140" i="232"/>
  <c r="C140" i="232"/>
  <c r="B140" i="232"/>
  <c r="H139" i="232"/>
  <c r="F139" i="232"/>
  <c r="G139" i="232" s="1"/>
  <c r="E139" i="232"/>
  <c r="C139" i="232"/>
  <c r="B139" i="232"/>
  <c r="H138" i="232"/>
  <c r="F138" i="232"/>
  <c r="G138" i="232" s="1"/>
  <c r="E138" i="232"/>
  <c r="C138" i="232"/>
  <c r="B138" i="232"/>
  <c r="H137" i="232"/>
  <c r="F137" i="232"/>
  <c r="G137" i="232" s="1"/>
  <c r="E137" i="232"/>
  <c r="C137" i="232"/>
  <c r="B137" i="232"/>
  <c r="H136" i="232"/>
  <c r="F136" i="232"/>
  <c r="G136" i="232" s="1"/>
  <c r="E136" i="232"/>
  <c r="C136" i="232"/>
  <c r="B136" i="232"/>
  <c r="H135" i="232"/>
  <c r="F135" i="232"/>
  <c r="G135" i="232" s="1"/>
  <c r="E135" i="232"/>
  <c r="C135" i="232"/>
  <c r="B135" i="232"/>
  <c r="H134" i="232"/>
  <c r="F134" i="232"/>
  <c r="G134" i="232" s="1"/>
  <c r="E134" i="232"/>
  <c r="C134" i="232"/>
  <c r="B134" i="232"/>
  <c r="H133" i="232"/>
  <c r="F133" i="232"/>
  <c r="G133" i="232" s="1"/>
  <c r="E133" i="232"/>
  <c r="C133" i="232"/>
  <c r="B133" i="232"/>
  <c r="H132" i="232"/>
  <c r="F132" i="232"/>
  <c r="G132" i="232" s="1"/>
  <c r="E132" i="232"/>
  <c r="C132" i="232"/>
  <c r="B132" i="232"/>
  <c r="H131" i="232"/>
  <c r="F131" i="232"/>
  <c r="G131" i="232" s="1"/>
  <c r="E131" i="232"/>
  <c r="C131" i="232"/>
  <c r="B131" i="232"/>
  <c r="H130" i="232"/>
  <c r="F130" i="232"/>
  <c r="G130" i="232" s="1"/>
  <c r="E130" i="232"/>
  <c r="C130" i="232"/>
  <c r="B130" i="232"/>
  <c r="H129" i="232"/>
  <c r="F129" i="232"/>
  <c r="G129" i="232" s="1"/>
  <c r="E129" i="232"/>
  <c r="C129" i="232"/>
  <c r="B129" i="232"/>
  <c r="H128" i="232"/>
  <c r="F128" i="232"/>
  <c r="G128" i="232" s="1"/>
  <c r="E128" i="232"/>
  <c r="C128" i="232"/>
  <c r="B128" i="232"/>
  <c r="H127" i="232"/>
  <c r="F127" i="232"/>
  <c r="G127" i="232" s="1"/>
  <c r="E127" i="232"/>
  <c r="C127" i="232"/>
  <c r="B127" i="232"/>
  <c r="H126" i="232"/>
  <c r="F126" i="232"/>
  <c r="G126" i="232" s="1"/>
  <c r="E126" i="232"/>
  <c r="C126" i="232"/>
  <c r="B126" i="232"/>
  <c r="H125" i="232"/>
  <c r="F125" i="232"/>
  <c r="G125" i="232" s="1"/>
  <c r="E125" i="232"/>
  <c r="C125" i="232"/>
  <c r="B125" i="232"/>
  <c r="H124" i="232"/>
  <c r="F124" i="232"/>
  <c r="G124" i="232" s="1"/>
  <c r="E124" i="232"/>
  <c r="C124" i="232"/>
  <c r="B124" i="232"/>
  <c r="H123" i="232"/>
  <c r="F123" i="232"/>
  <c r="G123" i="232" s="1"/>
  <c r="E123" i="232"/>
  <c r="C123" i="232"/>
  <c r="B123" i="232"/>
  <c r="H122" i="232"/>
  <c r="F122" i="232"/>
  <c r="G122" i="232" s="1"/>
  <c r="E122" i="232"/>
  <c r="C122" i="232"/>
  <c r="B122" i="232"/>
  <c r="H121" i="232"/>
  <c r="F121" i="232"/>
  <c r="G121" i="232" s="1"/>
  <c r="E121" i="232"/>
  <c r="C121" i="232"/>
  <c r="B121" i="232"/>
  <c r="H120" i="232"/>
  <c r="F120" i="232"/>
  <c r="G120" i="232" s="1"/>
  <c r="E120" i="232"/>
  <c r="C120" i="232"/>
  <c r="B120" i="232"/>
  <c r="H119" i="232"/>
  <c r="F119" i="232"/>
  <c r="G119" i="232" s="1"/>
  <c r="E119" i="232"/>
  <c r="C119" i="232"/>
  <c r="B119" i="232"/>
  <c r="H118" i="232"/>
  <c r="F118" i="232"/>
  <c r="G118" i="232" s="1"/>
  <c r="E118" i="232"/>
  <c r="C118" i="232"/>
  <c r="B118" i="232"/>
  <c r="H117" i="232"/>
  <c r="F117" i="232"/>
  <c r="G117" i="232" s="1"/>
  <c r="E117" i="232"/>
  <c r="C117" i="232"/>
  <c r="B117" i="232"/>
  <c r="H116" i="232"/>
  <c r="F116" i="232"/>
  <c r="G116" i="232" s="1"/>
  <c r="E116" i="232"/>
  <c r="C116" i="232"/>
  <c r="B116" i="232"/>
  <c r="H115" i="232"/>
  <c r="F115" i="232"/>
  <c r="G115" i="232" s="1"/>
  <c r="E115" i="232"/>
  <c r="C115" i="232"/>
  <c r="B115" i="232"/>
  <c r="H114" i="232"/>
  <c r="F114" i="232"/>
  <c r="G114" i="232" s="1"/>
  <c r="E114" i="232"/>
  <c r="C114" i="232"/>
  <c r="B114" i="232"/>
  <c r="H113" i="232"/>
  <c r="F113" i="232"/>
  <c r="G113" i="232" s="1"/>
  <c r="E113" i="232"/>
  <c r="C113" i="232"/>
  <c r="B113" i="232"/>
  <c r="H112" i="232"/>
  <c r="F112" i="232"/>
  <c r="G112" i="232" s="1"/>
  <c r="E112" i="232"/>
  <c r="C112" i="232"/>
  <c r="B112" i="232"/>
  <c r="H111" i="232"/>
  <c r="F111" i="232"/>
  <c r="G111" i="232" s="1"/>
  <c r="E111" i="232"/>
  <c r="C111" i="232"/>
  <c r="B111" i="232"/>
  <c r="H110" i="232"/>
  <c r="F110" i="232"/>
  <c r="G110" i="232" s="1"/>
  <c r="E110" i="232"/>
  <c r="C110" i="232"/>
  <c r="B110" i="232"/>
  <c r="H109" i="232"/>
  <c r="F109" i="232"/>
  <c r="G109" i="232" s="1"/>
  <c r="E109" i="232"/>
  <c r="C109" i="232"/>
  <c r="B109" i="232"/>
  <c r="H108" i="232"/>
  <c r="F108" i="232"/>
  <c r="G108" i="232" s="1"/>
  <c r="E108" i="232"/>
  <c r="C108" i="232"/>
  <c r="B108" i="232"/>
  <c r="H107" i="232"/>
  <c r="F107" i="232"/>
  <c r="G107" i="232" s="1"/>
  <c r="E107" i="232"/>
  <c r="C107" i="232"/>
  <c r="B107" i="232"/>
  <c r="H106" i="232"/>
  <c r="F106" i="232"/>
  <c r="G106" i="232" s="1"/>
  <c r="E106" i="232"/>
  <c r="C106" i="232"/>
  <c r="B106" i="232"/>
  <c r="H105" i="232"/>
  <c r="F105" i="232"/>
  <c r="G105" i="232" s="1"/>
  <c r="E105" i="232"/>
  <c r="C105" i="232"/>
  <c r="B105" i="232"/>
  <c r="H104" i="232"/>
  <c r="F104" i="232"/>
  <c r="G104" i="232" s="1"/>
  <c r="E104" i="232"/>
  <c r="C104" i="232"/>
  <c r="B104" i="232"/>
  <c r="H103" i="232"/>
  <c r="F103" i="232"/>
  <c r="G103" i="232" s="1"/>
  <c r="E103" i="232"/>
  <c r="C103" i="232"/>
  <c r="B103" i="232"/>
  <c r="H102" i="232"/>
  <c r="F102" i="232"/>
  <c r="G102" i="232" s="1"/>
  <c r="E102" i="232"/>
  <c r="C102" i="232"/>
  <c r="B102" i="232"/>
  <c r="H101" i="232"/>
  <c r="F101" i="232"/>
  <c r="G101" i="232" s="1"/>
  <c r="E101" i="232"/>
  <c r="C101" i="232"/>
  <c r="B101" i="232"/>
  <c r="H100" i="232"/>
  <c r="F100" i="232"/>
  <c r="G100" i="232" s="1"/>
  <c r="E100" i="232"/>
  <c r="C100" i="232"/>
  <c r="B100" i="232"/>
  <c r="H99" i="232"/>
  <c r="F99" i="232"/>
  <c r="G99" i="232" s="1"/>
  <c r="E99" i="232"/>
  <c r="C99" i="232"/>
  <c r="B99" i="232"/>
  <c r="H98" i="232"/>
  <c r="F98" i="232"/>
  <c r="G98" i="232" s="1"/>
  <c r="E98" i="232"/>
  <c r="C98" i="232"/>
  <c r="B98" i="232"/>
  <c r="H97" i="232"/>
  <c r="F97" i="232"/>
  <c r="G97" i="232" s="1"/>
  <c r="E97" i="232"/>
  <c r="C97" i="232"/>
  <c r="B97" i="232"/>
  <c r="H96" i="232"/>
  <c r="F96" i="232"/>
  <c r="G96" i="232" s="1"/>
  <c r="E96" i="232"/>
  <c r="C96" i="232"/>
  <c r="B96" i="232"/>
  <c r="H95" i="232"/>
  <c r="F95" i="232"/>
  <c r="G95" i="232" s="1"/>
  <c r="E95" i="232"/>
  <c r="C95" i="232"/>
  <c r="B95" i="232"/>
  <c r="H94" i="232"/>
  <c r="F94" i="232"/>
  <c r="G94" i="232" s="1"/>
  <c r="E94" i="232"/>
  <c r="C94" i="232"/>
  <c r="B94" i="232"/>
  <c r="H93" i="232"/>
  <c r="F93" i="232"/>
  <c r="G93" i="232" s="1"/>
  <c r="E93" i="232"/>
  <c r="C93" i="232"/>
  <c r="B93" i="232"/>
  <c r="H92" i="232"/>
  <c r="F92" i="232"/>
  <c r="G92" i="232" s="1"/>
  <c r="E92" i="232"/>
  <c r="C92" i="232"/>
  <c r="B92" i="232"/>
  <c r="H91" i="232"/>
  <c r="F91" i="232"/>
  <c r="G91" i="232" s="1"/>
  <c r="E91" i="232"/>
  <c r="C91" i="232"/>
  <c r="B91" i="232"/>
  <c r="H90" i="232"/>
  <c r="F90" i="232"/>
  <c r="G90" i="232" s="1"/>
  <c r="E90" i="232"/>
  <c r="C90" i="232"/>
  <c r="B90" i="232"/>
  <c r="H89" i="232"/>
  <c r="F89" i="232"/>
  <c r="G89" i="232" s="1"/>
  <c r="E89" i="232"/>
  <c r="C89" i="232"/>
  <c r="B89" i="232"/>
  <c r="H88" i="232"/>
  <c r="F88" i="232"/>
  <c r="G88" i="232" s="1"/>
  <c r="E88" i="232"/>
  <c r="C88" i="232"/>
  <c r="B88" i="232"/>
  <c r="H87" i="232"/>
  <c r="F87" i="232"/>
  <c r="G87" i="232" s="1"/>
  <c r="E87" i="232"/>
  <c r="C87" i="232"/>
  <c r="B87" i="232"/>
  <c r="H86" i="232"/>
  <c r="F86" i="232"/>
  <c r="G86" i="232" s="1"/>
  <c r="E86" i="232"/>
  <c r="C86" i="232"/>
  <c r="B86" i="232"/>
  <c r="H85" i="232"/>
  <c r="F85" i="232"/>
  <c r="G85" i="232" s="1"/>
  <c r="E85" i="232"/>
  <c r="C85" i="232"/>
  <c r="B85" i="232"/>
  <c r="H84" i="232"/>
  <c r="F84" i="232"/>
  <c r="G84" i="232" s="1"/>
  <c r="E84" i="232"/>
  <c r="C84" i="232"/>
  <c r="B84" i="232"/>
  <c r="H83" i="232"/>
  <c r="F83" i="232"/>
  <c r="G83" i="232" s="1"/>
  <c r="E83" i="232"/>
  <c r="C83" i="232"/>
  <c r="B83" i="232"/>
  <c r="H82" i="232"/>
  <c r="F82" i="232"/>
  <c r="G82" i="232" s="1"/>
  <c r="E82" i="232"/>
  <c r="C82" i="232"/>
  <c r="B82" i="232"/>
  <c r="H81" i="232"/>
  <c r="F81" i="232"/>
  <c r="G81" i="232" s="1"/>
  <c r="E81" i="232"/>
  <c r="C81" i="232"/>
  <c r="B81" i="232"/>
  <c r="H80" i="232"/>
  <c r="F80" i="232"/>
  <c r="G80" i="232" s="1"/>
  <c r="E80" i="232"/>
  <c r="C80" i="232"/>
  <c r="B80" i="232"/>
  <c r="H79" i="232"/>
  <c r="F79" i="232"/>
  <c r="G79" i="232" s="1"/>
  <c r="E79" i="232"/>
  <c r="C79" i="232"/>
  <c r="B79" i="232"/>
  <c r="H78" i="232"/>
  <c r="F78" i="232"/>
  <c r="G78" i="232" s="1"/>
  <c r="E78" i="232"/>
  <c r="C78" i="232"/>
  <c r="B78" i="232"/>
  <c r="H77" i="232"/>
  <c r="F77" i="232"/>
  <c r="G77" i="232" s="1"/>
  <c r="E77" i="232"/>
  <c r="C77" i="232"/>
  <c r="B77" i="232"/>
  <c r="H76" i="232"/>
  <c r="F76" i="232"/>
  <c r="G76" i="232" s="1"/>
  <c r="E76" i="232"/>
  <c r="C76" i="232"/>
  <c r="B76" i="232"/>
  <c r="H75" i="232"/>
  <c r="F75" i="232"/>
  <c r="G75" i="232" s="1"/>
  <c r="E75" i="232"/>
  <c r="C75" i="232"/>
  <c r="B75" i="232"/>
  <c r="H74" i="232"/>
  <c r="F74" i="232"/>
  <c r="G74" i="232" s="1"/>
  <c r="E74" i="232"/>
  <c r="C74" i="232"/>
  <c r="B74" i="232"/>
  <c r="H73" i="232"/>
  <c r="F73" i="232"/>
  <c r="G73" i="232" s="1"/>
  <c r="E73" i="232"/>
  <c r="C73" i="232"/>
  <c r="B73" i="232"/>
  <c r="H72" i="232"/>
  <c r="F72" i="232"/>
  <c r="G72" i="232" s="1"/>
  <c r="E72" i="232"/>
  <c r="C72" i="232"/>
  <c r="B72" i="232"/>
  <c r="H71" i="232"/>
  <c r="F71" i="232"/>
  <c r="G71" i="232" s="1"/>
  <c r="E71" i="232"/>
  <c r="C71" i="232"/>
  <c r="B71" i="232"/>
  <c r="H70" i="232"/>
  <c r="F70" i="232"/>
  <c r="G70" i="232" s="1"/>
  <c r="E70" i="232"/>
  <c r="C70" i="232"/>
  <c r="B70" i="232"/>
  <c r="H69" i="232"/>
  <c r="F69" i="232"/>
  <c r="G69" i="232" s="1"/>
  <c r="E69" i="232"/>
  <c r="C69" i="232"/>
  <c r="B69" i="232"/>
  <c r="H68" i="232"/>
  <c r="F68" i="232"/>
  <c r="G68" i="232" s="1"/>
  <c r="E68" i="232"/>
  <c r="C68" i="232"/>
  <c r="B68" i="232"/>
  <c r="H67" i="232"/>
  <c r="F67" i="232"/>
  <c r="G67" i="232" s="1"/>
  <c r="E67" i="232"/>
  <c r="C67" i="232"/>
  <c r="B67" i="232"/>
  <c r="H66" i="232"/>
  <c r="F66" i="232"/>
  <c r="G66" i="232" s="1"/>
  <c r="E66" i="232"/>
  <c r="C66" i="232"/>
  <c r="B66" i="232"/>
  <c r="H65" i="232"/>
  <c r="F65" i="232"/>
  <c r="G65" i="232" s="1"/>
  <c r="E65" i="232"/>
  <c r="C65" i="232"/>
  <c r="B65" i="232"/>
  <c r="H64" i="232"/>
  <c r="F64" i="232"/>
  <c r="G64" i="232" s="1"/>
  <c r="E64" i="232"/>
  <c r="C64" i="232"/>
  <c r="B64" i="232"/>
  <c r="H63" i="232"/>
  <c r="F63" i="232"/>
  <c r="G63" i="232" s="1"/>
  <c r="E63" i="232"/>
  <c r="C63" i="232"/>
  <c r="B63" i="232"/>
  <c r="H62" i="232"/>
  <c r="F62" i="232"/>
  <c r="G62" i="232" s="1"/>
  <c r="E62" i="232"/>
  <c r="C62" i="232"/>
  <c r="B62" i="232"/>
  <c r="H61" i="232"/>
  <c r="F61" i="232"/>
  <c r="G61" i="232" s="1"/>
  <c r="E61" i="232"/>
  <c r="C61" i="232"/>
  <c r="B61" i="232"/>
  <c r="H60" i="232"/>
  <c r="F60" i="232"/>
  <c r="G60" i="232" s="1"/>
  <c r="E60" i="232"/>
  <c r="C60" i="232"/>
  <c r="B60" i="232"/>
  <c r="H59" i="232"/>
  <c r="F59" i="232"/>
  <c r="G59" i="232" s="1"/>
  <c r="E59" i="232"/>
  <c r="C59" i="232"/>
  <c r="B59" i="232"/>
  <c r="H58" i="232"/>
  <c r="F58" i="232"/>
  <c r="G58" i="232" s="1"/>
  <c r="E58" i="232"/>
  <c r="C58" i="232"/>
  <c r="B58" i="232"/>
  <c r="H57" i="232"/>
  <c r="F57" i="232"/>
  <c r="G57" i="232" s="1"/>
  <c r="E57" i="232"/>
  <c r="C57" i="232"/>
  <c r="B57" i="232"/>
  <c r="H56" i="232"/>
  <c r="F56" i="232"/>
  <c r="G56" i="232" s="1"/>
  <c r="E56" i="232"/>
  <c r="C56" i="232"/>
  <c r="B56" i="232"/>
  <c r="H55" i="232"/>
  <c r="F55" i="232"/>
  <c r="G55" i="232" s="1"/>
  <c r="E55" i="232"/>
  <c r="C55" i="232"/>
  <c r="B55" i="232"/>
  <c r="H54" i="232"/>
  <c r="F54" i="232"/>
  <c r="G54" i="232" s="1"/>
  <c r="E54" i="232"/>
  <c r="C54" i="232"/>
  <c r="B54" i="232"/>
  <c r="H53" i="232"/>
  <c r="F53" i="232"/>
  <c r="G53" i="232" s="1"/>
  <c r="E53" i="232"/>
  <c r="C53" i="232"/>
  <c r="B53" i="232"/>
  <c r="H52" i="232"/>
  <c r="F52" i="232"/>
  <c r="G52" i="232" s="1"/>
  <c r="E52" i="232"/>
  <c r="C52" i="232"/>
  <c r="B52" i="232"/>
  <c r="H51" i="232"/>
  <c r="F51" i="232"/>
  <c r="G51" i="232" s="1"/>
  <c r="E51" i="232"/>
  <c r="C51" i="232"/>
  <c r="B51" i="232"/>
  <c r="H50" i="232"/>
  <c r="F50" i="232"/>
  <c r="G50" i="232" s="1"/>
  <c r="E50" i="232"/>
  <c r="C50" i="232"/>
  <c r="B50" i="232"/>
  <c r="H49" i="232"/>
  <c r="F49" i="232"/>
  <c r="G49" i="232" s="1"/>
  <c r="E49" i="232"/>
  <c r="C49" i="232"/>
  <c r="B49" i="232"/>
  <c r="H48" i="232"/>
  <c r="F48" i="232"/>
  <c r="G48" i="232" s="1"/>
  <c r="E48" i="232"/>
  <c r="C48" i="232"/>
  <c r="B48" i="232"/>
  <c r="H47" i="232"/>
  <c r="F47" i="232"/>
  <c r="G47" i="232" s="1"/>
  <c r="E47" i="232"/>
  <c r="C47" i="232"/>
  <c r="B47" i="232"/>
  <c r="H46" i="232"/>
  <c r="F46" i="232"/>
  <c r="G46" i="232" s="1"/>
  <c r="E46" i="232"/>
  <c r="C46" i="232"/>
  <c r="B46" i="232"/>
  <c r="H45" i="232"/>
  <c r="F45" i="232"/>
  <c r="G45" i="232" s="1"/>
  <c r="E45" i="232"/>
  <c r="C45" i="232"/>
  <c r="B45" i="232"/>
  <c r="H44" i="232"/>
  <c r="F44" i="232"/>
  <c r="G44" i="232" s="1"/>
  <c r="E44" i="232"/>
  <c r="C44" i="232"/>
  <c r="B44" i="232"/>
  <c r="H43" i="232"/>
  <c r="F43" i="232"/>
  <c r="G43" i="232" s="1"/>
  <c r="E43" i="232"/>
  <c r="C43" i="232"/>
  <c r="B43" i="232"/>
  <c r="H42" i="232"/>
  <c r="F42" i="232"/>
  <c r="G42" i="232" s="1"/>
  <c r="E42" i="232"/>
  <c r="C42" i="232"/>
  <c r="B42" i="232"/>
  <c r="H41" i="232"/>
  <c r="F41" i="232"/>
  <c r="G41" i="232" s="1"/>
  <c r="E41" i="232"/>
  <c r="C41" i="232"/>
  <c r="B41" i="232"/>
  <c r="H40" i="232"/>
  <c r="F40" i="232"/>
  <c r="G40" i="232" s="1"/>
  <c r="E40" i="232"/>
  <c r="C40" i="232"/>
  <c r="B40" i="232"/>
  <c r="H39" i="232"/>
  <c r="F39" i="232"/>
  <c r="G39" i="232" s="1"/>
  <c r="E39" i="232"/>
  <c r="C39" i="232"/>
  <c r="B39" i="232"/>
  <c r="H38" i="232"/>
  <c r="F38" i="232"/>
  <c r="G38" i="232" s="1"/>
  <c r="E38" i="232"/>
  <c r="C38" i="232"/>
  <c r="B38" i="232"/>
  <c r="H37" i="232"/>
  <c r="F37" i="232"/>
  <c r="G37" i="232" s="1"/>
  <c r="E37" i="232"/>
  <c r="C37" i="232"/>
  <c r="B37" i="232"/>
  <c r="H36" i="232"/>
  <c r="F36" i="232"/>
  <c r="G36" i="232" s="1"/>
  <c r="E36" i="232"/>
  <c r="C36" i="232"/>
  <c r="B36" i="232"/>
  <c r="H35" i="232"/>
  <c r="F35" i="232"/>
  <c r="G35" i="232" s="1"/>
  <c r="E35" i="232"/>
  <c r="C35" i="232"/>
  <c r="B35" i="232"/>
  <c r="H34" i="232"/>
  <c r="F34" i="232"/>
  <c r="G34" i="232" s="1"/>
  <c r="E34" i="232"/>
  <c r="C34" i="232"/>
  <c r="B34" i="232"/>
  <c r="H33" i="232"/>
  <c r="F33" i="232"/>
  <c r="G33" i="232" s="1"/>
  <c r="E33" i="232"/>
  <c r="C33" i="232"/>
  <c r="B33" i="232"/>
  <c r="H32" i="232"/>
  <c r="F32" i="232"/>
  <c r="G32" i="232" s="1"/>
  <c r="E32" i="232"/>
  <c r="C32" i="232"/>
  <c r="B32" i="232"/>
  <c r="H31" i="232"/>
  <c r="F31" i="232"/>
  <c r="G31" i="232" s="1"/>
  <c r="E31" i="232"/>
  <c r="C31" i="232"/>
  <c r="B31" i="232"/>
  <c r="H30" i="232"/>
  <c r="F30" i="232"/>
  <c r="G30" i="232" s="1"/>
  <c r="E30" i="232"/>
  <c r="C30" i="232"/>
  <c r="B30" i="232"/>
  <c r="H29" i="232"/>
  <c r="F29" i="232"/>
  <c r="G29" i="232" s="1"/>
  <c r="E29" i="232"/>
  <c r="C29" i="232"/>
  <c r="B29" i="232"/>
  <c r="H28" i="232"/>
  <c r="F28" i="232"/>
  <c r="G28" i="232" s="1"/>
  <c r="E28" i="232"/>
  <c r="C28" i="232"/>
  <c r="B28" i="232"/>
  <c r="H27" i="232"/>
  <c r="F27" i="232"/>
  <c r="G27" i="232" s="1"/>
  <c r="E27" i="232"/>
  <c r="C27" i="232"/>
  <c r="B27" i="232"/>
  <c r="H26" i="232"/>
  <c r="F26" i="232"/>
  <c r="G26" i="232" s="1"/>
  <c r="E26" i="232"/>
  <c r="C26" i="232"/>
  <c r="B26" i="232"/>
  <c r="H25" i="232"/>
  <c r="F25" i="232"/>
  <c r="G25" i="232" s="1"/>
  <c r="E25" i="232"/>
  <c r="C25" i="232"/>
  <c r="B25" i="232"/>
  <c r="H24" i="232"/>
  <c r="F24" i="232"/>
  <c r="G24" i="232" s="1"/>
  <c r="E24" i="232"/>
  <c r="C24" i="232"/>
  <c r="B24" i="232"/>
  <c r="H23" i="232"/>
  <c r="F23" i="232"/>
  <c r="G23" i="232" s="1"/>
  <c r="E23" i="232"/>
  <c r="C23" i="232"/>
  <c r="B23" i="232"/>
  <c r="H22" i="232"/>
  <c r="F22" i="232"/>
  <c r="G22" i="232" s="1"/>
  <c r="E22" i="232"/>
  <c r="C22" i="232"/>
  <c r="B22" i="232"/>
  <c r="H21" i="232"/>
  <c r="F21" i="232"/>
  <c r="G21" i="232" s="1"/>
  <c r="E21" i="232"/>
  <c r="C21" i="232"/>
  <c r="B21" i="232"/>
  <c r="H20" i="232"/>
  <c r="F20" i="232"/>
  <c r="G20" i="232" s="1"/>
  <c r="E20" i="232"/>
  <c r="C20" i="232"/>
  <c r="B20" i="232"/>
  <c r="H19" i="232"/>
  <c r="F19" i="232"/>
  <c r="G19" i="232" s="1"/>
  <c r="E19" i="232"/>
  <c r="C19" i="232"/>
  <c r="B19" i="232"/>
  <c r="H18" i="232"/>
  <c r="F18" i="232"/>
  <c r="G18" i="232" s="1"/>
  <c r="E18" i="232"/>
  <c r="C18" i="232"/>
  <c r="B18" i="232"/>
  <c r="H17" i="232"/>
  <c r="F17" i="232"/>
  <c r="G17" i="232" s="1"/>
  <c r="E17" i="232"/>
  <c r="C17" i="232"/>
  <c r="B17" i="232"/>
  <c r="H16" i="232"/>
  <c r="F16" i="232"/>
  <c r="G16" i="232" s="1"/>
  <c r="E16" i="232"/>
  <c r="C16" i="232"/>
  <c r="B16" i="232"/>
  <c r="H15" i="232"/>
  <c r="F15" i="232"/>
  <c r="G15" i="232" s="1"/>
  <c r="E15" i="232"/>
  <c r="C15" i="232"/>
  <c r="B15" i="232"/>
  <c r="H14" i="232"/>
  <c r="F14" i="232"/>
  <c r="G14" i="232" s="1"/>
  <c r="E14" i="232"/>
  <c r="C14" i="232"/>
  <c r="B14" i="232"/>
  <c r="H13" i="232"/>
  <c r="F13" i="232"/>
  <c r="G13" i="232" s="1"/>
  <c r="E13" i="232"/>
  <c r="C13" i="232"/>
  <c r="B13" i="232"/>
  <c r="H12" i="232"/>
  <c r="F12" i="232"/>
  <c r="G12" i="232" s="1"/>
  <c r="E12" i="232"/>
  <c r="C12" i="232"/>
  <c r="B12" i="232"/>
  <c r="H11" i="232"/>
  <c r="F11" i="232"/>
  <c r="G11" i="232" s="1"/>
  <c r="E11" i="232"/>
  <c r="C11" i="232"/>
  <c r="B11" i="232"/>
  <c r="H10" i="232"/>
  <c r="F10" i="232"/>
  <c r="G10" i="232" s="1"/>
  <c r="E10" i="232"/>
  <c r="C10" i="232"/>
  <c r="B10" i="232"/>
  <c r="H9" i="232"/>
  <c r="F9" i="232"/>
  <c r="G9" i="232" s="1"/>
  <c r="E9" i="232"/>
  <c r="C9" i="232"/>
  <c r="B9" i="232"/>
  <c r="H8" i="232"/>
  <c r="F8" i="232"/>
  <c r="G8" i="232" s="1"/>
  <c r="E8" i="232"/>
  <c r="C8" i="232"/>
  <c r="B8" i="232"/>
  <c r="H7" i="232"/>
  <c r="F7" i="232"/>
  <c r="G7" i="232" s="1"/>
  <c r="E7" i="232"/>
  <c r="C7" i="232"/>
  <c r="B7" i="232"/>
  <c r="H6" i="232"/>
  <c r="F6" i="232"/>
  <c r="G6" i="232" s="1"/>
  <c r="E6" i="232"/>
  <c r="C6" i="232"/>
  <c r="B6" i="232"/>
  <c r="H5" i="232"/>
  <c r="F5" i="232"/>
  <c r="G5" i="232" s="1"/>
  <c r="E5" i="232"/>
  <c r="C5" i="232"/>
  <c r="B5" i="232"/>
  <c r="H4" i="232"/>
  <c r="F4" i="232"/>
  <c r="G4" i="232" s="1"/>
  <c r="E4" i="232"/>
  <c r="C4" i="232"/>
  <c r="B4" i="232"/>
  <c r="H3" i="232"/>
  <c r="F3" i="232"/>
  <c r="G3" i="232" s="1"/>
  <c r="E3" i="232"/>
  <c r="C3" i="232"/>
  <c r="B3" i="232"/>
  <c r="H2" i="232"/>
  <c r="F2" i="232"/>
  <c r="G2" i="232" s="1"/>
  <c r="E2" i="232"/>
  <c r="C2" i="232"/>
  <c r="B2" i="232"/>
  <c r="BN1" i="228"/>
  <c r="BM1" i="228"/>
  <c r="BL1" i="228"/>
  <c r="BK1" i="228"/>
  <c r="BU1" i="228" s="1"/>
  <c r="BJ1" i="228"/>
  <c r="BH1" i="228"/>
  <c r="BG1" i="228"/>
  <c r="BF1" i="228"/>
  <c r="BE1" i="228"/>
  <c r="BD1" i="228"/>
  <c r="BC1" i="228"/>
  <c r="BA1" i="228"/>
  <c r="AX1" i="228"/>
  <c r="AW1" i="228"/>
  <c r="AV1" i="228"/>
  <c r="AE1" i="228"/>
  <c r="AD1" i="228"/>
  <c r="Y1" i="228"/>
  <c r="X1" i="228"/>
  <c r="W1" i="228"/>
  <c r="V1" i="228"/>
  <c r="S1" i="228"/>
  <c r="O1" i="228"/>
  <c r="J1" i="228"/>
  <c r="R1" i="228" s="1"/>
  <c r="A1" i="228"/>
  <c r="G1" i="228" s="1"/>
  <c r="B40" i="195"/>
  <c r="B41" i="195" s="1"/>
  <c r="B42" i="195" s="1"/>
  <c r="B43" i="195" s="1"/>
  <c r="B44" i="195" s="1"/>
  <c r="B45" i="195" s="1"/>
  <c r="B46" i="195" s="1"/>
  <c r="BS1" i="228" l="1"/>
  <c r="AA1" i="228"/>
  <c r="AU1" i="228"/>
  <c r="AH1" i="228"/>
  <c r="AI1" i="228"/>
  <c r="Z1" i="228"/>
  <c r="BR1" i="228"/>
  <c r="BX1" i="228"/>
  <c r="T1" i="228"/>
  <c r="U1" i="228" s="1"/>
  <c r="AR1" i="228"/>
  <c r="BO1" i="228"/>
  <c r="BB1" i="228"/>
  <c r="AY1" i="228"/>
  <c r="AM1" i="228" l="1"/>
  <c r="CF1" i="228"/>
  <c r="AZ1" i="228"/>
  <c r="BQ1" i="228"/>
  <c r="AK1" i="228"/>
  <c r="AJ1" i="228"/>
  <c r="BY1" i="228"/>
  <c r="BZ1" i="228" s="1"/>
  <c r="BP1" i="228" s="1"/>
  <c r="CD1" i="228" l="1"/>
  <c r="CE1" i="228" s="1"/>
  <c r="CG1" i="228" l="1"/>
  <c r="CI1" i="2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Lopez</author>
  </authors>
  <commentList>
    <comment ref="BK199" authorId="0" shapeId="0" xr:uid="{8D04E14C-C5A0-4014-B2C7-3D0F35641B6A}">
      <text>
        <r>
          <rPr>
            <b/>
            <sz val="9"/>
            <color indexed="81"/>
            <rFont val="Tahoma"/>
            <family val="2"/>
          </rPr>
          <t>Carlos Lopez:</t>
        </r>
        <r>
          <rPr>
            <sz val="9"/>
            <color indexed="81"/>
            <rFont val="Tahoma"/>
            <family val="2"/>
          </rPr>
          <t xml:space="preserve">
8487 sin pesar saladero, ponemos pesaje envasado</t>
        </r>
      </text>
    </comment>
    <comment ref="BK200" authorId="0" shapeId="0" xr:uid="{BA9EF4D8-957A-4B47-A25D-CC28A46D6711}">
      <text>
        <r>
          <rPr>
            <b/>
            <sz val="9"/>
            <color indexed="81"/>
            <rFont val="Tahoma"/>
            <family val="2"/>
          </rPr>
          <t>Carlos Lopez:</t>
        </r>
        <r>
          <rPr>
            <sz val="9"/>
            <color indexed="81"/>
            <rFont val="Tahoma"/>
            <family val="2"/>
          </rPr>
          <t xml:space="preserve">
23047 sin pesar saladero, ponemos pesaje envasado</t>
        </r>
      </text>
    </comment>
    <comment ref="BK201" authorId="0" shapeId="0" xr:uid="{29FCB9A1-06A5-4B6F-86AB-DC7048F4DDB7}">
      <text>
        <r>
          <rPr>
            <b/>
            <sz val="9"/>
            <color indexed="81"/>
            <rFont val="Tahoma"/>
            <family val="2"/>
          </rPr>
          <t>Carlos Lopez:</t>
        </r>
        <r>
          <rPr>
            <sz val="9"/>
            <color indexed="81"/>
            <rFont val="Tahoma"/>
            <family val="2"/>
          </rPr>
          <t xml:space="preserve">
19206 sin pesar saladero, ponemos pesaje envasado</t>
        </r>
      </text>
    </comment>
    <comment ref="BK202" authorId="0" shapeId="0" xr:uid="{BF7AE1F8-FCFE-4AC3-8B8F-E2E0B8B127AE}">
      <text>
        <r>
          <rPr>
            <b/>
            <sz val="9"/>
            <color indexed="81"/>
            <rFont val="Tahoma"/>
            <family val="2"/>
          </rPr>
          <t>Carlos Lopez:</t>
        </r>
        <r>
          <rPr>
            <sz val="9"/>
            <color indexed="81"/>
            <rFont val="Tahoma"/>
            <family val="2"/>
          </rPr>
          <t xml:space="preserve">
35342 sin pesar saladero, ponemos pesaje envasado</t>
        </r>
      </text>
    </comment>
    <comment ref="BK203" authorId="0" shapeId="0" xr:uid="{4B4F9289-7918-459D-B8FC-54981FC15B9E}">
      <text>
        <r>
          <rPr>
            <b/>
            <sz val="9"/>
            <color indexed="81"/>
            <rFont val="Tahoma"/>
            <family val="2"/>
          </rPr>
          <t>Carlos Lopez:</t>
        </r>
        <r>
          <rPr>
            <sz val="9"/>
            <color indexed="81"/>
            <rFont val="Tahoma"/>
            <family val="2"/>
          </rPr>
          <t xml:space="preserve">
12,017 sin pesar saladero, ponemos pesaje envasado</t>
        </r>
      </text>
    </comment>
    <comment ref="BK204" authorId="0" shapeId="0" xr:uid="{FB53CE69-4D7E-4637-8B68-2CBB2B507BA0}">
      <text>
        <r>
          <rPr>
            <b/>
            <sz val="9"/>
            <color indexed="81"/>
            <rFont val="Tahoma"/>
            <family val="2"/>
          </rPr>
          <t>Carlos Lopez:</t>
        </r>
        <r>
          <rPr>
            <sz val="9"/>
            <color indexed="81"/>
            <rFont val="Tahoma"/>
            <family val="2"/>
          </rPr>
          <t xml:space="preserve">
22,420 sin pesar saladero, ponemos pesaje envasado</t>
        </r>
      </text>
    </comment>
    <comment ref="BK205" authorId="0" shapeId="0" xr:uid="{1F1D0E1A-80D2-4D76-A21B-D6CF982226D9}">
      <text>
        <r>
          <rPr>
            <b/>
            <sz val="9"/>
            <color indexed="81"/>
            <rFont val="Tahoma"/>
            <family val="2"/>
          </rPr>
          <t>Carlos Lopez:</t>
        </r>
        <r>
          <rPr>
            <sz val="9"/>
            <color indexed="81"/>
            <rFont val="Tahoma"/>
            <family val="2"/>
          </rPr>
          <t xml:space="preserve">
23,672 sin pesar saladero, ponemos pesaje envasado</t>
        </r>
      </text>
    </comment>
    <comment ref="BK206" authorId="0" shapeId="0" xr:uid="{687B7B12-C276-43A6-8996-8EF02DAAEB0B}">
      <text>
        <r>
          <rPr>
            <b/>
            <sz val="9"/>
            <color indexed="81"/>
            <rFont val="Tahoma"/>
            <family val="2"/>
          </rPr>
          <t>Carlos Lopez:</t>
        </r>
        <r>
          <rPr>
            <sz val="9"/>
            <color indexed="81"/>
            <rFont val="Tahoma"/>
            <family val="2"/>
          </rPr>
          <t xml:space="preserve">
32.823 sin pesar saladero, ponemos pesaje envasado</t>
        </r>
      </text>
    </comment>
    <comment ref="BK207" authorId="0" shapeId="0" xr:uid="{04AE8C53-2B8A-457E-9EB2-989AC6C8E941}">
      <text>
        <r>
          <rPr>
            <b/>
            <sz val="9"/>
            <color indexed="81"/>
            <rFont val="Tahoma"/>
            <family val="2"/>
          </rPr>
          <t>Carlos Lopez:</t>
        </r>
        <r>
          <rPr>
            <sz val="9"/>
            <color indexed="81"/>
            <rFont val="Tahoma"/>
            <family val="2"/>
          </rPr>
          <t xml:space="preserve">
32.932 sin pesar saladero, ponemos pesaje envasado</t>
        </r>
      </text>
    </comment>
    <comment ref="BK208" authorId="0" shapeId="0" xr:uid="{A2A16F39-C940-43AA-BD88-823CFB1C0B6B}">
      <text>
        <r>
          <rPr>
            <b/>
            <sz val="9"/>
            <color indexed="81"/>
            <rFont val="Tahoma"/>
            <family val="2"/>
          </rPr>
          <t>Carlos Lopez:</t>
        </r>
        <r>
          <rPr>
            <sz val="9"/>
            <color indexed="81"/>
            <rFont val="Tahoma"/>
            <family val="2"/>
          </rPr>
          <t xml:space="preserve">
22.177 sin pesar saladero, ponemos pesaje envasado</t>
        </r>
      </text>
    </comment>
    <comment ref="BK209" authorId="0" shapeId="0" xr:uid="{4B77362B-9CDD-492B-B07F-EE582823C80D}">
      <text>
        <r>
          <rPr>
            <b/>
            <sz val="9"/>
            <color indexed="81"/>
            <rFont val="Tahoma"/>
            <family val="2"/>
          </rPr>
          <t>Carlos Lopez:</t>
        </r>
        <r>
          <rPr>
            <sz val="9"/>
            <color indexed="81"/>
            <rFont val="Tahoma"/>
            <family val="2"/>
          </rPr>
          <t xml:space="preserve">
19.501 sin pesar saladero, ponemos pesaje envasado</t>
        </r>
      </text>
    </comment>
    <comment ref="BK210" authorId="0" shapeId="0" xr:uid="{BE51CEA0-479A-4669-B60C-7E3EE62DB68F}">
      <text>
        <r>
          <rPr>
            <b/>
            <sz val="9"/>
            <color indexed="81"/>
            <rFont val="Tahoma"/>
            <family val="2"/>
          </rPr>
          <t>Carlos Lopez:</t>
        </r>
        <r>
          <rPr>
            <sz val="9"/>
            <color indexed="81"/>
            <rFont val="Tahoma"/>
            <family val="2"/>
          </rPr>
          <t xml:space="preserve">
8.300 sin pesar saladero, ponemos pesaje envasado</t>
        </r>
      </text>
    </comment>
    <comment ref="BK211" authorId="0" shapeId="0" xr:uid="{2781B459-8124-41FF-8437-BEAD6496AA18}">
      <text>
        <r>
          <rPr>
            <b/>
            <sz val="9"/>
            <color indexed="81"/>
            <rFont val="Tahoma"/>
            <family val="2"/>
          </rPr>
          <t>Carlos Lopez:</t>
        </r>
        <r>
          <rPr>
            <sz val="9"/>
            <color indexed="81"/>
            <rFont val="Tahoma"/>
            <family val="2"/>
          </rPr>
          <t xml:space="preserve">
19.220 sin pesar saladero, ponemos pesaje envasado</t>
        </r>
      </text>
    </comment>
    <comment ref="BS221" authorId="0" shapeId="0" xr:uid="{6E1413A3-D05E-47F3-823E-A48B4F658719}">
      <text>
        <r>
          <rPr>
            <b/>
            <sz val="9"/>
            <color indexed="81"/>
            <rFont val="Tahoma"/>
            <family val="2"/>
          </rPr>
          <t>Carlos Lopez:</t>
        </r>
        <r>
          <rPr>
            <sz val="9"/>
            <color indexed="81"/>
            <rFont val="Tahoma"/>
            <family val="2"/>
          </rPr>
          <t xml:space="preserve">
NO FUNCIONA LA BASCULA</t>
        </r>
      </text>
    </comment>
    <comment ref="BS222" authorId="0" shapeId="0" xr:uid="{78A7A397-1356-46AF-A730-CEBC9518BAB4}">
      <text>
        <r>
          <rPr>
            <b/>
            <sz val="9"/>
            <color indexed="81"/>
            <rFont val="Tahoma"/>
            <family val="2"/>
          </rPr>
          <t>Carlos Lopez:</t>
        </r>
        <r>
          <rPr>
            <sz val="9"/>
            <color indexed="81"/>
            <rFont val="Tahoma"/>
            <family val="2"/>
          </rPr>
          <t xml:space="preserve">
NO FUNCIONA LA BASCULA</t>
        </r>
      </text>
    </comment>
    <comment ref="BS225" authorId="0" shapeId="0" xr:uid="{645594B7-7B83-48E0-A325-DC5E90D2D36B}">
      <text>
        <r>
          <rPr>
            <b/>
            <sz val="9"/>
            <color indexed="81"/>
            <rFont val="Tahoma"/>
            <family val="2"/>
          </rPr>
          <t>Carlos Lopez:</t>
        </r>
        <r>
          <rPr>
            <sz val="9"/>
            <color indexed="81"/>
            <rFont val="Tahoma"/>
            <family val="2"/>
          </rPr>
          <t xml:space="preserve">
NO pesado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B76882-0EC9-424F-AEF0-366B87398E35}" keepAlive="1" name="Consulta - Errores en Tabla_master_rend" description="Conexión a la consulta 'Errores en Tabla_master_rend' en el libro." type="5" refreshedVersion="0" background="1">
    <dbPr connection="Provider=Microsoft.Mashup.OleDb.1;Data Source=$Workbook$;Location=&quot;Errores en Tabla_master_rend&quot;;Extended Properties=&quot;&quot;" command="SELECT * FROM [Errores en Tabla_master_rend]"/>
  </connection>
  <connection id="2" xr16:uid="{727955EC-74C1-4190-A140-E2CD8308EBED}" name="Consulta - Tabla_master_rend" description="Conexión a la consulta 'Tabla_master_rend' en el libro." type="100" refreshedVersion="8" minRefreshableVersion="5">
    <extLst>
      <ext xmlns:x15="http://schemas.microsoft.com/office/spreadsheetml/2010/11/main" uri="{DE250136-89BD-433C-8126-D09CA5730AF9}">
        <x15:connection id="c49a852e-1dbb-47b4-941e-6398a643ce94"/>
      </ext>
    </extLst>
  </connection>
  <connection id="3" xr16:uid="{3F4D1A28-DD01-4AC1-931D-F00AED6EDAFB}" keepAlive="1" name="Consulta - Tabla_Precio_Venta" description="Conexión a la consulta 'Tabla_Precio_Venta' en el libro." type="5" refreshedVersion="0" background="1" saveData="1">
    <dbPr connection="Provider=Microsoft.Mashup.OleDb.1;Data Source=$Workbook$;Location=Tabla_Precio_Venta;Extended Properties=&quot;&quot;" command="SELECT * FROM [Tabla_Precio_Venta]"/>
  </connection>
  <connection id="4" xr16:uid="{0C3AF59D-1640-4C8C-BAA3-555CDB2184BD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5B77CDBE-7F58-4E1C-800C-C78926DC11F1}" name="WorksheetConnection_2026 Rendimiento_nuevo_plantilla_VF_dash_bcp.xlsx!REND_TARGET" type="102" refreshedVersion="8" minRefreshableVersion="5">
    <extLst>
      <ext xmlns:x15="http://schemas.microsoft.com/office/spreadsheetml/2010/11/main" uri="{DE250136-89BD-433C-8126-D09CA5730AF9}">
        <x15:connection id="REND_TARGET">
          <x15:rangePr sourceName="_xlcn.WorksheetConnection_2026Rendimiento_nuevo_plantilla_VF_dash_bcp.xlsxREND_TARGET1"/>
        </x15:connection>
      </ext>
    </extLst>
  </connection>
  <connection id="6" xr16:uid="{534E32F8-9C55-4DBF-9B8B-2B485D681137}" name="WorksheetConnection_2026 Rendimiento_nuevo_plantilla_VF_marcos.xlsx!tbl_DimProducto" type="102" refreshedVersion="8" minRefreshableVersion="5">
    <extLst>
      <ext xmlns:x15="http://schemas.microsoft.com/office/spreadsheetml/2010/11/main" uri="{DE250136-89BD-433C-8126-D09CA5730AF9}">
        <x15:connection id="tbl_DimProducto" autoDelete="1">
          <x15:rangePr sourceName="_xlcn.WorksheetConnection_2026Rendimiento_nuevo_plantilla_VF_marcos.xlsxtbl_DimProducto1"/>
        </x15:connection>
      </ext>
    </extLst>
  </connection>
  <connection id="7" xr16:uid="{6DD7B865-5EE3-44D4-902D-45958AC7B2B7}" name="WorksheetConnection_2026 Rendimiento_nuevo_plantilla_VF_marcos.xlsx!tbl_FactRendFecha" type="102" refreshedVersion="8" minRefreshableVersion="5">
    <extLst>
      <ext xmlns:x15="http://schemas.microsoft.com/office/spreadsheetml/2010/11/main" uri="{DE250136-89BD-433C-8126-D09CA5730AF9}">
        <x15:connection id="tbl_FactRendFecha" autoDelete="1">
          <x15:rangePr sourceName="_xlcn.WorksheetConnection_2026Rendimiento_nuevo_plantilla_VF_marcos.xlsxtbl_FactRendFecha1"/>
        </x15:connection>
      </ext>
    </extLst>
  </connection>
  <connection id="8" xr16:uid="{93A90188-81FE-4C8F-92B5-3E1A3F085189}" name="WorksheetConnection_Rendimiento_nuevo_plantilla_VF_dash_buena_cambiado.xlsx!Tabla_master_rend" type="102" refreshedVersion="8" minRefreshableVersion="5">
    <extLst>
      <ext xmlns:x15="http://schemas.microsoft.com/office/spreadsheetml/2010/11/main" uri="{DE250136-89BD-433C-8126-D09CA5730AF9}">
        <x15:connection id="Tabla_master_rend 1">
          <x15:rangePr sourceName="_xlcn.WorksheetConnection_Rendimiento_nuevo_plantilla_VF_dash_buena_cambiado.xlsxTabla_master_rend1"/>
        </x15:connection>
      </ext>
    </extLst>
  </connection>
  <connection id="9" xr16:uid="{F85E5A79-700C-450E-9DCF-BD0C35625639}" name="WorksheetConnection_Rendimiento_VF_2026_.xlsx!Tabla_Contabilidad" type="102" refreshedVersion="8" minRefreshableVersion="5">
    <extLst>
      <ext xmlns:x15="http://schemas.microsoft.com/office/spreadsheetml/2010/11/main" uri="{DE250136-89BD-433C-8126-D09CA5730AF9}">
        <x15:connection id="Tabla_Contabilidad">
          <x15:rangePr sourceName="_xlcn.WorksheetConnection_Rendimiento_VF_2026_.xlsxTabla_Contabilidad1"/>
        </x15:connection>
      </ext>
    </extLst>
  </connection>
  <connection id="10" xr16:uid="{C581E8BA-3AA2-4A26-AC50-9E47E425AB9C}" name="WorksheetConnection_Rendimiento_VF_2026_.xlsx!Tabla_Precio_Venta" type="102" refreshedVersion="8" minRefreshableVersion="5">
    <extLst>
      <ext xmlns:x15="http://schemas.microsoft.com/office/spreadsheetml/2010/11/main" uri="{DE250136-89BD-433C-8126-D09CA5730AF9}">
        <x15:connection id="Tabla_Precio_Venta">
          <x15:rangePr sourceName="_xlcn.WorksheetConnection_Rendimiento_VF_2026_.xlsxTabla_Precio_Venta1"/>
        </x15:connection>
      </ext>
    </extLst>
  </connection>
  <connection id="11" xr16:uid="{A973977F-E93C-4917-8BCD-62D7D2CD2AAC}" name="WorksheetConnection_Rendimiento_VF_2026_.xlsx!tbl_PrecioLeche" type="102" refreshedVersion="8" minRefreshableVersion="5">
    <extLst>
      <ext xmlns:x15="http://schemas.microsoft.com/office/spreadsheetml/2010/11/main" uri="{DE250136-89BD-433C-8126-D09CA5730AF9}">
        <x15:connection id="tbl_PrecioLeche">
          <x15:rangePr sourceName="_xlcn.WorksheetConnection_Rendimiento_VF_2026_.xlsxtbl_PrecioLech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2">
    <s v="ThisWorkbookDataModel"/>
    <s v="{[Tabla_master_rend].[Mes_Nom].[All]}"/>
  </metadataStrings>
  <mdxMetadata count="1">
    <mdx n="0" f="s">
      <ms ns="1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<sst xmlns="http://schemas.openxmlformats.org/spreadsheetml/2006/main" count="7778" uniqueCount="629">
  <si>
    <t>DIA</t>
  </si>
  <si>
    <t xml:space="preserve">TURNO </t>
  </si>
  <si>
    <t>HORA</t>
  </si>
  <si>
    <t>OPERARIO</t>
  </si>
  <si>
    <t>SALIDA DAF DQO &lt;1000 (mg O2/l)</t>
  </si>
  <si>
    <t>DAF pH PORTATIL (5,5 - 9,5) (upH)</t>
  </si>
  <si>
    <t>SALIDA DAF Tª  40 (ºC)</t>
  </si>
  <si>
    <t>SALIDA DAF CE  FIJA &lt;5000 (µS/cm)</t>
  </si>
  <si>
    <t>DIANA</t>
  </si>
  <si>
    <t>-</t>
  </si>
  <si>
    <t xml:space="preserve">MARTA </t>
  </si>
  <si>
    <t>MARTA</t>
  </si>
  <si>
    <t>MAÑANA</t>
  </si>
  <si>
    <t>mañana</t>
  </si>
  <si>
    <t>elena</t>
  </si>
  <si>
    <t>LAYNER</t>
  </si>
  <si>
    <t>TAMARA</t>
  </si>
  <si>
    <t xml:space="preserve">TAMARA </t>
  </si>
  <si>
    <t xml:space="preserve">MAÑANA </t>
  </si>
  <si>
    <t xml:space="preserve">LAYNER </t>
  </si>
  <si>
    <t>DIANA Y LAYNER</t>
  </si>
  <si>
    <t>DIANA Y MARTA</t>
  </si>
  <si>
    <t>DIANA Y ABY</t>
  </si>
  <si>
    <t>10;50</t>
  </si>
  <si>
    <t xml:space="preserve">DIANA </t>
  </si>
  <si>
    <t>9,:31</t>
  </si>
  <si>
    <t>08;30</t>
  </si>
  <si>
    <t>11,:30</t>
  </si>
  <si>
    <t xml:space="preserve">ELENA </t>
  </si>
  <si>
    <t>DIANA/ABBY</t>
  </si>
  <si>
    <t>LAYNER/ABBY</t>
  </si>
  <si>
    <t>ABBY/ELENA</t>
  </si>
  <si>
    <t>ABBY</t>
  </si>
  <si>
    <t>ABBY/MARTA</t>
  </si>
  <si>
    <t>LAYNER/DIANA</t>
  </si>
  <si>
    <t>DIANA/LAYNER</t>
  </si>
  <si>
    <t>DIANA/MARTA</t>
  </si>
  <si>
    <t>ABBY/DIANA</t>
  </si>
  <si>
    <t>MARTA/ABBY</t>
  </si>
  <si>
    <t>MARTA/DIANA</t>
  </si>
  <si>
    <t>CREMOSO</t>
  </si>
  <si>
    <t>TIERNO MEZCLA</t>
  </si>
  <si>
    <t>Mes</t>
  </si>
  <si>
    <t>NO</t>
  </si>
  <si>
    <t>GOUDA F</t>
  </si>
  <si>
    <t>EDAM F</t>
  </si>
  <si>
    <t>EDAM F C</t>
  </si>
  <si>
    <t>Fecha</t>
  </si>
  <si>
    <t>Lote</t>
  </si>
  <si>
    <t>Precio Nata</t>
  </si>
  <si>
    <t>Producto</t>
  </si>
  <si>
    <t>Cubas_prod</t>
  </si>
  <si>
    <t>Litros_Leche_Total</t>
  </si>
  <si>
    <t>L_Leche_ent</t>
  </si>
  <si>
    <t>%MG_Leche</t>
  </si>
  <si>
    <t>%MP_Leche</t>
  </si>
  <si>
    <t>EST_%</t>
  </si>
  <si>
    <t>L_desn_ext</t>
  </si>
  <si>
    <t>L_cabra</t>
  </si>
  <si>
    <t>L_oveja</t>
  </si>
  <si>
    <t>Litros_Nata</t>
  </si>
  <si>
    <t>L_nata_suero</t>
  </si>
  <si>
    <t>L_suero Total</t>
  </si>
  <si>
    <t>%Suero_vs_leche</t>
  </si>
  <si>
    <t>MG_suero</t>
  </si>
  <si>
    <t>MP_suero</t>
  </si>
  <si>
    <t>L_suero para con</t>
  </si>
  <si>
    <t>L_suero_con</t>
  </si>
  <si>
    <t>Rartio_sueroC</t>
  </si>
  <si>
    <t>L_Suero_Sobrante</t>
  </si>
  <si>
    <t>MG_sueroc</t>
  </si>
  <si>
    <t>MP_sueroc</t>
  </si>
  <si>
    <t>L_LPS_Gen</t>
  </si>
  <si>
    <t>L_LPS_incor</t>
  </si>
  <si>
    <t>gr_LPS</t>
  </si>
  <si>
    <t>MG_LPS</t>
  </si>
  <si>
    <t>MP_LPS</t>
  </si>
  <si>
    <t>Kg_Queso_Blan</t>
  </si>
  <si>
    <t>RDTO_Blanco</t>
  </si>
  <si>
    <t>RDTO_NETO</t>
  </si>
  <si>
    <t>Kg_Solidos_leche</t>
  </si>
  <si>
    <t>%MG_QUESO</t>
  </si>
  <si>
    <t>%PT_QUESO</t>
  </si>
  <si>
    <t>ES_QUESO</t>
  </si>
  <si>
    <t>Rendimiento_Solidos_%</t>
  </si>
  <si>
    <t>Kg_MG_Nata</t>
  </si>
  <si>
    <t>%RECUP_MG</t>
  </si>
  <si>
    <t>%RECUP_PT</t>
  </si>
  <si>
    <t>Valor_Nata_€</t>
  </si>
  <si>
    <t>Kg_Finos</t>
  </si>
  <si>
    <t>Kg_Llenadora</t>
  </si>
  <si>
    <t>Kg_Desmoldeo</t>
  </si>
  <si>
    <t>L_Agua</t>
  </si>
  <si>
    <t>% oreo</t>
  </si>
  <si>
    <t>B_totales</t>
  </si>
  <si>
    <t>B_OK_uni</t>
  </si>
  <si>
    <t>B_OK_kg</t>
  </si>
  <si>
    <t>B_altas</t>
  </si>
  <si>
    <t>B_bajas</t>
  </si>
  <si>
    <t>B_rotas</t>
  </si>
  <si>
    <t>B_feas</t>
  </si>
  <si>
    <t>B_lab</t>
  </si>
  <si>
    <t>Kg_SalidaSecadero</t>
  </si>
  <si>
    <t>Kg_rebaba</t>
  </si>
  <si>
    <t>Kg_mer_env_real</t>
  </si>
  <si>
    <t>kg_mer_lab_real</t>
  </si>
  <si>
    <t>% merma TOT</t>
  </si>
  <si>
    <t>Merma_TOT</t>
  </si>
  <si>
    <t>Kg_Env_Total</t>
  </si>
  <si>
    <t>Coste_Leche_€</t>
  </si>
  <si>
    <t>€/kg_MPQueso</t>
  </si>
  <si>
    <t>Merma_inic</t>
  </si>
  <si>
    <t>Recup_kg</t>
  </si>
  <si>
    <t>Recup_%</t>
  </si>
  <si>
    <t>Merma_ppto fab</t>
  </si>
  <si>
    <t>Merma_ppto oreo</t>
  </si>
  <si>
    <t>Merma_ppto Env/Enc</t>
  </si>
  <si>
    <t>Merma_T ppto</t>
  </si>
  <si>
    <t>Merma_T ppto %</t>
  </si>
  <si>
    <t>Merma_T real %</t>
  </si>
  <si>
    <t>DIF R Vs PPTO</t>
  </si>
  <si>
    <t>IMPACTO</t>
  </si>
  <si>
    <t>DATO MEDIA ENE</t>
  </si>
  <si>
    <t>Venta Kg Q Ok</t>
  </si>
  <si>
    <t>Venta kg Merma</t>
  </si>
  <si>
    <t>MARTA Y DIANA</t>
  </si>
  <si>
    <t>mes</t>
  </si>
  <si>
    <t>% Merma_fab2</t>
  </si>
  <si>
    <t>Merma_fab</t>
  </si>
  <si>
    <t>%Merma_env</t>
  </si>
  <si>
    <t>%Merma_env_corr</t>
  </si>
  <si>
    <t xml:space="preserve">Año </t>
  </si>
  <si>
    <t>MesN</t>
  </si>
  <si>
    <t>AñoMes</t>
  </si>
  <si>
    <t>SemanaISO</t>
  </si>
  <si>
    <t>AñoSemana</t>
  </si>
  <si>
    <t>DiaSemanaN</t>
  </si>
  <si>
    <t>DiaSemana</t>
  </si>
  <si>
    <t>Categoría</t>
  </si>
  <si>
    <t>PesoBarra_kg</t>
  </si>
  <si>
    <t>GOUDA F C</t>
  </si>
  <si>
    <t xml:space="preserve">EDAM </t>
  </si>
  <si>
    <t xml:space="preserve">GOUDA </t>
  </si>
  <si>
    <t>MEZCLA</t>
  </si>
  <si>
    <t>OVEJA</t>
  </si>
  <si>
    <t>CABRA</t>
  </si>
  <si>
    <t>EMMENTAL</t>
  </si>
  <si>
    <t>LATINO</t>
  </si>
  <si>
    <t>Producto_id</t>
  </si>
  <si>
    <t>Etiquetas de fila</t>
  </si>
  <si>
    <t>Total general</t>
  </si>
  <si>
    <t>Feas_pct</t>
  </si>
  <si>
    <t>Bajas_pct</t>
  </si>
  <si>
    <t>Rotas_pct</t>
  </si>
  <si>
    <t>Labo_pct</t>
  </si>
  <si>
    <t>Merma_env_corregida_pct</t>
  </si>
  <si>
    <t>RDTO_Blanco_kg</t>
  </si>
  <si>
    <t>Merma_TOT_kg</t>
  </si>
  <si>
    <t>Recup_pct</t>
  </si>
  <si>
    <t>Impacto_EUR</t>
  </si>
  <si>
    <t>Mensual</t>
  </si>
  <si>
    <t>KPIs</t>
  </si>
  <si>
    <t>Lotes</t>
  </si>
  <si>
    <t>Fallas</t>
  </si>
  <si>
    <t xml:space="preserve">Balance Leche </t>
  </si>
  <si>
    <t>Nata_leche_L</t>
  </si>
  <si>
    <t>Nata_suero_L</t>
  </si>
  <si>
    <t>Valor_Nata_EUR</t>
  </si>
  <si>
    <t>Nata_Total_L</t>
  </si>
  <si>
    <t>Solidos_en_queso_kg</t>
  </si>
  <si>
    <t>Recup_solidos_a_queso_pct</t>
  </si>
  <si>
    <t>Suero_kg_aprox</t>
  </si>
  <si>
    <t>Solidos_principales_suero_kg</t>
  </si>
  <si>
    <t>Solidos_principales_suero_pct_sobre_leche</t>
  </si>
  <si>
    <t>Solidos</t>
  </si>
  <si>
    <t>Desn_en_linea</t>
  </si>
  <si>
    <t>MG_a_nata_leche_kg</t>
  </si>
  <si>
    <t>IMPACTO_vs_PPTO</t>
  </si>
  <si>
    <t>Solidos_leche_FP_kg</t>
  </si>
  <si>
    <t>Solidos_queso_FP_kg</t>
  </si>
  <si>
    <t>Litros_Leche</t>
  </si>
  <si>
    <t>kg_Blancos</t>
  </si>
  <si>
    <t>Kg_secadero</t>
  </si>
  <si>
    <t>RDTO_neto_pond</t>
  </si>
  <si>
    <t>Recup_FP_queso_pct</t>
  </si>
  <si>
    <t>€/kg_MP_Queso</t>
  </si>
  <si>
    <t>Merma_TOT_%_blanco_a_vendible</t>
  </si>
  <si>
    <t>Merma_TOT_pct</t>
  </si>
  <si>
    <t>SI</t>
  </si>
  <si>
    <t>EDAM</t>
  </si>
  <si>
    <t>GOUDA</t>
  </si>
  <si>
    <t>2026-01</t>
  </si>
  <si>
    <t>Mes_Nom</t>
  </si>
  <si>
    <t>Día</t>
  </si>
  <si>
    <t>CAGLIATA</t>
  </si>
  <si>
    <t>Rendimiento Blanco</t>
  </si>
  <si>
    <t>Merma Fabr</t>
  </si>
  <si>
    <t>Merma Oreo</t>
  </si>
  <si>
    <t>Merma E/E</t>
  </si>
  <si>
    <t>MEZCLA60_40</t>
  </si>
  <si>
    <t>Rend_Ntarget</t>
  </si>
  <si>
    <t>REND_TARGET</t>
  </si>
  <si>
    <t>RDTO_Net_Actual</t>
  </si>
  <si>
    <t>KgxProducto</t>
  </si>
  <si>
    <t>Kg_saladero_tons</t>
  </si>
  <si>
    <t>Tons Producidos</t>
  </si>
  <si>
    <t>Rend_Actual</t>
  </si>
  <si>
    <t>Rend_Target</t>
  </si>
  <si>
    <t>Evolucion rendimiento</t>
  </si>
  <si>
    <t>Rend_Neto</t>
  </si>
  <si>
    <t>All</t>
  </si>
  <si>
    <t>Suma de Kg_Finos</t>
  </si>
  <si>
    <t>Tipos Merma</t>
  </si>
  <si>
    <t>%_Merma_Finos</t>
  </si>
  <si>
    <t>%_Merma_Llenadora</t>
  </si>
  <si>
    <t>%_Merma_Desm</t>
  </si>
  <si>
    <t>%_Merma_oreo</t>
  </si>
  <si>
    <t xml:space="preserve"> %Merma_env_corr</t>
  </si>
  <si>
    <t>ENE</t>
  </si>
  <si>
    <t>Fase</t>
  </si>
  <si>
    <t>Finos</t>
  </si>
  <si>
    <t>Llenadora</t>
  </si>
  <si>
    <t>Desm</t>
  </si>
  <si>
    <t>Oreo</t>
  </si>
  <si>
    <t>2026-03</t>
  </si>
  <si>
    <t>MAR</t>
  </si>
  <si>
    <t>Env</t>
  </si>
  <si>
    <t>2026-02</t>
  </si>
  <si>
    <t>FEB</t>
  </si>
  <si>
    <t>Precio_base</t>
  </si>
  <si>
    <t>Calidades</t>
  </si>
  <si>
    <t>Transporte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</si>
  <si>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</si>
  <si>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</si>
  <si>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</si>
  <si>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</si>
  <si>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</si>
  <si>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</si>
  <si>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</si>
  <si>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</si>
  <si>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</si>
  <si>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Precio Leche</t>
  </si>
  <si>
    <t>Mes_Num</t>
  </si>
  <si>
    <t>PMV (€/L)</t>
  </si>
  <si>
    <t>VACA</t>
  </si>
  <si>
    <t>2026-S01</t>
  </si>
  <si>
    <t>2026-S02</t>
  </si>
  <si>
    <t>2026-S03</t>
  </si>
  <si>
    <t>2026-S04</t>
  </si>
  <si>
    <t>2026-S05</t>
  </si>
  <si>
    <t>2026-S06</t>
  </si>
  <si>
    <t>2026-S07</t>
  </si>
  <si>
    <t>2026-S08</t>
  </si>
  <si>
    <t>2026-S09</t>
  </si>
  <si>
    <t>2026-S10</t>
  </si>
  <si>
    <t>2026-S11</t>
  </si>
  <si>
    <t>2026-S12</t>
  </si>
  <si>
    <t>2026-S13</t>
  </si>
  <si>
    <t>2026-S14</t>
  </si>
  <si>
    <t>2026-S15</t>
  </si>
  <si>
    <t>2026-S16</t>
  </si>
  <si>
    <t>2026-S17</t>
  </si>
  <si>
    <t>2026-S18</t>
  </si>
  <si>
    <t>2026-S19</t>
  </si>
  <si>
    <t>2026-S20</t>
  </si>
  <si>
    <t>2026-S21</t>
  </si>
  <si>
    <t>2026-S22</t>
  </si>
  <si>
    <t>2026-S23</t>
  </si>
  <si>
    <t>2026-S24</t>
  </si>
  <si>
    <t>2026-S25</t>
  </si>
  <si>
    <t>2026-S26</t>
  </si>
  <si>
    <t>2026-S27</t>
  </si>
  <si>
    <t>2026-S28</t>
  </si>
  <si>
    <t>2026-S29</t>
  </si>
  <si>
    <t>2026-S30</t>
  </si>
  <si>
    <t>2026-S31</t>
  </si>
  <si>
    <t>2026-S32</t>
  </si>
  <si>
    <t>2026-S33</t>
  </si>
  <si>
    <t>2026-S34</t>
  </si>
  <si>
    <t>2026-S35</t>
  </si>
  <si>
    <t>2026-S36</t>
  </si>
  <si>
    <t>2026-S37</t>
  </si>
  <si>
    <t>2026-S38</t>
  </si>
  <si>
    <t>2026-S39</t>
  </si>
  <si>
    <t>2026-S40</t>
  </si>
  <si>
    <t>2026-S41</t>
  </si>
  <si>
    <t>2026-S42</t>
  </si>
  <si>
    <t>2026-S43</t>
  </si>
  <si>
    <t>2026-S44</t>
  </si>
  <si>
    <t>2026-S45</t>
  </si>
  <si>
    <t>2026-S46</t>
  </si>
  <si>
    <t>2026-S47</t>
  </si>
  <si>
    <t>2026-S48</t>
  </si>
  <si>
    <t>2026-S49</t>
  </si>
  <si>
    <t>2026-S50</t>
  </si>
  <si>
    <t>2026-S51</t>
  </si>
  <si>
    <t>2026-S52</t>
  </si>
  <si>
    <t>2026-S53</t>
  </si>
  <si>
    <t>Precio venta queso</t>
  </si>
  <si>
    <t>EDAM_F</t>
  </si>
  <si>
    <t>EDAM_F_C</t>
  </si>
  <si>
    <t>GOUDA_F</t>
  </si>
  <si>
    <t>GOUDA_F_C</t>
  </si>
  <si>
    <t>TIERNO_MEZCLA</t>
  </si>
  <si>
    <t>PV_eur_kg</t>
  </si>
  <si>
    <t>Año</t>
  </si>
  <si>
    <t>Tipo_Leche</t>
  </si>
  <si>
    <t>PMV_eur_L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</si>
  <si>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</si>
  <si>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</si>
  <si>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</si>
  <si>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</si>
  <si>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</si>
  <si>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</si>
  <si>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</si>
  <si>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</si>
  <si>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</si>
  <si>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Contabilidad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</si>
  <si>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</si>
  <si>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</si>
  <si>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</si>
  <si>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</si>
  <si>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</si>
  <si>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</si>
  <si>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</si>
  <si>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</si>
  <si>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</si>
  <si>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</si>
  <si>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</si>
  <si>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</si>
  <si>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r>
      <t>Gastos Estructura (</t>
    </r>
    <r>
      <rPr>
        <sz val="11"/>
        <color theme="1"/>
        <rFont val="Aptos Narrow"/>
        <family val="2"/>
      </rPr>
      <t>€∕</t>
    </r>
    <r>
      <rPr>
        <sz val="11"/>
        <color theme="1"/>
        <rFont val="Calibri"/>
        <family val="2"/>
      </rPr>
      <t>mes)</t>
    </r>
  </si>
  <si>
    <t>EBITDA  (M€)</t>
  </si>
  <si>
    <t>EBITDA_PPTO (M€)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</si>
  <si>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</si>
  <si>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</si>
  <si>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</si>
  <si>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</si>
  <si>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</si>
  <si>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</si>
  <si>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</si>
  <si>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</si>
  <si>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</si>
  <si>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</si>
  <si>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</si>
  <si>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</si>
  <si>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</si>
  <si>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</si>
  <si>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</si>
  <si>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</si>
  <si>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</si>
  <si>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</si>
  <si>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</si>
  <si>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</si>
  <si>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</si>
  <si>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</si>
  <si>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</si>
  <si>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</si>
  <si>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</si>
  <si>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</si>
  <si>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</si>
  <si>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</si>
  <si>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2029-05</t>
  </si>
  <si>
    <t>2029-06</t>
  </si>
  <si>
    <t>2029-07</t>
  </si>
  <si>
    <t>2029-08</t>
  </si>
  <si>
    <t>2029-09</t>
  </si>
  <si>
    <t>2029-10</t>
  </si>
  <si>
    <t>2029-11</t>
  </si>
  <si>
    <t>2029-12</t>
  </si>
  <si>
    <t>2030-01</t>
  </si>
  <si>
    <t>2030-02</t>
  </si>
  <si>
    <t>2030-03</t>
  </si>
  <si>
    <t>2030-04</t>
  </si>
  <si>
    <t>2030-05</t>
  </si>
  <si>
    <t>2030-06</t>
  </si>
  <si>
    <t>2030-07</t>
  </si>
  <si>
    <t>2030-08</t>
  </si>
  <si>
    <t>2030-09</t>
  </si>
  <si>
    <t>2030-10</t>
  </si>
  <si>
    <t>2030-11</t>
  </si>
  <si>
    <t>2030-12</t>
  </si>
  <si>
    <t>Ventas (kg)</t>
  </si>
  <si>
    <t>Gasto_Estr_€/kg</t>
  </si>
  <si>
    <t>Promedio de Gastos Estructura (€∕mes)</t>
  </si>
  <si>
    <t>Promedio de EBITDA  (M€)</t>
  </si>
  <si>
    <t>2025-S01</t>
  </si>
  <si>
    <t>2025-S02</t>
  </si>
  <si>
    <t>2025-S03</t>
  </si>
  <si>
    <t>2025-S04</t>
  </si>
  <si>
    <t>2025-S05</t>
  </si>
  <si>
    <t>2025-S06</t>
  </si>
  <si>
    <t>2025-S07</t>
  </si>
  <si>
    <t>2025-S08</t>
  </si>
  <si>
    <t>2025-S09</t>
  </si>
  <si>
    <t>2025-S10</t>
  </si>
  <si>
    <t>2025-S11</t>
  </si>
  <si>
    <t>2025-S12</t>
  </si>
  <si>
    <t>2025-S13</t>
  </si>
  <si>
    <t>2025-S14</t>
  </si>
  <si>
    <t>2025-S15</t>
  </si>
  <si>
    <t>2025-S16</t>
  </si>
  <si>
    <t>2025-S17</t>
  </si>
  <si>
    <t>2025-S18</t>
  </si>
  <si>
    <t>2025-S19</t>
  </si>
  <si>
    <t>2025-S20</t>
  </si>
  <si>
    <t>2025-S21</t>
  </si>
  <si>
    <t>2025-S22</t>
  </si>
  <si>
    <t>2025-S23</t>
  </si>
  <si>
    <t>2025-S24</t>
  </si>
  <si>
    <t>2025-S25</t>
  </si>
  <si>
    <t>2025-S26</t>
  </si>
  <si>
    <t>2025-S27</t>
  </si>
  <si>
    <t>2025-S28</t>
  </si>
  <si>
    <t>2025-S29</t>
  </si>
  <si>
    <t>2025-S30</t>
  </si>
  <si>
    <t>2025-S31</t>
  </si>
  <si>
    <t>2025-S32</t>
  </si>
  <si>
    <t>2025-S33</t>
  </si>
  <si>
    <t>2025-S34</t>
  </si>
  <si>
    <t>2025-S35</t>
  </si>
  <si>
    <t>2025-S36</t>
  </si>
  <si>
    <t>2025-S37</t>
  </si>
  <si>
    <t>2025-S38</t>
  </si>
  <si>
    <t>2025-S39</t>
  </si>
  <si>
    <t>2025-S40</t>
  </si>
  <si>
    <t>2025-S41</t>
  </si>
  <si>
    <t>2025-S42</t>
  </si>
  <si>
    <t>2025-S43</t>
  </si>
  <si>
    <t>2025-S44</t>
  </si>
  <si>
    <t>2025-S45</t>
  </si>
  <si>
    <t>2025-S46</t>
  </si>
  <si>
    <t>2025-S47</t>
  </si>
  <si>
    <t>2025-S48</t>
  </si>
  <si>
    <t>2025-S49</t>
  </si>
  <si>
    <t>2025-S50</t>
  </si>
  <si>
    <t>2025-S51</t>
  </si>
  <si>
    <t>2025-S52</t>
  </si>
  <si>
    <t>Kilos Reclamados</t>
  </si>
  <si>
    <t>Estado</t>
  </si>
  <si>
    <t>Estado_Reclamos</t>
  </si>
  <si>
    <t>Aprobado</t>
  </si>
  <si>
    <t>Rechazado</t>
  </si>
  <si>
    <t>En estudio</t>
  </si>
  <si>
    <t>Tabla_Precio_Leche</t>
  </si>
  <si>
    <t>Coste Ing_emb</t>
  </si>
  <si>
    <t>EDAM_SLAC</t>
  </si>
  <si>
    <t>GOUDA_SLAC</t>
  </si>
  <si>
    <t>Tabla_Target</t>
  </si>
  <si>
    <t>OTIFF</t>
  </si>
  <si>
    <t>Tabla_Otiff</t>
  </si>
  <si>
    <t>Venta_nata_suero_euros</t>
  </si>
  <si>
    <t>Venta_nata_leche_euros</t>
  </si>
  <si>
    <t>Venta_suero_euros</t>
  </si>
  <si>
    <t>Venta_permeado_euros</t>
  </si>
  <si>
    <t>Subproductos_venta</t>
  </si>
  <si>
    <t>Venta_nata_suero_Kg</t>
  </si>
  <si>
    <t>Venta_nata_leche_kg</t>
  </si>
  <si>
    <t>Venta_suero_conc_kg</t>
  </si>
  <si>
    <t>Venta_permeado_kg</t>
  </si>
  <si>
    <t>020125726</t>
  </si>
  <si>
    <t>020125226</t>
  </si>
  <si>
    <t>070125216</t>
  </si>
  <si>
    <t>080125216</t>
  </si>
  <si>
    <t>100125326</t>
  </si>
  <si>
    <t>210125026</t>
  </si>
  <si>
    <t>270125326</t>
  </si>
  <si>
    <t>0300125146</t>
  </si>
  <si>
    <t>030225116</t>
  </si>
  <si>
    <t>060225146</t>
  </si>
  <si>
    <t>030325116</t>
  </si>
  <si>
    <t>050325126</t>
  </si>
  <si>
    <t>060325026</t>
  </si>
  <si>
    <t>010425116</t>
  </si>
  <si>
    <t>010425117</t>
  </si>
  <si>
    <t>030425146</t>
  </si>
  <si>
    <t>070425327</t>
  </si>
  <si>
    <t>080425126</t>
  </si>
  <si>
    <t>080425026</t>
  </si>
  <si>
    <t>020525316</t>
  </si>
  <si>
    <t>050525226</t>
  </si>
  <si>
    <t>060525316</t>
  </si>
  <si>
    <t>070525226</t>
  </si>
  <si>
    <t>080525326</t>
  </si>
  <si>
    <t>020625316</t>
  </si>
  <si>
    <t>040625926</t>
  </si>
  <si>
    <t>040625316</t>
  </si>
  <si>
    <t>060625126</t>
  </si>
  <si>
    <t>090625826</t>
  </si>
  <si>
    <t>090625316</t>
  </si>
  <si>
    <t>020725326</t>
  </si>
  <si>
    <t>040725116</t>
  </si>
  <si>
    <t>070725326</t>
  </si>
  <si>
    <t>090725126</t>
  </si>
  <si>
    <t>040825316</t>
  </si>
  <si>
    <t>070825026</t>
  </si>
  <si>
    <t>020925397</t>
  </si>
  <si>
    <t>020925396</t>
  </si>
  <si>
    <t>040925326</t>
  </si>
  <si>
    <t>090925397</t>
  </si>
  <si>
    <t>090925316</t>
  </si>
  <si>
    <t>021025316</t>
  </si>
  <si>
    <t>061025316</t>
  </si>
  <si>
    <t>091025316</t>
  </si>
  <si>
    <t>041125326</t>
  </si>
  <si>
    <t>061125316</t>
  </si>
  <si>
    <t>011225026</t>
  </si>
  <si>
    <t>031225307</t>
  </si>
  <si>
    <t>041225916</t>
  </si>
  <si>
    <t>041225317</t>
  </si>
  <si>
    <t>041225316</t>
  </si>
  <si>
    <t>091225146</t>
  </si>
  <si>
    <t>Diferencia_Env_vs_Sec_kg</t>
  </si>
  <si>
    <t>Diferencia_Env_vs_Sec_%</t>
  </si>
  <si>
    <t>050126346</t>
  </si>
  <si>
    <t>070126316</t>
  </si>
  <si>
    <t>090126346</t>
  </si>
  <si>
    <t>120126316</t>
  </si>
  <si>
    <t>140126316</t>
  </si>
  <si>
    <t>150126326</t>
  </si>
  <si>
    <t>190126316</t>
  </si>
  <si>
    <t>210126326</t>
  </si>
  <si>
    <t>220126326</t>
  </si>
  <si>
    <t>260126316</t>
  </si>
  <si>
    <t>280126316</t>
  </si>
  <si>
    <t>290126126</t>
  </si>
  <si>
    <t>040226116</t>
  </si>
  <si>
    <t>110226126</t>
  </si>
  <si>
    <t>030326346</t>
  </si>
  <si>
    <t>050326346</t>
  </si>
  <si>
    <t>Litr/Flc</t>
  </si>
  <si>
    <t>08012301</t>
  </si>
  <si>
    <t>230126301-304</t>
  </si>
  <si>
    <t>130226301-304</t>
  </si>
  <si>
    <t>040326301-304</t>
  </si>
  <si>
    <t>110326301-304</t>
  </si>
  <si>
    <t>180326304</t>
  </si>
  <si>
    <t>080426301-304</t>
  </si>
  <si>
    <t>150426301-304</t>
  </si>
  <si>
    <t>Dia</t>
  </si>
  <si>
    <t>KG_RQ</t>
  </si>
  <si>
    <t>Nata_Propia</t>
  </si>
  <si>
    <t>Nata_Ext</t>
  </si>
  <si>
    <t>Litr_Suero_conc</t>
  </si>
  <si>
    <t>Cant_Floc</t>
  </si>
  <si>
    <t>Rend_Bruto</t>
  </si>
  <si>
    <t>Kg_mezcla</t>
  </si>
  <si>
    <t>08012302</t>
  </si>
  <si>
    <t>Receta</t>
  </si>
  <si>
    <t>%MG</t>
  </si>
  <si>
    <t>%MP</t>
  </si>
  <si>
    <t>%HUMEDAD</t>
  </si>
  <si>
    <t>Tio resti</t>
  </si>
  <si>
    <t>DIA_INC</t>
  </si>
  <si>
    <t>TIPO</t>
  </si>
  <si>
    <t>PARÁMETRO</t>
  </si>
  <si>
    <t>VALOR_MUESTRA</t>
  </si>
  <si>
    <t>VALOR_REFERENCIA</t>
  </si>
  <si>
    <t>GRAVEDAD_EXP</t>
  </si>
  <si>
    <t>COSTE</t>
  </si>
  <si>
    <t>VENCIMIENTO</t>
  </si>
  <si>
    <t>Desviación</t>
  </si>
  <si>
    <t>Nitrógeno</t>
  </si>
  <si>
    <t>Grave y Recurrente</t>
  </si>
  <si>
    <t>PROMEDIO</t>
  </si>
  <si>
    <t>Precio venta requesón</t>
  </si>
  <si>
    <t>2025-S53</t>
  </si>
  <si>
    <t>Requesón</t>
  </si>
  <si>
    <t>Ventas_tio_resti(kg)</t>
  </si>
  <si>
    <t>PV_eur_kg_Testi</t>
  </si>
  <si>
    <t>Ventas_regular(kg)</t>
  </si>
  <si>
    <t>PV_eur_kg_Regular</t>
  </si>
  <si>
    <t>Venta_Mermas</t>
  </si>
  <si>
    <t>PM_Mermas</t>
  </si>
  <si>
    <t>Precio venta merma</t>
  </si>
  <si>
    <t>real</t>
  </si>
  <si>
    <t>no recalculado</t>
  </si>
  <si>
    <t>no info</t>
  </si>
  <si>
    <t>info mes</t>
  </si>
  <si>
    <t>BAJO_GRASA_F</t>
  </si>
  <si>
    <t>GOUDA_LIGHT</t>
  </si>
  <si>
    <t>010426346</t>
  </si>
  <si>
    <t>060426316</t>
  </si>
  <si>
    <t>070426316</t>
  </si>
  <si>
    <t>090426316</t>
  </si>
  <si>
    <t>si</t>
  </si>
  <si>
    <t>LAYNER Y DIANA</t>
  </si>
  <si>
    <t>9.30</t>
  </si>
  <si>
    <t>LAYNER/ DIANA</t>
  </si>
  <si>
    <t xml:space="preserve">LAYNER  </t>
  </si>
  <si>
    <t>Productos</t>
  </si>
  <si>
    <t>REQUESON</t>
  </si>
  <si>
    <t>real. N. suero ajuste precio</t>
  </si>
  <si>
    <t>ok</t>
  </si>
  <si>
    <t>040526397</t>
  </si>
  <si>
    <t>040526316</t>
  </si>
  <si>
    <t>060526326</t>
  </si>
  <si>
    <t>070526316</t>
  </si>
  <si>
    <t>080526301-304</t>
  </si>
  <si>
    <t>8.50</t>
  </si>
  <si>
    <t>010626397</t>
  </si>
  <si>
    <t>010626326</t>
  </si>
  <si>
    <t>030626326</t>
  </si>
  <si>
    <t>090626346</t>
  </si>
  <si>
    <t>100626346</t>
  </si>
  <si>
    <t>040626301-304</t>
  </si>
  <si>
    <t>100626301-304</t>
  </si>
  <si>
    <t>100626304</t>
  </si>
  <si>
    <t>LAYNER Y ABBY</t>
  </si>
  <si>
    <t>salida DAF puntual</t>
  </si>
  <si>
    <t>010726326</t>
  </si>
  <si>
    <t>010726316</t>
  </si>
  <si>
    <t>020726304</t>
  </si>
  <si>
    <t>estimado</t>
  </si>
  <si>
    <t>090726326</t>
  </si>
  <si>
    <t>090726316</t>
  </si>
  <si>
    <t>160726326</t>
  </si>
  <si>
    <t>170726304</t>
  </si>
  <si>
    <t>pendiente definir kg</t>
  </si>
  <si>
    <t>240726301-304</t>
  </si>
  <si>
    <t>MARTA Y ELENA</t>
  </si>
  <si>
    <t>MARTA Y ABBY</t>
  </si>
  <si>
    <t>060826326</t>
  </si>
  <si>
    <t>140826301-304</t>
  </si>
  <si>
    <t>Flamengo</t>
  </si>
  <si>
    <t>280826301-304</t>
  </si>
  <si>
    <t>de ago</t>
  </si>
  <si>
    <t>100926304</t>
  </si>
  <si>
    <t xml:space="preserve">LAYNER   </t>
  </si>
  <si>
    <t>240926301-304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</si>
</sst>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4" formatCode="_-&quot;$&quot;\ * #,##0.00_-;\-&quot;$&quot;\ * #,##0.00_-;_-&quot;$&quot;\ * &quot;-&quot;??_-;_-@_-"/>
    <numFmt numFmtId="164" formatCode="#,##0\ &quot;€&quot;;\-#,##0\ &quot;€&quot;"/>
    <numFmt numFmtId="165" formatCode="#,##0.00\ &quot;€&quot;;\-#,##0.00\ &quot;€&quot;"/>
    <numFmt numFmtId="166" formatCode="0.000"/>
    <numFmt numFmtId="167" formatCode="0.0%"/>
    <numFmt numFmtId="168" formatCode="0.0"/>
    <numFmt numFmtId="169" formatCode="#,##0.0000"/>
    <numFmt numFmtId="170" formatCode="_-[$€-2]\ * #,##0_-;\-[$€-2]\ * #,##0_-;_-[$€-2]\ * &quot;-&quot;??_-;_-@_-"/>
    <numFmt numFmtId="171" formatCode="_-[$€-2]\ * #,##0.00_-;\-[$€-2]\ * #,##0.00_-;_-[$€-2]\ * &quot;-&quot;??_-;_-@_-"/>
    <numFmt numFmtId="172" formatCode="_-* #,##0.00\ [$€-C0A]_-;\-* #,##0.00\ [$€-C0A]_-;_-* &quot;-&quot;??\ [$€-C0A]_-;_-@_-"/>
    <numFmt numFmtId="173" formatCode="_-* #,##0\ [$€-C0A]_-;\-* #,##0\ [$€-C0A]_-;_-* &quot;-&quot;??\ [$€-C0A]_-;_-@_-"/>
    <numFmt numFmtId="174" formatCode="0\ %;\-0\ %;0\ %"/>
    <numFmt numFmtId="175" formatCode="0.00\ %;\-0.00\ %;0.00\ %"/>
    <numFmt numFmtId="176" formatCode="0.0000"/>
    <numFmt numFmtId="177" formatCode="#,##0.000"/>
    <numFmt numFmtId="178" formatCode="#,##0.00\ \€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1"/>
      <color theme="1"/>
      <name val="Verdana"/>
      <family val="2"/>
    </font>
    <font>
      <sz val="11"/>
      <color theme="1"/>
      <name val="Segoe UI"/>
      <family val="2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BFBFBF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rgb="FF95B3D7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theme="4" tint="0.3999755851924192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theme="4" tint="0.39997558519241921"/>
      </bottom>
      <diagonal/>
    </border>
  </borders>
  <cellStyleXfs count="112">
    <xf numFmtId="0" fontId="0" fillId="0" borderId="0"/>
    <xf numFmtId="0" fontId="2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5" fillId="0" borderId="0" applyNumberFormat="0" applyFill="0" applyBorder="0" applyAlignment="0" applyProtection="0"/>
    <xf numFmtId="0" fontId="6" fillId="0" borderId="11" applyNumberFormat="0" applyFill="0" applyAlignment="0" applyProtection="0"/>
    <xf numFmtId="0" fontId="7" fillId="0" borderId="12" applyNumberFormat="0" applyFill="0" applyAlignment="0" applyProtection="0"/>
    <xf numFmtId="0" fontId="8" fillId="0" borderId="1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14" applyNumberFormat="0" applyAlignment="0" applyProtection="0"/>
    <xf numFmtId="0" fontId="13" fillId="6" borderId="15" applyNumberFormat="0" applyAlignment="0" applyProtection="0"/>
    <xf numFmtId="0" fontId="14" fillId="6" borderId="14" applyNumberFormat="0" applyAlignment="0" applyProtection="0"/>
    <xf numFmtId="0" fontId="15" fillId="0" borderId="16" applyNumberFormat="0" applyFill="0" applyAlignment="0" applyProtection="0"/>
    <xf numFmtId="0" fontId="16" fillId="7" borderId="17" applyNumberFormat="0" applyAlignment="0" applyProtection="0"/>
    <xf numFmtId="0" fontId="17" fillId="0" borderId="0" applyNumberFormat="0" applyFill="0" applyBorder="0" applyAlignment="0" applyProtection="0"/>
    <xf numFmtId="0" fontId="1" fillId="8" borderId="1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9" applyNumberFormat="0" applyFill="0" applyAlignment="0" applyProtection="0"/>
    <xf numFmtId="0" fontId="20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32" borderId="0" applyNumberFormat="0" applyBorder="0" applyAlignment="0" applyProtection="0"/>
    <xf numFmtId="0" fontId="36" fillId="16" borderId="0" applyNumberFormat="0" applyBorder="0" applyAlignment="0" applyProtection="0"/>
    <xf numFmtId="0" fontId="22" fillId="0" borderId="11" applyNumberFormat="0" applyFill="0" applyAlignment="0" applyProtection="0"/>
    <xf numFmtId="0" fontId="21" fillId="0" borderId="0"/>
    <xf numFmtId="0" fontId="21" fillId="10" borderId="0" applyNumberFormat="0" applyBorder="0" applyAlignment="0" applyProtection="0"/>
    <xf numFmtId="0" fontId="30" fillId="6" borderId="14" applyNumberFormat="0" applyAlignment="0" applyProtection="0"/>
    <xf numFmtId="0" fontId="33" fillId="0" borderId="0" applyNumberFormat="0" applyFill="0" applyBorder="0" applyAlignment="0" applyProtection="0"/>
    <xf numFmtId="0" fontId="26" fillId="3" borderId="0" applyNumberFormat="0" applyBorder="0" applyAlignment="0" applyProtection="0"/>
    <xf numFmtId="0" fontId="36" fillId="13" borderId="0" applyNumberFormat="0" applyBorder="0" applyAlignment="0" applyProtection="0"/>
    <xf numFmtId="0" fontId="21" fillId="30" borderId="0" applyNumberFormat="0" applyBorder="0" applyAlignment="0" applyProtection="0"/>
    <xf numFmtId="0" fontId="36" fillId="12" borderId="0" applyNumberFormat="0" applyBorder="0" applyAlignment="0" applyProtection="0"/>
    <xf numFmtId="0" fontId="25" fillId="2" borderId="0" applyNumberFormat="0" applyBorder="0" applyAlignment="0" applyProtection="0"/>
    <xf numFmtId="0" fontId="27" fillId="4" borderId="0" applyNumberFormat="0" applyBorder="0" applyAlignment="0" applyProtection="0"/>
    <xf numFmtId="0" fontId="24" fillId="0" borderId="0" applyNumberFormat="0" applyFill="0" applyBorder="0" applyAlignment="0" applyProtection="0"/>
    <xf numFmtId="0" fontId="21" fillId="8" borderId="18" applyNumberFormat="0" applyFont="0" applyAlignment="0" applyProtection="0"/>
    <xf numFmtId="0" fontId="36" fillId="9" borderId="0" applyNumberFormat="0" applyBorder="0" applyAlignment="0" applyProtection="0"/>
    <xf numFmtId="0" fontId="36" fillId="32" borderId="0" applyNumberFormat="0" applyBorder="0" applyAlignment="0" applyProtection="0"/>
    <xf numFmtId="0" fontId="21" fillId="22" borderId="0" applyNumberFormat="0" applyBorder="0" applyAlignment="0" applyProtection="0"/>
    <xf numFmtId="0" fontId="36" fillId="20" borderId="0" applyNumberFormat="0" applyBorder="0" applyAlignment="0" applyProtection="0"/>
    <xf numFmtId="0" fontId="21" fillId="19" borderId="0" applyNumberFormat="0" applyBorder="0" applyAlignment="0" applyProtection="0"/>
    <xf numFmtId="0" fontId="21" fillId="31" borderId="0" applyNumberFormat="0" applyBorder="0" applyAlignment="0" applyProtection="0"/>
    <xf numFmtId="0" fontId="36" fillId="25" borderId="0" applyNumberFormat="0" applyBorder="0" applyAlignment="0" applyProtection="0"/>
    <xf numFmtId="0" fontId="21" fillId="15" borderId="0" applyNumberFormat="0" applyBorder="0" applyAlignment="0" applyProtection="0"/>
    <xf numFmtId="0" fontId="21" fillId="26" borderId="0" applyNumberFormat="0" applyBorder="0" applyAlignment="0" applyProtection="0"/>
    <xf numFmtId="0" fontId="36" fillId="24" borderId="0" applyNumberFormat="0" applyBorder="0" applyAlignment="0" applyProtection="0"/>
    <xf numFmtId="0" fontId="21" fillId="14" borderId="0" applyNumberFormat="0" applyBorder="0" applyAlignment="0" applyProtection="0"/>
    <xf numFmtId="0" fontId="29" fillId="6" borderId="15" applyNumberFormat="0" applyAlignment="0" applyProtection="0"/>
    <xf numFmtId="0" fontId="36" fillId="29" borderId="0" applyNumberFormat="0" applyBorder="0" applyAlignment="0" applyProtection="0"/>
    <xf numFmtId="0" fontId="21" fillId="23" borderId="0" applyNumberFormat="0" applyBorder="0" applyAlignment="0" applyProtection="0"/>
    <xf numFmtId="0" fontId="36" fillId="17" borderId="0" applyNumberFormat="0" applyBorder="0" applyAlignment="0" applyProtection="0"/>
    <xf numFmtId="0" fontId="34" fillId="0" borderId="0" applyNumberFormat="0" applyFill="0" applyBorder="0" applyAlignment="0" applyProtection="0"/>
    <xf numFmtId="0" fontId="36" fillId="28" borderId="0" applyNumberFormat="0" applyBorder="0" applyAlignment="0" applyProtection="0"/>
    <xf numFmtId="0" fontId="21" fillId="18" borderId="0" applyNumberFormat="0" applyBorder="0" applyAlignment="0" applyProtection="0"/>
    <xf numFmtId="0" fontId="32" fillId="7" borderId="17" applyNumberFormat="0" applyAlignment="0" applyProtection="0"/>
    <xf numFmtId="0" fontId="21" fillId="27" borderId="0" applyNumberFormat="0" applyBorder="0" applyAlignment="0" applyProtection="0"/>
    <xf numFmtId="0" fontId="36" fillId="21" borderId="0" applyNumberFormat="0" applyBorder="0" applyAlignment="0" applyProtection="0"/>
    <xf numFmtId="0" fontId="21" fillId="11" borderId="0" applyNumberFormat="0" applyBorder="0" applyAlignment="0" applyProtection="0"/>
    <xf numFmtId="0" fontId="31" fillId="0" borderId="16" applyNumberFormat="0" applyFill="0" applyAlignment="0" applyProtection="0"/>
    <xf numFmtId="0" fontId="23" fillId="0" borderId="12" applyNumberFormat="0" applyFill="0" applyAlignment="0" applyProtection="0"/>
    <xf numFmtId="0" fontId="24" fillId="0" borderId="13" applyNumberFormat="0" applyFill="0" applyAlignment="0" applyProtection="0"/>
    <xf numFmtId="0" fontId="35" fillId="0" borderId="19" applyNumberFormat="0" applyFill="0" applyAlignment="0" applyProtection="0"/>
    <xf numFmtId="0" fontId="28" fillId="5" borderId="14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2" fillId="0" borderId="0"/>
    <xf numFmtId="0" fontId="2" fillId="0" borderId="0"/>
    <xf numFmtId="0" fontId="38" fillId="0" borderId="0"/>
    <xf numFmtId="0" fontId="39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0" borderId="0"/>
    <xf numFmtId="9" fontId="40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19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0" fontId="0" fillId="0" borderId="0" xfId="98" applyNumberFormat="1" applyFont="1"/>
    <xf numFmtId="0" fontId="19" fillId="0" borderId="0" xfId="0" applyFont="1"/>
    <xf numFmtId="1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21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68" fontId="0" fillId="0" borderId="8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0" fillId="34" borderId="8" xfId="0" applyFill="1" applyBorder="1" applyAlignment="1">
      <alignment horizontal="center" vertical="center"/>
    </xf>
    <xf numFmtId="20" fontId="0" fillId="34" borderId="8" xfId="0" applyNumberFormat="1" applyFill="1" applyBorder="1" applyAlignment="1">
      <alignment horizontal="center" vertical="center"/>
    </xf>
    <xf numFmtId="0" fontId="0" fillId="34" borderId="22" xfId="0" applyFill="1" applyBorder="1" applyAlignment="1">
      <alignment horizontal="center" vertical="center"/>
    </xf>
    <xf numFmtId="2" fontId="0" fillId="34" borderId="8" xfId="0" applyNumberFormat="1" applyFill="1" applyBorder="1" applyAlignment="1">
      <alignment horizontal="center" vertical="center"/>
    </xf>
    <xf numFmtId="0" fontId="0" fillId="34" borderId="6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0" fontId="0" fillId="0" borderId="8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68" fontId="0" fillId="34" borderId="8" xfId="0" applyNumberFormat="1" applyFill="1" applyBorder="1" applyAlignment="1">
      <alignment horizontal="center" vertical="center"/>
    </xf>
    <xf numFmtId="2" fontId="0" fillId="34" borderId="22" xfId="0" applyNumberFormat="1" applyFill="1" applyBorder="1" applyAlignment="1">
      <alignment horizontal="center" vertical="center"/>
    </xf>
    <xf numFmtId="1" fontId="0" fillId="34" borderId="21" xfId="0" applyNumberFormat="1" applyFill="1" applyBorder="1" applyAlignment="1">
      <alignment horizontal="center" vertical="center"/>
    </xf>
    <xf numFmtId="0" fontId="0" fillId="34" borderId="21" xfId="0" applyFill="1" applyBorder="1" applyAlignment="1">
      <alignment horizontal="center" vertical="center"/>
    </xf>
    <xf numFmtId="0" fontId="0" fillId="34" borderId="27" xfId="0" applyFill="1" applyBorder="1" applyAlignment="1">
      <alignment horizontal="center" vertical="center"/>
    </xf>
    <xf numFmtId="2" fontId="0" fillId="34" borderId="26" xfId="0" applyNumberFormat="1" applyFill="1" applyBorder="1" applyAlignment="1">
      <alignment horizontal="center" vertical="center"/>
    </xf>
    <xf numFmtId="20" fontId="0" fillId="34" borderId="26" xfId="0" applyNumberForma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10" fontId="0" fillId="0" borderId="0" xfId="98" applyNumberFormat="1" applyFont="1" applyAlignment="1">
      <alignment horizontal="center"/>
    </xf>
    <xf numFmtId="9" fontId="0" fillId="0" borderId="0" xfId="98" applyFont="1" applyAlignment="1">
      <alignment horizontal="center"/>
    </xf>
    <xf numFmtId="2" fontId="0" fillId="0" borderId="0" xfId="0" applyNumberFormat="1"/>
    <xf numFmtId="9" fontId="0" fillId="0" borderId="0" xfId="98" applyFont="1"/>
    <xf numFmtId="1" fontId="41" fillId="0" borderId="21" xfId="0" applyNumberFormat="1" applyFont="1" applyBorder="1" applyAlignment="1">
      <alignment horizontal="center" vertical="center"/>
    </xf>
    <xf numFmtId="0" fontId="0" fillId="35" borderId="27" xfId="0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3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 vertical="center" wrapText="1"/>
    </xf>
    <xf numFmtId="2" fontId="0" fillId="0" borderId="0" xfId="98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0" fontId="0" fillId="0" borderId="0" xfId="0" applyNumberFormat="1"/>
    <xf numFmtId="10" fontId="20" fillId="33" borderId="0" xfId="0" applyNumberFormat="1" applyFont="1" applyFill="1"/>
    <xf numFmtId="14" fontId="0" fillId="0" borderId="0" xfId="0" applyNumberFormat="1" applyAlignment="1">
      <alignment vertical="center"/>
    </xf>
    <xf numFmtId="0" fontId="0" fillId="36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10" fontId="0" fillId="0" borderId="0" xfId="98" applyNumberFormat="1" applyFont="1" applyAlignment="1">
      <alignment vertical="center"/>
    </xf>
    <xf numFmtId="9" fontId="0" fillId="36" borderId="0" xfId="98" applyFont="1" applyFill="1" applyAlignment="1">
      <alignment vertical="center" wrapText="1"/>
    </xf>
    <xf numFmtId="0" fontId="0" fillId="35" borderId="0" xfId="0" applyFill="1" applyAlignment="1">
      <alignment vertical="center"/>
    </xf>
    <xf numFmtId="167" fontId="0" fillId="36" borderId="0" xfId="98" applyNumberFormat="1" applyFont="1" applyFill="1" applyAlignment="1">
      <alignment vertical="center" wrapText="1"/>
    </xf>
    <xf numFmtId="166" fontId="0" fillId="0" borderId="0" xfId="0" applyNumberFormat="1" applyAlignment="1">
      <alignment vertical="center"/>
    </xf>
    <xf numFmtId="49" fontId="0" fillId="0" borderId="0" xfId="0" applyNumberFormat="1" applyAlignment="1">
      <alignment horizontal="center"/>
    </xf>
    <xf numFmtId="3" fontId="41" fillId="0" borderId="0" xfId="0" applyNumberFormat="1" applyFont="1"/>
    <xf numFmtId="166" fontId="0" fillId="0" borderId="0" xfId="0" applyNumberFormat="1"/>
    <xf numFmtId="2" fontId="41" fillId="0" borderId="0" xfId="0" applyNumberFormat="1" applyFont="1"/>
    <xf numFmtId="167" fontId="0" fillId="0" borderId="0" xfId="98" applyNumberFormat="1" applyFont="1"/>
    <xf numFmtId="9" fontId="41" fillId="0" borderId="0" xfId="98" applyFont="1"/>
    <xf numFmtId="9" fontId="41" fillId="0" borderId="0" xfId="0" applyNumberFormat="1" applyFont="1"/>
    <xf numFmtId="170" fontId="0" fillId="0" borderId="0" xfId="0" applyNumberFormat="1"/>
    <xf numFmtId="167" fontId="0" fillId="0" borderId="0" xfId="98" applyNumberFormat="1" applyFont="1" applyFill="1"/>
    <xf numFmtId="171" fontId="0" fillId="0" borderId="0" xfId="0" applyNumberFormat="1"/>
    <xf numFmtId="10" fontId="0" fillId="0" borderId="0" xfId="98" applyNumberFormat="1" applyFont="1" applyFill="1"/>
    <xf numFmtId="10" fontId="16" fillId="35" borderId="0" xfId="98" applyNumberFormat="1" applyFont="1" applyFill="1" applyAlignment="1">
      <alignment horizontal="center"/>
    </xf>
    <xf numFmtId="167" fontId="0" fillId="0" borderId="0" xfId="98" applyNumberFormat="1" applyFont="1" applyAlignment="1">
      <alignment wrapText="1"/>
    </xf>
    <xf numFmtId="17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0" fillId="36" borderId="0" xfId="0" applyFont="1" applyFill="1" applyAlignment="1">
      <alignment vertical="center"/>
    </xf>
    <xf numFmtId="174" fontId="0" fillId="0" borderId="0" xfId="0" applyNumberFormat="1"/>
    <xf numFmtId="175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20" fillId="36" borderId="0" xfId="0" applyFont="1" applyFill="1" applyAlignment="1">
      <alignment vertical="center" wrapText="1"/>
    </xf>
    <xf numFmtId="172" fontId="0" fillId="0" borderId="0" xfId="0" applyNumberFormat="1" applyAlignment="1">
      <alignment horizontal="center"/>
    </xf>
    <xf numFmtId="172" fontId="20" fillId="36" borderId="0" xfId="0" applyNumberFormat="1" applyFont="1" applyFill="1" applyAlignment="1">
      <alignment vertical="center"/>
    </xf>
    <xf numFmtId="10" fontId="41" fillId="0" borderId="0" xfId="0" applyNumberFormat="1" applyFont="1"/>
    <xf numFmtId="173" fontId="0" fillId="0" borderId="0" xfId="0" applyNumberFormat="1"/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vertical="center"/>
    </xf>
    <xf numFmtId="49" fontId="0" fillId="0" borderId="0" xfId="0" applyNumberFormat="1"/>
    <xf numFmtId="165" fontId="0" fillId="0" borderId="0" xfId="0" applyNumberFormat="1"/>
    <xf numFmtId="0" fontId="0" fillId="0" borderId="2" xfId="0" applyBorder="1"/>
    <xf numFmtId="0" fontId="0" fillId="0" borderId="3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31" xfId="0" applyBorder="1"/>
    <xf numFmtId="0" fontId="0" fillId="0" borderId="30" xfId="0" applyBorder="1"/>
    <xf numFmtId="0" fontId="0" fillId="0" borderId="25" xfId="0" applyBorder="1"/>
    <xf numFmtId="176" fontId="0" fillId="0" borderId="0" xfId="0" applyNumberFormat="1"/>
    <xf numFmtId="14" fontId="0" fillId="35" borderId="0" xfId="0" applyNumberFormat="1" applyFill="1" applyAlignment="1">
      <alignment vertical="center"/>
    </xf>
    <xf numFmtId="177" fontId="45" fillId="0" borderId="8" xfId="0" applyNumberFormat="1" applyFont="1" applyBorder="1" applyAlignment="1">
      <alignment horizontal="center" vertical="center"/>
    </xf>
    <xf numFmtId="10" fontId="45" fillId="0" borderId="8" xfId="98" applyNumberFormat="1" applyFont="1" applyFill="1" applyBorder="1" applyAlignment="1">
      <alignment horizontal="center" vertical="center"/>
    </xf>
    <xf numFmtId="0" fontId="47" fillId="0" borderId="7" xfId="0" applyFont="1" applyBorder="1" applyAlignment="1">
      <alignment horizontal="center" vertical="center" wrapText="1"/>
    </xf>
    <xf numFmtId="177" fontId="47" fillId="0" borderId="6" xfId="0" applyNumberFormat="1" applyFont="1" applyBorder="1" applyAlignment="1">
      <alignment horizontal="center" vertical="center"/>
    </xf>
    <xf numFmtId="0" fontId="47" fillId="37" borderId="9" xfId="0" applyFont="1" applyFill="1" applyBorder="1" applyAlignment="1">
      <alignment horizontal="center" vertical="center"/>
    </xf>
    <xf numFmtId="0" fontId="47" fillId="0" borderId="33" xfId="0" applyFont="1" applyBorder="1" applyAlignment="1">
      <alignment horizontal="center" vertical="center" wrapText="1"/>
    </xf>
    <xf numFmtId="177" fontId="45" fillId="0" borderId="34" xfId="0" applyNumberFormat="1" applyFont="1" applyBorder="1" applyAlignment="1">
      <alignment horizontal="center" vertical="center"/>
    </xf>
    <xf numFmtId="10" fontId="45" fillId="0" borderId="34" xfId="98" applyNumberFormat="1" applyFont="1" applyFill="1" applyBorder="1" applyAlignment="1">
      <alignment horizontal="center" vertical="center"/>
    </xf>
    <xf numFmtId="0" fontId="47" fillId="37" borderId="20" xfId="0" applyFont="1" applyFill="1" applyBorder="1" applyAlignment="1">
      <alignment horizontal="center" vertical="center" wrapText="1"/>
    </xf>
    <xf numFmtId="0" fontId="47" fillId="37" borderId="10" xfId="0" applyFont="1" applyFill="1" applyBorder="1" applyAlignment="1">
      <alignment horizontal="center" vertical="center" wrapText="1"/>
    </xf>
    <xf numFmtId="2" fontId="0" fillId="36" borderId="0" xfId="0" applyNumberFormat="1" applyFill="1" applyAlignment="1">
      <alignment vertical="center" wrapText="1"/>
    </xf>
    <xf numFmtId="1" fontId="0" fillId="0" borderId="30" xfId="0" applyNumberFormat="1" applyBorder="1"/>
    <xf numFmtId="14" fontId="0" fillId="0" borderId="30" xfId="0" applyNumberFormat="1" applyBorder="1"/>
    <xf numFmtId="0" fontId="0" fillId="0" borderId="35" xfId="0" pivotButton="1" applyBorder="1"/>
    <xf numFmtId="0" fontId="0" fillId="0" borderId="1" xfId="0" applyBorder="1"/>
    <xf numFmtId="2" fontId="0" fillId="0" borderId="36" xfId="0" applyNumberFormat="1" applyBorder="1"/>
    <xf numFmtId="2" fontId="0" fillId="0" borderId="37" xfId="0" applyNumberFormat="1" applyBorder="1"/>
    <xf numFmtId="2" fontId="0" fillId="0" borderId="23" xfId="0" applyNumberFormat="1" applyBorder="1"/>
    <xf numFmtId="0" fontId="0" fillId="0" borderId="24" xfId="0" pivotButton="1" applyBorder="1"/>
    <xf numFmtId="14" fontId="0" fillId="0" borderId="36" xfId="0" applyNumberFormat="1" applyBorder="1" applyAlignment="1">
      <alignment horizontal="left"/>
    </xf>
    <xf numFmtId="14" fontId="0" fillId="0" borderId="37" xfId="0" applyNumberFormat="1" applyBorder="1" applyAlignment="1">
      <alignment horizontal="left"/>
    </xf>
    <xf numFmtId="14" fontId="0" fillId="0" borderId="23" xfId="0" applyNumberFormat="1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4" xfId="0" applyBorder="1"/>
    <xf numFmtId="0" fontId="19" fillId="38" borderId="38" xfId="0" applyFont="1" applyFill="1" applyBorder="1" applyAlignment="1">
      <alignment horizontal="center"/>
    </xf>
    <xf numFmtId="0" fontId="49" fillId="38" borderId="38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vertical="center"/>
    </xf>
    <xf numFmtId="0" fontId="19" fillId="38" borderId="0" xfId="0" applyFont="1" applyFill="1"/>
    <xf numFmtId="0" fontId="16" fillId="39" borderId="39" xfId="0" applyFont="1" applyFill="1" applyBorder="1"/>
    <xf numFmtId="170" fontId="0" fillId="0" borderId="0" xfId="111" applyNumberFormat="1" applyFont="1"/>
    <xf numFmtId="0" fontId="16" fillId="39" borderId="40" xfId="0" applyFont="1" applyFill="1" applyBorder="1"/>
    <xf numFmtId="0" fontId="16" fillId="0" borderId="44" xfId="0" applyFont="1" applyBorder="1"/>
    <xf numFmtId="0" fontId="16" fillId="0" borderId="45" xfId="0" applyFont="1" applyBorder="1"/>
    <xf numFmtId="0" fontId="16" fillId="0" borderId="46" xfId="0" applyFont="1" applyBorder="1"/>
    <xf numFmtId="1" fontId="0" fillId="0" borderId="41" xfId="0" applyNumberFormat="1" applyBorder="1"/>
    <xf numFmtId="0" fontId="0" fillId="0" borderId="42" xfId="0" applyBorder="1"/>
    <xf numFmtId="0" fontId="0" fillId="0" borderId="43" xfId="0" applyBorder="1"/>
    <xf numFmtId="1" fontId="0" fillId="0" borderId="47" xfId="0" applyNumberFormat="1" applyBorder="1"/>
    <xf numFmtId="0" fontId="0" fillId="0" borderId="48" xfId="0" applyBorder="1"/>
    <xf numFmtId="0" fontId="0" fillId="0" borderId="49" xfId="0" applyBorder="1"/>
    <xf numFmtId="9" fontId="0" fillId="0" borderId="0" xfId="98" applyFont="1" applyFill="1"/>
    <xf numFmtId="3" fontId="0" fillId="0" borderId="0" xfId="0" applyNumberFormat="1" applyAlignment="1">
      <alignment wrapText="1"/>
    </xf>
    <xf numFmtId="1" fontId="0" fillId="0" borderId="0" xfId="0" quotePrefix="1" applyNumberFormat="1" applyAlignment="1">
      <alignment horizontal="center"/>
    </xf>
    <xf numFmtId="10" fontId="0" fillId="40" borderId="0" xfId="98" applyNumberFormat="1" applyFont="1" applyFill="1"/>
    <xf numFmtId="0" fontId="19" fillId="0" borderId="8" xfId="0" applyFont="1" applyBorder="1" applyAlignment="1">
      <alignment horizontal="center" vertical="center" wrapText="1"/>
    </xf>
    <xf numFmtId="2" fontId="0" fillId="34" borderId="51" xfId="0" applyNumberFormat="1" applyFill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34" borderId="7" xfId="0" applyNumberFormat="1" applyFill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14" fontId="0" fillId="0" borderId="0" xfId="0" quotePrefix="1" applyNumberFormat="1"/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" fontId="0" fillId="0" borderId="0" xfId="0" applyNumberFormat="1"/>
    <xf numFmtId="0" fontId="42" fillId="0" borderId="25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2" fillId="0" borderId="31" xfId="0" applyFont="1" applyBorder="1" applyAlignment="1">
      <alignment horizontal="center" vertical="center" wrapText="1"/>
    </xf>
    <xf numFmtId="14" fontId="0" fillId="0" borderId="51" xfId="0" applyNumberFormat="1" applyBorder="1" applyAlignment="1">
      <alignment horizontal="center" vertical="center"/>
    </xf>
    <xf numFmtId="2" fontId="0" fillId="0" borderId="51" xfId="0" applyNumberFormat="1" applyBorder="1" applyAlignment="1">
      <alignment horizontal="center" vertical="center"/>
    </xf>
    <xf numFmtId="14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20" fontId="0" fillId="0" borderId="34" xfId="0" applyNumberForma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168" fontId="0" fillId="0" borderId="34" xfId="0" applyNumberFormat="1" applyBorder="1" applyAlignment="1">
      <alignment horizontal="center" vertical="center"/>
    </xf>
    <xf numFmtId="2" fontId="0" fillId="0" borderId="50" xfId="0" applyNumberFormat="1" applyBorder="1" applyAlignment="1">
      <alignment horizontal="center" vertical="center"/>
    </xf>
    <xf numFmtId="2" fontId="0" fillId="34" borderId="6" xfId="0" applyNumberFormat="1" applyFill="1" applyBorder="1" applyAlignment="1">
      <alignment horizontal="center" vertical="center"/>
    </xf>
    <xf numFmtId="2" fontId="0" fillId="0" borderId="53" xfId="0" applyNumberFormat="1" applyBorder="1" applyAlignment="1">
      <alignment horizontal="center" vertical="center"/>
    </xf>
    <xf numFmtId="14" fontId="0" fillId="34" borderId="33" xfId="0" applyNumberFormat="1" applyFill="1" applyBorder="1" applyAlignment="1">
      <alignment horizontal="center" vertical="center"/>
    </xf>
    <xf numFmtId="0" fontId="0" fillId="34" borderId="34" xfId="0" applyFill="1" applyBorder="1" applyAlignment="1">
      <alignment horizontal="center" vertical="center"/>
    </xf>
    <xf numFmtId="20" fontId="0" fillId="34" borderId="34" xfId="0" applyNumberFormat="1" applyFill="1" applyBorder="1" applyAlignment="1">
      <alignment horizontal="center" vertical="center"/>
    </xf>
    <xf numFmtId="0" fontId="0" fillId="34" borderId="50" xfId="0" applyFill="1" applyBorder="1" applyAlignment="1">
      <alignment horizontal="center" vertical="center"/>
    </xf>
    <xf numFmtId="0" fontId="0" fillId="34" borderId="52" xfId="0" applyFill="1" applyBorder="1" applyAlignment="1">
      <alignment horizontal="center" vertical="center"/>
    </xf>
    <xf numFmtId="2" fontId="0" fillId="34" borderId="34" xfId="0" applyNumberFormat="1" applyFill="1" applyBorder="1" applyAlignment="1">
      <alignment horizontal="center" vertical="center"/>
    </xf>
    <xf numFmtId="2" fontId="0" fillId="34" borderId="50" xfId="0" applyNumberFormat="1" applyFill="1" applyBorder="1" applyAlignment="1">
      <alignment horizontal="center" vertical="center"/>
    </xf>
    <xf numFmtId="0" fontId="42" fillId="0" borderId="25" xfId="0" applyFont="1" applyBorder="1" applyAlignment="1">
      <alignment horizontal="center" vertical="center"/>
    </xf>
    <xf numFmtId="0" fontId="43" fillId="0" borderId="25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0" borderId="23" xfId="0" applyFont="1" applyBorder="1" applyAlignment="1">
      <alignment horizontal="center" vertical="center" wrapText="1"/>
    </xf>
    <xf numFmtId="0" fontId="43" fillId="0" borderId="25" xfId="0" applyFont="1" applyBorder="1" applyAlignment="1">
      <alignment horizontal="center" vertical="center" wrapText="1"/>
    </xf>
    <xf numFmtId="0" fontId="43" fillId="0" borderId="30" xfId="0" applyFont="1" applyBorder="1" applyAlignment="1">
      <alignment horizontal="center" vertical="center" wrapText="1"/>
    </xf>
    <xf numFmtId="177" fontId="47" fillId="0" borderId="50" xfId="0" applyNumberFormat="1" applyFont="1" applyBorder="1" applyAlignment="1">
      <alignment horizontal="center" vertical="center"/>
    </xf>
    <xf numFmtId="0" fontId="0" fillId="41" borderId="0" xfId="0" applyFill="1"/>
    <xf numFmtId="0" fontId="16" fillId="0" borderId="46" xfId="0" applyFont="1" applyBorder="1" applyAlignment="1">
      <alignment wrapText="1"/>
    </xf>
    <xf numFmtId="3" fontId="0" fillId="0" borderId="43" xfId="0" applyNumberFormat="1" applyBorder="1"/>
    <xf numFmtId="3" fontId="0" fillId="0" borderId="49" xfId="0" applyNumberFormat="1" applyBorder="1"/>
    <xf numFmtId="168" fontId="0" fillId="0" borderId="0" xfId="0" applyNumberFormat="1"/>
    <xf numFmtId="3" fontId="0" fillId="42" borderId="0" xfId="0" applyNumberFormat="1" applyFill="1"/>
    <xf numFmtId="178" fontId="0" fillId="0" borderId="0" xfId="0" applyNumberFormat="1"/>
    <xf numFmtId="4" fontId="0" fillId="0" borderId="43" xfId="0" applyNumberFormat="1" applyBorder="1"/>
    <xf numFmtId="3" fontId="0" fillId="42" borderId="0" xfId="0" applyNumberFormat="1" applyFill="1" applyAlignment="1">
      <alignment wrapText="1"/>
    </xf>
    <xf numFmtId="0" fontId="0" fillId="0" borderId="0" xfId="0" quotePrefix="1" applyAlignment="1">
      <alignment horizontal="center"/>
    </xf>
    <xf numFmtId="0" fontId="0" fillId="40" borderId="0" xfId="0" applyFill="1"/>
  </cellXfs>
  <cellStyles count="112">
    <cellStyle name="20% - Énfasis1" xfId="24" builtinId="30" customBuiltin="1"/>
    <cellStyle name="20% - Énfasis1 2" xfId="50" xr:uid="{00000000-0005-0000-0000-000001000000}"/>
    <cellStyle name="20% - Énfasis2" xfId="28" builtinId="34" customBuiltin="1"/>
    <cellStyle name="20% - Énfasis2 2" xfId="71" xr:uid="{00000000-0005-0000-0000-000003000000}"/>
    <cellStyle name="20% - Énfasis3" xfId="32" builtinId="38" customBuiltin="1"/>
    <cellStyle name="20% - Énfasis3 2" xfId="78" xr:uid="{00000000-0005-0000-0000-000005000000}"/>
    <cellStyle name="20% - Énfasis4" xfId="36" builtinId="42" customBuiltin="1"/>
    <cellStyle name="20% - Énfasis4 2" xfId="63" xr:uid="{00000000-0005-0000-0000-000007000000}"/>
    <cellStyle name="20% - Énfasis5" xfId="40" builtinId="46" customBuiltin="1"/>
    <cellStyle name="20% - Énfasis5 2" xfId="69" xr:uid="{00000000-0005-0000-0000-000009000000}"/>
    <cellStyle name="20% - Énfasis6" xfId="44" builtinId="50" customBuiltin="1"/>
    <cellStyle name="20% - Énfasis6 2" xfId="55" xr:uid="{00000000-0005-0000-0000-00000B000000}"/>
    <cellStyle name="40% - Énfasis1" xfId="25" builtinId="31" customBuiltin="1"/>
    <cellStyle name="40% - Énfasis1 2" xfId="82" xr:uid="{00000000-0005-0000-0000-00000D000000}"/>
    <cellStyle name="40% - Énfasis2" xfId="29" builtinId="35" customBuiltin="1"/>
    <cellStyle name="40% - Énfasis2 2" xfId="68" xr:uid="{00000000-0005-0000-0000-00000F000000}"/>
    <cellStyle name="40% - Énfasis3" xfId="33" builtinId="39" customBuiltin="1"/>
    <cellStyle name="40% - Énfasis3 2" xfId="65" xr:uid="{00000000-0005-0000-0000-000011000000}"/>
    <cellStyle name="40% - Énfasis4" xfId="37" builtinId="43" customBuiltin="1"/>
    <cellStyle name="40% - Énfasis4 2" xfId="74" xr:uid="{00000000-0005-0000-0000-000013000000}"/>
    <cellStyle name="40% - Énfasis5" xfId="41" builtinId="47" customBuiltin="1"/>
    <cellStyle name="40% - Énfasis5 2" xfId="80" xr:uid="{00000000-0005-0000-0000-000015000000}"/>
    <cellStyle name="40% - Énfasis6" xfId="45" builtinId="51" customBuiltin="1"/>
    <cellStyle name="40% - Énfasis6 2" xfId="66" xr:uid="{00000000-0005-0000-0000-000017000000}"/>
    <cellStyle name="60% - Énfasis1" xfId="26" builtinId="32" customBuiltin="1"/>
    <cellStyle name="60% - Énfasis1 2" xfId="56" xr:uid="{00000000-0005-0000-0000-000019000000}"/>
    <cellStyle name="60% - Énfasis2" xfId="30" builtinId="36" customBuiltin="1"/>
    <cellStyle name="60% - Énfasis2 2" xfId="47" xr:uid="{00000000-0005-0000-0000-00001B000000}"/>
    <cellStyle name="60% - Énfasis3" xfId="34" builtinId="40" customBuiltin="1"/>
    <cellStyle name="60% - Énfasis3 2" xfId="64" xr:uid="{00000000-0005-0000-0000-00001D000000}"/>
    <cellStyle name="60% - Énfasis4" xfId="38" builtinId="44" customBuiltin="1"/>
    <cellStyle name="60% - Énfasis4 2" xfId="70" xr:uid="{00000000-0005-0000-0000-00001F000000}"/>
    <cellStyle name="60% - Énfasis5" xfId="42" builtinId="48" customBuiltin="1"/>
    <cellStyle name="60% - Énfasis5 2" xfId="77" xr:uid="{00000000-0005-0000-0000-000021000000}"/>
    <cellStyle name="60% - Énfasis6" xfId="46" builtinId="52" customBuiltin="1"/>
    <cellStyle name="60% - Énfasis6 2" xfId="62" xr:uid="{00000000-0005-0000-0000-000023000000}"/>
    <cellStyle name="Buena 2" xfId="57" xr:uid="{00000000-0005-0000-0000-000025000000}"/>
    <cellStyle name="Bueno" xfId="11" builtinId="26" customBuiltin="1"/>
    <cellStyle name="Cálculo" xfId="16" builtinId="22" customBuiltin="1"/>
    <cellStyle name="Cálculo 2" xfId="51" xr:uid="{00000000-0005-0000-0000-000027000000}"/>
    <cellStyle name="Celda de comprobación" xfId="18" builtinId="23" customBuiltin="1"/>
    <cellStyle name="Celda de comprobación 2" xfId="79" xr:uid="{00000000-0005-0000-0000-000029000000}"/>
    <cellStyle name="Celda vinculada" xfId="17" builtinId="24" customBuiltin="1"/>
    <cellStyle name="Celda vinculada 2" xfId="83" xr:uid="{00000000-0005-0000-0000-00002B000000}"/>
    <cellStyle name="Encabezado 1" xfId="7" builtinId="16" customBuiltin="1"/>
    <cellStyle name="Encabezado 4" xfId="10" builtinId="19" customBuiltin="1"/>
    <cellStyle name="Encabezado 4 2" xfId="59" xr:uid="{00000000-0005-0000-0000-00002D000000}"/>
    <cellStyle name="Énfasis1" xfId="23" builtinId="29" customBuiltin="1"/>
    <cellStyle name="Énfasis1 2" xfId="61" xr:uid="{00000000-0005-0000-0000-00002F000000}"/>
    <cellStyle name="Énfasis2" xfId="27" builtinId="33" customBuiltin="1"/>
    <cellStyle name="Énfasis2 2" xfId="54" xr:uid="{00000000-0005-0000-0000-000031000000}"/>
    <cellStyle name="Énfasis3" xfId="31" builtinId="37" customBuiltin="1"/>
    <cellStyle name="Énfasis3 2" xfId="75" xr:uid="{00000000-0005-0000-0000-000033000000}"/>
    <cellStyle name="Énfasis4" xfId="35" builtinId="41" customBuiltin="1"/>
    <cellStyle name="Énfasis4 2" xfId="81" xr:uid="{00000000-0005-0000-0000-000035000000}"/>
    <cellStyle name="Énfasis5" xfId="39" builtinId="45" customBuiltin="1"/>
    <cellStyle name="Énfasis5 2" xfId="67" xr:uid="{00000000-0005-0000-0000-000037000000}"/>
    <cellStyle name="Énfasis6" xfId="43" builtinId="49" customBuiltin="1"/>
    <cellStyle name="Énfasis6 2" xfId="73" xr:uid="{00000000-0005-0000-0000-000039000000}"/>
    <cellStyle name="Entrada" xfId="14" builtinId="20" customBuiltin="1"/>
    <cellStyle name="Entrada 2" xfId="87" xr:uid="{00000000-0005-0000-0000-00003B000000}"/>
    <cellStyle name="Incorrecto" xfId="12" builtinId="27" customBuiltin="1"/>
    <cellStyle name="Incorrecto 2" xfId="53" xr:uid="{00000000-0005-0000-0000-00003D000000}"/>
    <cellStyle name="Moneda" xfId="111" builtinId="4"/>
    <cellStyle name="Neutral" xfId="13" builtinId="28" customBuiltin="1"/>
    <cellStyle name="Neutral 2" xfId="58" xr:uid="{00000000-0005-0000-0000-00003F000000}"/>
    <cellStyle name="Normal" xfId="0" builtinId="0"/>
    <cellStyle name="Normal 2" xfId="1" xr:uid="{00000000-0005-0000-0000-000041000000}"/>
    <cellStyle name="Normal 2 2" xfId="5" xr:uid="{00000000-0005-0000-0000-000042000000}"/>
    <cellStyle name="Normal 2 2 2" xfId="90" xr:uid="{00000000-0005-0000-0000-000043000000}"/>
    <cellStyle name="Normal 2 2 2 2" xfId="104" xr:uid="{00000000-0005-0000-0000-000044000000}"/>
    <cellStyle name="Normal 2 2 3" xfId="101" xr:uid="{00000000-0005-0000-0000-000045000000}"/>
    <cellStyle name="Normal 2 3" xfId="3" xr:uid="{00000000-0005-0000-0000-000046000000}"/>
    <cellStyle name="Normal 2 3 2" xfId="89" xr:uid="{00000000-0005-0000-0000-000047000000}"/>
    <cellStyle name="Normal 2 3 2 2" xfId="103" xr:uid="{00000000-0005-0000-0000-000048000000}"/>
    <cellStyle name="Normal 2 3 3" xfId="100" xr:uid="{00000000-0005-0000-0000-000049000000}"/>
    <cellStyle name="Normal 2 4" xfId="49" xr:uid="{00000000-0005-0000-0000-00004A000000}"/>
    <cellStyle name="Normal 2 5" xfId="91" xr:uid="{00000000-0005-0000-0000-00004B000000}"/>
    <cellStyle name="Normal 2 5 2" xfId="92" xr:uid="{00000000-0005-0000-0000-00004C000000}"/>
    <cellStyle name="Normal 2 5 2 2" xfId="106" xr:uid="{00000000-0005-0000-0000-00004D000000}"/>
    <cellStyle name="Normal 2 5 3" xfId="105" xr:uid="{00000000-0005-0000-0000-00004E000000}"/>
    <cellStyle name="Normal 2 6" xfId="93" xr:uid="{00000000-0005-0000-0000-00004F000000}"/>
    <cellStyle name="Normal 2 6 2" xfId="95" xr:uid="{00000000-0005-0000-0000-000050000000}"/>
    <cellStyle name="Normal 2 6 3" xfId="94" xr:uid="{00000000-0005-0000-0000-000051000000}"/>
    <cellStyle name="Normal 2 6 4" xfId="107" xr:uid="{00000000-0005-0000-0000-000052000000}"/>
    <cellStyle name="Normal 3" xfId="4" xr:uid="{00000000-0005-0000-0000-000053000000}"/>
    <cellStyle name="Normal 4" xfId="2" xr:uid="{00000000-0005-0000-0000-000054000000}"/>
    <cellStyle name="Normal 4 2" xfId="88" xr:uid="{00000000-0005-0000-0000-000055000000}"/>
    <cellStyle name="Normal 4 2 2" xfId="102" xr:uid="{00000000-0005-0000-0000-000056000000}"/>
    <cellStyle name="Normal 4 3" xfId="99" xr:uid="{00000000-0005-0000-0000-000057000000}"/>
    <cellStyle name="Normal 5" xfId="96" xr:uid="{00000000-0005-0000-0000-000058000000}"/>
    <cellStyle name="Normal 6" xfId="97" xr:uid="{00000000-0005-0000-0000-000059000000}"/>
    <cellStyle name="Normal 7" xfId="108" xr:uid="{00000000-0005-0000-0000-00005A000000}"/>
    <cellStyle name="Normal 8" xfId="110" xr:uid="{39D6663C-44C7-406B-A0AC-2436C6704EDF}"/>
    <cellStyle name="Notas" xfId="20" builtinId="10" customBuiltin="1"/>
    <cellStyle name="Notas 2" xfId="60" xr:uid="{00000000-0005-0000-0000-00005C000000}"/>
    <cellStyle name="Porcentaje" xfId="98" builtinId="5"/>
    <cellStyle name="Porcentaje 2" xfId="109" xr:uid="{00000000-0005-0000-0000-00005D000000}"/>
    <cellStyle name="Salida" xfId="15" builtinId="21" customBuiltin="1"/>
    <cellStyle name="Salida 2" xfId="72" xr:uid="{00000000-0005-0000-0000-000060000000}"/>
    <cellStyle name="Texto de advertencia" xfId="19" builtinId="11" customBuiltin="1"/>
    <cellStyle name="Texto de advertencia 2" xfId="52" xr:uid="{00000000-0005-0000-0000-000062000000}"/>
    <cellStyle name="Texto explicativo" xfId="21" builtinId="53" customBuiltin="1"/>
    <cellStyle name="Texto explicativo 2" xfId="76" xr:uid="{00000000-0005-0000-0000-000064000000}"/>
    <cellStyle name="Título" xfId="6" builtinId="15" customBuiltin="1"/>
    <cellStyle name="Título 1 2" xfId="48" xr:uid="{00000000-0005-0000-0000-000067000000}"/>
    <cellStyle name="Título 2" xfId="8" builtinId="17" customBuiltin="1"/>
    <cellStyle name="Título 2 2" xfId="84" xr:uid="{00000000-0005-0000-0000-000069000000}"/>
    <cellStyle name="Título 3" xfId="9" builtinId="18" customBuiltin="1"/>
    <cellStyle name="Título 3 2" xfId="85" xr:uid="{00000000-0005-0000-0000-00006B000000}"/>
    <cellStyle name="Total" xfId="22" builtinId="25" customBuiltin="1"/>
    <cellStyle name="Total 2" xfId="86" xr:uid="{00000000-0005-0000-0000-00006D000000}"/>
  </cellStyles>
  <dxfs count="188">
    <dxf>
      <numFmt numFmtId="175" formatCode="0.00\ %;\-0.00\ %;0.00\ %"/>
    </dxf>
    <dxf>
      <numFmt numFmtId="175" formatCode="0.00\ %;\-0.00\ %;0.00\ 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1" formatCode="_-[$€-2]\ * #,##0.00_-;\-[$€-2]\ * #,##0.00_-;_-[$€-2]\ * &quot;-&quot;??_-;_-@_-"/>
    </dxf>
    <dxf>
      <numFmt numFmtId="171" formatCode="_-[$€-2]\ * #,##0.00_-;\-[$€-2]\ * #,##0.00_-;_-[$€-2]\ * &quot;-&quot;??_-;_-@_-"/>
    </dxf>
    <dxf>
      <numFmt numFmtId="3" formatCode="#,##0"/>
    </dxf>
    <dxf>
      <numFmt numFmtId="175" formatCode="0.00\ %;\-0.00\ %;0.00\ %"/>
    </dxf>
    <dxf>
      <numFmt numFmtId="2" formatCode="0.00"/>
    </dxf>
    <dxf>
      <numFmt numFmtId="175" formatCode="0.00\ %;\-0.00\ %;0.00\ %"/>
    </dxf>
    <dxf>
      <numFmt numFmtId="176" formatCode="0.00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77" formatCode="#,##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77" formatCode="#,##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77" formatCode="#,##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d/m/yyyy"/>
    </dxf>
    <dxf>
      <numFmt numFmtId="4" formatCode="#,##0.00"/>
      <fill>
        <patternFill patternType="none">
          <fgColor indexed="64"/>
          <bgColor indexed="65"/>
        </patternFill>
      </fill>
    </dxf>
    <dxf>
      <numFmt numFmtId="3" formatCode="#,##0"/>
      <fill>
        <patternFill patternType="none">
          <fgColor indexed="64"/>
          <bgColor indexed="65"/>
        </patternFill>
      </fill>
    </dxf>
    <dxf>
      <numFmt numFmtId="3" formatCode="#,##0"/>
      <fill>
        <patternFill patternType="none">
          <fgColor indexed="64"/>
          <bgColor indexed="65"/>
        </patternFill>
      </fill>
    </dxf>
    <dxf>
      <numFmt numFmtId="3" formatCode="#,##0"/>
      <fill>
        <patternFill patternType="none">
          <fgColor indexed="64"/>
          <bgColor indexed="65"/>
        </patternFill>
      </fill>
    </dxf>
    <dxf>
      <numFmt numFmtId="3" formatCode="#,##0"/>
      <fill>
        <patternFill patternType="none">
          <fgColor indexed="64"/>
          <bgColor indexed="65"/>
        </patternFill>
      </fill>
    </dxf>
    <dxf>
      <numFmt numFmtId="3" formatCode="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" formatCode="#,##0"/>
      <fill>
        <patternFill patternType="none">
          <fgColor indexed="64"/>
          <bgColor indexed="65"/>
        </patternFill>
      </fill>
    </dxf>
    <dxf>
      <numFmt numFmtId="2" formatCode="0.00"/>
      <fill>
        <patternFill patternType="none">
          <fgColor indexed="64"/>
          <bgColor indexed="65"/>
        </patternFill>
      </fill>
    </dxf>
    <dxf>
      <numFmt numFmtId="2" formatCode="0.00"/>
      <fill>
        <patternFill patternType="none">
          <fgColor indexed="64"/>
          <bgColor indexed="65"/>
        </patternFill>
      </fill>
    </dxf>
    <dxf>
      <numFmt numFmtId="2" formatCode="0.00"/>
      <fill>
        <patternFill patternType="none">
          <fgColor indexed="64"/>
          <bgColor indexed="65"/>
        </patternFill>
      </fill>
    </dxf>
    <dxf>
      <numFmt numFmtId="19" formatCode="d/m/yyyy"/>
      <fill>
        <patternFill patternType="none">
          <fgColor indexed="64"/>
          <bgColor indexed="65"/>
        </patternFill>
      </fill>
    </dxf>
    <dxf>
      <numFmt numFmtId="19" formatCode="d/m/yyyy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19" formatCode="d/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73" formatCode="_-* #,##0\ [$€-C0A]_-;\-* #,##0\ [$€-C0A]_-;_-* &quot;-&quot;??\ [$€-C0A]_-;_-@_-"/>
    </dxf>
    <dxf>
      <numFmt numFmtId="2" formatCode="0.00"/>
    </dxf>
    <dxf>
      <numFmt numFmtId="178" formatCode="#,##0.00\ \€"/>
    </dxf>
    <dxf>
      <numFmt numFmtId="167" formatCode="0.0%"/>
    </dxf>
    <dxf>
      <numFmt numFmtId="170" formatCode="_-[$€-2]\ * #,##0_-;\-[$€-2]\ * #,##0_-;_-[$€-2]\ * &quot;-&quot;??_-;_-@_-"/>
    </dxf>
    <dxf>
      <numFmt numFmtId="3" formatCode="#,##0"/>
      <alignment horizontal="general" vertical="bottom" textRotation="0" wrapText="1" indent="0" justifyLastLine="0" shrinkToFit="0" readingOrder="0"/>
    </dxf>
    <dxf>
      <numFmt numFmtId="1" formatCode="0"/>
    </dxf>
    <dxf>
      <numFmt numFmtId="167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0.0%"/>
    </dxf>
    <dxf>
      <numFmt numFmtId="167" formatCode="0.0%"/>
    </dxf>
    <dxf>
      <numFmt numFmtId="1" formatCode="0"/>
    </dxf>
    <dxf>
      <numFmt numFmtId="1" formatCode="0"/>
    </dxf>
    <dxf>
      <numFmt numFmtId="1" formatCode="0"/>
    </dxf>
    <dxf>
      <numFmt numFmtId="167" formatCode="0.0%"/>
    </dxf>
    <dxf>
      <numFmt numFmtId="1" formatCode="0"/>
    </dxf>
    <dxf>
      <numFmt numFmtId="167" formatCode="0.0%"/>
    </dxf>
    <dxf>
      <numFmt numFmtId="3" formatCode="#,##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3" formatCode="0%"/>
    </dxf>
    <dxf>
      <numFmt numFmtId="13" formatCode="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numFmt numFmtId="2" formatCode="0.0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66" formatCode="0.000"/>
    </dxf>
    <dxf>
      <numFmt numFmtId="166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3" formatCode="#,##0"/>
    </dxf>
    <dxf>
      <numFmt numFmtId="30" formatCode="@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9" formatCode="d/m/yyyy"/>
    </dxf>
    <dxf>
      <alignment vertical="center" textRotation="0" wrapText="0" indent="0" justifyLastLine="0" shrinkToFit="0" readingOrder="0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2" formatCode="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8" formatCode="0.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/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168" formatCode="0.0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right style="thin">
          <color theme="0"/>
        </right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right style="thin">
          <color theme="0"/>
        </right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right style="thin">
          <color theme="0"/>
        </right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top style="medium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66" formatCode="0.00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1" formatCode="0"/>
    </dxf>
    <dxf>
      <numFmt numFmtId="2" formatCode="0.00"/>
    </dxf>
    <dxf>
      <numFmt numFmtId="172" formatCode="_-* #,##0.00\ [$€-C0A]_-;\-* #,##0.00\ [$€-C0A]_-;_-* &quot;-&quot;??\ [$€-C0A]_-;_-@_-"/>
    </dxf>
    <dxf>
      <alignment horizontal="general" vertical="center" textRotation="0" indent="0" justifyLastLine="0" shrinkToFit="0" readingOrder="0"/>
    </dxf>
    <dxf>
      <font>
        <b/>
        <i val="0"/>
        <sz val="10"/>
        <color theme="1"/>
      </font>
      <border>
        <bottom style="thin">
          <color theme="7"/>
        </bottom>
        <vertical/>
        <horizontal/>
      </border>
    </dxf>
    <dxf>
      <font>
        <sz val="6"/>
        <color theme="1"/>
        <name val="Calibri"/>
        <family val="2"/>
        <scheme val="minor"/>
      </font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/>
      </font>
      <border>
        <bottom style="thin">
          <color theme="7"/>
        </bottom>
        <vertical/>
        <horizontal/>
      </border>
    </dxf>
    <dxf>
      <font>
        <sz val="8"/>
        <color theme="1"/>
        <name val="Calibri"/>
        <family val="2"/>
        <scheme val="minor"/>
      </font>
      <border diagonalUp="0" diagonalDown="0">
        <left/>
        <right/>
        <top/>
        <bottom/>
        <vertical/>
        <horizontal/>
      </border>
    </dxf>
  </dxfs>
  <tableStyles count="2" defaultTableStyle="TableStyleMedium9" defaultPivotStyle="PivotStyleLight16">
    <tableStyle name="Slicer_oln" pivot="0" table="0" count="10" xr9:uid="{EA3EFC60-32B8-43DC-9779-515FFF091441}">
      <tableStyleElement type="wholeTable" dxfId="187"/>
      <tableStyleElement type="headerRow" dxfId="186"/>
    </tableStyle>
    <tableStyle name="Slicer_oln 3" pivot="0" table="0" count="10" xr9:uid="{86B72C1A-2C57-4E54-B2AD-8D80138C4BC6}">
      <tableStyleElement type="wholeTable" dxfId="185"/>
      <tableStyleElement type="headerRow" dxfId="184"/>
    </tableStyle>
  </tableStyles>
  <colors>
    <mruColors>
      <color rgb="FFD09E00"/>
      <color rgb="FFFFFF99"/>
      <color rgb="FFAFDC7E"/>
      <color rgb="FFFFFFCC"/>
      <color rgb="FF0000FF"/>
      <color rgb="FFDE0000"/>
      <color rgb="FFFFD54F"/>
      <color rgb="FFFCF600"/>
      <color rgb="FFFBF3F3"/>
      <color rgb="FF990033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7" tint="-0.249977111117893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theme="7" tint="0.59999389629810485"/>
            </left>
            <right style="thin">
              <color theme="7" tint="0.59999389629810485"/>
            </right>
            <top style="thin">
              <color theme="7" tint="0.59999389629810485"/>
            </top>
            <bottom style="thin">
              <color theme="7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7"/>
              <bgColor theme="7"/>
            </patternFill>
          </fill>
          <border>
            <left style="thin">
              <color theme="7"/>
            </left>
            <right style="thin">
              <color theme="7"/>
            </right>
            <top style="thin">
              <color theme="7"/>
            </top>
            <bottom style="thin">
              <color theme="7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7" tint="-0.249977111117893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theme="7" tint="0.59999389629810485"/>
            </left>
            <right style="thin">
              <color theme="7" tint="0.59999389629810485"/>
            </right>
            <top style="thin">
              <color theme="7" tint="0.59999389629810485"/>
            </top>
            <bottom style="thin">
              <color theme="7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7"/>
              <bgColor theme="7"/>
            </patternFill>
          </fill>
          <border>
            <left style="thin">
              <color theme="7"/>
            </left>
            <right style="thin">
              <color theme="7"/>
            </right>
            <top style="thin">
              <color theme="7"/>
            </top>
            <bottom style="thin">
              <color theme="7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_oln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_oln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haredStrings" Target="sharedStrings.xml"/><Relationship Id="rId21" Type="http://schemas.microsoft.com/office/2007/relationships/slicerCache" Target="slicerCaches/slicerCache1.xml"/><Relationship Id="rId42" Type="http://schemas.openxmlformats.org/officeDocument/2006/relationships/customXml" Target="../customXml/item13.xml"/><Relationship Id="rId47" Type="http://schemas.openxmlformats.org/officeDocument/2006/relationships/customXml" Target="../customXml/item18.xml"/><Relationship Id="rId63" Type="http://schemas.openxmlformats.org/officeDocument/2006/relationships/customXml" Target="../customXml/item34.xml"/><Relationship Id="rId68" Type="http://schemas.openxmlformats.org/officeDocument/2006/relationships/customXml" Target="../customXml/item39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4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9.xml"/><Relationship Id="rId29" Type="http://schemas.openxmlformats.org/officeDocument/2006/relationships/calcChain" Target="calcChain.xml"/><Relationship Id="rId11" Type="http://schemas.openxmlformats.org/officeDocument/2006/relationships/pivotCacheDefinition" Target="pivotCache/pivotCacheDefinition4.xml"/><Relationship Id="rId24" Type="http://schemas.openxmlformats.org/officeDocument/2006/relationships/connections" Target="connections.xml"/><Relationship Id="rId32" Type="http://schemas.openxmlformats.org/officeDocument/2006/relationships/customXml" Target="../customXml/item3.xml"/><Relationship Id="rId37" Type="http://schemas.openxmlformats.org/officeDocument/2006/relationships/customXml" Target="../customXml/item8.xml"/><Relationship Id="rId40" Type="http://schemas.openxmlformats.org/officeDocument/2006/relationships/customXml" Target="../customXml/item11.xml"/><Relationship Id="rId45" Type="http://schemas.openxmlformats.org/officeDocument/2006/relationships/customXml" Target="../customXml/item16.xml"/><Relationship Id="rId53" Type="http://schemas.openxmlformats.org/officeDocument/2006/relationships/customXml" Target="../customXml/item24.xml"/><Relationship Id="rId58" Type="http://schemas.openxmlformats.org/officeDocument/2006/relationships/customXml" Target="../customXml/item29.xml"/><Relationship Id="rId66" Type="http://schemas.openxmlformats.org/officeDocument/2006/relationships/customXml" Target="../customXml/item37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32.xml"/><Relationship Id="rId19" Type="http://schemas.openxmlformats.org/officeDocument/2006/relationships/pivotCacheDefinition" Target="pivotCache/pivotCacheDefinition12.xml"/><Relationship Id="rId14" Type="http://schemas.openxmlformats.org/officeDocument/2006/relationships/pivotCacheDefinition" Target="pivotCache/pivotCacheDefinition7.xml"/><Relationship Id="rId22" Type="http://schemas.microsoft.com/office/2007/relationships/slicerCache" Target="slicerCaches/slicerCache2.xml"/><Relationship Id="rId27" Type="http://schemas.openxmlformats.org/officeDocument/2006/relationships/sheetMetadata" Target="metadata.xml"/><Relationship Id="rId30" Type="http://schemas.openxmlformats.org/officeDocument/2006/relationships/customXml" Target="../customXml/item1.xml"/><Relationship Id="rId35" Type="http://schemas.openxmlformats.org/officeDocument/2006/relationships/customXml" Target="../customXml/item6.xml"/><Relationship Id="rId43" Type="http://schemas.openxmlformats.org/officeDocument/2006/relationships/customXml" Target="../customXml/item14.xml"/><Relationship Id="rId48" Type="http://schemas.openxmlformats.org/officeDocument/2006/relationships/customXml" Target="../customXml/item19.xml"/><Relationship Id="rId56" Type="http://schemas.openxmlformats.org/officeDocument/2006/relationships/customXml" Target="../customXml/item27.xml"/><Relationship Id="rId64" Type="http://schemas.openxmlformats.org/officeDocument/2006/relationships/customXml" Target="../customXml/item35.xml"/><Relationship Id="rId69" Type="http://schemas.openxmlformats.org/officeDocument/2006/relationships/customXml" Target="../customXml/item40.xml"/><Relationship Id="rId8" Type="http://schemas.openxmlformats.org/officeDocument/2006/relationships/pivotCacheDefinition" Target="pivotCache/pivotCacheDefinition1.xml"/><Relationship Id="rId51" Type="http://schemas.openxmlformats.org/officeDocument/2006/relationships/customXml" Target="../customXml/item22.xml"/><Relationship Id="rId72" Type="http://schemas.openxmlformats.org/officeDocument/2006/relationships/customXml" Target="../customXml/item43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pivotCacheDefinition" Target="pivotCache/pivotCacheDefinition10.xml"/><Relationship Id="rId25" Type="http://schemas.openxmlformats.org/officeDocument/2006/relationships/styles" Target="styles.xml"/><Relationship Id="rId33" Type="http://schemas.openxmlformats.org/officeDocument/2006/relationships/customXml" Target="../customXml/item4.xml"/><Relationship Id="rId38" Type="http://schemas.openxmlformats.org/officeDocument/2006/relationships/customXml" Target="../customXml/item9.xml"/><Relationship Id="rId46" Type="http://schemas.openxmlformats.org/officeDocument/2006/relationships/customXml" Target="../customXml/item17.xml"/><Relationship Id="rId59" Type="http://schemas.openxmlformats.org/officeDocument/2006/relationships/customXml" Target="../customXml/item30.xml"/><Relationship Id="rId67" Type="http://schemas.openxmlformats.org/officeDocument/2006/relationships/customXml" Target="../customXml/item38.xml"/><Relationship Id="rId20" Type="http://schemas.openxmlformats.org/officeDocument/2006/relationships/pivotCacheDefinition" Target="pivotCache/pivotCacheDefinition13.xml"/><Relationship Id="rId41" Type="http://schemas.openxmlformats.org/officeDocument/2006/relationships/customXml" Target="../customXml/item12.xml"/><Relationship Id="rId54" Type="http://schemas.openxmlformats.org/officeDocument/2006/relationships/customXml" Target="../customXml/item25.xml"/><Relationship Id="rId62" Type="http://schemas.openxmlformats.org/officeDocument/2006/relationships/customXml" Target="../customXml/item33.xml"/><Relationship Id="rId70" Type="http://schemas.openxmlformats.org/officeDocument/2006/relationships/customXml" Target="../customXml/item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8.xml"/><Relationship Id="rId23" Type="http://schemas.openxmlformats.org/officeDocument/2006/relationships/theme" Target="theme/theme1.xml"/><Relationship Id="rId28" Type="http://schemas.openxmlformats.org/officeDocument/2006/relationships/powerPivotData" Target="model/item.data"/><Relationship Id="rId36" Type="http://schemas.openxmlformats.org/officeDocument/2006/relationships/customXml" Target="../customXml/item7.xml"/><Relationship Id="rId49" Type="http://schemas.openxmlformats.org/officeDocument/2006/relationships/customXml" Target="../customXml/item20.xml"/><Relationship Id="rId57" Type="http://schemas.openxmlformats.org/officeDocument/2006/relationships/customXml" Target="../customXml/item28.xml"/><Relationship Id="rId10" Type="http://schemas.openxmlformats.org/officeDocument/2006/relationships/pivotCacheDefinition" Target="pivotCache/pivotCacheDefinition3.xml"/><Relationship Id="rId31" Type="http://schemas.openxmlformats.org/officeDocument/2006/relationships/customXml" Target="../customXml/item2.xml"/><Relationship Id="rId44" Type="http://schemas.openxmlformats.org/officeDocument/2006/relationships/customXml" Target="../customXml/item15.xml"/><Relationship Id="rId52" Type="http://schemas.openxmlformats.org/officeDocument/2006/relationships/customXml" Target="../customXml/item23.xml"/><Relationship Id="rId60" Type="http://schemas.openxmlformats.org/officeDocument/2006/relationships/customXml" Target="../customXml/item31.xml"/><Relationship Id="rId65" Type="http://schemas.openxmlformats.org/officeDocument/2006/relationships/customXml" Target="../customXml/item3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6.xml"/><Relationship Id="rId18" Type="http://schemas.openxmlformats.org/officeDocument/2006/relationships/pivotCacheDefinition" Target="pivotCache/pivotCacheDefinition11.xml"/><Relationship Id="rId39" Type="http://schemas.openxmlformats.org/officeDocument/2006/relationships/customXml" Target="../customXml/item10.xml"/><Relationship Id="rId34" Type="http://schemas.openxmlformats.org/officeDocument/2006/relationships/customXml" Target="../customXml/item5.xml"/><Relationship Id="rId50" Type="http://schemas.openxmlformats.org/officeDocument/2006/relationships/customXml" Target="../customXml/item21.xml"/><Relationship Id="rId55" Type="http://schemas.openxmlformats.org/officeDocument/2006/relationships/customXml" Target="../customXml/item2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Pivots!$F$158</c:f>
              <c:strCache>
                <c:ptCount val="1"/>
                <c:pt idx="0">
                  <c:v>Rend_Actual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Pivots!$E$159:$E$163</c:f>
              <c:strCache>
                <c:ptCount val="5"/>
                <c:pt idx="0">
                  <c:v>CABRA</c:v>
                </c:pt>
                <c:pt idx="1">
                  <c:v>CREMOSO</c:v>
                </c:pt>
                <c:pt idx="2">
                  <c:v>EDAM_F</c:v>
                </c:pt>
                <c:pt idx="3">
                  <c:v>GOUDA_F</c:v>
                </c:pt>
                <c:pt idx="4">
                  <c:v>OVEJA</c:v>
                </c:pt>
              </c:strCache>
            </c:strRef>
          </c:cat>
          <c:val>
            <c:numRef>
              <c:f>Pivots!$F$159:$F$163</c:f>
              <c:numCache>
                <c:formatCode>0.00</c:formatCode>
                <c:ptCount val="5"/>
                <c:pt idx="0">
                  <c:v>8.5891960507757403</c:v>
                </c:pt>
                <c:pt idx="1">
                  <c:v>8.5158099876691171</c:v>
                </c:pt>
                <c:pt idx="2">
                  <c:v>9.1358139832865444</c:v>
                </c:pt>
                <c:pt idx="3">
                  <c:v>8.5545656270808319</c:v>
                </c:pt>
                <c:pt idx="4">
                  <c:v>8.5891960507757403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9-496E-8D12-231F47D2FE52}"/>
            </c:ext>
          </c:extLst>
        </c:ser>
        <c:ser>
          <c:idx val="1"/>
          <c:order val="1"/>
          <c:tx>
            <c:strRef>
              <c:f>Pivots!$G$158</c:f>
              <c:strCache>
                <c:ptCount val="1"/>
                <c:pt idx="0">
                  <c:v>Rend_Target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Pivots!$E$159:$E$163</c:f>
              <c:strCache>
                <c:ptCount val="5"/>
                <c:pt idx="0">
                  <c:v>CABRA</c:v>
                </c:pt>
                <c:pt idx="1">
                  <c:v>CREMOSO</c:v>
                </c:pt>
                <c:pt idx="2">
                  <c:v>EDAM_F</c:v>
                </c:pt>
                <c:pt idx="3">
                  <c:v>GOUDA_F</c:v>
                </c:pt>
                <c:pt idx="4">
                  <c:v>OVEJA</c:v>
                </c:pt>
              </c:strCache>
            </c:strRef>
          </c:cat>
          <c:val>
            <c:numRef>
              <c:f>Pivots!$G$159:$G$163</c:f>
              <c:numCache>
                <c:formatCode>0.00</c:formatCode>
                <c:ptCount val="5"/>
                <c:pt idx="0">
                  <c:v>8.2971330000000005</c:v>
                </c:pt>
                <c:pt idx="1">
                  <c:v>8.9338729999999984</c:v>
                </c:pt>
                <c:pt idx="2">
                  <c:v>9.8078500000000002</c:v>
                </c:pt>
                <c:pt idx="3">
                  <c:v>9.3549429999999987</c:v>
                </c:pt>
                <c:pt idx="4">
                  <c:v>5.5961229999999995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79-496E-8D12-231F47D2F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4873615"/>
        <c:axId val="1214876495"/>
      </c:barChart>
      <c:catAx>
        <c:axId val="1214873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4876495"/>
        <c:crosses val="autoZero"/>
        <c:auto val="1"/>
        <c:lblAlgn val="ctr"/>
        <c:lblOffset val="100"/>
        <c:noMultiLvlLbl val="0"/>
      </c:catAx>
      <c:valAx>
        <c:axId val="1214876495"/>
        <c:scaling>
          <c:orientation val="minMax"/>
          <c:max val="11"/>
          <c:min val="0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487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1094201</xdr:colOff>
      <xdr:row>11</xdr:row>
      <xdr:rowOff>36793</xdr:rowOff>
    </xdr:from>
    <xdr:to>
      <xdr:col>5</xdr:col>
      <xdr:colOff>1019575</xdr:colOff>
      <xdr:row>18</xdr:row>
      <xdr:rowOff>10272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AñoMes">
              <a:extLst>
                <a:ext uri="{FF2B5EF4-FFF2-40B4-BE49-F238E27FC236}">
                  <a16:creationId xmlns:a16="http://schemas.microsoft.com/office/drawing/2014/main" id="{6F609BD9-B095-3F8F-2CC3-2F93C5C315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51269" y="1982614"/>
              <a:ext cx="1863938" cy="12085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569046</xdr:colOff>
      <xdr:row>10</xdr:row>
      <xdr:rowOff>61607</xdr:rowOff>
    </xdr:from>
    <xdr:to>
      <xdr:col>13</xdr:col>
      <xdr:colOff>349906</xdr:colOff>
      <xdr:row>17</xdr:row>
      <xdr:rowOff>12674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ategoría">
              <a:extLst>
                <a:ext uri="{FF2B5EF4-FFF2-40B4-BE49-F238E27FC236}">
                  <a16:creationId xmlns:a16="http://schemas.microsoft.com/office/drawing/2014/main" id="{D2B3C11C-2110-477E-7697-D6813AA5CD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17260" y="1875893"/>
              <a:ext cx="1827828" cy="12242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47251</xdr:colOff>
      <xdr:row>151</xdr:row>
      <xdr:rowOff>1867</xdr:rowOff>
    </xdr:from>
    <xdr:to>
      <xdr:col>16</xdr:col>
      <xdr:colOff>714002</xdr:colOff>
      <xdr:row>179</xdr:row>
      <xdr:rowOff>11205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1C4B6FF-DD23-3DAD-53F6-2EF5C1E2B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os Colasante" refreshedDate="46134.996696643517" backgroundQuery="1" createdVersion="8" refreshedVersion="8" minRefreshableVersion="3" recordCount="0" supportSubquery="1" supportAdvancedDrill="1" xr:uid="{17247397-FB80-41D6-83CE-F341C596971D}">
  <cacheSource type="external" connectionId="4"/>
  <cacheFields count="4">
    <cacheField name="[Measures].[Merma_env_corregida_pct]" caption="Merma_env_corregida_pct" numFmtId="0" hierarchy="224" level="32767"/>
    <cacheField name="[Measures].[Impacto_EUR]" caption="Impacto_EUR" numFmtId="0" hierarchy="213" level="32767"/>
    <cacheField name="[Tabla_master_rend].[Lote].[Lote]" caption="Lote" numFmtId="0" hierarchy="16" level="1">
      <sharedItems containsSemiMixedTypes="0" containsString="0" containsNumber="1" containsInteger="1" minValue="50126346" maxValue="220126326" count="10">
        <n v="50126346"/>
        <n v="70126316"/>
        <n v="90126346"/>
        <n v="120126316"/>
        <n v="140126316"/>
        <n v="150126326"/>
        <n v="190126315"/>
        <n v="190126316"/>
        <n v="210126326"/>
        <n v="220126326"/>
      </sharedItems>
      <extLst>
        <ext xmlns:x15="http://schemas.microsoft.com/office/spreadsheetml/2010/11/main" uri="{4F2E5C28-24EA-4eb8-9CBF-B6C8F9C3D259}">
          <x15:cachedUniqueNames>
            <x15:cachedUniqueName index="0" name="[Tabla_master_rend].[Lote].&amp;[50126346]"/>
            <x15:cachedUniqueName index="1" name="[Tabla_master_rend].[Lote].&amp;[70126316]"/>
            <x15:cachedUniqueName index="2" name="[Tabla_master_rend].[Lote].&amp;[90126346]"/>
            <x15:cachedUniqueName index="3" name="[Tabla_master_rend].[Lote].&amp;[120126316]"/>
            <x15:cachedUniqueName index="4" name="[Tabla_master_rend].[Lote].&amp;[140126316]"/>
            <x15:cachedUniqueName index="5" name="[Tabla_master_rend].[Lote].&amp;[150126326]"/>
            <x15:cachedUniqueName index="6" name="[Tabla_master_rend].[Lote].&amp;[190126315]"/>
            <x15:cachedUniqueName index="7" name="[Tabla_master_rend].[Lote].&amp;[190126316]"/>
            <x15:cachedUniqueName index="8" name="[Tabla_master_rend].[Lote].&amp;[210126326]"/>
            <x15:cachedUniqueName index="9" name="[Tabla_master_rend].[Lote].&amp;[220126326]"/>
          </x15:cachedUniqueNames>
        </ext>
      </extLst>
    </cacheField>
    <cacheField name="[tbl_DimFecha].[Año].[Año]" caption="Año" numFmtId="0" hierarchy="186" level="1">
      <sharedItems containsSemiMixedTypes="0" containsNonDate="0" containsString="0"/>
    </cacheField>
  </cacheFields>
  <cacheHierarchies count="288">
    <cacheHierarchy uniqueName="[REND_TARGET].[Producto]" caption="Producto" attribute="1" defaultMemberUniqueName="[REND_TARGET].[Producto].[All]" allUniqueName="[REND_TARGET].[Producto].[All]" dimensionUniqueName="[REND_TARGET]" displayFolder="" count="0" memberValueDatatype="130" unbalanced="0"/>
    <cacheHierarchy uniqueName="[REND_TARGET].[Rendimiento Blanco]" caption="Rendimiento Blanco" attribute="1" defaultMemberUniqueName="[REND_TARGET].[Rendimiento Blanco].[All]" allUniqueName="[REND_TARGET].[Rendimiento Blanco].[All]" dimensionUniqueName="[REND_TARGET]" displayFolder="" count="0" memberValueDatatype="5" unbalanced="0"/>
    <cacheHierarchy uniqueName="[REND_TARGET].[Merma Fabr]" caption="Merma Fabr" attribute="1" defaultMemberUniqueName="[REND_TARGET].[Merma Fabr].[All]" allUniqueName="[REND_TARGET].[Merma Fabr].[All]" dimensionUniqueName="[REND_TARGET]" displayFolder="" count="0" memberValueDatatype="5" unbalanced="0"/>
    <cacheHierarchy uniqueName="[REND_TARGET].[Merma Oreo]" caption="Merma Oreo" attribute="1" defaultMemberUniqueName="[REND_TARGET].[Merma Oreo].[All]" allUniqueName="[REND_TARGET].[Merma Oreo].[All]" dimensionUniqueName="[REND_TARGET]" displayFolder="" count="0" memberValueDatatype="5" unbalanced="0"/>
    <cacheHierarchy uniqueName="[REND_TARGET].[Merma E/E]" caption="Merma E/E" attribute="1" defaultMemberUniqueName="[REND_TARGET].[Merma E/E].[All]" allUniqueName="[REND_TARGET].[Merma E/E].[All]" dimensionUniqueName="[REND_TARGET]" displayFolder="" count="0" memberValueDatatype="5" unbalanced="0"/>
    <cacheHierarchy uniqueName="[REND_TARGET].[Rend_Ntarget]" caption="Rend_Ntarget" attribute="1" defaultMemberUniqueName="[REND_TARGET].[Rend_Ntarget].[All]" allUniqueName="[REND_TARGET].[Rend_Ntarget].[All]" dimensionUniqueName="[REND_TARGET]" displayFolder="" count="0" memberValueDatatype="5" unbalanced="0"/>
    <cacheHierarchy uniqueName="[Tabla_Contabilidad].[Año]" caption="Año" attribute="1" defaultMemberUniqueName="[Tabla_Contabilidad].[Año].[All]" allUniqueName="[Tabla_Contabilidad].[Año].[All]" dimensionUniqueName="[Tabla_Contabilidad]" displayFolder="" count="0" memberValueDatatype="20" unbalanced="0"/>
    <cacheHierarchy uniqueName="[Tabla_Contabilidad].[AñoMes]" caption="AñoMes" attribute="1" defaultMemberUniqueName="[Tabla_Contabilidad].[AñoMes].[All]" allUniqueName="[Tabla_Contabilidad].[AñoMes].[All]" dimensionUniqueName="[Tabla_Contabilidad]" displayFolder="" count="0" memberValueDatatype="130" unbalanced="0"/>
    <cacheHierarchy uniqueName="[Tabla_Contabilidad].[Mes]" caption="Mes" attribute="1" defaultMemberUniqueName="[Tabla_Contabilidad].[Mes].[All]" allUniqueName="[Tabla_Contabilidad].[Mes].[All]" dimensionUniqueName="[Tabla_Contabilidad]" displayFolder="" count="0" memberValueDatatype="130" unbalanced="0"/>
    <cacheHierarchy uniqueName="[Tabla_Contabilidad].[Gastos Estructura (€∕mes)]" caption="Gastos Estructura (€∕mes)" attribute="1" defaultMemberUniqueName="[Tabla_Contabilidad].[Gastos Estructura (€∕mes)].[All]" allUniqueName="[Tabla_Contabilidad].[Gastos Estructura (€∕mes)].[All]" dimensionUniqueName="[Tabla_Contabilidad]" displayFolder="" count="0" memberValueDatatype="20" unbalanced="0"/>
    <cacheHierarchy uniqueName="[Tabla_Contabilidad].[EBITDA  (M€)]" caption="EBITDA  (M€)" attribute="1" defaultMemberUniqueName="[Tabla_Contabilidad].[EBITDA  (M€)].[All]" allUniqueName="[Tabla_Contabilidad].[EBITDA  (M€)].[All]" dimensionUniqueName="[Tabla_Contabilidad]" displayFolder="" count="0" memberValueDatatype="20" unbalanced="0"/>
    <cacheHierarchy uniqueName="[Tabla_Contabilidad].[EBITDA_PPTO (M€)]" caption="EBITDA_PPTO (M€)" attribute="1" defaultMemberUniqueName="[Tabla_Contabilidad].[EBITDA_PPTO (M€)].[All]" allUniqueName="[Tabla_Contabilidad].[EBITDA_PPTO (M€)].[All]" dimensionUniqueName="[Tabla_Contabilidad]" displayFolder="" count="0" memberValueDatatype="20" unbalanced="0"/>
    <cacheHierarchy uniqueName="[Tabla_master_rend].[Fecha]" caption="Fecha" attribute="1" time="1" defaultMemberUniqueName="[Tabla_master_rend].[Fecha].[All]" allUniqueName="[Tabla_master_rend].[Fecha].[All]" dimensionUniqueName="[Tabla_master_rend]" displayFolder="" count="0" memberValueDatatype="7" unbalanced="0"/>
    <cacheHierarchy uniqueName="[Tabla_master_rend].[mes]" caption="mes" attribute="1" defaultMemberUniqueName="[Tabla_master_rend].[mes].[All]" allUniqueName="[Tabla_master_rend].[mes].[All]" dimensionUniqueName="[Tabla_master_rend]" displayFolder="" count="0" memberValueDatatype="20" unbalanced="0"/>
    <cacheHierarchy uniqueName="[Tabla_master_rend].[Mes_Nom]" caption="Mes_Nom" attribute="1" defaultMemberUniqueName="[Tabla_master_rend].[Mes_Nom].[All]" allUniqueName="[Tabla_master_rend].[Mes_Nom].[All]" dimensionUniqueName="[Tabla_master_rend]" displayFolder="" count="2" memberValueDatatype="130" unbalanced="0"/>
    <cacheHierarchy uniqueName="[Tabla_master_rend].[Día]" caption="Día" attribute="1" defaultMemberUniqueName="[Tabla_master_rend].[Día].[All]" allUniqueName="[Tabla_master_rend].[Día].[All]" dimensionUniqueName="[Tabla_master_rend]" displayFolder="" count="2" memberValueDatatype="130" unbalanced="0"/>
    <cacheHierarchy uniqueName="[Tabla_master_rend].[Lote]" caption="Lote" attribute="1" defaultMemberUniqueName="[Tabla_master_rend].[Lote].[All]" allUniqueName="[Tabla_master_rend].[Lote].[All]" dimensionUniqueName="[Tabla_master_rend]" displayFolder="" count="2" memberValueDatatype="20" unbalanced="0">
      <fieldsUsage count="2">
        <fieldUsage x="-1"/>
        <fieldUsage x="2"/>
      </fieldsUsage>
    </cacheHierarchy>
    <cacheHierarchy uniqueName="[Tabla_master_rend].[Producto]" caption="Producto" attribute="1" defaultMemberUniqueName="[Tabla_master_rend].[Producto].[All]" allUniqueName="[Tabla_master_rend].[Producto].[All]" dimensionUniqueName="[Tabla_master_rend]" displayFolder="" count="2" memberValueDatatype="130" unbalanced="0"/>
    <cacheHierarchy uniqueName="[Tabla_master_rend].[Cubas_prod]" caption="Cubas_prod" attribute="1" defaultMemberUniqueName="[Tabla_master_rend].[Cubas_prod].[All]" allUniqueName="[Tabla_master_rend].[Cubas_prod].[All]" dimensionUniqueName="[Tabla_master_rend]" displayFolder="" count="0" memberValueDatatype="20" unbalanced="0"/>
    <cacheHierarchy uniqueName="[Tabla_master_rend].[Litros_Leche_Total]" caption="Litros_Leche_Total" attribute="1" defaultMemberUniqueName="[Tabla_master_rend].[Litros_Leche_Total].[All]" allUniqueName="[Tabla_master_rend].[Litros_Leche_Total].[All]" dimensionUniqueName="[Tabla_master_rend]" displayFolder="" count="0" memberValueDatatype="20" unbalanced="0"/>
    <cacheHierarchy uniqueName="[Tabla_master_rend].[L_Leche_ent]" caption="L_Leche_ent" attribute="1" defaultMemberUniqueName="[Tabla_master_rend].[L_Leche_ent].[All]" allUniqueName="[Tabla_master_rend].[L_Leche_ent].[All]" dimensionUniqueName="[Tabla_master_rend]" displayFolder="" count="0" memberValueDatatype="20" unbalanced="0"/>
    <cacheHierarchy uniqueName="[Tabla_master_rend].[%MG_Leche]" caption="%MG_Leche" attribute="1" defaultMemberUniqueName="[Tabla_master_rend].[%MG_Leche].[All]" allUniqueName="[Tabla_master_rend].[%MG_Leche].[All]" dimensionUniqueName="[Tabla_master_rend]" displayFolder="" count="0" memberValueDatatype="5" unbalanced="0"/>
    <cacheHierarchy uniqueName="[Tabla_master_rend].[%MP_Leche]" caption="%MP_Leche" attribute="1" defaultMemberUniqueName="[Tabla_master_rend].[%MP_Leche].[All]" allUniqueName="[Tabla_master_rend].[%MP_Leche].[All]" dimensionUniqueName="[Tabla_master_rend]" displayFolder="" count="0" memberValueDatatype="5" unbalanced="0"/>
    <cacheHierarchy uniqueName="[Tabla_master_rend].[EST_%]" caption="EST_%" attribute="1" defaultMemberUniqueName="[Tabla_master_rend].[EST_%].[All]" allUniqueName="[Tabla_master_rend].[EST_%].[All]" dimensionUniqueName="[Tabla_master_rend]" displayFolder="" count="0" memberValueDatatype="5" unbalanced="0"/>
    <cacheHierarchy uniqueName="[Tabla_master_rend].[Desn_en_linea]" caption="Desn_en_linea" attribute="1" defaultMemberUniqueName="[Tabla_master_rend].[Desn_en_linea].[All]" allUniqueName="[Tabla_master_rend].[Desn_en_linea].[All]" dimensionUniqueName="[Tabla_master_rend]" displayFolder="" count="2" memberValueDatatype="130" unbalanced="0"/>
    <cacheHierarchy uniqueName="[Tabla_master_rend].[L_desn_ext]" caption="L_desn_ext" attribute="1" defaultMemberUniqueName="[Tabla_master_rend].[L_desn_ext].[All]" allUniqueName="[Tabla_master_rend].[L_desn_ext].[All]" dimensionUniqueName="[Tabla_master_rend]" displayFolder="" count="0" memberValueDatatype="20" unbalanced="0"/>
    <cacheHierarchy uniqueName="[Tabla_master_rend].[L_cabra]" caption="L_cabra" attribute="1" defaultMemberUniqueName="[Tabla_master_rend].[L_cabra].[All]" allUniqueName="[Tabla_master_rend].[L_cabra].[All]" dimensionUniqueName="[Tabla_master_rend]" displayFolder="" count="0" memberValueDatatype="20" unbalanced="0"/>
    <cacheHierarchy uniqueName="[Tabla_master_rend].[L_oveja]" caption="L_oveja" attribute="1" defaultMemberUniqueName="[Tabla_master_rend].[L_oveja].[All]" allUniqueName="[Tabla_master_rend].[L_oveja].[All]" dimensionUniqueName="[Tabla_master_rend]" displayFolder="" count="0" memberValueDatatype="20" unbalanced="0"/>
    <cacheHierarchy uniqueName="[Tabla_master_rend].[Litros_Nata]" caption="Litros_Nata" attribute="1" defaultMemberUniqueName="[Tabla_master_rend].[Litros_Nata].[All]" allUniqueName="[Tabla_master_rend].[Litros_Nata].[All]" dimensionUniqueName="[Tabla_master_rend]" displayFolder="" count="0" memberValueDatatype="20" unbalanced="0"/>
    <cacheHierarchy uniqueName="[Tabla_master_rend].[L_nata_suero]" caption="L_nata_suero" attribute="1" defaultMemberUniqueName="[Tabla_master_rend].[L_nata_suero].[All]" allUniqueName="[Tabla_master_rend].[L_nata_suero].[All]" dimensionUniqueName="[Tabla_master_rend]" displayFolder="" count="0" memberValueDatatype="20" unbalanced="0"/>
    <cacheHierarchy uniqueName="[Tabla_master_rend].[L_suero Total]" caption="L_suero Total" attribute="1" defaultMemberUniqueName="[Tabla_master_rend].[L_suero Total].[All]" allUniqueName="[Tabla_master_rend].[L_suero Total].[All]" dimensionUniqueName="[Tabla_master_rend]" displayFolder="" count="0" memberValueDatatype="20" unbalanced="0"/>
    <cacheHierarchy uniqueName="[Tabla_master_rend].[%Suero_vs_leche]" caption="%Suero_vs_leche" attribute="1" defaultMemberUniqueName="[Tabla_master_rend].[%Suero_vs_leche].[All]" allUniqueName="[Tabla_master_rend].[%Suero_vs_leche].[All]" dimensionUniqueName="[Tabla_master_rend]" displayFolder="" count="0" memberValueDatatype="5" unbalanced="0"/>
    <cacheHierarchy uniqueName="[Tabla_master_rend].[MG_suero]" caption="MG_suero" attribute="1" defaultMemberUniqueName="[Tabla_master_rend].[MG_suero].[All]" allUniqueName="[Tabla_master_rend].[MG_suero].[All]" dimensionUniqueName="[Tabla_master_rend]" displayFolder="" count="0" memberValueDatatype="5" unbalanced="0"/>
    <cacheHierarchy uniqueName="[Tabla_master_rend].[MP_suero]" caption="MP_suero" attribute="1" defaultMemberUniqueName="[Tabla_master_rend].[MP_suero].[All]" allUniqueName="[Tabla_master_rend].[MP_suero].[All]" dimensionUniqueName="[Tabla_master_rend]" displayFolder="" count="0" memberValueDatatype="5" unbalanced="0"/>
    <cacheHierarchy uniqueName="[Tabla_master_rend].[L_suero para con]" caption="L_suero para con" attribute="1" defaultMemberUniqueName="[Tabla_master_rend].[L_suero para con].[All]" allUniqueName="[Tabla_master_rend].[L_suero para con].[All]" dimensionUniqueName="[Tabla_master_rend]" displayFolder="" count="0" memberValueDatatype="20" unbalanced="0"/>
    <cacheHierarchy uniqueName="[Tabla_master_rend].[L_suero_con]" caption="L_suero_con" attribute="1" defaultMemberUniqueName="[Tabla_master_rend].[L_suero_con].[All]" allUniqueName="[Tabla_master_rend].[L_suero_con].[All]" dimensionUniqueName="[Tabla_master_rend]" displayFolder="" count="0" memberValueDatatype="20" unbalanced="0"/>
    <cacheHierarchy uniqueName="[Tabla_master_rend].[Rartio_sueroC]" caption="Rartio_sueroC" attribute="1" defaultMemberUniqueName="[Tabla_master_rend].[Rartio_sueroC].[All]" allUniqueName="[Tabla_master_rend].[Rartio_sueroC].[All]" dimensionUniqueName="[Tabla_master_rend]" displayFolder="" count="0" memberValueDatatype="5" unbalanced="0"/>
    <cacheHierarchy uniqueName="[Tabla_master_rend].[L_Suero_Sobrante]" caption="L_Suero_Sobrante" attribute="1" defaultMemberUniqueName="[Tabla_master_rend].[L_Suero_Sobrante].[All]" allUniqueName="[Tabla_master_rend].[L_Suero_Sobrante].[All]" dimensionUniqueName="[Tabla_master_rend]" displayFolder="" count="0" memberValueDatatype="20" unbalanced="0"/>
    <cacheHierarchy uniqueName="[Tabla_master_rend].[MG_sueroc]" caption="MG_sueroc" attribute="1" defaultMemberUniqueName="[Tabla_master_rend].[MG_sueroc].[All]" allUniqueName="[Tabla_master_rend].[MG_sueroc].[All]" dimensionUniqueName="[Tabla_master_rend]" displayFolder="" count="0" memberValueDatatype="20" unbalanced="0"/>
    <cacheHierarchy uniqueName="[Tabla_master_rend].[MP_sueroc]" caption="MP_sueroc" attribute="1" defaultMemberUniqueName="[Tabla_master_rend].[MP_sueroc].[All]" allUniqueName="[Tabla_master_rend].[MP_sueroc].[All]" dimensionUniqueName="[Tabla_master_rend]" displayFolder="" count="0" memberValueDatatype="20" unbalanced="0"/>
    <cacheHierarchy uniqueName="[Tabla_master_rend].[L_LPS_Gen]" caption="L_LPS_Gen" attribute="1" defaultMemberUniqueName="[Tabla_master_rend].[L_LPS_Gen].[All]" allUniqueName="[Tabla_master_rend].[L_LPS_Gen].[All]" dimensionUniqueName="[Tabla_master_rend]" displayFolder="" count="0" memberValueDatatype="20" unbalanced="0"/>
    <cacheHierarchy uniqueName="[Tabla_master_rend].[L_LPS_incor]" caption="L_LPS_incor" attribute="1" defaultMemberUniqueName="[Tabla_master_rend].[L_LPS_incor].[All]" allUniqueName="[Tabla_master_rend].[L_LPS_incor].[All]" dimensionUniqueName="[Tabla_master_rend]" displayFolder="" count="0" memberValueDatatype="20" unbalanced="0"/>
    <cacheHierarchy uniqueName="[Tabla_master_rend].[gr_LPS]" caption="gr_LPS" attribute="1" defaultMemberUniqueName="[Tabla_master_rend].[gr_LPS].[All]" allUniqueName="[Tabla_master_rend].[gr_LPS].[All]" dimensionUniqueName="[Tabla_master_rend]" displayFolder="" count="0" memberValueDatatype="20" unbalanced="0"/>
    <cacheHierarchy uniqueName="[Tabla_master_rend].[MG_LPS]" caption="MG_LPS" attribute="1" defaultMemberUniqueName="[Tabla_master_rend].[MG_LPS].[All]" allUniqueName="[Tabla_master_rend].[MG_LPS].[All]" dimensionUniqueName="[Tabla_master_rend]" displayFolder="" count="0" memberValueDatatype="5" unbalanced="0"/>
    <cacheHierarchy uniqueName="[Tabla_master_rend].[MP_LPS]" caption="MP_LPS" attribute="1" defaultMemberUniqueName="[Tabla_master_rend].[MP_LPS].[All]" allUniqueName="[Tabla_master_rend].[MP_LPS].[All]" dimensionUniqueName="[Tabla_master_rend]" displayFolder="" count="0" memberValueDatatype="5" unbalanced="0"/>
    <cacheHierarchy uniqueName="[Tabla_master_rend].[Kg_Queso_Blan]" caption="Kg_Queso_Blan" attribute="1" defaultMemberUniqueName="[Tabla_master_rend].[Kg_Queso_Blan].[All]" allUniqueName="[Tabla_master_rend].[Kg_Queso_Blan].[All]" dimensionUniqueName="[Tabla_master_rend]" displayFolder="" count="0" memberValueDatatype="5" unbalanced="0"/>
    <cacheHierarchy uniqueName="[Tabla_master_rend].[RDTO_Blanco]" caption="RDTO_Blanco" attribute="1" defaultMemberUniqueName="[Tabla_master_rend].[RDTO_Blanco].[All]" allUniqueName="[Tabla_master_rend].[RDTO_Blanco].[All]" dimensionUniqueName="[Tabla_master_rend]" displayFolder="" count="0" memberValueDatatype="5" unbalanced="0"/>
    <cacheHierarchy uniqueName="[Tabla_master_rend].[RDTO_NETO]" caption="RDTO_NETO" attribute="1" defaultMemberUniqueName="[Tabla_master_rend].[RDTO_NETO].[All]" allUniqueName="[Tabla_master_rend].[RDTO_NETO].[All]" dimensionUniqueName="[Tabla_master_rend]" displayFolder="" count="0" memberValueDatatype="5" unbalanced="0"/>
    <cacheHierarchy uniqueName="[Tabla_master_rend].[REND_TARGET]" caption="REND_TARGET" attribute="1" defaultMemberUniqueName="[Tabla_master_rend].[REND_TARGET].[All]" allUniqueName="[Tabla_master_rend].[REND_TARGET].[All]" dimensionUniqueName="[Tabla_master_rend]" displayFolder="" count="0" memberValueDatatype="5" unbalanced="0"/>
    <cacheHierarchy uniqueName="[Tabla_master_rend].[Kg_Solidos_leche]" caption="Kg_Solidos_leche" attribute="1" defaultMemberUniqueName="[Tabla_master_rend].[Kg_Solidos_leche].[All]" allUniqueName="[Tabla_master_rend].[Kg_Solidos_leche].[All]" dimensionUniqueName="[Tabla_master_rend]" displayFolder="" count="0" memberValueDatatype="5" unbalanced="0"/>
    <cacheHierarchy uniqueName="[Tabla_master_rend].[%MG_QUESO]" caption="%MG_QUESO" attribute="1" defaultMemberUniqueName="[Tabla_master_rend].[%MG_QUESO].[All]" allUniqueName="[Tabla_master_rend].[%MG_QUESO].[All]" dimensionUniqueName="[Tabla_master_rend]" displayFolder="" count="0" memberValueDatatype="5" unbalanced="0"/>
    <cacheHierarchy uniqueName="[Tabla_master_rend].[%PT_QUESO]" caption="%PT_QUESO" attribute="1" defaultMemberUniqueName="[Tabla_master_rend].[%PT_QUESO].[All]" allUniqueName="[Tabla_master_rend].[%PT_QUESO].[All]" dimensionUniqueName="[Tabla_master_rend]" displayFolder="" count="0" memberValueDatatype="5" unbalanced="0"/>
    <cacheHierarchy uniqueName="[Tabla_master_rend].[ES_QUESO]" caption="ES_QUESO" attribute="1" defaultMemberUniqueName="[Tabla_master_rend].[ES_QUESO].[All]" allUniqueName="[Tabla_master_rend].[ES_QUESO].[All]" dimensionUniqueName="[Tabla_master_rend]" displayFolder="" count="0" memberValueDatatype="5" unbalanced="0"/>
    <cacheHierarchy uniqueName="[Tabla_master_rend].[Rendimiento_Solidos_%]" caption="Rendimiento_Solidos_%" attribute="1" defaultMemberUniqueName="[Tabla_master_rend].[Rendimiento_Solidos_%].[All]" allUniqueName="[Tabla_master_rend].[Rendimiento_Solidos_%].[All]" dimensionUniqueName="[Tabla_master_rend]" displayFolder="" count="0" memberValueDatatype="5" unbalanced="0"/>
    <cacheHierarchy uniqueName="[Tabla_master_rend].[Kg_MG_Nata]" caption="Kg_MG_Nata" attribute="1" defaultMemberUniqueName="[Tabla_master_rend].[Kg_MG_Nata].[All]" allUniqueName="[Tabla_master_rend].[Kg_MG_Nata].[All]" dimensionUniqueName="[Tabla_master_rend]" displayFolder="" count="0" memberValueDatatype="5" unbalanced="0"/>
    <cacheHierarchy uniqueName="[Tabla_master_rend].[%RECUP_MG]" caption="%RECUP_MG" attribute="1" defaultMemberUniqueName="[Tabla_master_rend].[%RECUP_MG].[All]" allUniqueName="[Tabla_master_rend].[%RECUP_MG].[All]" dimensionUniqueName="[Tabla_master_rend]" displayFolder="" count="0" memberValueDatatype="5" unbalanced="0"/>
    <cacheHierarchy uniqueName="[Tabla_master_rend].[%RECUP_PT]" caption="%RECUP_PT" attribute="1" defaultMemberUniqueName="[Tabla_master_rend].[%RECUP_PT].[All]" allUniqueName="[Tabla_master_rend].[%RECUP_PT].[All]" dimensionUniqueName="[Tabla_master_rend]" displayFolder="" count="0" memberValueDatatype="5" unbalanced="0"/>
    <cacheHierarchy uniqueName="[Tabla_master_rend].[Valor_Nata_€]" caption="Valor_Nata_€" attribute="1" defaultMemberUniqueName="[Tabla_master_rend].[Valor_Nata_€].[All]" allUniqueName="[Tabla_master_rend].[Valor_Nata_€].[All]" dimensionUniqueName="[Tabla_master_rend]" displayFolder="" count="0" memberValueDatatype="5" unbalanced="0"/>
    <cacheHierarchy uniqueName="[Tabla_master_rend].[Kg_Finos]" caption="Kg_Finos" attribute="1" defaultMemberUniqueName="[Tabla_master_rend].[Kg_Finos].[All]" allUniqueName="[Tabla_master_rend].[Kg_Finos].[All]" dimensionUniqueName="[Tabla_master_rend]" displayFolder="" count="0" memberValueDatatype="5" unbalanced="0"/>
    <cacheHierarchy uniqueName="[Tabla_master_rend].[Kg_Llenadora]" caption="Kg_Llenadora" attribute="1" defaultMemberUniqueName="[Tabla_master_rend].[Kg_Llenadora].[All]" allUniqueName="[Tabla_master_rend].[Kg_Llenadora].[All]" dimensionUniqueName="[Tabla_master_rend]" displayFolder="" count="0" memberValueDatatype="5" unbalanced="0"/>
    <cacheHierarchy uniqueName="[Tabla_master_rend].[Kg_Desmoldeo]" caption="Kg_Desmoldeo" attribute="1" defaultMemberUniqueName="[Tabla_master_rend].[Kg_Desmoldeo].[All]" allUniqueName="[Tabla_master_rend].[Kg_Desmoldeo].[All]" dimensionUniqueName="[Tabla_master_rend]" displayFolder="" count="0" memberValueDatatype="5" unbalanced="0"/>
    <cacheHierarchy uniqueName="[Tabla_master_rend].[Merma_fab]" caption="Merma_fab" attribute="1" defaultMemberUniqueName="[Tabla_master_rend].[Merma_fab].[All]" allUniqueName="[Tabla_master_rend].[Merma_fab].[All]" dimensionUniqueName="[Tabla_master_rend]" displayFolder="" count="0" memberValueDatatype="5" unbalanced="0"/>
    <cacheHierarchy uniqueName="[Tabla_master_rend].[% Merma_fab2]" caption="% Merma_fab2" attribute="1" defaultMemberUniqueName="[Tabla_master_rend].[% Merma_fab2].[All]" allUniqueName="[Tabla_master_rend].[% Merma_fab2].[All]" dimensionUniqueName="[Tabla_master_rend]" displayFolder="" count="0" memberValueDatatype="5" unbalanced="0"/>
    <cacheHierarchy uniqueName="[Tabla_master_rend].[L_Agua]" caption="L_Agua" attribute="1" defaultMemberUniqueName="[Tabla_master_rend].[L_Agua].[All]" allUniqueName="[Tabla_master_rend].[L_Agua].[All]" dimensionUniqueName="[Tabla_master_rend]" displayFolder="" count="0" memberValueDatatype="20" unbalanced="0"/>
    <cacheHierarchy uniqueName="[Tabla_master_rend].[% oreo]" caption="% oreo" attribute="1" defaultMemberUniqueName="[Tabla_master_rend].[% oreo].[All]" allUniqueName="[Tabla_master_rend].[% oreo].[All]" dimensionUniqueName="[Tabla_master_rend]" displayFolder="" count="0" memberValueDatatype="5" unbalanced="0"/>
    <cacheHierarchy uniqueName="[Tabla_master_rend].[B_totales]" caption="B_totales" attribute="1" defaultMemberUniqueName="[Tabla_master_rend].[B_totales].[All]" allUniqueName="[Tabla_master_rend].[B_totales].[All]" dimensionUniqueName="[Tabla_master_rend]" displayFolder="" count="0" memberValueDatatype="5" unbalanced="0"/>
    <cacheHierarchy uniqueName="[Tabla_master_rend].[B_OK_uni]" caption="B_OK_uni" attribute="1" defaultMemberUniqueName="[Tabla_master_rend].[B_OK_uni].[All]" allUniqueName="[Tabla_master_rend].[B_OK_uni].[All]" dimensionUniqueName="[Tabla_master_rend]" displayFolder="" count="0" memberValueDatatype="5" unbalanced="0"/>
    <cacheHierarchy uniqueName="[Tabla_master_rend].[B_OK_kg]" caption="B_OK_kg" attribute="1" defaultMemberUniqueName="[Tabla_master_rend].[B_OK_kg].[All]" allUniqueName="[Tabla_master_rend].[B_OK_kg].[All]" dimensionUniqueName="[Tabla_master_rend]" displayFolder="" count="0" memberValueDatatype="5" unbalanced="0"/>
    <cacheHierarchy uniqueName="[Tabla_master_rend].[B_altas]" caption="B_altas" attribute="1" defaultMemberUniqueName="[Tabla_master_rend].[B_altas].[All]" allUniqueName="[Tabla_master_rend].[B_altas].[All]" dimensionUniqueName="[Tabla_master_rend]" displayFolder="" count="0" memberValueDatatype="5" unbalanced="0"/>
    <cacheHierarchy uniqueName="[Tabla_master_rend].[B_bajas]" caption="B_bajas" attribute="1" defaultMemberUniqueName="[Tabla_master_rend].[B_bajas].[All]" allUniqueName="[Tabla_master_rend].[B_bajas].[All]" dimensionUniqueName="[Tabla_master_rend]" displayFolder="" count="0" memberValueDatatype="5" unbalanced="0"/>
    <cacheHierarchy uniqueName="[Tabla_master_rend].[B_rotas]" caption="B_rotas" attribute="1" defaultMemberUniqueName="[Tabla_master_rend].[B_rotas].[All]" allUniqueName="[Tabla_master_rend].[B_rotas].[All]" dimensionUniqueName="[Tabla_master_rend]" displayFolder="" count="0" memberValueDatatype="5" unbalanced="0"/>
    <cacheHierarchy uniqueName="[Tabla_master_rend].[B_feas]" caption="B_feas" attribute="1" defaultMemberUniqueName="[Tabla_master_rend].[B_feas].[All]" allUniqueName="[Tabla_master_rend].[B_feas].[All]" dimensionUniqueName="[Tabla_master_rend]" displayFolder="" count="0" memberValueDatatype="5" unbalanced="0"/>
    <cacheHierarchy uniqueName="[Tabla_master_rend].[B_lab]" caption="B_lab" attribute="1" defaultMemberUniqueName="[Tabla_master_rend].[B_lab].[All]" allUniqueName="[Tabla_master_rend].[B_lab].[All]" dimensionUniqueName="[Tabla_master_rend]" displayFolder="" count="0" memberValueDatatype="5" unbalanced="0"/>
    <cacheHierarchy uniqueName="[Tabla_master_rend].[Kg_SalidaSecadero]" caption="Kg_SalidaSecadero" attribute="1" defaultMemberUniqueName="[Tabla_master_rend].[Kg_SalidaSecadero].[All]" allUniqueName="[Tabla_master_rend].[Kg_SalidaSecadero].[All]" dimensionUniqueName="[Tabla_master_rend]" displayFolder="" count="0" memberValueDatatype="5" unbalanced="0"/>
    <cacheHierarchy uniqueName="[Tabla_master_rend].[Kg_rebaba]" caption="Kg_rebaba" attribute="1" defaultMemberUniqueName="[Tabla_master_rend].[Kg_rebaba].[All]" allUniqueName="[Tabla_master_rend].[Kg_rebaba].[All]" dimensionUniqueName="[Tabla_master_rend]" displayFolder="" count="0" memberValueDatatype="5" unbalanced="0"/>
    <cacheHierarchy uniqueName="[Tabla_master_rend].[Kg_mer_env_real]" caption="Kg_mer_env_real" attribute="1" defaultMemberUniqueName="[Tabla_master_rend].[Kg_mer_env_real].[All]" allUniqueName="[Tabla_master_rend].[Kg_mer_env_real].[All]" dimensionUniqueName="[Tabla_master_rend]" displayFolder="" count="0" memberValueDatatype="5" unbalanced="0"/>
    <cacheHierarchy uniqueName="[Tabla_master_rend].[kg_mer_lab_real]" caption="kg_mer_lab_real" attribute="1" defaultMemberUniqueName="[Tabla_master_rend].[kg_mer_lab_real].[All]" allUniqueName="[Tabla_master_rend].[kg_mer_lab_real].[All]" dimensionUniqueName="[Tabla_master_rend]" displayFolder="" count="0" memberValueDatatype="5" unbalanced="0"/>
    <cacheHierarchy uniqueName="[Tabla_master_rend].[%Merma_env]" caption="%Merma_env" attribute="1" defaultMemberUniqueName="[Tabla_master_rend].[%Merma_env].[All]" allUniqueName="[Tabla_master_rend].[%Merma_env].[All]" dimensionUniqueName="[Tabla_master_rend]" displayFolder="" count="0" memberValueDatatype="5" unbalanced="0"/>
    <cacheHierarchy uniqueName="[Tabla_master_rend].[%Merma_env_corr]" caption="%Merma_env_corr" attribute="1" defaultMemberUniqueName="[Tabla_master_rend].[%Merma_env_corr].[All]" allUniqueName="[Tabla_master_rend].[%Merma_env_corr].[All]" dimensionUniqueName="[Tabla_master_rend]" displayFolder="" count="0" memberValueDatatype="5" unbalanced="0"/>
    <cacheHierarchy uniqueName="[Tabla_master_rend].[% merma TOT]" caption="% merma TOT" attribute="1" defaultMemberUniqueName="[Tabla_master_rend].[% merma TOT].[All]" allUniqueName="[Tabla_master_rend].[% merma TOT].[All]" dimensionUniqueName="[Tabla_master_rend]" displayFolder="" count="0" memberValueDatatype="5" unbalanced="0"/>
    <cacheHierarchy uniqueName="[Tabla_master_rend].[Merma_TOT]" caption="Merma_TOT" attribute="1" defaultMemberUniqueName="[Tabla_master_rend].[Merma_TOT].[All]" allUniqueName="[Tabla_master_rend].[Merma_TOT].[All]" dimensionUniqueName="[Tabla_master_rend]" displayFolder="" count="0" memberValueDatatype="5" unbalanced="0"/>
    <cacheHierarchy uniqueName="[Tabla_master_rend].[Kg_Env_Total]" caption="Kg_Env_Total" attribute="1" defaultMemberUniqueName="[Tabla_master_rend].[Kg_Env_Total].[All]" allUniqueName="[Tabla_master_rend].[Kg_Env_Total].[All]" dimensionUniqueName="[Tabla_master_rend]" displayFolder="" count="0" memberValueDatatype="5" unbalanced="0"/>
    <cacheHierarchy uniqueName="[Tabla_master_rend].[Coste_Leche_€]" caption="Coste_Leche_€" attribute="1" defaultMemberUniqueName="[Tabla_master_rend].[Coste_Leche_€].[All]" allUniqueName="[Tabla_master_rend].[Coste_Leche_€].[All]" dimensionUniqueName="[Tabla_master_rend]" displayFolder="" count="0" memberValueDatatype="5" unbalanced="0"/>
    <cacheHierarchy uniqueName="[Tabla_master_rend].[€/kg_MPQueso]" caption="€/kg_MPQueso" attribute="1" defaultMemberUniqueName="[Tabla_master_rend].[€/kg_MPQueso].[All]" allUniqueName="[Tabla_master_rend].[€/kg_MPQueso].[All]" dimensionUniqueName="[Tabla_master_rend]" displayFolder="" count="0" memberValueDatatype="5" unbalanced="0"/>
    <cacheHierarchy uniqueName="[Tabla_master_rend].[Merma_inic]" caption="Merma_inic" attribute="1" defaultMemberUniqueName="[Tabla_master_rend].[Merma_inic].[All]" allUniqueName="[Tabla_master_rend].[Merma_inic].[All]" dimensionUniqueName="[Tabla_master_rend]" displayFolder="" count="0" memberValueDatatype="5" unbalanced="0"/>
    <cacheHierarchy uniqueName="[Tabla_master_rend].[Recup_kg]" caption="Recup_kg" attribute="1" defaultMemberUniqueName="[Tabla_master_rend].[Recup_kg].[All]" allUniqueName="[Tabla_master_rend].[Recup_kg].[All]" dimensionUniqueName="[Tabla_master_rend]" displayFolder="" count="0" memberValueDatatype="5" unbalanced="0"/>
    <cacheHierarchy uniqueName="[Tabla_master_rend].[Recup_%]" caption="Recup_%" attribute="1" defaultMemberUniqueName="[Tabla_master_rend].[Recup_%].[All]" allUniqueName="[Tabla_master_rend].[Recup_%].[All]" dimensionUniqueName="[Tabla_master_rend]" displayFolder="" count="0" memberValueDatatype="5" unbalanced="0"/>
    <cacheHierarchy uniqueName="[Tabla_master_rend].[Merma_ppto fab]" caption="Merma_ppto fab" attribute="1" defaultMemberUniqueName="[Tabla_master_rend].[Merma_ppto fab].[All]" allUniqueName="[Tabla_master_rend].[Merma_ppto fab].[All]" dimensionUniqueName="[Tabla_master_rend]" displayFolder="" count="0" memberValueDatatype="5" unbalanced="0"/>
    <cacheHierarchy uniqueName="[Tabla_master_rend].[Merma_ppto oreo]" caption="Merma_ppto oreo" attribute="1" defaultMemberUniqueName="[Tabla_master_rend].[Merma_ppto oreo].[All]" allUniqueName="[Tabla_master_rend].[Merma_ppto oreo].[All]" dimensionUniqueName="[Tabla_master_rend]" displayFolder="" count="0" memberValueDatatype="5" unbalanced="0"/>
    <cacheHierarchy uniqueName="[Tabla_master_rend].[Merma_ppto Env/Enc]" caption="Merma_ppto Env/Enc" attribute="1" defaultMemberUniqueName="[Tabla_master_rend].[Merma_ppto Env/Enc].[All]" allUniqueName="[Tabla_master_rend].[Merma_ppto Env/Enc].[All]" dimensionUniqueName="[Tabla_master_rend]" displayFolder="" count="0" memberValueDatatype="5" unbalanced="0"/>
    <cacheHierarchy uniqueName="[Tabla_master_rend].[Merma_T ppto]" caption="Merma_T ppto" attribute="1" defaultMemberUniqueName="[Tabla_master_rend].[Merma_T ppto].[All]" allUniqueName="[Tabla_master_rend].[Merma_T ppto].[All]" dimensionUniqueName="[Tabla_master_rend]" displayFolder="" count="0" memberValueDatatype="5" unbalanced="0"/>
    <cacheHierarchy uniqueName="[Tabla_master_rend].[Merma_T ppto %]" caption="Merma_T ppto %" attribute="1" defaultMemberUniqueName="[Tabla_master_rend].[Merma_T ppto %].[All]" allUniqueName="[Tabla_master_rend].[Merma_T ppto %].[All]" dimensionUniqueName="[Tabla_master_rend]" displayFolder="" count="0" memberValueDatatype="5" unbalanced="0"/>
    <cacheHierarchy uniqueName="[Tabla_master_rend].[Merma_T real %]" caption="Merma_T real %" attribute="1" defaultMemberUniqueName="[Tabla_master_rend].[Merma_T real %].[All]" allUniqueName="[Tabla_master_rend].[Merma_T real %].[All]" dimensionUniqueName="[Tabla_master_rend]" displayFolder="" count="0" memberValueDatatype="5" unbalanced="0"/>
    <cacheHierarchy uniqueName="[Tabla_master_rend].[DIF R Vs PPTO]" caption="DIF R Vs PPTO" attribute="1" defaultMemberUniqueName="[Tabla_master_rend].[DIF R Vs PPTO].[All]" allUniqueName="[Tabla_master_rend].[DIF R Vs PPTO].[All]" dimensionUniqueName="[Tabla_master_rend]" displayFolder="" count="0" memberValueDatatype="5" unbalanced="0"/>
    <cacheHierarchy uniqueName="[Tabla_master_rend].[IMPACTO]" caption="IMPACTO" attribute="1" defaultMemberUniqueName="[Tabla_master_rend].[IMPACTO].[All]" allUniqueName="[Tabla_master_rend].[IMPACTO].[All]" dimensionUniqueName="[Tabla_master_rend]" displayFolder="" count="0" memberValueDatatype="5" unbalanced="0"/>
    <cacheHierarchy uniqueName="[Tabla_master_rend].[IMPACTO_vs_PPTO]" caption="IMPACTO_vs_PPTO" attribute="1" defaultMemberUniqueName="[Tabla_master_rend].[IMPACTO_vs_PPTO].[All]" allUniqueName="[Tabla_master_rend].[IMPACTO_vs_PPTO].[All]" dimensionUniqueName="[Tabla_master_rend]" displayFolder="" count="0" memberValueDatatype="5" unbalanced="0"/>
    <cacheHierarchy uniqueName="[Tabla_master_rend].[Fecha (mes)]" caption="Fecha (mes)" attribute="1" defaultMemberUniqueName="[Tabla_master_rend].[Fecha (mes)].[All]" allUniqueName="[Tabla_master_rend].[Fecha (mes)].[All]" dimensionUniqueName="[Tabla_master_rend]" displayFolder="" count="0" memberValueDatatype="130" unbalanced="0"/>
    <cacheHierarchy uniqueName="[Tabla_master_rend 1].[Fecha]" caption="Fecha" attribute="1" time="1" defaultMemberUniqueName="[Tabla_master_rend 1].[Fecha].[All]" allUniqueName="[Tabla_master_rend 1].[Fecha].[All]" dimensionUniqueName="[Tabla_master_rend 1]" displayFolder="" count="0" memberValueDatatype="7" unbalanced="0"/>
    <cacheHierarchy uniqueName="[Tabla_master_rend 1].[mes]" caption="mes" attribute="1" defaultMemberUniqueName="[Tabla_master_rend 1].[mes].[All]" allUniqueName="[Tabla_master_rend 1].[mes].[All]" dimensionUniqueName="[Tabla_master_rend 1]" displayFolder="" count="0" memberValueDatatype="20" unbalanced="0"/>
    <cacheHierarchy uniqueName="[Tabla_master_rend 1].[Mes_Nom]" caption="Mes_Nom" attribute="1" defaultMemberUniqueName="[Tabla_master_rend 1].[Mes_Nom].[All]" allUniqueName="[Tabla_master_rend 1].[Mes_Nom].[All]" dimensionUniqueName="[Tabla_master_rend 1]" displayFolder="" count="0" memberValueDatatype="130" unbalanced="0"/>
    <cacheHierarchy uniqueName="[Tabla_master_rend 1].[Día]" caption="Día" attribute="1" defaultMemberUniqueName="[Tabla_master_rend 1].[Día].[All]" allUniqueName="[Tabla_master_rend 1].[Día].[All]" dimensionUniqueName="[Tabla_master_rend 1]" displayFolder="" count="0" memberValueDatatype="130" unbalanced="0"/>
    <cacheHierarchy uniqueName="[Tabla_master_rend 1].[Lote]" caption="Lote" attribute="1" defaultMemberUniqueName="[Tabla_master_rend 1].[Lote].[All]" allUniqueName="[Tabla_master_rend 1].[Lote].[All]" dimensionUniqueName="[Tabla_master_rend 1]" displayFolder="" count="0" memberValueDatatype="130" unbalanced="0"/>
    <cacheHierarchy uniqueName="[Tabla_master_rend 1].[Producto]" caption="Producto" attribute="1" defaultMemberUniqueName="[Tabla_master_rend 1].[Producto].[All]" allUniqueName="[Tabla_master_rend 1].[Producto].[All]" dimensionUniqueName="[Tabla_master_rend 1]" displayFolder="" count="0" memberValueDatatype="130" unbalanced="0"/>
    <cacheHierarchy uniqueName="[Tabla_master_rend 1].[Cubas_prod]" caption="Cubas_prod" attribute="1" defaultMemberUniqueName="[Tabla_master_rend 1].[Cubas_prod].[All]" allUniqueName="[Tabla_master_rend 1].[Cubas_prod].[All]" dimensionUniqueName="[Tabla_master_rend 1]" displayFolder="" count="0" memberValueDatatype="20" unbalanced="0"/>
    <cacheHierarchy uniqueName="[Tabla_master_rend 1].[Litros_Leche_Total]" caption="Litros_Leche_Total" attribute="1" defaultMemberUniqueName="[Tabla_master_rend 1].[Litros_Leche_Total].[All]" allUniqueName="[Tabla_master_rend 1].[Litros_Leche_Total].[All]" dimensionUniqueName="[Tabla_master_rend 1]" displayFolder="" count="0" memberValueDatatype="20" unbalanced="0"/>
    <cacheHierarchy uniqueName="[Tabla_master_rend 1].[L_Leche_ent]" caption="L_Leche_ent" attribute="1" defaultMemberUniqueName="[Tabla_master_rend 1].[L_Leche_ent].[All]" allUniqueName="[Tabla_master_rend 1].[L_Leche_ent].[All]" dimensionUniqueName="[Tabla_master_rend 1]" displayFolder="" count="0" memberValueDatatype="20" unbalanced="0"/>
    <cacheHierarchy uniqueName="[Tabla_master_rend 1].[%MG_Leche]" caption="%MG_Leche" attribute="1" defaultMemberUniqueName="[Tabla_master_rend 1].[%MG_Leche].[All]" allUniqueName="[Tabla_master_rend 1].[%MG_Leche].[All]" dimensionUniqueName="[Tabla_master_rend 1]" displayFolder="" count="0" memberValueDatatype="5" unbalanced="0"/>
    <cacheHierarchy uniqueName="[Tabla_master_rend 1].[%MP_Leche]" caption="%MP_Leche" attribute="1" defaultMemberUniqueName="[Tabla_master_rend 1].[%MP_Leche].[All]" allUniqueName="[Tabla_master_rend 1].[%MP_Leche].[All]" dimensionUniqueName="[Tabla_master_rend 1]" displayFolder="" count="0" memberValueDatatype="5" unbalanced="0"/>
    <cacheHierarchy uniqueName="[Tabla_master_rend 1].[EST_%]" caption="EST_%" attribute="1" defaultMemberUniqueName="[Tabla_master_rend 1].[EST_%].[All]" allUniqueName="[Tabla_master_rend 1].[EST_%].[All]" dimensionUniqueName="[Tabla_master_rend 1]" displayFolder="" count="0" memberValueDatatype="5" unbalanced="0"/>
    <cacheHierarchy uniqueName="[Tabla_master_rend 1].[Desn_en_linea]" caption="Desn_en_linea" attribute="1" defaultMemberUniqueName="[Tabla_master_rend 1].[Desn_en_linea].[All]" allUniqueName="[Tabla_master_rend 1].[Desn_en_linea].[All]" dimensionUniqueName="[Tabla_master_rend 1]" displayFolder="" count="0" memberValueDatatype="130" unbalanced="0"/>
    <cacheHierarchy uniqueName="[Tabla_master_rend 1].[L_desn_ext]" caption="L_desn_ext" attribute="1" defaultMemberUniqueName="[Tabla_master_rend 1].[L_desn_ext].[All]" allUniqueName="[Tabla_master_rend 1].[L_desn_ext].[All]" dimensionUniqueName="[Tabla_master_rend 1]" displayFolder="" count="0" memberValueDatatype="20" unbalanced="0"/>
    <cacheHierarchy uniqueName="[Tabla_master_rend 1].[L_cabra]" caption="L_cabra" attribute="1" defaultMemberUniqueName="[Tabla_master_rend 1].[L_cabra].[All]" allUniqueName="[Tabla_master_rend 1].[L_cabra].[All]" dimensionUniqueName="[Tabla_master_rend 1]" displayFolder="" count="0" memberValueDatatype="20" unbalanced="0"/>
    <cacheHierarchy uniqueName="[Tabla_master_rend 1].[L_oveja]" caption="L_oveja" attribute="1" defaultMemberUniqueName="[Tabla_master_rend 1].[L_oveja].[All]" allUniqueName="[Tabla_master_rend 1].[L_oveja].[All]" dimensionUniqueName="[Tabla_master_rend 1]" displayFolder="" count="0" memberValueDatatype="20" unbalanced="0"/>
    <cacheHierarchy uniqueName="[Tabla_master_rend 1].[Litros_Nata]" caption="Litros_Nata" attribute="1" defaultMemberUniqueName="[Tabla_master_rend 1].[Litros_Nata].[All]" allUniqueName="[Tabla_master_rend 1].[Litros_Nata].[All]" dimensionUniqueName="[Tabla_master_rend 1]" displayFolder="" count="0" memberValueDatatype="20" unbalanced="0"/>
    <cacheHierarchy uniqueName="[Tabla_master_rend 1].[L_nata_suero]" caption="L_nata_suero" attribute="1" defaultMemberUniqueName="[Tabla_master_rend 1].[L_nata_suero].[All]" allUniqueName="[Tabla_master_rend 1].[L_nata_suero].[All]" dimensionUniqueName="[Tabla_master_rend 1]" displayFolder="" count="0" memberValueDatatype="20" unbalanced="0"/>
    <cacheHierarchy uniqueName="[Tabla_master_rend 1].[L_suero Total]" caption="L_suero Total" attribute="1" defaultMemberUniqueName="[Tabla_master_rend 1].[L_suero Total].[All]" allUniqueName="[Tabla_master_rend 1].[L_suero Total].[All]" dimensionUniqueName="[Tabla_master_rend 1]" displayFolder="" count="0" memberValueDatatype="20" unbalanced="0"/>
    <cacheHierarchy uniqueName="[Tabla_master_rend 1].[%Suero_vs_leche]" caption="%Suero_vs_leche" attribute="1" defaultMemberUniqueName="[Tabla_master_rend 1].[%Suero_vs_leche].[All]" allUniqueName="[Tabla_master_rend 1].[%Suero_vs_leche].[All]" dimensionUniqueName="[Tabla_master_rend 1]" displayFolder="" count="0" memberValueDatatype="5" unbalanced="0"/>
    <cacheHierarchy uniqueName="[Tabla_master_rend 1].[MG_suero]" caption="MG_suero" attribute="1" defaultMemberUniqueName="[Tabla_master_rend 1].[MG_suero].[All]" allUniqueName="[Tabla_master_rend 1].[MG_suero].[All]" dimensionUniqueName="[Tabla_master_rend 1]" displayFolder="" count="0" memberValueDatatype="5" unbalanced="0"/>
    <cacheHierarchy uniqueName="[Tabla_master_rend 1].[MP_suero]" caption="MP_suero" attribute="1" defaultMemberUniqueName="[Tabla_master_rend 1].[MP_suero].[All]" allUniqueName="[Tabla_master_rend 1].[MP_suero].[All]" dimensionUniqueName="[Tabla_master_rend 1]" displayFolder="" count="0" memberValueDatatype="5" unbalanced="0"/>
    <cacheHierarchy uniqueName="[Tabla_master_rend 1].[L_suero para con]" caption="L_suero para con" attribute="1" defaultMemberUniqueName="[Tabla_master_rend 1].[L_suero para con].[All]" allUniqueName="[Tabla_master_rend 1].[L_suero para con].[All]" dimensionUniqueName="[Tabla_master_rend 1]" displayFolder="" count="0" memberValueDatatype="20" unbalanced="0"/>
    <cacheHierarchy uniqueName="[Tabla_master_rend 1].[L_suero_con]" caption="L_suero_con" attribute="1" defaultMemberUniqueName="[Tabla_master_rend 1].[L_suero_con].[All]" allUniqueName="[Tabla_master_rend 1].[L_suero_con].[All]" dimensionUniqueName="[Tabla_master_rend 1]" displayFolder="" count="0" memberValueDatatype="20" unbalanced="0"/>
    <cacheHierarchy uniqueName="[Tabla_master_rend 1].[Rartio_sueroC]" caption="Rartio_sueroC" attribute="1" defaultMemberUniqueName="[Tabla_master_rend 1].[Rartio_sueroC].[All]" allUniqueName="[Tabla_master_rend 1].[Rartio_sueroC].[All]" dimensionUniqueName="[Tabla_master_rend 1]" displayFolder="" count="0" memberValueDatatype="5" unbalanced="0"/>
    <cacheHierarchy uniqueName="[Tabla_master_rend 1].[L_Suero_Sobrante]" caption="L_Suero_Sobrante" attribute="1" defaultMemberUniqueName="[Tabla_master_rend 1].[L_Suero_Sobrante].[All]" allUniqueName="[Tabla_master_rend 1].[L_Suero_Sobrante].[All]" dimensionUniqueName="[Tabla_master_rend 1]" displayFolder="" count="0" memberValueDatatype="20" unbalanced="0"/>
    <cacheHierarchy uniqueName="[Tabla_master_rend 1].[MG_sueroc]" caption="MG_sueroc" attribute="1" defaultMemberUniqueName="[Tabla_master_rend 1].[MG_sueroc].[All]" allUniqueName="[Tabla_master_rend 1].[MG_sueroc].[All]" dimensionUniqueName="[Tabla_master_rend 1]" displayFolder="" count="0" memberValueDatatype="130" unbalanced="0"/>
    <cacheHierarchy uniqueName="[Tabla_master_rend 1].[MP_sueroc]" caption="MP_sueroc" attribute="1" defaultMemberUniqueName="[Tabla_master_rend 1].[MP_sueroc].[All]" allUniqueName="[Tabla_master_rend 1].[MP_sueroc].[All]" dimensionUniqueName="[Tabla_master_rend 1]" displayFolder="" count="0" memberValueDatatype="130" unbalanced="0"/>
    <cacheHierarchy uniqueName="[Tabla_master_rend 1].[L_LPS_Gen]" caption="L_LPS_Gen" attribute="1" defaultMemberUniqueName="[Tabla_master_rend 1].[L_LPS_Gen].[All]" allUniqueName="[Tabla_master_rend 1].[L_LPS_Gen].[All]" dimensionUniqueName="[Tabla_master_rend 1]" displayFolder="" count="0" memberValueDatatype="20" unbalanced="0"/>
    <cacheHierarchy uniqueName="[Tabla_master_rend 1].[L_LPS_incor]" caption="L_LPS_incor" attribute="1" defaultMemberUniqueName="[Tabla_master_rend 1].[L_LPS_incor].[All]" allUniqueName="[Tabla_master_rend 1].[L_LPS_incor].[All]" dimensionUniqueName="[Tabla_master_rend 1]" displayFolder="" count="0" memberValueDatatype="20" unbalanced="0"/>
    <cacheHierarchy uniqueName="[Tabla_master_rend 1].[gr_LPS]" caption="gr_LPS" attribute="1" defaultMemberUniqueName="[Tabla_master_rend 1].[gr_LPS].[All]" allUniqueName="[Tabla_master_rend 1].[gr_LPS].[All]" dimensionUniqueName="[Tabla_master_rend 1]" displayFolder="" count="0" memberValueDatatype="20" unbalanced="0"/>
    <cacheHierarchy uniqueName="[Tabla_master_rend 1].[MG_LPS]" caption="MG_LPS" attribute="1" defaultMemberUniqueName="[Tabla_master_rend 1].[MG_LPS].[All]" allUniqueName="[Tabla_master_rend 1].[MG_LPS].[All]" dimensionUniqueName="[Tabla_master_rend 1]" displayFolder="" count="0" memberValueDatatype="5" unbalanced="0"/>
    <cacheHierarchy uniqueName="[Tabla_master_rend 1].[MP_LPS]" caption="MP_LPS" attribute="1" defaultMemberUniqueName="[Tabla_master_rend 1].[MP_LPS].[All]" allUniqueName="[Tabla_master_rend 1].[MP_LPS].[All]" dimensionUniqueName="[Tabla_master_rend 1]" displayFolder="" count="0" memberValueDatatype="5" unbalanced="0"/>
    <cacheHierarchy uniqueName="[Tabla_master_rend 1].[Kg_Queso_Blan]" caption="Kg_Queso_Blan" attribute="1" defaultMemberUniqueName="[Tabla_master_rend 1].[Kg_Queso_Blan].[All]" allUniqueName="[Tabla_master_rend 1].[Kg_Queso_Blan].[All]" dimensionUniqueName="[Tabla_master_rend 1]" displayFolder="" count="0" memberValueDatatype="5" unbalanced="0"/>
    <cacheHierarchy uniqueName="[Tabla_master_rend 1].[RDTO_Blanco]" caption="RDTO_Blanco" attribute="1" defaultMemberUniqueName="[Tabla_master_rend 1].[RDTO_Blanco].[All]" allUniqueName="[Tabla_master_rend 1].[RDTO_Blanco].[All]" dimensionUniqueName="[Tabla_master_rend 1]" displayFolder="" count="0" memberValueDatatype="5" unbalanced="0"/>
    <cacheHierarchy uniqueName="[Tabla_master_rend 1].[RDTO_NETO]" caption="RDTO_NETO" attribute="1" defaultMemberUniqueName="[Tabla_master_rend 1].[RDTO_NETO].[All]" allUniqueName="[Tabla_master_rend 1].[RDTO_NETO].[All]" dimensionUniqueName="[Tabla_master_rend 1]" displayFolder="" count="0" memberValueDatatype="5" unbalanced="0"/>
    <cacheHierarchy uniqueName="[Tabla_master_rend 1].[REND_TARGET]" caption="REND_TARGET" attribute="1" defaultMemberUniqueName="[Tabla_master_rend 1].[REND_TARGET].[All]" allUniqueName="[Tabla_master_rend 1].[REND_TARGET].[All]" dimensionUniqueName="[Tabla_master_rend 1]" displayFolder="" count="0" memberValueDatatype="5" unbalanced="0"/>
    <cacheHierarchy uniqueName="[Tabla_master_rend 1].[Kg_Solidos_leche]" caption="Kg_Solidos_leche" attribute="1" defaultMemberUniqueName="[Tabla_master_rend 1].[Kg_Solidos_leche].[All]" allUniqueName="[Tabla_master_rend 1].[Kg_Solidos_leche].[All]" dimensionUniqueName="[Tabla_master_rend 1]" displayFolder="" count="0" memberValueDatatype="5" unbalanced="0"/>
    <cacheHierarchy uniqueName="[Tabla_master_rend 1].[%MG_QUESO]" caption="%MG_QUESO" attribute="1" defaultMemberUniqueName="[Tabla_master_rend 1].[%MG_QUESO].[All]" allUniqueName="[Tabla_master_rend 1].[%MG_QUESO].[All]" dimensionUniqueName="[Tabla_master_rend 1]" displayFolder="" count="0" memberValueDatatype="5" unbalanced="0"/>
    <cacheHierarchy uniqueName="[Tabla_master_rend 1].[%PT_QUESO]" caption="%PT_QUESO" attribute="1" defaultMemberUniqueName="[Tabla_master_rend 1].[%PT_QUESO].[All]" allUniqueName="[Tabla_master_rend 1].[%PT_QUESO].[All]" dimensionUniqueName="[Tabla_master_rend 1]" displayFolder="" count="0" memberValueDatatype="5" unbalanced="0"/>
    <cacheHierarchy uniqueName="[Tabla_master_rend 1].[ES_QUESO]" caption="ES_QUESO" attribute="1" defaultMemberUniqueName="[Tabla_master_rend 1].[ES_QUESO].[All]" allUniqueName="[Tabla_master_rend 1].[ES_QUESO].[All]" dimensionUniqueName="[Tabla_master_rend 1]" displayFolder="" count="0" memberValueDatatype="5" unbalanced="0"/>
    <cacheHierarchy uniqueName="[Tabla_master_rend 1].[Rendimiento_Solidos_%]" caption="Rendimiento_Solidos_%" attribute="1" defaultMemberUniqueName="[Tabla_master_rend 1].[Rendimiento_Solidos_%].[All]" allUniqueName="[Tabla_master_rend 1].[Rendimiento_Solidos_%].[All]" dimensionUniqueName="[Tabla_master_rend 1]" displayFolder="" count="0" memberValueDatatype="5" unbalanced="0"/>
    <cacheHierarchy uniqueName="[Tabla_master_rend 1].[Kg_MG_Nata]" caption="Kg_MG_Nata" attribute="1" defaultMemberUniqueName="[Tabla_master_rend 1].[Kg_MG_Nata].[All]" allUniqueName="[Tabla_master_rend 1].[Kg_MG_Nata].[All]" dimensionUniqueName="[Tabla_master_rend 1]" displayFolder="" count="0" memberValueDatatype="5" unbalanced="0"/>
    <cacheHierarchy uniqueName="[Tabla_master_rend 1].[%RECUP_MG]" caption="%RECUP_MG" attribute="1" defaultMemberUniqueName="[Tabla_master_rend 1].[%RECUP_MG].[All]" allUniqueName="[Tabla_master_rend 1].[%RECUP_MG].[All]" dimensionUniqueName="[Tabla_master_rend 1]" displayFolder="" count="0" memberValueDatatype="5" unbalanced="0"/>
    <cacheHierarchy uniqueName="[Tabla_master_rend 1].[%RECUP_PT]" caption="%RECUP_PT" attribute="1" defaultMemberUniqueName="[Tabla_master_rend 1].[%RECUP_PT].[All]" allUniqueName="[Tabla_master_rend 1].[%RECUP_PT].[All]" dimensionUniqueName="[Tabla_master_rend 1]" displayFolder="" count="0" memberValueDatatype="5" unbalanced="0"/>
    <cacheHierarchy uniqueName="[Tabla_master_rend 1].[Valor_Nata_€]" caption="Valor_Nata_€" attribute="1" defaultMemberUniqueName="[Tabla_master_rend 1].[Valor_Nata_€].[All]" allUniqueName="[Tabla_master_rend 1].[Valor_Nata_€].[All]" dimensionUniqueName="[Tabla_master_rend 1]" displayFolder="" count="0" memberValueDatatype="5" unbalanced="0"/>
    <cacheHierarchy uniqueName="[Tabla_master_rend 1].[Kg_Finos]" caption="Kg_Finos" attribute="1" defaultMemberUniqueName="[Tabla_master_rend 1].[Kg_Finos].[All]" allUniqueName="[Tabla_master_rend 1].[Kg_Finos].[All]" dimensionUniqueName="[Tabla_master_rend 1]" displayFolder="" count="0" memberValueDatatype="5" unbalanced="0"/>
    <cacheHierarchy uniqueName="[Tabla_master_rend 1].[Kg_Llenadora]" caption="Kg_Llenadora" attribute="1" defaultMemberUniqueName="[Tabla_master_rend 1].[Kg_Llenadora].[All]" allUniqueName="[Tabla_master_rend 1].[Kg_Llenadora].[All]" dimensionUniqueName="[Tabla_master_rend 1]" displayFolder="" count="0" memberValueDatatype="5" unbalanced="0"/>
    <cacheHierarchy uniqueName="[Tabla_master_rend 1].[Kg_Desmoldeo]" caption="Kg_Desmoldeo" attribute="1" defaultMemberUniqueName="[Tabla_master_rend 1].[Kg_Desmoldeo].[All]" allUniqueName="[Tabla_master_rend 1].[Kg_Desmoldeo].[All]" dimensionUniqueName="[Tabla_master_rend 1]" displayFolder="" count="0" memberValueDatatype="5" unbalanced="0"/>
    <cacheHierarchy uniqueName="[Tabla_master_rend 1].[Merma_fab]" caption="Merma_fab" attribute="1" defaultMemberUniqueName="[Tabla_master_rend 1].[Merma_fab].[All]" allUniqueName="[Tabla_master_rend 1].[Merma_fab].[All]" dimensionUniqueName="[Tabla_master_rend 1]" displayFolder="" count="0" memberValueDatatype="5" unbalanced="0"/>
    <cacheHierarchy uniqueName="[Tabla_master_rend 1].[% Merma_fab2]" caption="% Merma_fab2" attribute="1" defaultMemberUniqueName="[Tabla_master_rend 1].[% Merma_fab2].[All]" allUniqueName="[Tabla_master_rend 1].[% Merma_fab2].[All]" dimensionUniqueName="[Tabla_master_rend 1]" displayFolder="" count="0" memberValueDatatype="5" unbalanced="0"/>
    <cacheHierarchy uniqueName="[Tabla_master_rend 1].[L_Agua]" caption="L_Agua" attribute="1" defaultMemberUniqueName="[Tabla_master_rend 1].[L_Agua].[All]" allUniqueName="[Tabla_master_rend 1].[L_Agua].[All]" dimensionUniqueName="[Tabla_master_rend 1]" displayFolder="" count="0" memberValueDatatype="20" unbalanced="0"/>
    <cacheHierarchy uniqueName="[Tabla_master_rend 1].[% oreo]" caption="% oreo" attribute="1" defaultMemberUniqueName="[Tabla_master_rend 1].[% oreo].[All]" allUniqueName="[Tabla_master_rend 1].[% oreo].[All]" dimensionUniqueName="[Tabla_master_rend 1]" displayFolder="" count="0" memberValueDatatype="5" unbalanced="0"/>
    <cacheHierarchy uniqueName="[Tabla_master_rend 1].[B_totales]" caption="B_totales" attribute="1" defaultMemberUniqueName="[Tabla_master_rend 1].[B_totales].[All]" allUniqueName="[Tabla_master_rend 1].[B_totales].[All]" dimensionUniqueName="[Tabla_master_rend 1]" displayFolder="" count="0" memberValueDatatype="20" unbalanced="0"/>
    <cacheHierarchy uniqueName="[Tabla_master_rend 1].[B_OK_uni]" caption="B_OK_uni" attribute="1" defaultMemberUniqueName="[Tabla_master_rend 1].[B_OK_uni].[All]" allUniqueName="[Tabla_master_rend 1].[B_OK_uni].[All]" dimensionUniqueName="[Tabla_master_rend 1]" displayFolder="" count="0" memberValueDatatype="20" unbalanced="0"/>
    <cacheHierarchy uniqueName="[Tabla_master_rend 1].[B_OK_kg]" caption="B_OK_kg" attribute="1" defaultMemberUniqueName="[Tabla_master_rend 1].[B_OK_kg].[All]" allUniqueName="[Tabla_master_rend 1].[B_OK_kg].[All]" dimensionUniqueName="[Tabla_master_rend 1]" displayFolder="" count="0" memberValueDatatype="20" unbalanced="0"/>
    <cacheHierarchy uniqueName="[Tabla_master_rend 1].[B_altas]" caption="B_altas" attribute="1" defaultMemberUniqueName="[Tabla_master_rend 1].[B_altas].[All]" allUniqueName="[Tabla_master_rend 1].[B_altas].[All]" dimensionUniqueName="[Tabla_master_rend 1]" displayFolder="" count="0" memberValueDatatype="20" unbalanced="0"/>
    <cacheHierarchy uniqueName="[Tabla_master_rend 1].[B_bajas]" caption="B_bajas" attribute="1" defaultMemberUniqueName="[Tabla_master_rend 1].[B_bajas].[All]" allUniqueName="[Tabla_master_rend 1].[B_bajas].[All]" dimensionUniqueName="[Tabla_master_rend 1]" displayFolder="" count="0" memberValueDatatype="20" unbalanced="0"/>
    <cacheHierarchy uniqueName="[Tabla_master_rend 1].[B_rotas]" caption="B_rotas" attribute="1" defaultMemberUniqueName="[Tabla_master_rend 1].[B_rotas].[All]" allUniqueName="[Tabla_master_rend 1].[B_rotas].[All]" dimensionUniqueName="[Tabla_master_rend 1]" displayFolder="" count="0" memberValueDatatype="20" unbalanced="0"/>
    <cacheHierarchy uniqueName="[Tabla_master_rend 1].[B_feas]" caption="B_feas" attribute="1" defaultMemberUniqueName="[Tabla_master_rend 1].[B_feas].[All]" allUniqueName="[Tabla_master_rend 1].[B_feas].[All]" dimensionUniqueName="[Tabla_master_rend 1]" displayFolder="" count="0" memberValueDatatype="20" unbalanced="0"/>
    <cacheHierarchy uniqueName="[Tabla_master_rend 1].[B_lab]" caption="B_lab" attribute="1" defaultMemberUniqueName="[Tabla_master_rend 1].[B_lab].[All]" allUniqueName="[Tabla_master_rend 1].[B_lab].[All]" dimensionUniqueName="[Tabla_master_rend 1]" displayFolder="" count="0" memberValueDatatype="20" unbalanced="0"/>
    <cacheHierarchy uniqueName="[Tabla_master_rend 1].[Kg_SalidaSecadero]" caption="Kg_SalidaSecadero" attribute="1" defaultMemberUniqueName="[Tabla_master_rend 1].[Kg_SalidaSecadero].[All]" allUniqueName="[Tabla_master_rend 1].[Kg_SalidaSecadero].[All]" dimensionUniqueName="[Tabla_master_rend 1]" displayFolder="" count="0" memberValueDatatype="20" unbalanced="0"/>
    <cacheHierarchy uniqueName="[Tabla_master_rend 1].[Kg_rebaba]" caption="Kg_rebaba" attribute="1" defaultMemberUniqueName="[Tabla_master_rend 1].[Kg_rebaba].[All]" allUniqueName="[Tabla_master_rend 1].[Kg_rebaba].[All]" dimensionUniqueName="[Tabla_master_rend 1]" displayFolder="" count="0" memberValueDatatype="20" unbalanced="0"/>
    <cacheHierarchy uniqueName="[Tabla_master_rend 1].[Kg_mer_env_real]" caption="Kg_mer_env_real" attribute="1" defaultMemberUniqueName="[Tabla_master_rend 1].[Kg_mer_env_real].[All]" allUniqueName="[Tabla_master_rend 1].[Kg_mer_env_real].[All]" dimensionUniqueName="[Tabla_master_rend 1]" displayFolder="" count="0" memberValueDatatype="5" unbalanced="0"/>
    <cacheHierarchy uniqueName="[Tabla_master_rend 1].[kg_mer_lab_real]" caption="kg_mer_lab_real" attribute="1" defaultMemberUniqueName="[Tabla_master_rend 1].[kg_mer_lab_real].[All]" allUniqueName="[Tabla_master_rend 1].[kg_mer_lab_real].[All]" dimensionUniqueName="[Tabla_master_rend 1]" displayFolder="" count="0" memberValueDatatype="5" unbalanced="0"/>
    <cacheHierarchy uniqueName="[Tabla_master_rend 1].[%Merma_env]" caption="%Merma_env" attribute="1" defaultMemberUniqueName="[Tabla_master_rend 1].[%Merma_env].[All]" allUniqueName="[Tabla_master_rend 1].[%Merma_env].[All]" dimensionUniqueName="[Tabla_master_rend 1]" displayFolder="" count="0" memberValueDatatype="5" unbalanced="0"/>
    <cacheHierarchy uniqueName="[Tabla_master_rend 1].[%Merma_env_corr]" caption="%Merma_env_corr" attribute="1" defaultMemberUniqueName="[Tabla_master_rend 1].[%Merma_env_corr].[All]" allUniqueName="[Tabla_master_rend 1].[%Merma_env_corr].[All]" dimensionUniqueName="[Tabla_master_rend 1]" displayFolder="" count="0" memberValueDatatype="5" unbalanced="0"/>
    <cacheHierarchy uniqueName="[Tabla_master_rend 1].[% merma TOT]" caption="% merma TOT" attribute="1" defaultMemberUniqueName="[Tabla_master_rend 1].[% merma TOT].[All]" allUniqueName="[Tabla_master_rend 1].[% merma TOT].[All]" dimensionUniqueName="[Tabla_master_rend 1]" displayFolder="" count="0" memberValueDatatype="5" unbalanced="0"/>
    <cacheHierarchy uniqueName="[Tabla_master_rend 1].[Merma_TOT]" caption="Merma_TOT" attribute="1" defaultMemberUniqueName="[Tabla_master_rend 1].[Merma_TOT].[All]" allUniqueName="[Tabla_master_rend 1].[Merma_TOT].[All]" dimensionUniqueName="[Tabla_master_rend 1]" displayFolder="" count="0" memberValueDatatype="5" unbalanced="0"/>
    <cacheHierarchy uniqueName="[Tabla_master_rend 1].[Kg_Env_Total]" caption="Kg_Env_Total" attribute="1" defaultMemberUniqueName="[Tabla_master_rend 1].[Kg_Env_Total].[All]" allUniqueName="[Tabla_master_rend 1].[Kg_Env_Total].[All]" dimensionUniqueName="[Tabla_master_rend 1]" displayFolder="" count="0" memberValueDatatype="5" unbalanced="0"/>
    <cacheHierarchy uniqueName="[Tabla_master_rend 1].[Coste_Leche_€]" caption="Coste_Leche_€" attribute="1" defaultMemberUniqueName="[Tabla_master_rend 1].[Coste_Leche_€].[All]" allUniqueName="[Tabla_master_rend 1].[Coste_Leche_€].[All]" dimensionUniqueName="[Tabla_master_rend 1]" displayFolder="" count="0" memberValueDatatype="5" unbalanced="0"/>
    <cacheHierarchy uniqueName="[Tabla_master_rend 1].[€/kg_MPQueso]" caption="€/kg_MPQueso" attribute="1" defaultMemberUniqueName="[Tabla_master_rend 1].[€/kg_MPQueso].[All]" allUniqueName="[Tabla_master_rend 1].[€/kg_MPQueso].[All]" dimensionUniqueName="[Tabla_master_rend 1]" displayFolder="" count="0" memberValueDatatype="5" unbalanced="0"/>
    <cacheHierarchy uniqueName="[Tabla_master_rend 1].[Merma_inic]" caption="Merma_inic" attribute="1" defaultMemberUniqueName="[Tabla_master_rend 1].[Merma_inic].[All]" allUniqueName="[Tabla_master_rend 1].[Merma_inic].[All]" dimensionUniqueName="[Tabla_master_rend 1]" displayFolder="" count="0" memberValueDatatype="5" unbalanced="0"/>
    <cacheHierarchy uniqueName="[Tabla_master_rend 1].[Recup_kg]" caption="Recup_kg" attribute="1" defaultMemberUniqueName="[Tabla_master_rend 1].[Recup_kg].[All]" allUniqueName="[Tabla_master_rend 1].[Recup_kg].[All]" dimensionUniqueName="[Tabla_master_rend 1]" displayFolder="" count="0" memberValueDatatype="5" unbalanced="0"/>
    <cacheHierarchy uniqueName="[Tabla_master_rend 1].[Recup_%]" caption="Recup_%" attribute="1" defaultMemberUniqueName="[Tabla_master_rend 1].[Recup_%].[All]" allUniqueName="[Tabla_master_rend 1].[Recup_%].[All]" dimensionUniqueName="[Tabla_master_rend 1]" displayFolder="" count="0" memberValueDatatype="5" unbalanced="0"/>
    <cacheHierarchy uniqueName="[Tabla_master_rend 1].[Merma_ppto fab]" caption="Merma_ppto fab" attribute="1" defaultMemberUniqueName="[Tabla_master_rend 1].[Merma_ppto fab].[All]" allUniqueName="[Tabla_master_rend 1].[Merma_ppto fab].[All]" dimensionUniqueName="[Tabla_master_rend 1]" displayFolder="" count="0" memberValueDatatype="5" unbalanced="0"/>
    <cacheHierarchy uniqueName="[Tabla_master_rend 1].[Merma_ppto oreo]" caption="Merma_ppto oreo" attribute="1" defaultMemberUniqueName="[Tabla_master_rend 1].[Merma_ppto oreo].[All]" allUniqueName="[Tabla_master_rend 1].[Merma_ppto oreo].[All]" dimensionUniqueName="[Tabla_master_rend 1]" displayFolder="" count="0" memberValueDatatype="5" unbalanced="0"/>
    <cacheHierarchy uniqueName="[Tabla_master_rend 1].[Merma_ppto Env/Enc]" caption="Merma_ppto Env/Enc" attribute="1" defaultMemberUniqueName="[Tabla_master_rend 1].[Merma_ppto Env/Enc].[All]" allUniqueName="[Tabla_master_rend 1].[Merma_ppto Env/Enc].[All]" dimensionUniqueName="[Tabla_master_rend 1]" displayFolder="" count="0" memberValueDatatype="5" unbalanced="0"/>
    <cacheHierarchy uniqueName="[Tabla_master_rend 1].[Merma_T ppto]" caption="Merma_T ppto" attribute="1" defaultMemberUniqueName="[Tabla_master_rend 1].[Merma_T ppto].[All]" allUniqueName="[Tabla_master_rend 1].[Merma_T ppto].[All]" dimensionUniqueName="[Tabla_master_rend 1]" displayFolder="" count="0" memberValueDatatype="5" unbalanced="0"/>
    <cacheHierarchy uniqueName="[Tabla_master_rend 1].[Merma_T ppto %]" caption="Merma_T ppto %" attribute="1" defaultMemberUniqueName="[Tabla_master_rend 1].[Merma_T ppto %].[All]" allUniqueName="[Tabla_master_rend 1].[Merma_T ppto %].[All]" dimensionUniqueName="[Tabla_master_rend 1]" displayFolder="" count="0" memberValueDatatype="5" unbalanced="0"/>
    <cacheHierarchy uniqueName="[Tabla_master_rend 1].[Merma_T real %]" caption="Merma_T real %" attribute="1" defaultMemberUniqueName="[Tabla_master_rend 1].[Merma_T real %].[All]" allUniqueName="[Tabla_master_rend 1].[Merma_T real %].[All]" dimensionUniqueName="[Tabla_master_rend 1]" displayFolder="" count="0" memberValueDatatype="5" unbalanced="0"/>
    <cacheHierarchy uniqueName="[Tabla_master_rend 1].[DIF R Vs PPTO]" caption="DIF R Vs PPTO" attribute="1" defaultMemberUniqueName="[Tabla_master_rend 1].[DIF R Vs PPTO].[All]" allUniqueName="[Tabla_master_rend 1].[DIF R Vs PPTO].[All]" dimensionUniqueName="[Tabla_master_rend 1]" displayFolder="" count="0" memberValueDatatype="5" unbalanced="0"/>
    <cacheHierarchy uniqueName="[Tabla_master_rend 1].[IMPACTO]" caption="IMPACTO" attribute="1" defaultMemberUniqueName="[Tabla_master_rend 1].[IMPACTO].[All]" allUniqueName="[Tabla_master_rend 1].[IMPACTO].[All]" dimensionUniqueName="[Tabla_master_rend 1]" displayFolder="" count="0" memberValueDatatype="5" unbalanced="0"/>
    <cacheHierarchy uniqueName="[Tabla_master_rend 1].[IMPACTO_vs_PPTO]" caption="IMPACTO_vs_PPTO" attribute="1" defaultMemberUniqueName="[Tabla_master_rend 1].[IMPACTO_vs_PPTO].[All]" allUniqueName="[Tabla_master_rend 1].[IMPACTO_vs_PPTO].[All]" dimensionUniqueName="[Tabla_master_rend 1]" displayFolder="" count="0" memberValueDatatype="5" unbalanced="0"/>
    <cacheHierarchy uniqueName="[Tabla_Precio_Venta].[Fecha]" caption="Fecha" attribute="1" defaultMemberUniqueName="[Tabla_Precio_Venta].[Fecha].[All]" allUniqueName="[Tabla_Precio_Venta].[Fecha].[All]" dimensionUniqueName="[Tabla_Precio_Venta]" displayFolder="" count="0" memberValueDatatype="130" unbalanced="0"/>
    <cacheHierarchy uniqueName="[Tabla_Precio_Venta].[Producto]" caption="Producto" attribute="1" defaultMemberUniqueName="[Tabla_Precio_Venta].[Producto].[All]" allUniqueName="[Tabla_Precio_Venta].[Producto].[All]" dimensionUniqueName="[Tabla_Precio_Venta]" displayFolder="" count="0" memberValueDatatype="130" unbalanced="0"/>
    <cacheHierarchy uniqueName="[Tabla_Precio_Venta].[Ventas (kg)]" caption="Ventas (kg)" attribute="1" defaultMemberUniqueName="[Tabla_Precio_Venta].[Ventas (kg)].[All]" allUniqueName="[Tabla_Precio_Venta].[Ventas (kg)].[All]" dimensionUniqueName="[Tabla_Precio_Venta]" displayFolder="" count="0" memberValueDatatype="20" unbalanced="0"/>
    <cacheHierarchy uniqueName="[Tabla_Precio_Venta].[PV_eur_kg]" caption="PV_eur_kg" attribute="1" defaultMemberUniqueName="[Tabla_Precio_Venta].[PV_eur_kg].[All]" allUniqueName="[Tabla_Precio_Venta].[PV_eur_kg].[All]" dimensionUniqueName="[Tabla_Precio_Venta]" displayFolder="" count="0" memberValueDatatype="5" unbalanced="0"/>
    <cacheHierarchy uniqueName="[tbl_DimFecha].[Fecha]" caption="Fecha" attribute="1" time="1" defaultMemberUniqueName="[tbl_DimFecha].[Fecha].[All]" allUniqueName="[tbl_DimFecha].[Fecha].[All]" dimensionUniqueName="[tbl_DimFecha]" displayFolder="" count="0" memberValueDatatype="7" unbalanced="0"/>
    <cacheHierarchy uniqueName="[tbl_DimFecha].[Año]" caption="Año" attribute="1" defaultMemberUniqueName="[tbl_DimFecha].[Año].[All]" allUniqueName="[tbl_DimFecha].[Año].[All]" dimensionUniqueName="[tbl_DimFecha]" displayFolder="" count="2" memberValueDatatype="20" unbalanced="0">
      <fieldsUsage count="2">
        <fieldUsage x="-1"/>
        <fieldUsage x="3"/>
      </fieldsUsage>
    </cacheHierarchy>
    <cacheHierarchy uniqueName="[tbl_DimFecha].[MesN]" caption="MesN" attribute="1" defaultMemberUniqueName="[tbl_DimFecha].[MesN].[All]" allUniqueName="[tbl_DimFecha].[MesN].[All]" dimensionUniqueName="[tbl_DimFecha]" displayFolder="" count="0" memberValueDatatype="20" unbalanced="0"/>
    <cacheHierarchy uniqueName="[tbl_DimFecha].[Mes]" caption="Mes" attribute="1" defaultMemberUniqueName="[tbl_DimFecha].[Mes].[All]" allUniqueName="[tbl_DimFecha].[Mes].[All]" dimensionUniqueName="[tbl_DimFecha]" displayFolder="" count="0" memberValueDatatype="130" unbalanced="0"/>
    <cacheHierarchy uniqueName="[tbl_DimFecha].[AñoMes]" caption="AñoMes" attribute="1" defaultMemberUniqueName="[tbl_DimFecha].[AñoMes].[All]" allUniqueName="[tbl_DimFecha].[AñoMes].[All]" dimensionUniqueName="[tbl_DimFecha]" displayFolder="" count="0" memberValueDatatype="130" unbalanced="0"/>
    <cacheHierarchy uniqueName="[tbl_DimFecha].[SemanaISO]" caption="SemanaISO" attribute="1" defaultMemberUniqueName="[tbl_DimFecha].[SemanaISO].[All]" allUniqueName="[tbl_DimFecha].[SemanaISO].[All]" dimensionUniqueName="[tbl_DimFecha]" displayFolder="" count="0" memberValueDatatype="20" unbalanced="0"/>
    <cacheHierarchy uniqueName="[tbl_DimFecha].[AñoSemana]" caption="AñoSemana" attribute="1" defaultMemberUniqueName="[tbl_DimFecha].[AñoSemana].[All]" allUniqueName="[tbl_DimFecha].[AñoSemana].[All]" dimensionUniqueName="[tbl_DimFecha]" displayFolder="" count="0" memberValueDatatype="130" unbalanced="0"/>
    <cacheHierarchy uniqueName="[tbl_DimFecha].[DiaSemanaN]" caption="DiaSemanaN" attribute="1" defaultMemberUniqueName="[tbl_DimFecha].[DiaSemanaN].[All]" allUniqueName="[tbl_DimFecha].[DiaSemanaN].[All]" dimensionUniqueName="[tbl_DimFecha]" displayFolder="" count="0" memberValueDatatype="20" unbalanced="0"/>
    <cacheHierarchy uniqueName="[tbl_DimFecha].[DiaSemana]" caption="DiaSemana" attribute="1" defaultMemberUniqueName="[tbl_DimFecha].[DiaSemana].[All]" allUniqueName="[tbl_DimFecha].[DiaSemana].[All]" dimensionUniqueName="[tbl_DimFecha]" displayFolder="" count="0" memberValueDatatype="130" unbalanced="0"/>
    <cacheHierarchy uniqueName="[tbl_DimFecha].[Mes_Orden]" caption="Mes_Orden" attribute="1" defaultMemberUniqueName="[tbl_DimFecha].[Mes_Orden].[All]" allUniqueName="[tbl_DimFecha].[Mes_Orden].[All]" dimensionUniqueName="[tbl_DimFecha]" displayFolder="" count="0" memberValueDatatype="130" unbalanced="0"/>
    <cacheHierarchy uniqueName="[tbl_DimProducto].[Producto]" caption="Producto" attribute="1" defaultMemberUniqueName="[tbl_DimProducto].[Producto].[All]" allUniqueName="[tbl_DimProducto].[Producto].[All]" dimensionUniqueName="[tbl_DimProducto]" displayFolder="" count="0" memberValueDatatype="130" unbalanced="0"/>
    <cacheHierarchy uniqueName="[tbl_DimProducto].[Producto_id]" caption="Producto_id" attribute="1" defaultMemberUniqueName="[tbl_DimProducto].[Producto_id].[All]" allUniqueName="[tbl_DimProducto].[Producto_id].[All]" dimensionUniqueName="[tbl_DimProducto]" displayFolder="" count="0" memberValueDatatype="130" unbalanced="0"/>
    <cacheHierarchy uniqueName="[tbl_DimProducto].[Categoría]" caption="Categoría" attribute="1" defaultMemberUniqueName="[tbl_DimProducto].[Categoría].[All]" allUniqueName="[tbl_DimProducto].[Categoría].[All]" dimensionUniqueName="[tbl_DimProducto]" displayFolder="" count="2" memberValueDatatype="130" unbalanced="0"/>
    <cacheHierarchy uniqueName="[tbl_DimProducto].[PesoBarra_kg]" caption="PesoBarra_kg" attribute="1" defaultMemberUniqueName="[tbl_DimProducto].[PesoBarra_kg].[All]" allUniqueName="[tbl_DimProducto].[PesoBarra_kg].[All]" dimensionUniqueName="[tbl_DimProducto]" displayFolder="" count="0" memberValueDatatype="5" unbalanced="0"/>
    <cacheHierarchy uniqueName="[tbl_PrecioLeche].[Año]" caption="Año" attribute="1" defaultMemberUniqueName="[tbl_PrecioLeche].[Año].[All]" allUniqueName="[tbl_PrecioLeche].[Año].[All]" dimensionUniqueName="[tbl_PrecioLeche]" displayFolder="" count="0" memberValueDatatype="20" unbalanced="0"/>
    <cacheHierarchy uniqueName="[tbl_PrecioLeche].[AñoMes]" caption="AñoMes" attribute="1" defaultMemberUniqueName="[tbl_PrecioLeche].[AñoMes].[All]" allUniqueName="[tbl_PrecioLeche].[AñoMes].[All]" dimensionUniqueName="[tbl_PrecioLeche]" displayFolder="" count="0" memberValueDatatype="130" unbalanced="0"/>
    <cacheHierarchy uniqueName="[tbl_PrecioLeche].[Mes]" caption="Mes" attribute="1" defaultMemberUniqueName="[tbl_PrecioLeche].[Mes].[All]" allUniqueName="[tbl_PrecioLeche].[Mes].[All]" dimensionUniqueName="[tbl_PrecioLeche]" displayFolder="" count="0" memberValueDatatype="130" unbalanced="0"/>
    <cacheHierarchy uniqueName="[tbl_PrecioLeche].[Tipo_Leche]" caption="Tipo_Leche" attribute="1" defaultMemberUniqueName="[tbl_PrecioLeche].[Tipo_Leche].[All]" allUniqueName="[tbl_PrecioLeche].[Tipo_Leche].[All]" dimensionUniqueName="[tbl_PrecioLeche]" displayFolder="" count="0" memberValueDatatype="130" unbalanced="0"/>
    <cacheHierarchy uniqueName="[tbl_PrecioLeche].[Precio_base]" caption="Precio_base" attribute="1" defaultMemberUniqueName="[tbl_PrecioLeche].[Precio_base].[All]" allUniqueName="[tbl_PrecioLeche].[Precio_base].[All]" dimensionUniqueName="[tbl_PrecioLeche]" displayFolder="" count="0" memberValueDatatype="20" unbalanced="0"/>
    <cacheHierarchy uniqueName="[tbl_PrecioLeche].[Calidades]" caption="Calidades" attribute="1" defaultMemberUniqueName="[tbl_PrecioLeche].[Calidades].[All]" allUniqueName="[tbl_PrecioLeche].[Calidades].[All]" dimensionUniqueName="[tbl_PrecioLeche]" displayFolder="" count="0" memberValueDatatype="20" unbalanced="0"/>
    <cacheHierarchy uniqueName="[tbl_PrecioLeche].[Transporte]" caption="Transporte" attribute="1" defaultMemberUniqueName="[tbl_PrecioLeche].[Transporte].[All]" allUniqueName="[tbl_PrecioLeche].[Transporte].[All]" dimensionUniqueName="[tbl_PrecioLeche]" displayFolder="" count="0" memberValueDatatype="20" unbalanced="0"/>
    <cacheHierarchy uniqueName="[tbl_PrecioLeche].[PMV_eur_L]" caption="PMV_eur_L" attribute="1" defaultMemberUniqueName="[tbl_PrecioLeche].[PMV_eur_L].[All]" allUniqueName="[tbl_PrecioLeche].[PMV_eur_L].[All]" dimensionUniqueName="[tbl_PrecioLeche]" displayFolder="" count="0" memberValueDatatype="5" unbalanced="0"/>
    <cacheHierarchy uniqueName="[Tabla_master_rend].[Fecha (índice de meses)]" caption="Fecha (índice de meses)" attribute="1" defaultMemberUniqueName="[Tabla_master_rend].[Fecha (índice de meses)].[All]" allUniqueName="[Tabla_master_rend].[Fecha (índice de meses)].[All]" dimensionUniqueName="[Tabla_master_rend]" displayFolder="" count="0" memberValueDatatype="20" unbalanced="0" hidden="1"/>
    <cacheHierarchy uniqueName="[Measures].[Litros_Leche]" caption="Litros_Leche" measure="1" displayFolder="" measureGroup="Tabla_master_rend" count="0"/>
    <cacheHierarchy uniqueName="[Measures].[kg_Blancos]" caption="kg_Blancos" measure="1" displayFolder="" measureGroup="Tabla_master_rend" count="0"/>
    <cacheHierarchy uniqueName="[Measures].[Kg_secadero]" caption="Kg_secadero" measure="1" displayFolder="" measureGroup="Tabla_master_rend" count="0"/>
    <cacheHierarchy uniqueName="[Measures].[Merma_TOT_kg]" caption="Merma_TOT_kg" measure="1" displayFolder="" measureGroup="Tabla_master_rend" count="0"/>
    <cacheHierarchy uniqueName="[Measures].[Merma_env_kg]" caption="Merma_env_kg" measure="1" displayFolder="" measureGroup="Tabla_master_rend" count="0"/>
    <cacheHierarchy uniqueName="[Measures].[Impacto_EUR]" caption="Impacto_EUR" measure="1" displayFolder="" measureGroup="Tabla_master_rend" count="0" oneField="1">
      <fieldsUsage count="1">
        <fieldUsage x="1"/>
      </fieldsUsage>
    </cacheHierarchy>
    <cacheHierarchy uniqueName="[Measures].[RDTO_Blanco_kg]" caption="RDTO_Blanco_kg" measure="1" displayFolder="" measureGroup="Tabla_master_rend" count="0"/>
    <cacheHierarchy uniqueName="[Measures].[Merma_env_pct]" caption="Merma_env_pct" measure="1" displayFolder="" measureGroup="Tabla_master_rend" count="0"/>
    <cacheHierarchy uniqueName="[Measures].[B_totales_u]" caption="B_totales_u" measure="1" displayFolder="" measureGroup="Tabla_master_rend" count="0"/>
    <cacheHierarchy uniqueName="[Measures].[Feas_pct]" caption="Feas_pct" measure="1" displayFolder="" measureGroup="Tabla_master_rend" count="0"/>
    <cacheHierarchy uniqueName="[Measures].[Bajas_pct]" caption="Bajas_pct" measure="1" displayFolder="" measureGroup="Tabla_master_rend" count="0"/>
    <cacheHierarchy uniqueName="[Measures].[Rotas_pct]" caption="Rotas_pct" measure="1" displayFolder="" measureGroup="Tabla_master_rend" count="0"/>
    <cacheHierarchy uniqueName="[Measures].[Recup_kg_sum]" caption="Recup_kg_sum" measure="1" displayFolder="" measureGroup="Tabla_master_rend" count="0"/>
    <cacheHierarchy uniqueName="[Measures].[Merma_inic_kg]" caption="Merma_inic_kg" measure="1" displayFolder="" measureGroup="Tabla_master_rend" count="0"/>
    <cacheHierarchy uniqueName="[Measures].[Recup_pct]" caption="Recup_pct" measure="1" displayFolder="" measureGroup="Tabla_master_rend" count="0"/>
    <cacheHierarchy uniqueName="[Measures].[Merma_env_corregida_kg]" caption="Merma_env_corregida_kg" measure="1" displayFolder="" measureGroup="Tabla_master_rend" count="0"/>
    <cacheHierarchy uniqueName="[Measures].[Merma_env_corregida_pct]" caption="Merma_env_corregida_pct" measure="1" displayFolder="" measureGroup="Tabla_master_rend" count="0" oneField="1">
      <fieldsUsage count="1">
        <fieldUsage x="0"/>
      </fieldsUsage>
    </cacheHierarchy>
    <cacheHierarchy uniqueName="[Measures].[Merma_TOT_pct]" caption="Merma_TOT_pct" measure="1" displayFolder="" measureGroup="Tabla_master_rend" count="0"/>
    <cacheHierarchy uniqueName="[Measures].[Labo_pct]" caption="Labo_pct" measure="1" displayFolder="" measureGroup="Tabla_master_rend" count="0"/>
    <cacheHierarchy uniqueName="[Measures].[Recup_MG_pct_pond]" caption="Recup_MG_pct_pond" measure="1" displayFolder="" measureGroup="Tabla_master_rend" count="0"/>
    <cacheHierarchy uniqueName="[Measures].[Recup_PT_pct_pond]" caption="Recup_PT_pct_pond" measure="1" displayFolder="" measureGroup="Tabla_master_rend" count="0"/>
    <cacheHierarchy uniqueName="[Measures].[Suero_vs_Leche]" caption="Suero_vs_Leche" measure="1" displayFolder="" measureGroup="Tabla_master_rend" count="0"/>
    <cacheHierarchy uniqueName="[Measures].[MG_suero_pct_pond]" caption="MG_suero_pct_pond" measure="1" displayFolder="" measureGroup="Tabla_master_rend" count="0"/>
    <cacheHierarchy uniqueName="[Measures].[PT_suero_pct_pond]" caption="PT_suero_pct_pond" measure="1" displayFolder="" measureGroup="Tabla_master_rend" count="0"/>
    <cacheHierarchy uniqueName="[Measures].[Nata_leche_L]" caption="Nata_leche_L" measure="1" displayFolder="" measureGroup="Tabla_master_rend" count="0"/>
    <cacheHierarchy uniqueName="[Measures].[Nata_suero_L]" caption="Nata_suero_L" measure="1" displayFolder="" measureGroup="Tabla_master_rend" count="0"/>
    <cacheHierarchy uniqueName="[Measures].[Nata_suero_pct]" caption="Nata_suero_pct" measure="1" displayFolder="" measureGroup="Tabla_master_rend" count="0"/>
    <cacheHierarchy uniqueName="[Measures].[Valor_Nata_EUR]" caption="Valor_Nata_EUR" measure="1" displayFolder="" measureGroup="Tabla_master_rend" count="0"/>
    <cacheHierarchy uniqueName="[Measures].[Nata_Total_L]" caption="Nata_Total_L" measure="1" displayFolder="" measureGroup="Tabla_master_rend" count="0"/>
    <cacheHierarchy uniqueName="[Measures].[Solidos_leche_kg]" caption="Solidos_leche_kg" measure="1" displayFolder="" measureGroup="Tabla_master_rend" count="0"/>
    <cacheHierarchy uniqueName="[Measures].[Solidos_en_queso_kg]" caption="Solidos_en_queso_kg" measure="1" displayFolder="" measureGroup="Tabla_master_rend" count="0"/>
    <cacheHierarchy uniqueName="[Measures].[Recup_solidos_a_queso_pct]" caption="Recup_solidos_a_queso_pct" measure="1" displayFolder="" measureGroup="Tabla_master_rend" count="0"/>
    <cacheHierarchy uniqueName="[Measures].[Suero_kg_aprox]" caption="Suero_kg_aprox" measure="1" displayFolder="" measureGroup="Tabla_master_rend" count="0"/>
    <cacheHierarchy uniqueName="[Measures].[Solidos_principales_suero_kg]" caption="Solidos_principales_suero_kg" measure="1" displayFolder="" measureGroup="Tabla_master_rend" count="0"/>
    <cacheHierarchy uniqueName="[Measures].[Solidos_principales_suero_pct_sobre_leche]" caption="Solidos_principales_suero_pct_sobre_leche" measure="1" displayFolder="" measureGroup="Tabla_master_rend" count="0"/>
    <cacheHierarchy uniqueName="[Measures].[Solidos_gap_kg]" caption="Solidos_gap_kg" measure="1" displayFolder="" measureGroup="Tabla_master_rend" count="0"/>
    <cacheHierarchy uniqueName="[Measures].[MG_a_nata_leche_kg]" caption="MG_a_nata_leche_kg" measure="1" displayFolder="" measureGroup="Tabla_master_rend" count="0"/>
    <cacheHierarchy uniqueName="[Measures].[MG_a_nata_leche_pct_sobre_solidos]" caption="MG_a_nata_leche_pct_sobre_solidos" measure="1" displayFolder="" measureGroup="Tabla_master_rend" count="0"/>
    <cacheHierarchy uniqueName="[Measures].[Solidos_leche_FP_kg]" caption="Solidos_leche_FP_kg" measure="1" displayFolder="" measureGroup="Tabla_master_rend" count="0"/>
    <cacheHierarchy uniqueName="[Measures].[Solidos_queso_FP_kg]" caption="Solidos_queso_FP_kg" measure="1" displayFolder="" measureGroup="Tabla_master_rend" count="0"/>
    <cacheHierarchy uniqueName="[Measures].[Solidos_suero_FP_kg]" caption="Solidos_suero_FP_kg" measure="1" displayFolder="" measureGroup="Tabla_master_rend" count="0"/>
    <cacheHierarchy uniqueName="[Measures].[Solidos_GAP_des_pct]" caption="Solidos_GAP_des_pct" measure="1" displayFolder="" measureGroup="Tabla_master_rend" count="0"/>
    <cacheHierarchy uniqueName="[Measures].[RDTO_neto_pond]" caption="RDTO_neto_pond" measure="1" displayFolder="" measureGroup="Tabla_master_rend" count="0"/>
    <cacheHierarchy uniqueName="[Measures].[Recup_FP_queso_pct]" caption="Recup_FP_queso_pct" measure="1" displayFolder="" measureGroup="Tabla_master_rend" count="0"/>
    <cacheHierarchy uniqueName="[Measures].[IMPACTO_VS__PPTO]" caption="IMPACTO_VS__PPTO" measure="1" displayFolder="" measureGroup="Tabla_master_rend" count="0"/>
    <cacheHierarchy uniqueName="[Measures].[€/kg_MP_Queso]" caption="€/kg_MP_Queso" measure="1" displayFolder="" measureGroup="Tabla_master_rend" count="0"/>
    <cacheHierarchy uniqueName="[Measures].[Merma_TOT_%_blanco_a_vendible]" caption="Merma_TOT_%_blanco_a_vendible" measure="1" displayFolder="" measureGroup="Tabla_master_rend" count="0"/>
    <cacheHierarchy uniqueName="[Measures].[Merma_TOT_kg_blanco_a_vendible :]" caption="Merma_TOT_kg_blanco_a_vendible :" measure="1" displayFolder="" measureGroup="Tabla_master_rend" count="0"/>
    <cacheHierarchy uniqueName="[Measures].[Gap_solidos_pct]" caption="Gap_solidos_pct" measure="1" displayFolder="" measureGroup="Tabla_master_rend" count="0"/>
    <cacheHierarchy uniqueName="[Measures].[Kg_saladero_tons]" caption="Kg_saladero_tons" measure="1" displayFolder="" measureGroup="Tabla_master_rend" count="0"/>
    <cacheHierarchy uniqueName="[Measures].[Suero_L]" caption="Suero_L" measure="1" displayFolder="" measureGroup="Tabla_master_rend" count="0"/>
    <cacheHierarchy uniqueName="[Measures].[%_Merma_Finos]" caption="%_Merma_Finos" measure="1" displayFolder="" measureGroup="Tabla_master_rend" count="0"/>
    <cacheHierarchy uniqueName="[Measures].[%_Merma_Llenadora]" caption="%_Merma_Llenadora" measure="1" displayFolder="" measureGroup="Tabla_master_rend" count="0"/>
    <cacheHierarchy uniqueName="[Measures].[%_Merma_Desm]" caption="%_Merma_Desm" measure="1" displayFolder="" measureGroup="Tabla_master_rend" count="0"/>
    <cacheHierarchy uniqueName="[Measures].[%_Merma_oreo]" caption="%_Merma_oreo" measure="1" displayFolder="" measureGroup="Tabla_master_rend" count="0"/>
    <cacheHierarchy uniqueName="[Measures].[__XL_Count tbl_DimProducto]" caption="__XL_Count tbl_DimProducto" measure="1" displayFolder="" measureGroup="tbl_DimProducto" count="0" hidden="1"/>
    <cacheHierarchy uniqueName="[Measures].[__XL_Count tbl_FactRendFecha]" caption="__XL_Count tbl_FactRendFecha" measure="1" displayFolder="" measureGroup="tbl_DimFecha" count="0" hidden="1"/>
    <cacheHierarchy uniqueName="[Measures].[__XL_Count Tabla_master_rend]" caption="__XL_Count Tabla_master_rend" measure="1" displayFolder="" measureGroup="Tabla_master_rend" count="0" hidden="1"/>
    <cacheHierarchy uniqueName="[Measures].[__XL_Count REND_TARGET]" caption="__XL_Count REND_TARGET" measure="1" displayFolder="" measureGroup="REND_TARGET" count="0" hidden="1"/>
    <cacheHierarchy uniqueName="[Measures].[__XL_Count Tabla_master_rend 1]" caption="__XL_Count Tabla_master_rend 1" measure="1" displayFolder="" measureGroup="Tabla_master_rend 1" count="0" hidden="1"/>
    <cacheHierarchy uniqueName="[Measures].[__XL_Count Tabla_Precio_Venta]" caption="__XL_Count Tabla_Precio_Venta" measure="1" displayFolder="" measureGroup="Tabla_Precio_Venta" count="0" hidden="1"/>
    <cacheHierarchy uniqueName="[Measures].[__XL_Count tbl_PrecioLeche]" caption="__XL_Count tbl_PrecioLeche" measure="1" displayFolder="" measureGroup="tbl_PrecioLeche" count="0" hidden="1"/>
    <cacheHierarchy uniqueName="[Measures].[__XL_Count Tabla_Contabilidad]" caption="__XL_Count Tabla_Contabilidad" measure="1" displayFolder="" measureGroup="Tabla_Contabilidad" count="0" hidden="1"/>
    <cacheHierarchy uniqueName="[Measures].[__No measures defined]" caption="__No measures defined" measure="1" displayFolder="" count="0" hidden="1"/>
    <cacheHierarchy uniqueName="[Measures].[Sum of Rend_Ntarget]" caption="Sum of Rend_Ntarget" measure="1" displayFolder="" measureGroup="REND_TARG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imum of Rend_Ntarget]" caption="Maximum of Rend_Ntarget" measure="1" displayFolder="" measureGroup="REND_TARG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REND_TARGET]" caption="Suma de REND_TARGET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Promedio de REND_TARGET]" caption="Promedio de REND_TARGET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RDTO_NETO]" caption="Suma de RDTO_NETO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Kg_Finos]" caption="Suma de Kg_Finos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Kg_Llenadora]" caption="Suma de Kg_Llenadora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Kg_Desmoldeo]" caption="Suma de Kg_Desmoldeo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de Merma_fab]" caption="Suma de Merma_fab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Recuento de L_Agua]" caption="Recuento de L_Agua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de %Merma_env_corr]" caption="Suma de %Merma_env_corr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Promedio de %Merma_env_corr]" caption="Promedio de %Merma_env_corr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a de Gastos Estructura (€∕mes)]" caption="Suma de Gastos Estructura (€∕mes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Gastos Estructura (€∕mes)]" caption="Promedio de Gastos Estructura (€∕mes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BITDA  (M€)]" caption="Suma de EBITDA  (M€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BITDA  (M€)]" caption="Promedio de EBITDA  (M€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9">
    <dimension measure="1" name="Measures" uniqueName="[Measures]" caption="Measures"/>
    <dimension name="REND_TARGET" uniqueName="[REND_TARGET]" caption="REND_TARGET"/>
    <dimension name="Tabla_Contabilidad" uniqueName="[Tabla_Contabilidad]" caption="Tabla_Contabilidad"/>
    <dimension name="Tabla_master_rend" uniqueName="[Tabla_master_rend]" caption="Tabla_master_rend"/>
    <dimension name="Tabla_master_rend 1" uniqueName="[Tabla_master_rend 1]" caption="Tabla_master_rend 1"/>
    <dimension name="Tabla_Precio_Venta" uniqueName="[Tabla_Precio_Venta]" caption="Tabla_Precio_Venta"/>
    <dimension name="tbl_DimFecha" uniqueName="[tbl_DimFecha]" caption="tbl_DimFecha"/>
    <dimension name="tbl_DimProducto" uniqueName="[tbl_DimProducto]" caption="tbl_DimProducto"/>
    <dimension name="tbl_PrecioLeche" uniqueName="[tbl_PrecioLeche]" caption="tbl_PrecioLeche"/>
  </dimensions>
  <measureGroups count="8">
    <measureGroup name="REND_TARGET" caption="REND_TARGET"/>
    <measureGroup name="Tabla_Contabilidad" caption="Tabla_Contabilidad"/>
    <measureGroup name="Tabla_master_rend" caption="Tabla_master_rend"/>
    <measureGroup name="Tabla_master_rend 1" caption="Tabla_master_rend 1"/>
    <measureGroup name="Tabla_Precio_Venta" caption="Tabla_Precio_Venta"/>
    <measureGroup name="tbl_DimFecha" caption="tbl_DimFecha"/>
    <measureGroup name="tbl_DimProducto" caption="tbl_DimProducto"/>
    <measureGroup name="tbl_PrecioLeche" caption="tbl_PrecioLeche"/>
  </measureGroups>
  <maps count="13">
    <map measureGroup="0" dimension="1"/>
    <map measureGroup="0" dimension="7"/>
    <map measureGroup="1" dimension="2"/>
    <map measureGroup="2" dimension="3"/>
    <map measureGroup="2" dimension="6"/>
    <map measureGroup="2" dimension="7"/>
    <map measureGroup="3" dimension="4"/>
    <map measureGroup="4" dimension="5"/>
    <map measureGroup="4" dimension="6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os Colasante" refreshedDate="46134.996697916664" backgroundQuery="1" createdVersion="8" refreshedVersion="8" minRefreshableVersion="3" recordCount="0" supportSubquery="1" supportAdvancedDrill="1" xr:uid="{908B15E5-F966-4D65-8B0F-50B50363243F}">
  <cacheSource type="external" connectionId="4"/>
  <cacheFields count="4">
    <cacheField name="[Tabla_Contabilidad].[AñoMes].[AñoMes]" caption="AñoMes" numFmtId="0" hierarchy="7" level="1">
      <sharedItems count="5">
        <s v="2025-01"/>
        <s v="2025-02"/>
        <s v="2026-01"/>
        <s v="2026-02"/>
        <s v="2026-03"/>
      </sharedItems>
    </cacheField>
    <cacheField name="[Measures].[Promedio de EBITDA  (M€)]" caption="Promedio de EBITDA  (M€)" numFmtId="0" hierarchy="287" level="32767"/>
    <cacheField name="[Measures].[Promedio de Gastos Estructura (€∕mes)]" caption="Promedio de Gastos Estructura (€∕mes)" numFmtId="0" hierarchy="285" level="32767"/>
    <cacheField name="[tbl_DimFecha].[Año].[Año]" caption="Año" numFmtId="0" hierarchy="186" level="1">
      <sharedItems containsSemiMixedTypes="0" containsNonDate="0" containsString="0"/>
    </cacheField>
  </cacheFields>
  <cacheHierarchies count="288">
    <cacheHierarchy uniqueName="[REND_TARGET].[Producto]" caption="Producto" attribute="1" defaultMemberUniqueName="[REND_TARGET].[Producto].[All]" allUniqueName="[REND_TARGET].[Producto].[All]" dimensionUniqueName="[REND_TARGET]" displayFolder="" count="0" memberValueDatatype="130" unbalanced="0"/>
    <cacheHierarchy uniqueName="[REND_TARGET].[Rendimiento Blanco]" caption="Rendimiento Blanco" attribute="1" defaultMemberUniqueName="[REND_TARGET].[Rendimiento Blanco].[All]" allUniqueName="[REND_TARGET].[Rendimiento Blanco].[All]" dimensionUniqueName="[REND_TARGET]" displayFolder="" count="0" memberValueDatatype="5" unbalanced="0"/>
    <cacheHierarchy uniqueName="[REND_TARGET].[Merma Fabr]" caption="Merma Fabr" attribute="1" defaultMemberUniqueName="[REND_TARGET].[Merma Fabr].[All]" allUniqueName="[REND_TARGET].[Merma Fabr].[All]" dimensionUniqueName="[REND_TARGET]" displayFolder="" count="0" memberValueDatatype="5" unbalanced="0"/>
    <cacheHierarchy uniqueName="[REND_TARGET].[Merma Oreo]" caption="Merma Oreo" attribute="1" defaultMemberUniqueName="[REND_TARGET].[Merma Oreo].[All]" allUniqueName="[REND_TARGET].[Merma Oreo].[All]" dimensionUniqueName="[REND_TARGET]" displayFolder="" count="0" memberValueDatatype="5" unbalanced="0"/>
    <cacheHierarchy uniqueName="[REND_TARGET].[Merma E/E]" caption="Merma E/E" attribute="1" defaultMemberUniqueName="[REND_TARGET].[Merma E/E].[All]" allUniqueName="[REND_TARGET].[Merma E/E].[All]" dimensionUniqueName="[REND_TARGET]" displayFolder="" count="0" memberValueDatatype="5" unbalanced="0"/>
    <cacheHierarchy uniqueName="[REND_TARGET].[Rend_Ntarget]" caption="Rend_Ntarget" attribute="1" defaultMemberUniqueName="[REND_TARGET].[Rend_Ntarget].[All]" allUniqueName="[REND_TARGET].[Rend_Ntarget].[All]" dimensionUniqueName="[REND_TARGET]" displayFolder="" count="0" memberValueDatatype="5" unbalanced="0"/>
    <cacheHierarchy uniqueName="[Tabla_Contabilidad].[Año]" caption="Año" attribute="1" defaultMemberUniqueName="[Tabla_Contabilidad].[Año].[All]" allUniqueName="[Tabla_Contabilidad].[Año].[All]" dimensionUniqueName="[Tabla_Contabilidad]" displayFolder="" count="0" memberValueDatatype="20" unbalanced="0"/>
    <cacheHierarchy uniqueName="[Tabla_Contabilidad].[AñoMes]" caption="AñoMes" attribute="1" defaultMemberUniqueName="[Tabla_Contabilidad].[AñoMes].[All]" allUniqueName="[Tabla_Contabilidad].[AñoMes].[All]" dimensionUniqueName="[Tabla_Contabilidad]" displayFolder="" count="2" memberValueDatatype="130" unbalanced="0">
      <fieldsUsage count="2">
        <fieldUsage x="-1"/>
        <fieldUsage x="0"/>
      </fieldsUsage>
    </cacheHierarchy>
    <cacheHierarchy uniqueName="[Tabla_Contabilidad].[Mes]" caption="Mes" attribute="1" defaultMemberUniqueName="[Tabla_Contabilidad].[Mes].[All]" allUniqueName="[Tabla_Contabilidad].[Mes].[All]" dimensionUniqueName="[Tabla_Contabilidad]" displayFolder="" count="0" memberValueDatatype="130" unbalanced="0"/>
    <cacheHierarchy uniqueName="[Tabla_Contabilidad].[Gastos Estructura (€∕mes)]" caption="Gastos Estructura (€∕mes)" attribute="1" defaultMemberUniqueName="[Tabla_Contabilidad].[Gastos Estructura (€∕mes)].[All]" allUniqueName="[Tabla_Contabilidad].[Gastos Estructura (€∕mes)].[All]" dimensionUniqueName="[Tabla_Contabilidad]" displayFolder="" count="0" memberValueDatatype="20" unbalanced="0"/>
    <cacheHierarchy uniqueName="[Tabla_Contabilidad].[EBITDA  (M€)]" caption="EBITDA  (M€)" attribute="1" defaultMemberUniqueName="[Tabla_Contabilidad].[EBITDA  (M€)].[All]" allUniqueName="[Tabla_Contabilidad].[EBITDA  (M€)].[All]" dimensionUniqueName="[Tabla_Contabilidad]" displayFolder="" count="0" memberValueDatatype="20" unbalanced="0"/>
    <cacheHierarchy uniqueName="[Tabla_Contabilidad].[EBITDA_PPTO (M€)]" caption="EBITDA_PPTO (M€)" attribute="1" defaultMemberUniqueName="[Tabla_Contabilidad].[EBITDA_PPTO (M€)].[All]" allUniqueName="[Tabla_Contabilidad].[EBITDA_PPTO (M€)].[All]" dimensionUniqueName="[Tabla_Contabilidad]" displayFolder="" count="0" memberValueDatatype="20" unbalanced="0"/>
    <cacheHierarchy uniqueName="[Tabla_master_rend].[Fecha]" caption="Fecha" attribute="1" time="1" defaultMemberUniqueName="[Tabla_master_rend].[Fecha].[All]" allUniqueName="[Tabla_master_rend].[Fecha].[All]" dimensionUniqueName="[Tabla_master_rend]" displayFolder="" count="0" memberValueDatatype="7" unbalanced="0"/>
    <cacheHierarchy uniqueName="[Tabla_master_rend].[mes]" caption="mes" attribute="1" defaultMemberUniqueName="[Tabla_master_rend].[mes].[All]" allUniqueName="[Tabla_master_rend].[mes].[All]" dimensionUniqueName="[Tabla_master_rend]" displayFolder="" count="0" memberValueDatatype="20" unbalanced="0"/>
    <cacheHierarchy uniqueName="[Tabla_master_rend].[Mes_Nom]" caption="Mes_Nom" attribute="1" defaultMemberUniqueName="[Tabla_master_rend].[Mes_Nom].[All]" allUniqueName="[Tabla_master_rend].[Mes_Nom].[All]" dimensionUniqueName="[Tabla_master_rend]" displayFolder="" count="2" memberValueDatatype="130" unbalanced="0"/>
    <cacheHierarchy uniqueName="[Tabla_master_rend].[Día]" caption="Día" attribute="1" defaultMemberUniqueName="[Tabla_master_rend].[Día].[All]" allUniqueName="[Tabla_master_rend].[Día].[All]" dimensionUniqueName="[Tabla_master_rend]" displayFolder="" count="2" memberValueDatatype="130" unbalanced="0"/>
    <cacheHierarchy uniqueName="[Tabla_master_rend].[Lote]" caption="Lote" attribute="1" defaultMemberUniqueName="[Tabla_master_rend].[Lote].[All]" allUniqueName="[Tabla_master_rend].[Lote].[All]" dimensionUniqueName="[Tabla_master_rend]" displayFolder="" count="0" memberValueDatatype="20" unbalanced="0"/>
    <cacheHierarchy uniqueName="[Tabla_master_rend].[Producto]" caption="Producto" attribute="1" defaultMemberUniqueName="[Tabla_master_rend].[Producto].[All]" allUniqueName="[Tabla_master_rend].[Producto].[All]" dimensionUniqueName="[Tabla_master_rend]" displayFolder="" count="2" memberValueDatatype="130" unbalanced="0"/>
    <cacheHierarchy uniqueName="[Tabla_master_rend].[Cubas_prod]" caption="Cubas_prod" attribute="1" defaultMemberUniqueName="[Tabla_master_rend].[Cubas_prod].[All]" allUniqueName="[Tabla_master_rend].[Cubas_prod].[All]" dimensionUniqueName="[Tabla_master_rend]" displayFolder="" count="0" memberValueDatatype="20" unbalanced="0"/>
    <cacheHierarchy uniqueName="[Tabla_master_rend].[Litros_Leche_Total]" caption="Litros_Leche_Total" attribute="1" defaultMemberUniqueName="[Tabla_master_rend].[Litros_Leche_Total].[All]" allUniqueName="[Tabla_master_rend].[Litros_Leche_Total].[All]" dimensionUniqueName="[Tabla_master_rend]" displayFolder="" count="0" memberValueDatatype="20" unbalanced="0"/>
    <cacheHierarchy uniqueName="[Tabla_master_rend].[L_Leche_ent]" caption="L_Leche_ent" attribute="1" defaultMemberUniqueName="[Tabla_master_rend].[L_Leche_ent].[All]" allUniqueName="[Tabla_master_rend].[L_Leche_ent].[All]" dimensionUniqueName="[Tabla_master_rend]" displayFolder="" count="0" memberValueDatatype="20" unbalanced="0"/>
    <cacheHierarchy uniqueName="[Tabla_master_rend].[%MG_Leche]" caption="%MG_Leche" attribute="1" defaultMemberUniqueName="[Tabla_master_rend].[%MG_Leche].[All]" allUniqueName="[Tabla_master_rend].[%MG_Leche].[All]" dimensionUniqueName="[Tabla_master_rend]" displayFolder="" count="0" memberValueDatatype="5" unbalanced="0"/>
    <cacheHierarchy uniqueName="[Tabla_master_rend].[%MP_Leche]" caption="%MP_Leche" attribute="1" defaultMemberUniqueName="[Tabla_master_rend].[%MP_Leche].[All]" allUniqueName="[Tabla_master_rend].[%MP_Leche].[All]" dimensionUniqueName="[Tabla_master_rend]" displayFolder="" count="0" memberValueDatatype="5" unbalanced="0"/>
    <cacheHierarchy uniqueName="[Tabla_master_rend].[EST_%]" caption="EST_%" attribute="1" defaultMemberUniqueName="[Tabla_master_rend].[EST_%].[All]" allUniqueName="[Tabla_master_rend].[EST_%].[All]" dimensionUniqueName="[Tabla_master_rend]" displayFolder="" count="0" memberValueDatatype="5" unbalanced="0"/>
    <cacheHierarchy uniqueName="[Tabla_master_rend].[Desn_en_linea]" caption="Desn_en_linea" attribute="1" defaultMemberUniqueName="[Tabla_master_rend].[Desn_en_linea].[All]" allUniqueName="[Tabla_master_rend].[Desn_en_linea].[All]" dimensionUniqueName="[Tabla_master_rend]" displayFolder="" count="2" memberValueDatatype="130" unbalanced="0"/>
    <cacheHierarchy uniqueName="[Tabla_master_rend].[L_desn_ext]" caption="L_desn_ext" attribute="1" defaultMemberUniqueName="[Tabla_master_rend].[L_desn_ext].[All]" allUniqueName="[Tabla_master_rend].[L_desn_ext].[All]" dimensionUniqueName="[Tabla_master_rend]" displayFolder="" count="0" memberValueDatatype="20" unbalanced="0"/>
    <cacheHierarchy uniqueName="[Tabla_master_rend].[L_cabra]" caption="L_cabra" attribute="1" defaultMemberUniqueName="[Tabla_master_rend].[L_cabra].[All]" allUniqueName="[Tabla_master_rend].[L_cabra].[All]" dimensionUniqueName="[Tabla_master_rend]" displayFolder="" count="0" memberValueDatatype="20" unbalanced="0"/>
    <cacheHierarchy uniqueName="[Tabla_master_rend].[L_oveja]" caption="L_oveja" attribute="1" defaultMemberUniqueName="[Tabla_master_rend].[L_oveja].[All]" allUniqueName="[Tabla_master_rend].[L_oveja].[All]" dimensionUniqueName="[Tabla_master_rend]" displayFolder="" count="0" memberValueDatatype="20" unbalanced="0"/>
    <cacheHierarchy uniqueName="[Tabla_master_rend].[Litros_Nata]" caption="Litros_Nata" attribute="1" defaultMemberUniqueName="[Tabla_master_rend].[Litros_Nata].[All]" allUniqueName="[Tabla_master_rend].[Litros_Nata].[All]" dimensionUniqueName="[Tabla_master_rend]" displayFolder="" count="0" memberValueDatatype="20" unbalanced="0"/>
    <cacheHierarchy uniqueName="[Tabla_master_rend].[L_nata_suero]" caption="L_nata_suero" attribute="1" defaultMemberUniqueName="[Tabla_master_rend].[L_nata_suero].[All]" allUniqueName="[Tabla_master_rend].[L_nata_suero].[All]" dimensionUniqueName="[Tabla_master_rend]" displayFolder="" count="0" memberValueDatatype="20" unbalanced="0"/>
    <cacheHierarchy uniqueName="[Tabla_master_rend].[L_suero Total]" caption="L_suero Total" attribute="1" defaultMemberUniqueName="[Tabla_master_rend].[L_suero Total].[All]" allUniqueName="[Tabla_master_rend].[L_suero Total].[All]" dimensionUniqueName="[Tabla_master_rend]" displayFolder="" count="0" memberValueDatatype="20" unbalanced="0"/>
    <cacheHierarchy uniqueName="[Tabla_master_rend].[%Suero_vs_leche]" caption="%Suero_vs_leche" attribute="1" defaultMemberUniqueName="[Tabla_master_rend].[%Suero_vs_leche].[All]" allUniqueName="[Tabla_master_rend].[%Suero_vs_leche].[All]" dimensionUniqueName="[Tabla_master_rend]" displayFolder="" count="0" memberValueDatatype="5" unbalanced="0"/>
    <cacheHierarchy uniqueName="[Tabla_master_rend].[MG_suero]" caption="MG_suero" attribute="1" defaultMemberUniqueName="[Tabla_master_rend].[MG_suero].[All]" allUniqueName="[Tabla_master_rend].[MG_suero].[All]" dimensionUniqueName="[Tabla_master_rend]" displayFolder="" count="0" memberValueDatatype="5" unbalanced="0"/>
    <cacheHierarchy uniqueName="[Tabla_master_rend].[MP_suero]" caption="MP_suero" attribute="1" defaultMemberUniqueName="[Tabla_master_rend].[MP_suero].[All]" allUniqueName="[Tabla_master_rend].[MP_suero].[All]" dimensionUniqueName="[Tabla_master_rend]" displayFolder="" count="0" memberValueDatatype="5" unbalanced="0"/>
    <cacheHierarchy uniqueName="[Tabla_master_rend].[L_suero para con]" caption="L_suero para con" attribute="1" defaultMemberUniqueName="[Tabla_master_rend].[L_suero para con].[All]" allUniqueName="[Tabla_master_rend].[L_suero para con].[All]" dimensionUniqueName="[Tabla_master_rend]" displayFolder="" count="0" memberValueDatatype="20" unbalanced="0"/>
    <cacheHierarchy uniqueName="[Tabla_master_rend].[L_suero_con]" caption="L_suero_con" attribute="1" defaultMemberUniqueName="[Tabla_master_rend].[L_suero_con].[All]" allUniqueName="[Tabla_master_rend].[L_suero_con].[All]" dimensionUniqueName="[Tabla_master_rend]" displayFolder="" count="0" memberValueDatatype="20" unbalanced="0"/>
    <cacheHierarchy uniqueName="[Tabla_master_rend].[Rartio_sueroC]" caption="Rartio_sueroC" attribute="1" defaultMemberUniqueName="[Tabla_master_rend].[Rartio_sueroC].[All]" allUniqueName="[Tabla_master_rend].[Rartio_sueroC].[All]" dimensionUniqueName="[Tabla_master_rend]" displayFolder="" count="0" memberValueDatatype="5" unbalanced="0"/>
    <cacheHierarchy uniqueName="[Tabla_master_rend].[L_Suero_Sobrante]" caption="L_Suero_Sobrante" attribute="1" defaultMemberUniqueName="[Tabla_master_rend].[L_Suero_Sobrante].[All]" allUniqueName="[Tabla_master_rend].[L_Suero_Sobrante].[All]" dimensionUniqueName="[Tabla_master_rend]" displayFolder="" count="0" memberValueDatatype="20" unbalanced="0"/>
    <cacheHierarchy uniqueName="[Tabla_master_rend].[MG_sueroc]" caption="MG_sueroc" attribute="1" defaultMemberUniqueName="[Tabla_master_rend].[MG_sueroc].[All]" allUniqueName="[Tabla_master_rend].[MG_sueroc].[All]" dimensionUniqueName="[Tabla_master_rend]" displayFolder="" count="0" memberValueDatatype="20" unbalanced="0"/>
    <cacheHierarchy uniqueName="[Tabla_master_rend].[MP_sueroc]" caption="MP_sueroc" attribute="1" defaultMemberUniqueName="[Tabla_master_rend].[MP_sueroc].[All]" allUniqueName="[Tabla_master_rend].[MP_sueroc].[All]" dimensionUniqueName="[Tabla_master_rend]" displayFolder="" count="0" memberValueDatatype="20" unbalanced="0"/>
    <cacheHierarchy uniqueName="[Tabla_master_rend].[L_LPS_Gen]" caption="L_LPS_Gen" attribute="1" defaultMemberUniqueName="[Tabla_master_rend].[L_LPS_Gen].[All]" allUniqueName="[Tabla_master_rend].[L_LPS_Gen].[All]" dimensionUniqueName="[Tabla_master_rend]" displayFolder="" count="0" memberValueDatatype="20" unbalanced="0"/>
    <cacheHierarchy uniqueName="[Tabla_master_rend].[L_LPS_incor]" caption="L_LPS_incor" attribute="1" defaultMemberUniqueName="[Tabla_master_rend].[L_LPS_incor].[All]" allUniqueName="[Tabla_master_rend].[L_LPS_incor].[All]" dimensionUniqueName="[Tabla_master_rend]" displayFolder="" count="0" memberValueDatatype="20" unbalanced="0"/>
    <cacheHierarchy uniqueName="[Tabla_master_rend].[gr_LPS]" caption="gr_LPS" attribute="1" defaultMemberUniqueName="[Tabla_master_rend].[gr_LPS].[All]" allUniqueName="[Tabla_master_rend].[gr_LPS].[All]" dimensionUniqueName="[Tabla_master_rend]" displayFolder="" count="0" memberValueDatatype="20" unbalanced="0"/>
    <cacheHierarchy uniqueName="[Tabla_master_rend].[MG_LPS]" caption="MG_LPS" attribute="1" defaultMemberUniqueName="[Tabla_master_rend].[MG_LPS].[All]" allUniqueName="[Tabla_master_rend].[MG_LPS].[All]" dimensionUniqueName="[Tabla_master_rend]" displayFolder="" count="0" memberValueDatatype="5" unbalanced="0"/>
    <cacheHierarchy uniqueName="[Tabla_master_rend].[MP_LPS]" caption="MP_LPS" attribute="1" defaultMemberUniqueName="[Tabla_master_rend].[MP_LPS].[All]" allUniqueName="[Tabla_master_rend].[MP_LPS].[All]" dimensionUniqueName="[Tabla_master_rend]" displayFolder="" count="0" memberValueDatatype="5" unbalanced="0"/>
    <cacheHierarchy uniqueName="[Tabla_master_rend].[Kg_Queso_Blan]" caption="Kg_Queso_Blan" attribute="1" defaultMemberUniqueName="[Tabla_master_rend].[Kg_Queso_Blan].[All]" allUniqueName="[Tabla_master_rend].[Kg_Queso_Blan].[All]" dimensionUniqueName="[Tabla_master_rend]" displayFolder="" count="0" memberValueDatatype="5" unbalanced="0"/>
    <cacheHierarchy uniqueName="[Tabla_master_rend].[RDTO_Blanco]" caption="RDTO_Blanco" attribute="1" defaultMemberUniqueName="[Tabla_master_rend].[RDTO_Blanco].[All]" allUniqueName="[Tabla_master_rend].[RDTO_Blanco].[All]" dimensionUniqueName="[Tabla_master_rend]" displayFolder="" count="0" memberValueDatatype="5" unbalanced="0"/>
    <cacheHierarchy uniqueName="[Tabla_master_rend].[RDTO_NETO]" caption="RDTO_NETO" attribute="1" defaultMemberUniqueName="[Tabla_master_rend].[RDTO_NETO].[All]" allUniqueName="[Tabla_master_rend].[RDTO_NETO].[All]" dimensionUniqueName="[Tabla_master_rend]" displayFolder="" count="0" memberValueDatatype="5" unbalanced="0"/>
    <cacheHierarchy uniqueName="[Tabla_master_rend].[REND_TARGET]" caption="REND_TARGET" attribute="1" defaultMemberUniqueName="[Tabla_master_rend].[REND_TARGET].[All]" allUniqueName="[Tabla_master_rend].[REND_TARGET].[All]" dimensionUniqueName="[Tabla_master_rend]" displayFolder="" count="0" memberValueDatatype="5" unbalanced="0"/>
    <cacheHierarchy uniqueName="[Tabla_master_rend].[Kg_Solidos_leche]" caption="Kg_Solidos_leche" attribute="1" defaultMemberUniqueName="[Tabla_master_rend].[Kg_Solidos_leche].[All]" allUniqueName="[Tabla_master_rend].[Kg_Solidos_leche].[All]" dimensionUniqueName="[Tabla_master_rend]" displayFolder="" count="0" memberValueDatatype="5" unbalanced="0"/>
    <cacheHierarchy uniqueName="[Tabla_master_rend].[%MG_QUESO]" caption="%MG_QUESO" attribute="1" defaultMemberUniqueName="[Tabla_master_rend].[%MG_QUESO].[All]" allUniqueName="[Tabla_master_rend].[%MG_QUESO].[All]" dimensionUniqueName="[Tabla_master_rend]" displayFolder="" count="0" memberValueDatatype="5" unbalanced="0"/>
    <cacheHierarchy uniqueName="[Tabla_master_rend].[%PT_QUESO]" caption="%PT_QUESO" attribute="1" defaultMemberUniqueName="[Tabla_master_rend].[%PT_QUESO].[All]" allUniqueName="[Tabla_master_rend].[%PT_QUESO].[All]" dimensionUniqueName="[Tabla_master_rend]" displayFolder="" count="0" memberValueDatatype="5" unbalanced="0"/>
    <cacheHierarchy uniqueName="[Tabla_master_rend].[ES_QUESO]" caption="ES_QUESO" attribute="1" defaultMemberUniqueName="[Tabla_master_rend].[ES_QUESO].[All]" allUniqueName="[Tabla_master_rend].[ES_QUESO].[All]" dimensionUniqueName="[Tabla_master_rend]" displayFolder="" count="0" memberValueDatatype="5" unbalanced="0"/>
    <cacheHierarchy uniqueName="[Tabla_master_rend].[Rendimiento_Solidos_%]" caption="Rendimiento_Solidos_%" attribute="1" defaultMemberUniqueName="[Tabla_master_rend].[Rendimiento_Solidos_%].[All]" allUniqueName="[Tabla_master_rend].[Rendimiento_Solidos_%].[All]" dimensionUniqueName="[Tabla_master_rend]" displayFolder="" count="0" memberValueDatatype="5" unbalanced="0"/>
    <cacheHierarchy uniqueName="[Tabla_master_rend].[Kg_MG_Nata]" caption="Kg_MG_Nata" attribute="1" defaultMemberUniqueName="[Tabla_master_rend].[Kg_MG_Nata].[All]" allUniqueName="[Tabla_master_rend].[Kg_MG_Nata].[All]" dimensionUniqueName="[Tabla_master_rend]" displayFolder="" count="0" memberValueDatatype="5" unbalanced="0"/>
    <cacheHierarchy uniqueName="[Tabla_master_rend].[%RECUP_MG]" caption="%RECUP_MG" attribute="1" defaultMemberUniqueName="[Tabla_master_rend].[%RECUP_MG].[All]" allUniqueName="[Tabla_master_rend].[%RECUP_MG].[All]" dimensionUniqueName="[Tabla_master_rend]" displayFolder="" count="0" memberValueDatatype="5" unbalanced="0"/>
    <cacheHierarchy uniqueName="[Tabla_master_rend].[%RECUP_PT]" caption="%RECUP_PT" attribute="1" defaultMemberUniqueName="[Tabla_master_rend].[%RECUP_PT].[All]" allUniqueName="[Tabla_master_rend].[%RECUP_PT].[All]" dimensionUniqueName="[Tabla_master_rend]" displayFolder="" count="0" memberValueDatatype="5" unbalanced="0"/>
    <cacheHierarchy uniqueName="[Tabla_master_rend].[Valor_Nata_€]" caption="Valor_Nata_€" attribute="1" defaultMemberUniqueName="[Tabla_master_rend].[Valor_Nata_€].[All]" allUniqueName="[Tabla_master_rend].[Valor_Nata_€].[All]" dimensionUniqueName="[Tabla_master_rend]" displayFolder="" count="0" memberValueDatatype="5" unbalanced="0"/>
    <cacheHierarchy uniqueName="[Tabla_master_rend].[Kg_Finos]" caption="Kg_Finos" attribute="1" defaultMemberUniqueName="[Tabla_master_rend].[Kg_Finos].[All]" allUniqueName="[Tabla_master_rend].[Kg_Finos].[All]" dimensionUniqueName="[Tabla_master_rend]" displayFolder="" count="0" memberValueDatatype="5" unbalanced="0"/>
    <cacheHierarchy uniqueName="[Tabla_master_rend].[Kg_Llenadora]" caption="Kg_Llenadora" attribute="1" defaultMemberUniqueName="[Tabla_master_rend].[Kg_Llenadora].[All]" allUniqueName="[Tabla_master_rend].[Kg_Llenadora].[All]" dimensionUniqueName="[Tabla_master_rend]" displayFolder="" count="0" memberValueDatatype="5" unbalanced="0"/>
    <cacheHierarchy uniqueName="[Tabla_master_rend].[Kg_Desmoldeo]" caption="Kg_Desmoldeo" attribute="1" defaultMemberUniqueName="[Tabla_master_rend].[Kg_Desmoldeo].[All]" allUniqueName="[Tabla_master_rend].[Kg_Desmoldeo].[All]" dimensionUniqueName="[Tabla_master_rend]" displayFolder="" count="0" memberValueDatatype="5" unbalanced="0"/>
    <cacheHierarchy uniqueName="[Tabla_master_rend].[Merma_fab]" caption="Merma_fab" attribute="1" defaultMemberUniqueName="[Tabla_master_rend].[Merma_fab].[All]" allUniqueName="[Tabla_master_rend].[Merma_fab].[All]" dimensionUniqueName="[Tabla_master_rend]" displayFolder="" count="0" memberValueDatatype="5" unbalanced="0"/>
    <cacheHierarchy uniqueName="[Tabla_master_rend].[% Merma_fab2]" caption="% Merma_fab2" attribute="1" defaultMemberUniqueName="[Tabla_master_rend].[% Merma_fab2].[All]" allUniqueName="[Tabla_master_rend].[% Merma_fab2].[All]" dimensionUniqueName="[Tabla_master_rend]" displayFolder="" count="0" memberValueDatatype="5" unbalanced="0"/>
    <cacheHierarchy uniqueName="[Tabla_master_rend].[L_Agua]" caption="L_Agua" attribute="1" defaultMemberUniqueName="[Tabla_master_rend].[L_Agua].[All]" allUniqueName="[Tabla_master_rend].[L_Agua].[All]" dimensionUniqueName="[Tabla_master_rend]" displayFolder="" count="0" memberValueDatatype="20" unbalanced="0"/>
    <cacheHierarchy uniqueName="[Tabla_master_rend].[% oreo]" caption="% oreo" attribute="1" defaultMemberUniqueName="[Tabla_master_rend].[% oreo].[All]" allUniqueName="[Tabla_master_rend].[% oreo].[All]" dimensionUniqueName="[Tabla_master_rend]" displayFolder="" count="0" memberValueDatatype="5" unbalanced="0"/>
    <cacheHierarchy uniqueName="[Tabla_master_rend].[B_totales]" caption="B_totales" attribute="1" defaultMemberUniqueName="[Tabla_master_rend].[B_totales].[All]" allUniqueName="[Tabla_master_rend].[B_totales].[All]" dimensionUniqueName="[Tabla_master_rend]" displayFolder="" count="0" memberValueDatatype="5" unbalanced="0"/>
    <cacheHierarchy uniqueName="[Tabla_master_rend].[B_OK_uni]" caption="B_OK_uni" attribute="1" defaultMemberUniqueName="[Tabla_master_rend].[B_OK_uni].[All]" allUniqueName="[Tabla_master_rend].[B_OK_uni].[All]" dimensionUniqueName="[Tabla_master_rend]" displayFolder="" count="0" memberValueDatatype="5" unbalanced="0"/>
    <cacheHierarchy uniqueName="[Tabla_master_rend].[B_OK_kg]" caption="B_OK_kg" attribute="1" defaultMemberUniqueName="[Tabla_master_rend].[B_OK_kg].[All]" allUniqueName="[Tabla_master_rend].[B_OK_kg].[All]" dimensionUniqueName="[Tabla_master_rend]" displayFolder="" count="0" memberValueDatatype="5" unbalanced="0"/>
    <cacheHierarchy uniqueName="[Tabla_master_rend].[B_altas]" caption="B_altas" attribute="1" defaultMemberUniqueName="[Tabla_master_rend].[B_altas].[All]" allUniqueName="[Tabla_master_rend].[B_altas].[All]" dimensionUniqueName="[Tabla_master_rend]" displayFolder="" count="0" memberValueDatatype="5" unbalanced="0"/>
    <cacheHierarchy uniqueName="[Tabla_master_rend].[B_bajas]" caption="B_bajas" attribute="1" defaultMemberUniqueName="[Tabla_master_rend].[B_bajas].[All]" allUniqueName="[Tabla_master_rend].[B_bajas].[All]" dimensionUniqueName="[Tabla_master_rend]" displayFolder="" count="0" memberValueDatatype="5" unbalanced="0"/>
    <cacheHierarchy uniqueName="[Tabla_master_rend].[B_rotas]" caption="B_rotas" attribute="1" defaultMemberUniqueName="[Tabla_master_rend].[B_rotas].[All]" allUniqueName="[Tabla_master_rend].[B_rotas].[All]" dimensionUniqueName="[Tabla_master_rend]" displayFolder="" count="0" memberValueDatatype="5" unbalanced="0"/>
    <cacheHierarchy uniqueName="[Tabla_master_rend].[B_feas]" caption="B_feas" attribute="1" defaultMemberUniqueName="[Tabla_master_rend].[B_feas].[All]" allUniqueName="[Tabla_master_rend].[B_feas].[All]" dimensionUniqueName="[Tabla_master_rend]" displayFolder="" count="0" memberValueDatatype="5" unbalanced="0"/>
    <cacheHierarchy uniqueName="[Tabla_master_rend].[B_lab]" caption="B_lab" attribute="1" defaultMemberUniqueName="[Tabla_master_rend].[B_lab].[All]" allUniqueName="[Tabla_master_rend].[B_lab].[All]" dimensionUniqueName="[Tabla_master_rend]" displayFolder="" count="0" memberValueDatatype="5" unbalanced="0"/>
    <cacheHierarchy uniqueName="[Tabla_master_rend].[Kg_SalidaSecadero]" caption="Kg_SalidaSecadero" attribute="1" defaultMemberUniqueName="[Tabla_master_rend].[Kg_SalidaSecadero].[All]" allUniqueName="[Tabla_master_rend].[Kg_SalidaSecadero].[All]" dimensionUniqueName="[Tabla_master_rend]" displayFolder="" count="0" memberValueDatatype="5" unbalanced="0"/>
    <cacheHierarchy uniqueName="[Tabla_master_rend].[Kg_rebaba]" caption="Kg_rebaba" attribute="1" defaultMemberUniqueName="[Tabla_master_rend].[Kg_rebaba].[All]" allUniqueName="[Tabla_master_rend].[Kg_rebaba].[All]" dimensionUniqueName="[Tabla_master_rend]" displayFolder="" count="0" memberValueDatatype="5" unbalanced="0"/>
    <cacheHierarchy uniqueName="[Tabla_master_rend].[Kg_mer_env_real]" caption="Kg_mer_env_real" attribute="1" defaultMemberUniqueName="[Tabla_master_rend].[Kg_mer_env_real].[All]" allUniqueName="[Tabla_master_rend].[Kg_mer_env_real].[All]" dimensionUniqueName="[Tabla_master_rend]" displayFolder="" count="0" memberValueDatatype="5" unbalanced="0"/>
    <cacheHierarchy uniqueName="[Tabla_master_rend].[kg_mer_lab_real]" caption="kg_mer_lab_real" attribute="1" defaultMemberUniqueName="[Tabla_master_rend].[kg_mer_lab_real].[All]" allUniqueName="[Tabla_master_rend].[kg_mer_lab_real].[All]" dimensionUniqueName="[Tabla_master_rend]" displayFolder="" count="0" memberValueDatatype="5" unbalanced="0"/>
    <cacheHierarchy uniqueName="[Tabla_master_rend].[%Merma_env]" caption="%Merma_env" attribute="1" defaultMemberUniqueName="[Tabla_master_rend].[%Merma_env].[All]" allUniqueName="[Tabla_master_rend].[%Merma_env].[All]" dimensionUniqueName="[Tabla_master_rend]" displayFolder="" count="0" memberValueDatatype="5" unbalanced="0"/>
    <cacheHierarchy uniqueName="[Tabla_master_rend].[%Merma_env_corr]" caption="%Merma_env_corr" attribute="1" defaultMemberUniqueName="[Tabla_master_rend].[%Merma_env_corr].[All]" allUniqueName="[Tabla_master_rend].[%Merma_env_corr].[All]" dimensionUniqueName="[Tabla_master_rend]" displayFolder="" count="0" memberValueDatatype="5" unbalanced="0"/>
    <cacheHierarchy uniqueName="[Tabla_master_rend].[% merma TOT]" caption="% merma TOT" attribute="1" defaultMemberUniqueName="[Tabla_master_rend].[% merma TOT].[All]" allUniqueName="[Tabla_master_rend].[% merma TOT].[All]" dimensionUniqueName="[Tabla_master_rend]" displayFolder="" count="0" memberValueDatatype="5" unbalanced="0"/>
    <cacheHierarchy uniqueName="[Tabla_master_rend].[Merma_TOT]" caption="Merma_TOT" attribute="1" defaultMemberUniqueName="[Tabla_master_rend].[Merma_TOT].[All]" allUniqueName="[Tabla_master_rend].[Merma_TOT].[All]" dimensionUniqueName="[Tabla_master_rend]" displayFolder="" count="0" memberValueDatatype="5" unbalanced="0"/>
    <cacheHierarchy uniqueName="[Tabla_master_rend].[Kg_Env_Total]" caption="Kg_Env_Total" attribute="1" defaultMemberUniqueName="[Tabla_master_rend].[Kg_Env_Total].[All]" allUniqueName="[Tabla_master_rend].[Kg_Env_Total].[All]" dimensionUniqueName="[Tabla_master_rend]" displayFolder="" count="0" memberValueDatatype="5" unbalanced="0"/>
    <cacheHierarchy uniqueName="[Tabla_master_rend].[Coste_Leche_€]" caption="Coste_Leche_€" attribute="1" defaultMemberUniqueName="[Tabla_master_rend].[Coste_Leche_€].[All]" allUniqueName="[Tabla_master_rend].[Coste_Leche_€].[All]" dimensionUniqueName="[Tabla_master_rend]" displayFolder="" count="0" memberValueDatatype="5" unbalanced="0"/>
    <cacheHierarchy uniqueName="[Tabla_master_rend].[€/kg_MPQueso]" caption="€/kg_MPQueso" attribute="1" defaultMemberUniqueName="[Tabla_master_rend].[€/kg_MPQueso].[All]" allUniqueName="[Tabla_master_rend].[€/kg_MPQueso].[All]" dimensionUniqueName="[Tabla_master_rend]" displayFolder="" count="0" memberValueDatatype="5" unbalanced="0"/>
    <cacheHierarchy uniqueName="[Tabla_master_rend].[Merma_inic]" caption="Merma_inic" attribute="1" defaultMemberUniqueName="[Tabla_master_rend].[Merma_inic].[All]" allUniqueName="[Tabla_master_rend].[Merma_inic].[All]" dimensionUniqueName="[Tabla_master_rend]" displayFolder="" count="0" memberValueDatatype="5" unbalanced="0"/>
    <cacheHierarchy uniqueName="[Tabla_master_rend].[Recup_kg]" caption="Recup_kg" attribute="1" defaultMemberUniqueName="[Tabla_master_rend].[Recup_kg].[All]" allUniqueName="[Tabla_master_rend].[Recup_kg].[All]" dimensionUniqueName="[Tabla_master_rend]" displayFolder="" count="0" memberValueDatatype="5" unbalanced="0"/>
    <cacheHierarchy uniqueName="[Tabla_master_rend].[Recup_%]" caption="Recup_%" attribute="1" defaultMemberUniqueName="[Tabla_master_rend].[Recup_%].[All]" allUniqueName="[Tabla_master_rend].[Recup_%].[All]" dimensionUniqueName="[Tabla_master_rend]" displayFolder="" count="0" memberValueDatatype="5" unbalanced="0"/>
    <cacheHierarchy uniqueName="[Tabla_master_rend].[Merma_ppto fab]" caption="Merma_ppto fab" attribute="1" defaultMemberUniqueName="[Tabla_master_rend].[Merma_ppto fab].[All]" allUniqueName="[Tabla_master_rend].[Merma_ppto fab].[All]" dimensionUniqueName="[Tabla_master_rend]" displayFolder="" count="0" memberValueDatatype="5" unbalanced="0"/>
    <cacheHierarchy uniqueName="[Tabla_master_rend].[Merma_ppto oreo]" caption="Merma_ppto oreo" attribute="1" defaultMemberUniqueName="[Tabla_master_rend].[Merma_ppto oreo].[All]" allUniqueName="[Tabla_master_rend].[Merma_ppto oreo].[All]" dimensionUniqueName="[Tabla_master_rend]" displayFolder="" count="0" memberValueDatatype="5" unbalanced="0"/>
    <cacheHierarchy uniqueName="[Tabla_master_rend].[Merma_ppto Env/Enc]" caption="Merma_ppto Env/Enc" attribute="1" defaultMemberUniqueName="[Tabla_master_rend].[Merma_ppto Env/Enc].[All]" allUniqueName="[Tabla_master_rend].[Merma_ppto Env/Enc].[All]" dimensionUniqueName="[Tabla_master_rend]" displayFolder="" count="0" memberValueDatatype="5" unbalanced="0"/>
    <cacheHierarchy uniqueName="[Tabla_master_rend].[Merma_T ppto]" caption="Merma_T ppto" attribute="1" defaultMemberUniqueName="[Tabla_master_rend].[Merma_T ppto].[All]" allUniqueName="[Tabla_master_rend].[Merma_T ppto].[All]" dimensionUniqueName="[Tabla_master_rend]" displayFolder="" count="0" memberValueDatatype="5" unbalanced="0"/>
    <cacheHierarchy uniqueName="[Tabla_master_rend].[Merma_T ppto %]" caption="Merma_T ppto %" attribute="1" defaultMemberUniqueName="[Tabla_master_rend].[Merma_T ppto %].[All]" allUniqueName="[Tabla_master_rend].[Merma_T ppto %].[All]" dimensionUniqueName="[Tabla_master_rend]" displayFolder="" count="0" memberValueDatatype="5" unbalanced="0"/>
    <cacheHierarchy uniqueName="[Tabla_master_rend].[Merma_T real %]" caption="Merma_T real %" attribute="1" defaultMemberUniqueName="[Tabla_master_rend].[Merma_T real %].[All]" allUniqueName="[Tabla_master_rend].[Merma_T real %].[All]" dimensionUniqueName="[Tabla_master_rend]" displayFolder="" count="0" memberValueDatatype="5" unbalanced="0"/>
    <cacheHierarchy uniqueName="[Tabla_master_rend].[DIF R Vs PPTO]" caption="DIF R Vs PPTO" attribute="1" defaultMemberUniqueName="[Tabla_master_rend].[DIF R Vs PPTO].[All]" allUniqueName="[Tabla_master_rend].[DIF R Vs PPTO].[All]" dimensionUniqueName="[Tabla_master_rend]" displayFolder="" count="0" memberValueDatatype="5" unbalanced="0"/>
    <cacheHierarchy uniqueName="[Tabla_master_rend].[IMPACTO]" caption="IMPACTO" attribute="1" defaultMemberUniqueName="[Tabla_master_rend].[IMPACTO].[All]" allUniqueName="[Tabla_master_rend].[IMPACTO].[All]" dimensionUniqueName="[Tabla_master_rend]" displayFolder="" count="0" memberValueDatatype="5" unbalanced="0"/>
    <cacheHierarchy uniqueName="[Tabla_master_rend].[IMPACTO_vs_PPTO]" caption="IMPACTO_vs_PPTO" attribute="1" defaultMemberUniqueName="[Tabla_master_rend].[IMPACTO_vs_PPTO].[All]" allUniqueName="[Tabla_master_rend].[IMPACTO_vs_PPTO].[All]" dimensionUniqueName="[Tabla_master_rend]" displayFolder="" count="0" memberValueDatatype="5" unbalanced="0"/>
    <cacheHierarchy uniqueName="[Tabla_master_rend].[Fecha (mes)]" caption="Fecha (mes)" attribute="1" defaultMemberUniqueName="[Tabla_master_rend].[Fecha (mes)].[All]" allUniqueName="[Tabla_master_rend].[Fecha (mes)].[All]" dimensionUniqueName="[Tabla_master_rend]" displayFolder="" count="0" memberValueDatatype="130" unbalanced="0"/>
    <cacheHierarchy uniqueName="[Tabla_master_rend 1].[Fecha]" caption="Fecha" attribute="1" time="1" defaultMemberUniqueName="[Tabla_master_rend 1].[Fecha].[All]" allUniqueName="[Tabla_master_rend 1].[Fecha].[All]" dimensionUniqueName="[Tabla_master_rend 1]" displayFolder="" count="0" memberValueDatatype="7" unbalanced="0"/>
    <cacheHierarchy uniqueName="[Tabla_master_rend 1].[mes]" caption="mes" attribute="1" defaultMemberUniqueName="[Tabla_master_rend 1].[mes].[All]" allUniqueName="[Tabla_master_rend 1].[mes].[All]" dimensionUniqueName="[Tabla_master_rend 1]" displayFolder="" count="0" memberValueDatatype="20" unbalanced="0"/>
    <cacheHierarchy uniqueName="[Tabla_master_rend 1].[Mes_Nom]" caption="Mes_Nom" attribute="1" defaultMemberUniqueName="[Tabla_master_rend 1].[Mes_Nom].[All]" allUniqueName="[Tabla_master_rend 1].[Mes_Nom].[All]" dimensionUniqueName="[Tabla_master_rend 1]" displayFolder="" count="0" memberValueDatatype="130" unbalanced="0"/>
    <cacheHierarchy uniqueName="[Tabla_master_rend 1].[Día]" caption="Día" attribute="1" defaultMemberUniqueName="[Tabla_master_rend 1].[Día].[All]" allUniqueName="[Tabla_master_rend 1].[Día].[All]" dimensionUniqueName="[Tabla_master_rend 1]" displayFolder="" count="0" memberValueDatatype="130" unbalanced="0"/>
    <cacheHierarchy uniqueName="[Tabla_master_rend 1].[Lote]" caption="Lote" attribute="1" defaultMemberUniqueName="[Tabla_master_rend 1].[Lote].[All]" allUniqueName="[Tabla_master_rend 1].[Lote].[All]" dimensionUniqueName="[Tabla_master_rend 1]" displayFolder="" count="0" memberValueDatatype="130" unbalanced="0"/>
    <cacheHierarchy uniqueName="[Tabla_master_rend 1].[Producto]" caption="Producto" attribute="1" defaultMemberUniqueName="[Tabla_master_rend 1].[Producto].[All]" allUniqueName="[Tabla_master_rend 1].[Producto].[All]" dimensionUniqueName="[Tabla_master_rend 1]" displayFolder="" count="0" memberValueDatatype="130" unbalanced="0"/>
    <cacheHierarchy uniqueName="[Tabla_master_rend 1].[Cubas_prod]" caption="Cubas_prod" attribute="1" defaultMemberUniqueName="[Tabla_master_rend 1].[Cubas_prod].[All]" allUniqueName="[Tabla_master_rend 1].[Cubas_prod].[All]" dimensionUniqueName="[Tabla_master_rend 1]" displayFolder="" count="0" memberValueDatatype="20" unbalanced="0"/>
    <cacheHierarchy uniqueName="[Tabla_master_rend 1].[Litros_Leche_Total]" caption="Litros_Leche_Total" attribute="1" defaultMemberUniqueName="[Tabla_master_rend 1].[Litros_Leche_Total].[All]" allUniqueName="[Tabla_master_rend 1].[Litros_Leche_Total].[All]" dimensionUniqueName="[Tabla_master_rend 1]" displayFolder="" count="0" memberValueDatatype="20" unbalanced="0"/>
    <cacheHierarchy uniqueName="[Tabla_master_rend 1].[L_Leche_ent]" caption="L_Leche_ent" attribute="1" defaultMemberUniqueName="[Tabla_master_rend 1].[L_Leche_ent].[All]" allUniqueName="[Tabla_master_rend 1].[L_Leche_ent].[All]" dimensionUniqueName="[Tabla_master_rend 1]" displayFolder="" count="0" memberValueDatatype="20" unbalanced="0"/>
    <cacheHierarchy uniqueName="[Tabla_master_rend 1].[%MG_Leche]" caption="%MG_Leche" attribute="1" defaultMemberUniqueName="[Tabla_master_rend 1].[%MG_Leche].[All]" allUniqueName="[Tabla_master_rend 1].[%MG_Leche].[All]" dimensionUniqueName="[Tabla_master_rend 1]" displayFolder="" count="0" memberValueDatatype="5" unbalanced="0"/>
    <cacheHierarchy uniqueName="[Tabla_master_rend 1].[%MP_Leche]" caption="%MP_Leche" attribute="1" defaultMemberUniqueName="[Tabla_master_rend 1].[%MP_Leche].[All]" allUniqueName="[Tabla_master_rend 1].[%MP_Leche].[All]" dimensionUniqueName="[Tabla_master_rend 1]" displayFolder="" count="0" memberValueDatatype="5" unbalanced="0"/>
    <cacheHierarchy uniqueName="[Tabla_master_rend 1].[EST_%]" caption="EST_%" attribute="1" defaultMemberUniqueName="[Tabla_master_rend 1].[EST_%].[All]" allUniqueName="[Tabla_master_rend 1].[EST_%].[All]" dimensionUniqueName="[Tabla_master_rend 1]" displayFolder="" count="0" memberValueDatatype="5" unbalanced="0"/>
    <cacheHierarchy uniqueName="[Tabla_master_rend 1].[Desn_en_linea]" caption="Desn_en_linea" attribute="1" defaultMemberUniqueName="[Tabla_master_rend 1].[Desn_en_linea].[All]" allUniqueName="[Tabla_master_rend 1].[Desn_en_linea].[All]" dimensionUniqueName="[Tabla_master_rend 1]" displayFolder="" count="0" memberValueDatatype="130" unbalanced="0"/>
    <cacheHierarchy uniqueName="[Tabla_master_rend 1].[L_desn_ext]" caption="L_desn_ext" attribute="1" defaultMemberUniqueName="[Tabla_master_rend 1].[L_desn_ext].[All]" allUniqueName="[Tabla_master_rend 1].[L_desn_ext].[All]" dimensionUniqueName="[Tabla_master_rend 1]" displayFolder="" count="0" memberValueDatatype="20" unbalanced="0"/>
    <cacheHierarchy uniqueName="[Tabla_master_rend 1].[L_cabra]" caption="L_cabra" attribute="1" defaultMemberUniqueName="[Tabla_master_rend 1].[L_cabra].[All]" allUniqueName="[Tabla_master_rend 1].[L_cabra].[All]" dimensionUniqueName="[Tabla_master_rend 1]" displayFolder="" count="0" memberValueDatatype="20" unbalanced="0"/>
    <cacheHierarchy uniqueName="[Tabla_master_rend 1].[L_oveja]" caption="L_oveja" attribute="1" defaultMemberUniqueName="[Tabla_master_rend 1].[L_oveja].[All]" allUniqueName="[Tabla_master_rend 1].[L_oveja].[All]" dimensionUniqueName="[Tabla_master_rend 1]" displayFolder="" count="0" memberValueDatatype="20" unbalanced="0"/>
    <cacheHierarchy uniqueName="[Tabla_master_rend 1].[Litros_Nata]" caption="Litros_Nata" attribute="1" defaultMemberUniqueName="[Tabla_master_rend 1].[Litros_Nata].[All]" allUniqueName="[Tabla_master_rend 1].[Litros_Nata].[All]" dimensionUniqueName="[Tabla_master_rend 1]" displayFolder="" count="0" memberValueDatatype="20" unbalanced="0"/>
    <cacheHierarchy uniqueName="[Tabla_master_rend 1].[L_nata_suero]" caption="L_nata_suero" attribute="1" defaultMemberUniqueName="[Tabla_master_rend 1].[L_nata_suero].[All]" allUniqueName="[Tabla_master_rend 1].[L_nata_suero].[All]" dimensionUniqueName="[Tabla_master_rend 1]" displayFolder="" count="0" memberValueDatatype="20" unbalanced="0"/>
    <cacheHierarchy uniqueName="[Tabla_master_rend 1].[L_suero Total]" caption="L_suero Total" attribute="1" defaultMemberUniqueName="[Tabla_master_rend 1].[L_suero Total].[All]" allUniqueName="[Tabla_master_rend 1].[L_suero Total].[All]" dimensionUniqueName="[Tabla_master_rend 1]" displayFolder="" count="0" memberValueDatatype="20" unbalanced="0"/>
    <cacheHierarchy uniqueName="[Tabla_master_rend 1].[%Suero_vs_leche]" caption="%Suero_vs_leche" attribute="1" defaultMemberUniqueName="[Tabla_master_rend 1].[%Suero_vs_leche].[All]" allUniqueName="[Tabla_master_rend 1].[%Suero_vs_leche].[All]" dimensionUniqueName="[Tabla_master_rend 1]" displayFolder="" count="0" memberValueDatatype="5" unbalanced="0"/>
    <cacheHierarchy uniqueName="[Tabla_master_rend 1].[MG_suero]" caption="MG_suero" attribute="1" defaultMemberUniqueName="[Tabla_master_rend 1].[MG_suero].[All]" allUniqueName="[Tabla_master_rend 1].[MG_suero].[All]" dimensionUniqueName="[Tabla_master_rend 1]" displayFolder="" count="0" memberValueDatatype="5" unbalanced="0"/>
    <cacheHierarchy uniqueName="[Tabla_master_rend 1].[MP_suero]" caption="MP_suero" attribute="1" defaultMemberUniqueName="[Tabla_master_rend 1].[MP_suero].[All]" allUniqueName="[Tabla_master_rend 1].[MP_suero].[All]" dimensionUniqueName="[Tabla_master_rend 1]" displayFolder="" count="0" memberValueDatatype="5" unbalanced="0"/>
    <cacheHierarchy uniqueName="[Tabla_master_rend 1].[L_suero para con]" caption="L_suero para con" attribute="1" defaultMemberUniqueName="[Tabla_master_rend 1].[L_suero para con].[All]" allUniqueName="[Tabla_master_rend 1].[L_suero para con].[All]" dimensionUniqueName="[Tabla_master_rend 1]" displayFolder="" count="0" memberValueDatatype="20" unbalanced="0"/>
    <cacheHierarchy uniqueName="[Tabla_master_rend 1].[L_suero_con]" caption="L_suero_con" attribute="1" defaultMemberUniqueName="[Tabla_master_rend 1].[L_suero_con].[All]" allUniqueName="[Tabla_master_rend 1].[L_suero_con].[All]" dimensionUniqueName="[Tabla_master_rend 1]" displayFolder="" count="0" memberValueDatatype="20" unbalanced="0"/>
    <cacheHierarchy uniqueName="[Tabla_master_rend 1].[Rartio_sueroC]" caption="Rartio_sueroC" attribute="1" defaultMemberUniqueName="[Tabla_master_rend 1].[Rartio_sueroC].[All]" allUniqueName="[Tabla_master_rend 1].[Rartio_sueroC].[All]" dimensionUniqueName="[Tabla_master_rend 1]" displayFolder="" count="0" memberValueDatatype="5" unbalanced="0"/>
    <cacheHierarchy uniqueName="[Tabla_master_rend 1].[L_Suero_Sobrante]" caption="L_Suero_Sobrante" attribute="1" defaultMemberUniqueName="[Tabla_master_rend 1].[L_Suero_Sobrante].[All]" allUniqueName="[Tabla_master_rend 1].[L_Suero_Sobrante].[All]" dimensionUniqueName="[Tabla_master_rend 1]" displayFolder="" count="0" memberValueDatatype="20" unbalanced="0"/>
    <cacheHierarchy uniqueName="[Tabla_master_rend 1].[MG_sueroc]" caption="MG_sueroc" attribute="1" defaultMemberUniqueName="[Tabla_master_rend 1].[MG_sueroc].[All]" allUniqueName="[Tabla_master_rend 1].[MG_sueroc].[All]" dimensionUniqueName="[Tabla_master_rend 1]" displayFolder="" count="0" memberValueDatatype="130" unbalanced="0"/>
    <cacheHierarchy uniqueName="[Tabla_master_rend 1].[MP_sueroc]" caption="MP_sueroc" attribute="1" defaultMemberUniqueName="[Tabla_master_rend 1].[MP_sueroc].[All]" allUniqueName="[Tabla_master_rend 1].[MP_sueroc].[All]" dimensionUniqueName="[Tabla_master_rend 1]" displayFolder="" count="0" memberValueDatatype="130" unbalanced="0"/>
    <cacheHierarchy uniqueName="[Tabla_master_rend 1].[L_LPS_Gen]" caption="L_LPS_Gen" attribute="1" defaultMemberUniqueName="[Tabla_master_rend 1].[L_LPS_Gen].[All]" allUniqueName="[Tabla_master_rend 1].[L_LPS_Gen].[All]" dimensionUniqueName="[Tabla_master_rend 1]" displayFolder="" count="0" memberValueDatatype="20" unbalanced="0"/>
    <cacheHierarchy uniqueName="[Tabla_master_rend 1].[L_LPS_incor]" caption="L_LPS_incor" attribute="1" defaultMemberUniqueName="[Tabla_master_rend 1].[L_LPS_incor].[All]" allUniqueName="[Tabla_master_rend 1].[L_LPS_incor].[All]" dimensionUniqueName="[Tabla_master_rend 1]" displayFolder="" count="0" memberValueDatatype="20" unbalanced="0"/>
    <cacheHierarchy uniqueName="[Tabla_master_rend 1].[gr_LPS]" caption="gr_LPS" attribute="1" defaultMemberUniqueName="[Tabla_master_rend 1].[gr_LPS].[All]" allUniqueName="[Tabla_master_rend 1].[gr_LPS].[All]" dimensionUniqueName="[Tabla_master_rend 1]" displayFolder="" count="0" memberValueDatatype="20" unbalanced="0"/>
    <cacheHierarchy uniqueName="[Tabla_master_rend 1].[MG_LPS]" caption="MG_LPS" attribute="1" defaultMemberUniqueName="[Tabla_master_rend 1].[MG_LPS].[All]" allUniqueName="[Tabla_master_rend 1].[MG_LPS].[All]" dimensionUniqueName="[Tabla_master_rend 1]" displayFolder="" count="0" memberValueDatatype="5" unbalanced="0"/>
    <cacheHierarchy uniqueName="[Tabla_master_rend 1].[MP_LPS]" caption="MP_LPS" attribute="1" defaultMemberUniqueName="[Tabla_master_rend 1].[MP_LPS].[All]" allUniqueName="[Tabla_master_rend 1].[MP_LPS].[All]" dimensionUniqueName="[Tabla_master_rend 1]" displayFolder="" count="0" memberValueDatatype="5" unbalanced="0"/>
    <cacheHierarchy uniqueName="[Tabla_master_rend 1].[Kg_Queso_Blan]" caption="Kg_Queso_Blan" attribute="1" defaultMemberUniqueName="[Tabla_master_rend 1].[Kg_Queso_Blan].[All]" allUniqueName="[Tabla_master_rend 1].[Kg_Queso_Blan].[All]" dimensionUniqueName="[Tabla_master_rend 1]" displayFolder="" count="0" memberValueDatatype="5" unbalanced="0"/>
    <cacheHierarchy uniqueName="[Tabla_master_rend 1].[RDTO_Blanco]" caption="RDTO_Blanco" attribute="1" defaultMemberUniqueName="[Tabla_master_rend 1].[RDTO_Blanco].[All]" allUniqueName="[Tabla_master_rend 1].[RDTO_Blanco].[All]" dimensionUniqueName="[Tabla_master_rend 1]" displayFolder="" count="0" memberValueDatatype="5" unbalanced="0"/>
    <cacheHierarchy uniqueName="[Tabla_master_rend 1].[RDTO_NETO]" caption="RDTO_NETO" attribute="1" defaultMemberUniqueName="[Tabla_master_rend 1].[RDTO_NETO].[All]" allUniqueName="[Tabla_master_rend 1].[RDTO_NETO].[All]" dimensionUniqueName="[Tabla_master_rend 1]" displayFolder="" count="0" memberValueDatatype="5" unbalanced="0"/>
    <cacheHierarchy uniqueName="[Tabla_master_rend 1].[REND_TARGET]" caption="REND_TARGET" attribute="1" defaultMemberUniqueName="[Tabla_master_rend 1].[REND_TARGET].[All]" allUniqueName="[Tabla_master_rend 1].[REND_TARGET].[All]" dimensionUniqueName="[Tabla_master_rend 1]" displayFolder="" count="0" memberValueDatatype="5" unbalanced="0"/>
    <cacheHierarchy uniqueName="[Tabla_master_rend 1].[Kg_Solidos_leche]" caption="Kg_Solidos_leche" attribute="1" defaultMemberUniqueName="[Tabla_master_rend 1].[Kg_Solidos_leche].[All]" allUniqueName="[Tabla_master_rend 1].[Kg_Solidos_leche].[All]" dimensionUniqueName="[Tabla_master_rend 1]" displayFolder="" count="0" memberValueDatatype="5" unbalanced="0"/>
    <cacheHierarchy uniqueName="[Tabla_master_rend 1].[%MG_QUESO]" caption="%MG_QUESO" attribute="1" defaultMemberUniqueName="[Tabla_master_rend 1].[%MG_QUESO].[All]" allUniqueName="[Tabla_master_rend 1].[%MG_QUESO].[All]" dimensionUniqueName="[Tabla_master_rend 1]" displayFolder="" count="0" memberValueDatatype="5" unbalanced="0"/>
    <cacheHierarchy uniqueName="[Tabla_master_rend 1].[%PT_QUESO]" caption="%PT_QUESO" attribute="1" defaultMemberUniqueName="[Tabla_master_rend 1].[%PT_QUESO].[All]" allUniqueName="[Tabla_master_rend 1].[%PT_QUESO].[All]" dimensionUniqueName="[Tabla_master_rend 1]" displayFolder="" count="0" memberValueDatatype="5" unbalanced="0"/>
    <cacheHierarchy uniqueName="[Tabla_master_rend 1].[ES_QUESO]" caption="ES_QUESO" attribute="1" defaultMemberUniqueName="[Tabla_master_rend 1].[ES_QUESO].[All]" allUniqueName="[Tabla_master_rend 1].[ES_QUESO].[All]" dimensionUniqueName="[Tabla_master_rend 1]" displayFolder="" count="0" memberValueDatatype="5" unbalanced="0"/>
    <cacheHierarchy uniqueName="[Tabla_master_rend 1].[Rendimiento_Solidos_%]" caption="Rendimiento_Solidos_%" attribute="1" defaultMemberUniqueName="[Tabla_master_rend 1].[Rendimiento_Solidos_%].[All]" allUniqueName="[Tabla_master_rend 1].[Rendimiento_Solidos_%].[All]" dimensionUniqueName="[Tabla_master_rend 1]" displayFolder="" count="0" memberValueDatatype="5" unbalanced="0"/>
    <cacheHierarchy uniqueName="[Tabla_master_rend 1].[Kg_MG_Nata]" caption="Kg_MG_Nata" attribute="1" defaultMemberUniqueName="[Tabla_master_rend 1].[Kg_MG_Nata].[All]" allUniqueName="[Tabla_master_rend 1].[Kg_MG_Nata].[All]" dimensionUniqueName="[Tabla_master_rend 1]" displayFolder="" count="0" memberValueDatatype="5" unbalanced="0"/>
    <cacheHierarchy uniqueName="[Tabla_master_rend 1].[%RECUP_MG]" caption="%RECUP_MG" attribute="1" defaultMemberUniqueName="[Tabla_master_rend 1].[%RECUP_MG].[All]" allUniqueName="[Tabla_master_rend 1].[%RECUP_MG].[All]" dimensionUniqueName="[Tabla_master_rend 1]" displayFolder="" count="0" memberValueDatatype="5" unbalanced="0"/>
    <cacheHierarchy uniqueName="[Tabla_master_rend 1].[%RECUP_PT]" caption="%RECUP_PT" attribute="1" defaultMemberUniqueName="[Tabla_master_rend 1].[%RECUP_PT].[All]" allUniqueName="[Tabla_master_rend 1].[%RECUP_PT].[All]" dimensionUniqueName="[Tabla_master_rend 1]" displayFolder="" count="0" memberValueDatatype="5" unbalanced="0"/>
    <cacheHierarchy uniqueName="[Tabla_master_rend 1].[Valor_Nata_€]" caption="Valor_Nata_€" attribute="1" defaultMemberUniqueName="[Tabla_master_rend 1].[Valor_Nata_€].[All]" allUniqueName="[Tabla_master_rend 1].[Valor_Nata_€].[All]" dimensionUniqueName="[Tabla_master_rend 1]" displayFolder="" count="0" memberValueDatatype="5" unbalanced="0"/>
    <cacheHierarchy uniqueName="[Tabla_master_rend 1].[Kg_Finos]" caption="Kg_Finos" attribute="1" defaultMemberUniqueName="[Tabla_master_rend 1].[Kg_Finos].[All]" allUniqueName="[Tabla_master_rend 1].[Kg_Finos].[All]" dimensionUniqueName="[Tabla_master_rend 1]" displayFolder="" count="0" memberValueDatatype="5" unbalanced="0"/>
    <cacheHierarchy uniqueName="[Tabla_master_rend 1].[Kg_Llenadora]" caption="Kg_Llenadora" attribute="1" defaultMemberUniqueName="[Tabla_master_rend 1].[Kg_Llenadora].[All]" allUniqueName="[Tabla_master_rend 1].[Kg_Llenadora].[All]" dimensionUniqueName="[Tabla_master_rend 1]" displayFolder="" count="0" memberValueDatatype="5" unbalanced="0"/>
    <cacheHierarchy uniqueName="[Tabla_master_rend 1].[Kg_Desmoldeo]" caption="Kg_Desmoldeo" attribute="1" defaultMemberUniqueName="[Tabla_master_rend 1].[Kg_Desmoldeo].[All]" allUniqueName="[Tabla_master_rend 1].[Kg_Desmoldeo].[All]" dimensionUniqueName="[Tabla_master_rend 1]" displayFolder="" count="0" memberValueDatatype="5" unbalanced="0"/>
    <cacheHierarchy uniqueName="[Tabla_master_rend 1].[Merma_fab]" caption="Merma_fab" attribute="1" defaultMemberUniqueName="[Tabla_master_rend 1].[Merma_fab].[All]" allUniqueName="[Tabla_master_rend 1].[Merma_fab].[All]" dimensionUniqueName="[Tabla_master_rend 1]" displayFolder="" count="0" memberValueDatatype="5" unbalanced="0"/>
    <cacheHierarchy uniqueName="[Tabla_master_rend 1].[% Merma_fab2]" caption="% Merma_fab2" attribute="1" defaultMemberUniqueName="[Tabla_master_rend 1].[% Merma_fab2].[All]" allUniqueName="[Tabla_master_rend 1].[% Merma_fab2].[All]" dimensionUniqueName="[Tabla_master_rend 1]" displayFolder="" count="0" memberValueDatatype="5" unbalanced="0"/>
    <cacheHierarchy uniqueName="[Tabla_master_rend 1].[L_Agua]" caption="L_Agua" attribute="1" defaultMemberUniqueName="[Tabla_master_rend 1].[L_Agua].[All]" allUniqueName="[Tabla_master_rend 1].[L_Agua].[All]" dimensionUniqueName="[Tabla_master_rend 1]" displayFolder="" count="0" memberValueDatatype="20" unbalanced="0"/>
    <cacheHierarchy uniqueName="[Tabla_master_rend 1].[% oreo]" caption="% oreo" attribute="1" defaultMemberUniqueName="[Tabla_master_rend 1].[% oreo].[All]" allUniqueName="[Tabla_master_rend 1].[% oreo].[All]" dimensionUniqueName="[Tabla_master_rend 1]" displayFolder="" count="0" memberValueDatatype="5" unbalanced="0"/>
    <cacheHierarchy uniqueName="[Tabla_master_rend 1].[B_totales]" caption="B_totales" attribute="1" defaultMemberUniqueName="[Tabla_master_rend 1].[B_totales].[All]" allUniqueName="[Tabla_master_rend 1].[B_totales].[All]" dimensionUniqueName="[Tabla_master_rend 1]" displayFolder="" count="0" memberValueDatatype="20" unbalanced="0"/>
    <cacheHierarchy uniqueName="[Tabla_master_rend 1].[B_OK_uni]" caption="B_OK_uni" attribute="1" defaultMemberUniqueName="[Tabla_master_rend 1].[B_OK_uni].[All]" allUniqueName="[Tabla_master_rend 1].[B_OK_uni].[All]" dimensionUniqueName="[Tabla_master_rend 1]" displayFolder="" count="0" memberValueDatatype="20" unbalanced="0"/>
    <cacheHierarchy uniqueName="[Tabla_master_rend 1].[B_OK_kg]" caption="B_OK_kg" attribute="1" defaultMemberUniqueName="[Tabla_master_rend 1].[B_OK_kg].[All]" allUniqueName="[Tabla_master_rend 1].[B_OK_kg].[All]" dimensionUniqueName="[Tabla_master_rend 1]" displayFolder="" count="0" memberValueDatatype="20" unbalanced="0"/>
    <cacheHierarchy uniqueName="[Tabla_master_rend 1].[B_altas]" caption="B_altas" attribute="1" defaultMemberUniqueName="[Tabla_master_rend 1].[B_altas].[All]" allUniqueName="[Tabla_master_rend 1].[B_altas].[All]" dimensionUniqueName="[Tabla_master_rend 1]" displayFolder="" count="0" memberValueDatatype="20" unbalanced="0"/>
    <cacheHierarchy uniqueName="[Tabla_master_rend 1].[B_bajas]" caption="B_bajas" attribute="1" defaultMemberUniqueName="[Tabla_master_rend 1].[B_bajas].[All]" allUniqueName="[Tabla_master_rend 1].[B_bajas].[All]" dimensionUniqueName="[Tabla_master_rend 1]" displayFolder="" count="0" memberValueDatatype="20" unbalanced="0"/>
    <cacheHierarchy uniqueName="[Tabla_master_rend 1].[B_rotas]" caption="B_rotas" attribute="1" defaultMemberUniqueName="[Tabla_master_rend 1].[B_rotas].[All]" allUniqueName="[Tabla_master_rend 1].[B_rotas].[All]" dimensionUniqueName="[Tabla_master_rend 1]" displayFolder="" count="0" memberValueDatatype="20" unbalanced="0"/>
    <cacheHierarchy uniqueName="[Tabla_master_rend 1].[B_feas]" caption="B_feas" attribute="1" defaultMemberUniqueName="[Tabla_master_rend 1].[B_feas].[All]" allUniqueName="[Tabla_master_rend 1].[B_feas].[All]" dimensionUniqueName="[Tabla_master_rend 1]" displayFolder="" count="0" memberValueDatatype="20" unbalanced="0"/>
    <cacheHierarchy uniqueName="[Tabla_master_rend 1].[B_lab]" caption="B_lab" attribute="1" defaultMemberUniqueName="[Tabla_master_rend 1].[B_lab].[All]" allUniqueName="[Tabla_master_rend 1].[B_lab].[All]" dimensionUniqueName="[Tabla_master_rend 1]" displayFolder="" count="0" memberValueDatatype="20" unbalanced="0"/>
    <cacheHierarchy uniqueName="[Tabla_master_rend 1].[Kg_SalidaSecadero]" caption="Kg_SalidaSecadero" attribute="1" defaultMemberUniqueName="[Tabla_master_rend 1].[Kg_SalidaSecadero].[All]" allUniqueName="[Tabla_master_rend 1].[Kg_SalidaSecadero].[All]" dimensionUniqueName="[Tabla_master_rend 1]" displayFolder="" count="0" memberValueDatatype="20" unbalanced="0"/>
    <cacheHierarchy uniqueName="[Tabla_master_rend 1].[Kg_rebaba]" caption="Kg_rebaba" attribute="1" defaultMemberUniqueName="[Tabla_master_rend 1].[Kg_rebaba].[All]" allUniqueName="[Tabla_master_rend 1].[Kg_rebaba].[All]" dimensionUniqueName="[Tabla_master_rend 1]" displayFolder="" count="0" memberValueDatatype="20" unbalanced="0"/>
    <cacheHierarchy uniqueName="[Tabla_master_rend 1].[Kg_mer_env_real]" caption="Kg_mer_env_real" attribute="1" defaultMemberUniqueName="[Tabla_master_rend 1].[Kg_mer_env_real].[All]" allUniqueName="[Tabla_master_rend 1].[Kg_mer_env_real].[All]" dimensionUniqueName="[Tabla_master_rend 1]" displayFolder="" count="0" memberValueDatatype="5" unbalanced="0"/>
    <cacheHierarchy uniqueName="[Tabla_master_rend 1].[kg_mer_lab_real]" caption="kg_mer_lab_real" attribute="1" defaultMemberUniqueName="[Tabla_master_rend 1].[kg_mer_lab_real].[All]" allUniqueName="[Tabla_master_rend 1].[kg_mer_lab_real].[All]" dimensionUniqueName="[Tabla_master_rend 1]" displayFolder="" count="0" memberValueDatatype="5" unbalanced="0"/>
    <cacheHierarchy uniqueName="[Tabla_master_rend 1].[%Merma_env]" caption="%Merma_env" attribute="1" defaultMemberUniqueName="[Tabla_master_rend 1].[%Merma_env].[All]" allUniqueName="[Tabla_master_rend 1].[%Merma_env].[All]" dimensionUniqueName="[Tabla_master_rend 1]" displayFolder="" count="0" memberValueDatatype="5" unbalanced="0"/>
    <cacheHierarchy uniqueName="[Tabla_master_rend 1].[%Merma_env_corr]" caption="%Merma_env_corr" attribute="1" defaultMemberUniqueName="[Tabla_master_rend 1].[%Merma_env_corr].[All]" allUniqueName="[Tabla_master_rend 1].[%Merma_env_corr].[All]" dimensionUniqueName="[Tabla_master_rend 1]" displayFolder="" count="0" memberValueDatatype="5" unbalanced="0"/>
    <cacheHierarchy uniqueName="[Tabla_master_rend 1].[% merma TOT]" caption="% merma TOT" attribute="1" defaultMemberUniqueName="[Tabla_master_rend 1].[% merma TOT].[All]" allUniqueName="[Tabla_master_rend 1].[% merma TOT].[All]" dimensionUniqueName="[Tabla_master_rend 1]" displayFolder="" count="0" memberValueDatatype="5" unbalanced="0"/>
    <cacheHierarchy uniqueName="[Tabla_master_rend 1].[Merma_TOT]" caption="Merma_TOT" attribute="1" defaultMemberUniqueName="[Tabla_master_rend 1].[Merma_TOT].[All]" allUniqueName="[Tabla_master_rend 1].[Merma_TOT].[All]" dimensionUniqueName="[Tabla_master_rend 1]" displayFolder="" count="0" memberValueDatatype="5" unbalanced="0"/>
    <cacheHierarchy uniqueName="[Tabla_master_rend 1].[Kg_Env_Total]" caption="Kg_Env_Total" attribute="1" defaultMemberUniqueName="[Tabla_master_rend 1].[Kg_Env_Total].[All]" allUniqueName="[Tabla_master_rend 1].[Kg_Env_Total].[All]" dimensionUniqueName="[Tabla_master_rend 1]" displayFolder="" count="0" memberValueDatatype="5" unbalanced="0"/>
    <cacheHierarchy uniqueName="[Tabla_master_rend 1].[Coste_Leche_€]" caption="Coste_Leche_€" attribute="1" defaultMemberUniqueName="[Tabla_master_rend 1].[Coste_Leche_€].[All]" allUniqueName="[Tabla_master_rend 1].[Coste_Leche_€].[All]" dimensionUniqueName="[Tabla_master_rend 1]" displayFolder="" count="0" memberValueDatatype="5" unbalanced="0"/>
    <cacheHierarchy uniqueName="[Tabla_master_rend 1].[€/kg_MPQueso]" caption="€/kg_MPQueso" attribute="1" defaultMemberUniqueName="[Tabla_master_rend 1].[€/kg_MPQueso].[All]" allUniqueName="[Tabla_master_rend 1].[€/kg_MPQueso].[All]" dimensionUniqueName="[Tabla_master_rend 1]" displayFolder="" count="0" memberValueDatatype="5" unbalanced="0"/>
    <cacheHierarchy uniqueName="[Tabla_master_rend 1].[Merma_inic]" caption="Merma_inic" attribute="1" defaultMemberUniqueName="[Tabla_master_rend 1].[Merma_inic].[All]" allUniqueName="[Tabla_master_rend 1].[Merma_inic].[All]" dimensionUniqueName="[Tabla_master_rend 1]" displayFolder="" count="0" memberValueDatatype="5" unbalanced="0"/>
    <cacheHierarchy uniqueName="[Tabla_master_rend 1].[Recup_kg]" caption="Recup_kg" attribute="1" defaultMemberUniqueName="[Tabla_master_rend 1].[Recup_kg].[All]" allUniqueName="[Tabla_master_rend 1].[Recup_kg].[All]" dimensionUniqueName="[Tabla_master_rend 1]" displayFolder="" count="0" memberValueDatatype="5" unbalanced="0"/>
    <cacheHierarchy uniqueName="[Tabla_master_rend 1].[Recup_%]" caption="Recup_%" attribute="1" defaultMemberUniqueName="[Tabla_master_rend 1].[Recup_%].[All]" allUniqueName="[Tabla_master_rend 1].[Recup_%].[All]" dimensionUniqueName="[Tabla_master_rend 1]" displayFolder="" count="0" memberValueDatatype="5" unbalanced="0"/>
    <cacheHierarchy uniqueName="[Tabla_master_rend 1].[Merma_ppto fab]" caption="Merma_ppto fab" attribute="1" defaultMemberUniqueName="[Tabla_master_rend 1].[Merma_ppto fab].[All]" allUniqueName="[Tabla_master_rend 1].[Merma_ppto fab].[All]" dimensionUniqueName="[Tabla_master_rend 1]" displayFolder="" count="0" memberValueDatatype="5" unbalanced="0"/>
    <cacheHierarchy uniqueName="[Tabla_master_rend 1].[Merma_ppto oreo]" caption="Merma_ppto oreo" attribute="1" defaultMemberUniqueName="[Tabla_master_rend 1].[Merma_ppto oreo].[All]" allUniqueName="[Tabla_master_rend 1].[Merma_ppto oreo].[All]" dimensionUniqueName="[Tabla_master_rend 1]" displayFolder="" count="0" memberValueDatatype="5" unbalanced="0"/>
    <cacheHierarchy uniqueName="[Tabla_master_rend 1].[Merma_ppto Env/Enc]" caption="Merma_ppto Env/Enc" attribute="1" defaultMemberUniqueName="[Tabla_master_rend 1].[Merma_ppto Env/Enc].[All]" allUniqueName="[Tabla_master_rend 1].[Merma_ppto Env/Enc].[All]" dimensionUniqueName="[Tabla_master_rend 1]" displayFolder="" count="0" memberValueDatatype="5" unbalanced="0"/>
    <cacheHierarchy uniqueName="[Tabla_master_rend 1].[Merma_T ppto]" caption="Merma_T ppto" attribute="1" defaultMemberUniqueName="[Tabla_master_rend 1].[Merma_T ppto].[All]" allUniqueName="[Tabla_master_rend 1].[Merma_T ppto].[All]" dimensionUniqueName="[Tabla_master_rend 1]" displayFolder="" count="0" memberValueDatatype="5" unbalanced="0"/>
    <cacheHierarchy uniqueName="[Tabla_master_rend 1].[Merma_T ppto %]" caption="Merma_T ppto %" attribute="1" defaultMemberUniqueName="[Tabla_master_rend 1].[Merma_T ppto %].[All]" allUniqueName="[Tabla_master_rend 1].[Merma_T ppto %].[All]" dimensionUniqueName="[Tabla_master_rend 1]" displayFolder="" count="0" memberValueDatatype="5" unbalanced="0"/>
    <cacheHierarchy uniqueName="[Tabla_master_rend 1].[Merma_T real %]" caption="Merma_T real %" attribute="1" defaultMemberUniqueName="[Tabla_master_rend 1].[Merma_T real %].[All]" allUniqueName="[Tabla_master_rend 1].[Merma_T real %].[All]" dimensionUniqueName="[Tabla_master_rend 1]" displayFolder="" count="0" memberValueDatatype="5" unbalanced="0"/>
    <cacheHierarchy uniqueName="[Tabla_master_rend 1].[DIF R Vs PPTO]" caption="DIF R Vs PPTO" attribute="1" defaultMemberUniqueName="[Tabla_master_rend 1].[DIF R Vs PPTO].[All]" allUniqueName="[Tabla_master_rend 1].[DIF R Vs PPTO].[All]" dimensionUniqueName="[Tabla_master_rend 1]" displayFolder="" count="0" memberValueDatatype="5" unbalanced="0"/>
    <cacheHierarchy uniqueName="[Tabla_master_rend 1].[IMPACTO]" caption="IMPACTO" attribute="1" defaultMemberUniqueName="[Tabla_master_rend 1].[IMPACTO].[All]" allUniqueName="[Tabla_master_rend 1].[IMPACTO].[All]" dimensionUniqueName="[Tabla_master_rend 1]" displayFolder="" count="0" memberValueDatatype="5" unbalanced="0"/>
    <cacheHierarchy uniqueName="[Tabla_master_rend 1].[IMPACTO_vs_PPTO]" caption="IMPACTO_vs_PPTO" attribute="1" defaultMemberUniqueName="[Tabla_master_rend 1].[IMPACTO_vs_PPTO].[All]" allUniqueName="[Tabla_master_rend 1].[IMPACTO_vs_PPTO].[All]" dimensionUniqueName="[Tabla_master_rend 1]" displayFolder="" count="0" memberValueDatatype="5" unbalanced="0"/>
    <cacheHierarchy uniqueName="[Tabla_Precio_Venta].[Fecha]" caption="Fecha" attribute="1" defaultMemberUniqueName="[Tabla_Precio_Venta].[Fecha].[All]" allUniqueName="[Tabla_Precio_Venta].[Fecha].[All]" dimensionUniqueName="[Tabla_Precio_Venta]" displayFolder="" count="0" memberValueDatatype="130" unbalanced="0"/>
    <cacheHierarchy uniqueName="[Tabla_Precio_Venta].[Producto]" caption="Producto" attribute="1" defaultMemberUniqueName="[Tabla_Precio_Venta].[Producto].[All]" allUniqueName="[Tabla_Precio_Venta].[Producto].[All]" dimensionUniqueName="[Tabla_Precio_Venta]" displayFolder="" count="0" memberValueDatatype="130" unbalanced="0"/>
    <cacheHierarchy uniqueName="[Tabla_Precio_Venta].[Ventas (kg)]" caption="Ventas (kg)" attribute="1" defaultMemberUniqueName="[Tabla_Precio_Venta].[Ventas (kg)].[All]" allUniqueName="[Tabla_Precio_Venta].[Ventas (kg)].[All]" dimensionUniqueName="[Tabla_Precio_Venta]" displayFolder="" count="0" memberValueDatatype="20" unbalanced="0"/>
    <cacheHierarchy uniqueName="[Tabla_Precio_Venta].[PV_eur_kg]" caption="PV_eur_kg" attribute="1" defaultMemberUniqueName="[Tabla_Precio_Venta].[PV_eur_kg].[All]" allUniqueName="[Tabla_Precio_Venta].[PV_eur_kg].[All]" dimensionUniqueName="[Tabla_Precio_Venta]" displayFolder="" count="0" memberValueDatatype="5" unbalanced="0"/>
    <cacheHierarchy uniqueName="[tbl_DimFecha].[Fecha]" caption="Fecha" attribute="1" time="1" defaultMemberUniqueName="[tbl_DimFecha].[Fecha].[All]" allUniqueName="[tbl_DimFecha].[Fecha].[All]" dimensionUniqueName="[tbl_DimFecha]" displayFolder="" count="0" memberValueDatatype="7" unbalanced="0"/>
    <cacheHierarchy uniqueName="[tbl_DimFecha].[Año]" caption="Año" attribute="1" defaultMemberUniqueName="[tbl_DimFecha].[Año].[All]" allUniqueName="[tbl_DimFecha].[Año].[All]" dimensionUniqueName="[tbl_DimFecha]" displayFolder="" count="2" memberValueDatatype="20" unbalanced="0">
      <fieldsUsage count="2">
        <fieldUsage x="-1"/>
        <fieldUsage x="3"/>
      </fieldsUsage>
    </cacheHierarchy>
    <cacheHierarchy uniqueName="[tbl_DimFecha].[MesN]" caption="MesN" attribute="1" defaultMemberUniqueName="[tbl_DimFecha].[MesN].[All]" allUniqueName="[tbl_DimFecha].[MesN].[All]" dimensionUniqueName="[tbl_DimFecha]" displayFolder="" count="0" memberValueDatatype="20" unbalanced="0"/>
    <cacheHierarchy uniqueName="[tbl_DimFecha].[Mes]" caption="Mes" attribute="1" defaultMemberUniqueName="[tbl_DimFecha].[Mes].[All]" allUniqueName="[tbl_DimFecha].[Mes].[All]" dimensionUniqueName="[tbl_DimFecha]" displayFolder="" count="0" memberValueDatatype="130" unbalanced="0"/>
    <cacheHierarchy uniqueName="[tbl_DimFecha].[AñoMes]" caption="AñoMes" attribute="1" defaultMemberUniqueName="[tbl_DimFecha].[AñoMes].[All]" allUniqueName="[tbl_DimFecha].[AñoMes].[All]" dimensionUniqueName="[tbl_DimFecha]" displayFolder="" count="2" memberValueDatatype="130" unbalanced="0"/>
    <cacheHierarchy uniqueName="[tbl_DimFecha].[SemanaISO]" caption="SemanaISO" attribute="1" defaultMemberUniqueName="[tbl_DimFecha].[SemanaISO].[All]" allUniqueName="[tbl_DimFecha].[SemanaISO].[All]" dimensionUniqueName="[tbl_DimFecha]" displayFolder="" count="0" memberValueDatatype="20" unbalanced="0"/>
    <cacheHierarchy uniqueName="[tbl_DimFecha].[AñoSemana]" caption="AñoSemana" attribute="1" defaultMemberUniqueName="[tbl_DimFecha].[AñoSemana].[All]" allUniqueName="[tbl_DimFecha].[AñoSemana].[All]" dimensionUniqueName="[tbl_DimFecha]" displayFolder="" count="0" memberValueDatatype="130" unbalanced="0"/>
    <cacheHierarchy uniqueName="[tbl_DimFecha].[DiaSemanaN]" caption="DiaSemanaN" attribute="1" defaultMemberUniqueName="[tbl_DimFecha].[DiaSemanaN].[All]" allUniqueName="[tbl_DimFecha].[DiaSemanaN].[All]" dimensionUniqueName="[tbl_DimFecha]" displayFolder="" count="0" memberValueDatatype="20" unbalanced="0"/>
    <cacheHierarchy uniqueName="[tbl_DimFecha].[DiaSemana]" caption="DiaSemana" attribute="1" defaultMemberUniqueName="[tbl_DimFecha].[DiaSemana].[All]" allUniqueName="[tbl_DimFecha].[DiaSemana].[All]" dimensionUniqueName="[tbl_DimFecha]" displayFolder="" count="0" memberValueDatatype="130" unbalanced="0"/>
    <cacheHierarchy uniqueName="[tbl_DimFecha].[Mes_Orden]" caption="Mes_Orden" attribute="1" defaultMemberUniqueName="[tbl_DimFecha].[Mes_Orden].[All]" allUniqueName="[tbl_DimFecha].[Mes_Orden].[All]" dimensionUniqueName="[tbl_DimFecha]" displayFolder="" count="0" memberValueDatatype="130" unbalanced="0"/>
    <cacheHierarchy uniqueName="[tbl_DimProducto].[Producto]" caption="Producto" attribute="1" defaultMemberUniqueName="[tbl_DimProducto].[Producto].[All]" allUniqueName="[tbl_DimProducto].[Producto].[All]" dimensionUniqueName="[tbl_DimProducto]" displayFolder="" count="0" memberValueDatatype="130" unbalanced="0"/>
    <cacheHierarchy uniqueName="[tbl_DimProducto].[Producto_id]" caption="Producto_id" attribute="1" defaultMemberUniqueName="[tbl_DimProducto].[Producto_id].[All]" allUniqueName="[tbl_DimProducto].[Producto_id].[All]" dimensionUniqueName="[tbl_DimProducto]" displayFolder="" count="0" memberValueDatatype="130" unbalanced="0"/>
    <cacheHierarchy uniqueName="[tbl_DimProducto].[Categoría]" caption="Categoría" attribute="1" defaultMemberUniqueName="[tbl_DimProducto].[Categoría].[All]" allUniqueName="[tbl_DimProducto].[Categoría].[All]" dimensionUniqueName="[tbl_DimProducto]" displayFolder="" count="2" memberValueDatatype="130" unbalanced="0"/>
    <cacheHierarchy uniqueName="[tbl_DimProducto].[PesoBarra_kg]" caption="PesoBarra_kg" attribute="1" defaultMemberUniqueName="[tbl_DimProducto].[PesoBarra_kg].[All]" allUniqueName="[tbl_DimProducto].[PesoBarra_kg].[All]" dimensionUniqueName="[tbl_DimProducto]" displayFolder="" count="0" memberValueDatatype="5" unbalanced="0"/>
    <cacheHierarchy uniqueName="[tbl_PrecioLeche].[Año]" caption="Año" attribute="1" defaultMemberUniqueName="[tbl_PrecioLeche].[Año].[All]" allUniqueName="[tbl_PrecioLeche].[Año].[All]" dimensionUniqueName="[tbl_PrecioLeche]" displayFolder="" count="0" memberValueDatatype="20" unbalanced="0"/>
    <cacheHierarchy uniqueName="[tbl_PrecioLeche].[AñoMes]" caption="AñoMes" attribute="1" defaultMemberUniqueName="[tbl_PrecioLeche].[AñoMes].[All]" allUniqueName="[tbl_PrecioLeche].[AñoMes].[All]" dimensionUniqueName="[tbl_PrecioLeche]" displayFolder="" count="0" memberValueDatatype="130" unbalanced="0"/>
    <cacheHierarchy uniqueName="[tbl_PrecioLeche].[Mes]" caption="Mes" attribute="1" defaultMemberUniqueName="[tbl_PrecioLeche].[Mes].[All]" allUniqueName="[tbl_PrecioLeche].[Mes].[All]" dimensionUniqueName="[tbl_PrecioLeche]" displayFolder="" count="0" memberValueDatatype="130" unbalanced="0"/>
    <cacheHierarchy uniqueName="[tbl_PrecioLeche].[Tipo_Leche]" caption="Tipo_Leche" attribute="1" defaultMemberUniqueName="[tbl_PrecioLeche].[Tipo_Leche].[All]" allUniqueName="[tbl_PrecioLeche].[Tipo_Leche].[All]" dimensionUniqueName="[tbl_PrecioLeche]" displayFolder="" count="0" memberValueDatatype="130" unbalanced="0"/>
    <cacheHierarchy uniqueName="[tbl_PrecioLeche].[Precio_base]" caption="Precio_base" attribute="1" defaultMemberUniqueName="[tbl_PrecioLeche].[Precio_base].[All]" allUniqueName="[tbl_PrecioLeche].[Precio_base].[All]" dimensionUniqueName="[tbl_PrecioLeche]" displayFolder="" count="0" memberValueDatatype="20" unbalanced="0"/>
    <cacheHierarchy uniqueName="[tbl_PrecioLeche].[Calidades]" caption="Calidades" attribute="1" defaultMemberUniqueName="[tbl_PrecioLeche].[Calidades].[All]" allUniqueName="[tbl_PrecioLeche].[Calidades].[All]" dimensionUniqueName="[tbl_PrecioLeche]" displayFolder="" count="0" memberValueDatatype="20" unbalanced="0"/>
    <cacheHierarchy uniqueName="[tbl_PrecioLeche].[Transporte]" caption="Transporte" attribute="1" defaultMemberUniqueName="[tbl_PrecioLeche].[Transporte].[All]" allUniqueName="[tbl_PrecioLeche].[Transporte].[All]" dimensionUniqueName="[tbl_PrecioLeche]" displayFolder="" count="0" memberValueDatatype="20" unbalanced="0"/>
    <cacheHierarchy uniqueName="[tbl_PrecioLeche].[PMV_eur_L]" caption="PMV_eur_L" attribute="1" defaultMemberUniqueName="[tbl_PrecioLeche].[PMV_eur_L].[All]" allUniqueName="[tbl_PrecioLeche].[PMV_eur_L].[All]" dimensionUniqueName="[tbl_PrecioLeche]" displayFolder="" count="0" memberValueDatatype="5" unbalanced="0"/>
    <cacheHierarchy uniqueName="[Tabla_master_rend].[Fecha (índice de meses)]" caption="Fecha (índice de meses)" attribute="1" defaultMemberUniqueName="[Tabla_master_rend].[Fecha (índice de meses)].[All]" allUniqueName="[Tabla_master_rend].[Fecha (índice de meses)].[All]" dimensionUniqueName="[Tabla_master_rend]" displayFolder="" count="0" memberValueDatatype="20" unbalanced="0" hidden="1"/>
    <cacheHierarchy uniqueName="[Measures].[Litros_Leche]" caption="Litros_Leche" measure="1" displayFolder="" measureGroup="Tabla_master_rend" count="0"/>
    <cacheHierarchy uniqueName="[Measures].[kg_Blancos]" caption="kg_Blancos" measure="1" displayFolder="" measureGroup="Tabla_master_rend" count="0"/>
    <cacheHierarchy uniqueName="[Measures].[Kg_secadero]" caption="Kg_secadero" measure="1" displayFolder="" measureGroup="Tabla_master_rend" count="0"/>
    <cacheHierarchy uniqueName="[Measures].[Merma_TOT_kg]" caption="Merma_TOT_kg" measure="1" displayFolder="" measureGroup="Tabla_master_rend" count="0"/>
    <cacheHierarchy uniqueName="[Measures].[Merma_env_kg]" caption="Merma_env_kg" measure="1" displayFolder="" measureGroup="Tabla_master_rend" count="0"/>
    <cacheHierarchy uniqueName="[Measures].[Impacto_EUR]" caption="Impacto_EUR" measure="1" displayFolder="" measureGroup="Tabla_master_rend" count="0"/>
    <cacheHierarchy uniqueName="[Measures].[RDTO_Blanco_kg]" caption="RDTO_Blanco_kg" measure="1" displayFolder="" measureGroup="Tabla_master_rend" count="0"/>
    <cacheHierarchy uniqueName="[Measures].[Merma_env_pct]" caption="Merma_env_pct" measure="1" displayFolder="" measureGroup="Tabla_master_rend" count="0"/>
    <cacheHierarchy uniqueName="[Measures].[B_totales_u]" caption="B_totales_u" measure="1" displayFolder="" measureGroup="Tabla_master_rend" count="0"/>
    <cacheHierarchy uniqueName="[Measures].[Feas_pct]" caption="Feas_pct" measure="1" displayFolder="" measureGroup="Tabla_master_rend" count="0"/>
    <cacheHierarchy uniqueName="[Measures].[Bajas_pct]" caption="Bajas_pct" measure="1" displayFolder="" measureGroup="Tabla_master_rend" count="0"/>
    <cacheHierarchy uniqueName="[Measures].[Rotas_pct]" caption="Rotas_pct" measure="1" displayFolder="" measureGroup="Tabla_master_rend" count="0"/>
    <cacheHierarchy uniqueName="[Measures].[Recup_kg_sum]" caption="Recup_kg_sum" measure="1" displayFolder="" measureGroup="Tabla_master_rend" count="0"/>
    <cacheHierarchy uniqueName="[Measures].[Merma_inic_kg]" caption="Merma_inic_kg" measure="1" displayFolder="" measureGroup="Tabla_master_rend" count="0"/>
    <cacheHierarchy uniqueName="[Measures].[Recup_pct]" caption="Recup_pct" measure="1" displayFolder="" measureGroup="Tabla_master_rend" count="0"/>
    <cacheHierarchy uniqueName="[Measures].[Merma_env_corregida_kg]" caption="Merma_env_corregida_kg" measure="1" displayFolder="" measureGroup="Tabla_master_rend" count="0"/>
    <cacheHierarchy uniqueName="[Measures].[Merma_env_corregida_pct]" caption="Merma_env_corregida_pct" measure="1" displayFolder="" measureGroup="Tabla_master_rend" count="0"/>
    <cacheHierarchy uniqueName="[Measures].[Merma_TOT_pct]" caption="Merma_TOT_pct" measure="1" displayFolder="" measureGroup="Tabla_master_rend" count="0"/>
    <cacheHierarchy uniqueName="[Measures].[Labo_pct]" caption="Labo_pct" measure="1" displayFolder="" measureGroup="Tabla_master_rend" count="0"/>
    <cacheHierarchy uniqueName="[Measures].[Recup_MG_pct_pond]" caption="Recup_MG_pct_pond" measure="1" displayFolder="" measureGroup="Tabla_master_rend" count="0"/>
    <cacheHierarchy uniqueName="[Measures].[Recup_PT_pct_pond]" caption="Recup_PT_pct_pond" measure="1" displayFolder="" measureGroup="Tabla_master_rend" count="0"/>
    <cacheHierarchy uniqueName="[Measures].[Suero_vs_Leche]" caption="Suero_vs_Leche" measure="1" displayFolder="" measureGroup="Tabla_master_rend" count="0"/>
    <cacheHierarchy uniqueName="[Measures].[MG_suero_pct_pond]" caption="MG_suero_pct_pond" measure="1" displayFolder="" measureGroup="Tabla_master_rend" count="0"/>
    <cacheHierarchy uniqueName="[Measures].[PT_suero_pct_pond]" caption="PT_suero_pct_pond" measure="1" displayFolder="" measureGroup="Tabla_master_rend" count="0"/>
    <cacheHierarchy uniqueName="[Measures].[Nata_leche_L]" caption="Nata_leche_L" measure="1" displayFolder="" measureGroup="Tabla_master_rend" count="0"/>
    <cacheHierarchy uniqueName="[Measures].[Nata_suero_L]" caption="Nata_suero_L" measure="1" displayFolder="" measureGroup="Tabla_master_rend" count="0"/>
    <cacheHierarchy uniqueName="[Measures].[Nata_suero_pct]" caption="Nata_suero_pct" measure="1" displayFolder="" measureGroup="Tabla_master_rend" count="0"/>
    <cacheHierarchy uniqueName="[Measures].[Valor_Nata_EUR]" caption="Valor_Nata_EUR" measure="1" displayFolder="" measureGroup="Tabla_master_rend" count="0"/>
    <cacheHierarchy uniqueName="[Measures].[Nata_Total_L]" caption="Nata_Total_L" measure="1" displayFolder="" measureGroup="Tabla_master_rend" count="0"/>
    <cacheHierarchy uniqueName="[Measures].[Solidos_leche_kg]" caption="Solidos_leche_kg" measure="1" displayFolder="" measureGroup="Tabla_master_rend" count="0"/>
    <cacheHierarchy uniqueName="[Measures].[Solidos_en_queso_kg]" caption="Solidos_en_queso_kg" measure="1" displayFolder="" measureGroup="Tabla_master_rend" count="0"/>
    <cacheHierarchy uniqueName="[Measures].[Recup_solidos_a_queso_pct]" caption="Recup_solidos_a_queso_pct" measure="1" displayFolder="" measureGroup="Tabla_master_rend" count="0"/>
    <cacheHierarchy uniqueName="[Measures].[Suero_kg_aprox]" caption="Suero_kg_aprox" measure="1" displayFolder="" measureGroup="Tabla_master_rend" count="0"/>
    <cacheHierarchy uniqueName="[Measures].[Solidos_principales_suero_kg]" caption="Solidos_principales_suero_kg" measure="1" displayFolder="" measureGroup="Tabla_master_rend" count="0"/>
    <cacheHierarchy uniqueName="[Measures].[Solidos_principales_suero_pct_sobre_leche]" caption="Solidos_principales_suero_pct_sobre_leche" measure="1" displayFolder="" measureGroup="Tabla_master_rend" count="0"/>
    <cacheHierarchy uniqueName="[Measures].[Solidos_gap_kg]" caption="Solidos_gap_kg" measure="1" displayFolder="" measureGroup="Tabla_master_rend" count="0"/>
    <cacheHierarchy uniqueName="[Measures].[MG_a_nata_leche_kg]" caption="MG_a_nata_leche_kg" measure="1" displayFolder="" measureGroup="Tabla_master_rend" count="0"/>
    <cacheHierarchy uniqueName="[Measures].[MG_a_nata_leche_pct_sobre_solidos]" caption="MG_a_nata_leche_pct_sobre_solidos" measure="1" displayFolder="" measureGroup="Tabla_master_rend" count="0"/>
    <cacheHierarchy uniqueName="[Measures].[Solidos_leche_FP_kg]" caption="Solidos_leche_FP_kg" measure="1" displayFolder="" measureGroup="Tabla_master_rend" count="0"/>
    <cacheHierarchy uniqueName="[Measures].[Solidos_queso_FP_kg]" caption="Solidos_queso_FP_kg" measure="1" displayFolder="" measureGroup="Tabla_master_rend" count="0"/>
    <cacheHierarchy uniqueName="[Measures].[Solidos_suero_FP_kg]" caption="Solidos_suero_FP_kg" measure="1" displayFolder="" measureGroup="Tabla_master_rend" count="0"/>
    <cacheHierarchy uniqueName="[Measures].[Solidos_GAP_des_pct]" caption="Solidos_GAP_des_pct" measure="1" displayFolder="" measureGroup="Tabla_master_rend" count="0"/>
    <cacheHierarchy uniqueName="[Measures].[RDTO_neto_pond]" caption="RDTO_neto_pond" measure="1" displayFolder="" measureGroup="Tabla_master_rend" count="0"/>
    <cacheHierarchy uniqueName="[Measures].[Recup_FP_queso_pct]" caption="Recup_FP_queso_pct" measure="1" displayFolder="" measureGroup="Tabla_master_rend" count="0"/>
    <cacheHierarchy uniqueName="[Measures].[IMPACTO_VS__PPTO]" caption="IMPACTO_VS__PPTO" measure="1" displayFolder="" measureGroup="Tabla_master_rend" count="0"/>
    <cacheHierarchy uniqueName="[Measures].[€/kg_MP_Queso]" caption="€/kg_MP_Queso" measure="1" displayFolder="" measureGroup="Tabla_master_rend" count="0"/>
    <cacheHierarchy uniqueName="[Measures].[Merma_TOT_%_blanco_a_vendible]" caption="Merma_TOT_%_blanco_a_vendible" measure="1" displayFolder="" measureGroup="Tabla_master_rend" count="0"/>
    <cacheHierarchy uniqueName="[Measures].[Merma_TOT_kg_blanco_a_vendible :]" caption="Merma_TOT_kg_blanco_a_vendible :" measure="1" displayFolder="" measureGroup="Tabla_master_rend" count="0"/>
    <cacheHierarchy uniqueName="[Measures].[Gap_solidos_pct]" caption="Gap_solidos_pct" measure="1" displayFolder="" measureGroup="Tabla_master_rend" count="0"/>
    <cacheHierarchy uniqueName="[Measures].[Kg_saladero_tons]" caption="Kg_saladero_tons" measure="1" displayFolder="" measureGroup="Tabla_master_rend" count="0"/>
    <cacheHierarchy uniqueName="[Measures].[Suero_L]" caption="Suero_L" measure="1" displayFolder="" measureGroup="Tabla_master_rend" count="0"/>
    <cacheHierarchy uniqueName="[Measures].[%_Merma_Finos]" caption="%_Merma_Finos" measure="1" displayFolder="" measureGroup="Tabla_master_rend" count="0"/>
    <cacheHierarchy uniqueName="[Measures].[%_Merma_Llenadora]" caption="%_Merma_Llenadora" measure="1" displayFolder="" measureGroup="Tabla_master_rend" count="0"/>
    <cacheHierarchy uniqueName="[Measures].[%_Merma_Desm]" caption="%_Merma_Desm" measure="1" displayFolder="" measureGroup="Tabla_master_rend" count="0"/>
    <cacheHierarchy uniqueName="[Measures].[%_Merma_oreo]" caption="%_Merma_oreo" measure="1" displayFolder="" measureGroup="Tabla_master_rend" count="0"/>
    <cacheHierarchy uniqueName="[Measures].[__XL_Count tbl_DimProducto]" caption="__XL_Count tbl_DimProducto" measure="1" displayFolder="" measureGroup="tbl_DimProducto" count="0" hidden="1"/>
    <cacheHierarchy uniqueName="[Measures].[__XL_Count tbl_FactRendFecha]" caption="__XL_Count tbl_FactRendFecha" measure="1" displayFolder="" measureGroup="tbl_DimFecha" count="0" hidden="1"/>
    <cacheHierarchy uniqueName="[Measures].[__XL_Count Tabla_master_rend]" caption="__XL_Count Tabla_master_rend" measure="1" displayFolder="" measureGroup="Tabla_master_rend" count="0" hidden="1"/>
    <cacheHierarchy uniqueName="[Measures].[__XL_Count REND_TARGET]" caption="__XL_Count REND_TARGET" measure="1" displayFolder="" measureGroup="REND_TARGET" count="0" hidden="1"/>
    <cacheHierarchy uniqueName="[Measures].[__XL_Count Tabla_master_rend 1]" caption="__XL_Count Tabla_master_rend 1" measure="1" displayFolder="" measureGroup="Tabla_master_rend 1" count="0" hidden="1"/>
    <cacheHierarchy uniqueName="[Measures].[__XL_Count Tabla_Precio_Venta]" caption="__XL_Count Tabla_Precio_Venta" measure="1" displayFolder="" measureGroup="Tabla_Precio_Venta" count="0" hidden="1"/>
    <cacheHierarchy uniqueName="[Measures].[__XL_Count tbl_PrecioLeche]" caption="__XL_Count tbl_PrecioLeche" measure="1" displayFolder="" measureGroup="tbl_PrecioLeche" count="0" hidden="1"/>
    <cacheHierarchy uniqueName="[Measures].[__XL_Count Tabla_Contabilidad]" caption="__XL_Count Tabla_Contabilidad" measure="1" displayFolder="" measureGroup="Tabla_Contabilidad" count="0" hidden="1"/>
    <cacheHierarchy uniqueName="[Measures].[__No measures defined]" caption="__No measures defined" measure="1" displayFolder="" count="0" hidden="1"/>
    <cacheHierarchy uniqueName="[Measures].[Sum of Rend_Ntarget]" caption="Sum of Rend_Ntarget" measure="1" displayFolder="" measureGroup="REND_TARG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imum of Rend_Ntarget]" caption="Maximum of Rend_Ntarget" measure="1" displayFolder="" measureGroup="REND_TARG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REND_TARGET]" caption="Suma de REND_TARGET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Promedio de REND_TARGET]" caption="Promedio de REND_TARGET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RDTO_NETO]" caption="Suma de RDTO_NETO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Kg_Finos]" caption="Suma de Kg_Finos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Kg_Llenadora]" caption="Suma de Kg_Llenadora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Kg_Desmoldeo]" caption="Suma de Kg_Desmoldeo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de Merma_fab]" caption="Suma de Merma_fab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Recuento de L_Agua]" caption="Recuento de L_Agua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de %Merma_env_corr]" caption="Suma de %Merma_env_corr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Promedio de %Merma_env_corr]" caption="Promedio de %Merma_env_corr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a de Gastos Estructura (€∕mes)]" caption="Suma de Gastos Estructura (€∕mes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Gastos Estructura (€∕mes)]" caption="Promedio de Gastos Estructura (€∕mes)" measure="1" displayFolder="" measureGroup="Tabla_Contabilida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BITDA  (M€)]" caption="Suma de EBITDA  (M€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BITDA  (M€)]" caption="Promedio de EBITDA  (M€)" measure="1" displayFolder="" measureGroup="Tabla_Contabilida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9">
    <dimension measure="1" name="Measures" uniqueName="[Measures]" caption="Measures"/>
    <dimension name="REND_TARGET" uniqueName="[REND_TARGET]" caption="REND_TARGET"/>
    <dimension name="Tabla_Contabilidad" uniqueName="[Tabla_Contabilidad]" caption="Tabla_Contabilidad"/>
    <dimension name="Tabla_master_rend" uniqueName="[Tabla_master_rend]" caption="Tabla_master_rend"/>
    <dimension name="Tabla_master_rend 1" uniqueName="[Tabla_master_rend 1]" caption="Tabla_master_rend 1"/>
    <dimension name="Tabla_Precio_Venta" uniqueName="[Tabla_Precio_Venta]" caption="Tabla_Precio_Venta"/>
    <dimension name="tbl_DimFecha" uniqueName="[tbl_DimFecha]" caption="tbl_DimFecha"/>
    <dimension name="tbl_DimProducto" uniqueName="[tbl_DimProducto]" caption="tbl_DimProducto"/>
    <dimension name="tbl_PrecioLeche" uniqueName="[tbl_PrecioLeche]" caption="tbl_PrecioLeche"/>
  </dimensions>
  <measureGroups count="8">
    <measureGroup name="REND_TARGET" caption="REND_TARGET"/>
    <measureGroup name="Tabla_Contabilidad" caption="Tabla_Contabilidad"/>
    <measureGroup name="Tabla_master_rend" caption="Tabla_master_rend"/>
    <measureGroup name="Tabla_master_rend 1" caption="Tabla_master_rend 1"/>
    <measureGroup name="Tabla_Precio_Venta" caption="Tabla_Precio_Venta"/>
    <measureGroup name="tbl_DimFecha" caption="tbl_DimFecha"/>
    <measureGroup name="tbl_DimProducto" caption="tbl_DimProducto"/>
    <measureGroup name="tbl_PrecioLeche" caption="tbl_PrecioLeche"/>
  </measureGroups>
  <maps count="13">
    <map measureGroup="0" dimension="1"/>
    <map measureGroup="0" dimension="7"/>
    <map measureGroup="1" dimension="2"/>
    <map measureGroup="2" dimension="3"/>
    <map measureGroup="2" dimension="6"/>
    <map measureGroup="2" dimension="7"/>
    <map measureGroup="3" dimension="4"/>
    <map measureGroup="4" dimension="5"/>
    <map measureGroup="4" dimension="6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os Colasante" refreshedDate="46134.996699305557" backgroundQuery="1" createdVersion="8" refreshedVersion="8" minRefreshableVersion="3" recordCount="0" supportSubquery="1" supportAdvancedDrill="1" xr:uid="{AAF0FE77-CF81-4558-ADC9-CE8C588AC9A0}">
  <cacheSource type="external" connectionId="4"/>
  <cacheFields count="13">
    <cacheField name="[tbl_DimFecha].[AñoMes].[AñoMes]" caption="AñoMes" numFmtId="0" hierarchy="189" level="1">
      <sharedItems count="1">
        <s v="2026-01"/>
      </sharedItems>
    </cacheField>
    <cacheField name="[Measures].[Recup_pct]" caption="Recup_pct" numFmtId="0" hierarchy="222" level="32767"/>
    <cacheField name="[Measures].[Merma_TOT_pct]" caption="Merma_TOT_pct" numFmtId="0" hierarchy="225" level="32767"/>
    <cacheField name="[Measures].[Litros_Leche]" caption="Litros_Leche" numFmtId="0" hierarchy="208" level="32767"/>
    <cacheField name="[Measures].[kg_Blancos]" caption="kg_Blancos" numFmtId="0" hierarchy="209" level="32767"/>
    <cacheField name="[Measures].[Kg_secadero]" caption="Kg_secadero" numFmtId="0" hierarchy="210" level="32767"/>
    <cacheField name="[Measures].[RDTO_neto_pond]" caption="RDTO_neto_pond" numFmtId="0" hierarchy="250" level="32767"/>
    <cacheField name="[Measures].[Recup_FP_queso_pct]" caption="Recup_FP_queso_pct" numFmtId="0" hierarchy="251" level="32767"/>
    <cacheField name="[Measures].[Merma_env_corregida_pct]" caption="Merma_env_corregida_pct" numFmtId="0" hierarchy="224" level="32767"/>
    <cacheField name="[Measures].[Impacto_EUR]" caption="Impacto_EUR" numFmtId="0" hierarchy="213" level="32767"/>
    <cacheField name="[Measures].[€/kg_MP_Queso]" caption="€/kg_MP_Queso" numFmtId="0" hierarchy="253" level="32767"/>
    <cacheField name="[Tabla_master_rend].[Producto].[Producto]" caption="Producto" numFmtId="0" hierarchy="17" level="1">
      <sharedItems count="5">
        <s v="CABRA"/>
        <s v="CREMOSO"/>
        <s v="EDAM_F"/>
        <s v="GOUDA_F"/>
        <s v="OVEJA"/>
      </sharedItems>
    </cacheField>
    <cacheField name="[tbl_DimFecha].[Año].[Año]" caption="Año" numFmtId="0" hierarchy="186" level="1">
      <sharedItems containsSemiMixedTypes="0" containsNonDate="0" containsString="0"/>
    </cacheField>
  </cacheFields>
  <cacheHierarchies count="288">
    <cacheHierarchy uniqueName="[REND_TARGET].[Producto]" caption="Producto" attribute="1" defaultMemberUniqueName="[REND_TARGET].[Producto].[All]" allUniqueName="[REND_TARGET].[Producto].[All]" dimensionUniqueName="[REND_TARGET]" displayFolder="" count="0" memberValueDatatype="130" unbalanced="0"/>
    <cacheHierarchy uniqueName="[REND_TARGET].[Rendimiento Blanco]" caption="Rendimiento Blanco" attribute="1" defaultMemberUniqueName="[REND_TARGET].[Rendimiento Blanco].[All]" allUniqueName="[REND_TARGET].[Rendimiento Blanco].[All]" dimensionUniqueName="[REND_TARGET]" displayFolder="" count="0" memberValueDatatype="5" unbalanced="0"/>
    <cacheHierarchy uniqueName="[REND_TARGET].[Merma Fabr]" caption="Merma Fabr" attribute="1" defaultMemberUniqueName="[REND_TARGET].[Merma Fabr].[All]" allUniqueName="[REND_TARGET].[Merma Fabr].[All]" dimensionUniqueName="[REND_TARGET]" displayFolder="" count="0" memberValueDatatype="5" unbalanced="0"/>
    <cacheHierarchy uniqueName="[REND_TARGET].[Merma Oreo]" caption="Merma Oreo" attribute="1" defaultMemberUniqueName="[REND_TARGET].[Merma Oreo].[All]" allUniqueName="[REND_TARGET].[Merma Oreo].[All]" dimensionUniqueName="[REND_TARGET]" displayFolder="" count="0" memberValueDatatype="5" unbalanced="0"/>
    <cacheHierarchy uniqueName="[REND_TARGET].[Merma E/E]" caption="Merma E/E" attribute="1" defaultMemberUniqueName="[REND_TARGET].[Merma E/E].[All]" allUniqueName="[REND_TARGET].[Merma E/E].[All]" dimensionUniqueName="[REND_TARGET]" displayFolder="" count="0" memberValueDatatype="5" unbalanced="0"/>
    <cacheHierarchy uniqueName="[REND_TARGET].[Rend_Ntarget]" caption="Rend_Ntarget" attribute="1" defaultMemberUniqueName="[REND_TARGET].[Rend_Ntarget].[All]" allUniqueName="[REND_TARGET].[Rend_Ntarget].[All]" dimensionUniqueName="[REND_TARGET]" displayFolder="" count="0" memberValueDatatype="5" unbalanced="0"/>
    <cacheHierarchy uniqueName="[Tabla_Contabilidad].[Año]" caption="Año" attribute="1" defaultMemberUniqueName="[Tabla_Contabilidad].[Año].[All]" allUniqueName="[Tabla_Contabilidad].[Año].[All]" dimensionUniqueName="[Tabla_Contabilidad]" displayFolder="" count="0" memberValueDatatype="20" unbalanced="0"/>
    <cacheHierarchy uniqueName="[Tabla_Contabilidad].[AñoMes]" caption="AñoMes" attribute="1" defaultMemberUniqueName="[Tabla_Contabilidad].[AñoMes].[All]" allUniqueName="[Tabla_Contabilidad].[AñoMes].[All]" dimensionUniqueName="[Tabla_Contabilidad]" displayFolder="" count="0" memberValueDatatype="130" unbalanced="0"/>
    <cacheHierarchy uniqueName="[Tabla_Contabilidad].[Mes]" caption="Mes" attribute="1" defaultMemberUniqueName="[Tabla_Contabilidad].[Mes].[All]" allUniqueName="[Tabla_Contabilidad].[Mes].[All]" dimensionUniqueName="[Tabla_Contabilidad]" displayFolder="" count="0" memberValueDatatype="130" unbalanced="0"/>
    <cacheHierarchy uniqueName="[Tabla_Contabilidad].[Gastos Estructura (€∕mes)]" caption="Gastos Estructura (€∕mes)" attribute="1" defaultMemberUniqueName="[Tabla_Contabilidad].[Gastos Estructura (€∕mes)].[All]" allUniqueName="[Tabla_Contabilidad].[Gastos Estructura (€∕mes)].[All]" dimensionUniqueName="[Tabla_Contabilidad]" displayFolder="" count="0" memberValueDatatype="20" unbalanced="0"/>
    <cacheHierarchy uniqueName="[Tabla_Contabilidad].[EBITDA  (M€)]" caption="EBITDA  (M€)" attribute="1" defaultMemberUniqueName="[Tabla_Contabilidad].[EBITDA  (M€)].[All]" allUniqueName="[Tabla_Contabilidad].[EBITDA  (M€)].[All]" dimensionUniqueName="[Tabla_Contabilidad]" displayFolder="" count="0" memberValueDatatype="20" unbalanced="0"/>
    <cacheHierarchy uniqueName="[Tabla_Contabilidad].[EBITDA_PPTO (M€)]" caption="EBITDA_PPTO (M€)" attribute="1" defaultMemberUniqueName="[Tabla_Contabilidad].[EBITDA_PPTO (M€)].[All]" allUniqueName="[Tabla_Contabilidad].[EBITDA_PPTO (M€)].[All]" dimensionUniqueName="[Tabla_Contabilidad]" displayFolder="" count="0" memberValueDatatype="20" unbalanced="0"/>
    <cacheHierarchy uniqueName="[Tabla_master_rend].[Fecha]" caption="Fecha" attribute="1" time="1" defaultMemberUniqueName="[Tabla_master_rend].[Fecha].[All]" allUniqueName="[Tabla_master_rend].[Fecha].[All]" dimensionUniqueName="[Tabla_master_rend]" displayFolder="" count="0" memberValueDatatype="7" unbalanced="0"/>
    <cacheHierarchy uniqueName="[Tabla_master_rend].[mes]" caption="mes" attribute="1" defaultMemberUniqueName="[Tabla_master_rend].[mes].[All]" allUniqueName="[Tabla_master_rend].[mes].[All]" dimensionUniqueName="[Tabla_master_rend]" displayFolder="" count="0" memberValueDatatype="20" unbalanced="0"/>
    <cacheHierarchy uniqueName="[Tabla_master_rend].[Mes_Nom]" caption="Mes_Nom" attribute="1" defaultMemberUniqueName="[Tabla_master_rend].[Mes_Nom].[All]" allUniqueName="[Tabla_master_rend].[Mes_Nom].[All]" dimensionUniqueName="[Tabla_master_rend]" displayFolder="" count="2" memberValueDatatype="130" unbalanced="0"/>
    <cacheHierarchy uniqueName="[Tabla_master_rend].[Día]" caption="Día" attribute="1" defaultMemberUniqueName="[Tabla_master_rend].[Día].[All]" allUniqueName="[Tabla_master_rend].[Día].[All]" dimensionUniqueName="[Tabla_master_rend]" displayFolder="" count="2" memberValueDatatype="130" unbalanced="0"/>
    <cacheHierarchy uniqueName="[Tabla_master_rend].[Lote]" caption="Lote" attribute="1" defaultMemberUniqueName="[Tabla_master_rend].[Lote].[All]" allUniqueName="[Tabla_master_rend].[Lote].[All]" dimensionUniqueName="[Tabla_master_rend]" displayFolder="" count="0" memberValueDatatype="20" unbalanced="0"/>
    <cacheHierarchy uniqueName="[Tabla_master_rend].[Producto]" caption="Producto" attribute="1" defaultMemberUniqueName="[Tabla_master_rend].[Producto].[All]" allUniqueName="[Tabla_master_rend].[Producto].[All]" dimensionUniqueName="[Tabla_master_rend]" displayFolder="" count="2" memberValueDatatype="130" unbalanced="0">
      <fieldsUsage count="2">
        <fieldUsage x="-1"/>
        <fieldUsage x="11"/>
      </fieldsUsage>
    </cacheHierarchy>
    <cacheHierarchy uniqueName="[Tabla_master_rend].[Cubas_prod]" caption="Cubas_prod" attribute="1" defaultMemberUniqueName="[Tabla_master_rend].[Cubas_prod].[All]" allUniqueName="[Tabla_master_rend].[Cubas_prod].[All]" dimensionUniqueName="[Tabla_master_rend]" displayFolder="" count="0" memberValueDatatype="20" unbalanced="0"/>
    <cacheHierarchy uniqueName="[Tabla_master_rend].[Litros_Leche_Total]" caption="Litros_Leche_Total" attribute="1" defaultMemberUniqueName="[Tabla_master_rend].[Litros_Leche_Total].[All]" allUniqueName="[Tabla_master_rend].[Litros_Leche_Total].[All]" dimensionUniqueName="[Tabla_master_rend]" displayFolder="" count="0" memberValueDatatype="20" unbalanced="0"/>
    <cacheHierarchy uniqueName="[Tabla_master_rend].[L_Leche_ent]" caption="L_Leche_ent" attribute="1" defaultMemberUniqueName="[Tabla_master_rend].[L_Leche_ent].[All]" allUniqueName="[Tabla_master_rend].[L_Leche_ent].[All]" dimensionUniqueName="[Tabla_master_rend]" displayFolder="" count="0" memberValueDatatype="20" unbalanced="0"/>
    <cacheHierarchy uniqueName="[Tabla_master_rend].[%MG_Leche]" caption="%MG_Leche" attribute="1" defaultMemberUniqueName="[Tabla_master_rend].[%MG_Leche].[All]" allUniqueName="[Tabla_master_rend].[%MG_Leche].[All]" dimensionUniqueName="[Tabla_master_rend]" displayFolder="" count="0" memberValueDatatype="5" unbalanced="0"/>
    <cacheHierarchy uniqueName="[Tabla_master_rend].[%MP_Leche]" caption="%MP_Leche" attribute="1" defaultMemberUniqueName="[Tabla_master_rend].[%MP_Leche].[All]" allUniqueName="[Tabla_master_rend].[%MP_Leche].[All]" dimensionUniqueName="[Tabla_master_rend]" displayFolder="" count="0" memberValueDatatype="5" unbalanced="0"/>
    <cacheHierarchy uniqueName="[Tabla_master_rend].[EST_%]" caption="EST_%" attribute="1" defaultMemberUniqueName="[Tabla_master_rend].[EST_%].[All]" allUniqueName="[Tabla_master_rend].[EST_%].[All]" dimensionUniqueName="[Tabla_master_rend]" displayFolder="" count="0" memberValueDatatype="5" unbalanced="0"/>
    <cacheHierarchy uniqueName="[Tabla_master_rend].[Desn_en_linea]" caption="Desn_en_linea" attribute="1" defaultMemberUniqueName="[Tabla_master_rend].[Desn_en_linea].[All]" allUniqueName="[Tabla_master_rend].[Desn_en_linea].[All]" dimensionUniqueName="[Tabla_master_rend]" displayFolder="" count="2" memberValueDatatype="130" unbalanced="0"/>
    <cacheHierarchy uniqueName="[Tabla_master_rend].[L_desn_ext]" caption="L_desn_ext" attribute="1" defaultMemberUniqueName="[Tabla_master_rend].[L_desn_ext].[All]" allUniqueName="[Tabla_master_rend].[L_desn_ext].[All]" dimensionUniqueName="[Tabla_master_rend]" displayFolder="" count="0" memberValueDatatype="20" unbalanced="0"/>
    <cacheHierarchy uniqueName="[Tabla_master_rend].[L_cabra]" caption="L_cabra" attribute="1" defaultMemberUniqueName="[Tabla_master_rend].[L_cabra].[All]" allUniqueName="[Tabla_master_rend].[L_cabra].[All]" dimensionUniqueName="[Tabla_master_rend]" displayFolder="" count="0" memberValueDatatype="20" unbalanced="0"/>
    <cacheHierarchy uniqueName="[Tabla_master_rend].[L_oveja]" caption="L_oveja" attribute="1" defaultMemberUniqueName="[Tabla_master_rend].[L_oveja].[All]" allUniqueName="[Tabla_master_rend].[L_oveja].[All]" dimensionUniqueName="[Tabla_master_rend]" displayFolder="" count="0" memberValueDatatype="20" unbalanced="0"/>
    <cacheHierarchy uniqueName="[Tabla_master_rend].[Litros_Nata]" caption="Litros_Nata" attribute="1" defaultMemberUniqueName="[Tabla_master_rend].[Litros_Nata].[All]" allUniqueName="[Tabla_master_rend].[Litros_Nata].[All]" dimensionUniqueName="[Tabla_master_rend]" displayFolder="" count="0" memberValueDatatype="20" unbalanced="0"/>
    <cacheHierarchy uniqueName="[Tabla_master_rend].[L_nata_suero]" caption="L_nata_suero" attribute="1" defaultMemberUniqueName="[Tabla_master_rend].[L_nata_suero].[All]" allUniqueName="[Tabla_master_rend].[L_nata_suero].[All]" dimensionUniqueName="[Tabla_master_rend]" displayFolder="" count="0" memberValueDatatype="20" unbalanced="0"/>
    <cacheHierarchy uniqueName="[Tabla_master_rend].[L_suero Total]" caption="L_suero Total" attribute="1" defaultMemberUniqueName="[Tabla_master_rend].[L_suero Total].[All]" allUniqueName="[Tabla_master_rend].[L_suero Total].[All]" dimensionUniqueName="[Tabla_master_rend]" displayFolder="" count="0" memberValueDatatype="20" unbalanced="0"/>
    <cacheHierarchy uniqueName="[Tabla_master_rend].[%Suero_vs_leche]" caption="%Suero_vs_leche" attribute="1" defaultMemberUniqueName="[Tabla_master_rend].[%Suero_vs_leche].[All]" allUniqueName="[Tabla_master_rend].[%Suero_vs_leche].[All]" dimensionUniqueName="[Tabla_master_rend]" displayFolder="" count="0" memberValueDatatype="5" unbalanced="0"/>
    <cacheHierarchy uniqueName="[Tabla_master_rend].[MG_suero]" caption="MG_suero" attribute="1" defaultMemberUniqueName="[Tabla_master_rend].[MG_suero].[All]" allUniqueName="[Tabla_master_rend].[MG_suero].[All]" dimensionUniqueName="[Tabla_master_rend]" displayFolder="" count="0" memberValueDatatype="5" unbalanced="0"/>
    <cacheHierarchy uniqueName="[Tabla_master_rend].[MP_suero]" caption="MP_suero" attribute="1" defaultMemberUniqueName="[Tabla_master_rend].[MP_suero].[All]" allUniqueName="[Tabla_master_rend].[MP_suero].[All]" dimensionUniqueName="[Tabla_master_rend]" displayFolder="" count="0" memberValueDatatype="5" unbalanced="0"/>
    <cacheHierarchy uniqueName="[Tabla_master_rend].[L_suero para con]" caption="L_suero para con" attribute="1" defaultMemberUniqueName="[Tabla_master_rend].[L_suero para con].[All]" allUniqueName="[Tabla_master_rend].[L_suero para con].[All]" dimensionUniqueName="[Tabla_master_rend]" displayFolder="" count="0" memberValueDatatype="20" unbalanced="0"/>
    <cacheHierarchy uniqueName="[Tabla_master_rend].[L_suero_con]" caption="L_suero_con" attribute="1" defaultMemberUniqueName="[Tabla_master_rend].[L_suero_con].[All]" allUniqueName="[Tabla_master_rend].[L_suero_con].[All]" dimensionUniqueName="[Tabla_master_rend]" displayFolder="" count="0" memberValueDatatype="20" unbalanced="0"/>
    <cacheHierarchy uniqueName="[Tabla_master_rend].[Rartio_sueroC]" caption="Rartio_sueroC" attribute="1" defaultMemberUniqueName="[Tabla_master_rend].[Rartio_sueroC].[All]" allUniqueName="[Tabla_master_rend].[Rartio_sueroC].[All]" dimensionUniqueName="[Tabla_master_rend]" displayFolder="" count="0" memberValueDatatype="5" unbalanced="0"/>
    <cacheHierarchy uniqueName="[Tabla_master_rend].[L_Suero_Sobrante]" caption="L_Suero_Sobrante" attribute="1" defaultMemberUniqueName="[Tabla_master_rend].[L_Suero_Sobrante].[All]" allUniqueName="[Tabla_master_rend].[L_Suero_Sobrante].[All]" dimensionUniqueName="[Tabla_master_rend]" displayFolder="" count="0" memberValueDatatype="20" unbalanced="0"/>
    <cacheHierarchy uniqueName="[Tabla_master_rend].[MG_sueroc]" caption="MG_sueroc" attribute="1" defaultMemberUniqueName="[Tabla_master_rend].[MG_sueroc].[All]" allUniqueName="[Tabla_master_rend].[MG_sueroc].[All]" dimensionUniqueName="[Tabla_master_rend]" displayFolder="" count="0" memberValueDatatype="20" unbalanced="0"/>
    <cacheHierarchy uniqueName="[Tabla_master_rend].[MP_sueroc]" caption="MP_sueroc" attribute="1" defaultMemberUniqueName="[Tabla_master_rend].[MP_sueroc].[All]" allUniqueName="[Tabla_master_rend].[MP_sueroc].[All]" dimensionUniqueName="[Tabla_master_rend]" displayFolder="" count="0" memberValueDatatype="20" unbalanced="0"/>
    <cacheHierarchy uniqueName="[Tabla_master_rend].[L_LPS_Gen]" caption="L_LPS_Gen" attribute="1" defaultMemberUniqueName="[Tabla_master_rend].[L_LPS_Gen].[All]" allUniqueName="[Tabla_master_rend].[L_LPS_Gen].[All]" dimensionUniqueName="[Tabla_master_rend]" displayFolder="" count="0" memberValueDatatype="20" unbalanced="0"/>
    <cacheHierarchy uniqueName="[Tabla_master_rend].[L_LPS_incor]" caption="L_LPS_incor" attribute="1" defaultMemberUniqueName="[Tabla_master_rend].[L_LPS_incor].[All]" allUniqueName="[Tabla_master_rend].[L_LPS_incor].[All]" dimensionUniqueName="[Tabla_master_rend]" displayFolder="" count="0" memberValueDatatype="20" unbalanced="0"/>
    <cacheHierarchy uniqueName="[Tabla_master_rend].[gr_LPS]" caption="gr_LPS" attribute="1" defaultMemberUniqueName="[Tabla_master_rend].[gr_LPS].[All]" allUniqueName="[Tabla_master_rend].[gr_LPS].[All]" dimensionUniqueName="[Tabla_master_rend]" displayFolder="" count="0" memberValueDatatype="20" unbalanced="0"/>
    <cacheHierarchy uniqueName="[Tabla_master_rend].[MG_LPS]" caption="MG_LPS" attribute="1" defaultMemberUniqueName="[Tabla_master_rend].[MG_LPS].[All]" allUniqueName="[Tabla_master_rend].[MG_LPS].[All]" dimensionUniqueName="[Tabla_master_rend]" displayFolder="" count="0" memberValueDatatype="5" unbalanced="0"/>
    <cacheHierarchy uniqueName="[Tabla_master_rend].[MP_LPS]" caption="MP_LPS" attribute="1" defaultMemberUniqueName="[Tabla_master_rend].[MP_LPS].[All]" allUniqueName="[Tabla_master_rend].[MP_LPS].[All]" dimensionUniqueName="[Tabla_master_rend]" displayFolder="" count="0" memberValueDatatype="5" unbalanced="0"/>
    <cacheHierarchy uniqueName="[Tabla_master_rend].[Kg_Queso_Blan]" caption="Kg_Queso_Blan" attribute="1" defaultMemberUniqueName="[Tabla_master_rend].[Kg_Queso_Blan].[All]" allUniqueName="[Tabla_master_rend].[Kg_Queso_Blan].[All]" dimensionUniqueName="[Tabla_master_rend]" displayFolder="" count="0" memberValueDatatype="5" unbalanced="0"/>
    <cacheHierarchy uniqueName="[Tabla_master_rend].[RDTO_Blanco]" caption="RDTO_Blanco" attribute="1" defaultMemberUniqueName="[Tabla_master_rend].[RDTO_Blanco].[All]" allUniqueName="[Tabla_master_rend].[RDTO_Blanco].[All]" dimensionUniqueName="[Tabla_master_rend]" displayFolder="" count="0" memberValueDatatype="5" unbalanced="0"/>
    <cacheHierarchy uniqueName="[Tabla_master_rend].[RDTO_NETO]" caption="RDTO_NETO" attribute="1" defaultMemberUniqueName="[Tabla_master_rend].[RDTO_NETO].[All]" allUniqueName="[Tabla_master_rend].[RDTO_NETO].[All]" dimensionUniqueName="[Tabla_master_rend]" displayFolder="" count="0" memberValueDatatype="5" unbalanced="0"/>
    <cacheHierarchy uniqueName="[Tabla_master_rend].[REND_TARGET]" caption="REND_TARGET" attribute="1" defaultMemberUniqueName="[Tabla_master_rend].[REND_TARGET].[All]" allUniqueName="[Tabla_master_rend].[REND_TARGET].[All]" dimensionUniqueName="[Tabla_master_rend]" displayFolder="" count="0" memberValueDatatype="5" unbalanced="0"/>
    <cacheHierarchy uniqueName="[Tabla_master_rend].[Kg_Solidos_leche]" caption="Kg_Solidos_leche" attribute="1" defaultMemberUniqueName="[Tabla_master_rend].[Kg_Solidos_leche].[All]" allUniqueName="[Tabla_master_rend].[Kg_Solidos_leche].[All]" dimensionUniqueName="[Tabla_master_rend]" displayFolder="" count="0" memberValueDatatype="5" unbalanced="0"/>
    <cacheHierarchy uniqueName="[Tabla_master_rend].[%MG_QUESO]" caption="%MG_QUESO" attribute="1" defaultMemberUniqueName="[Tabla_master_rend].[%MG_QUESO].[All]" allUniqueName="[Tabla_master_rend].[%MG_QUESO].[All]" dimensionUniqueName="[Tabla_master_rend]" displayFolder="" count="0" memberValueDatatype="5" unbalanced="0"/>
    <cacheHierarchy uniqueName="[Tabla_master_rend].[%PT_QUESO]" caption="%PT_QUESO" attribute="1" defaultMemberUniqueName="[Tabla_master_rend].[%PT_QUESO].[All]" allUniqueName="[Tabla_master_rend].[%PT_QUESO].[All]" dimensionUniqueName="[Tabla_master_rend]" displayFolder="" count="0" memberValueDatatype="5" unbalanced="0"/>
    <cacheHierarchy uniqueName="[Tabla_master_rend].[ES_QUESO]" caption="ES_QUESO" attribute="1" defaultMemberUniqueName="[Tabla_master_rend].[ES_QUESO].[All]" allUniqueName="[Tabla_master_rend].[ES_QUESO].[All]" dimensionUniqueName="[Tabla_master_rend]" displayFolder="" count="0" memberValueDatatype="5" unbalanced="0"/>
    <cacheHierarchy uniqueName="[Tabla_master_rend].[Rendimiento_Solidos_%]" caption="Rendimiento_Solidos_%" attribute="1" defaultMemberUniqueName="[Tabla_master_rend].[Rendimiento_Solidos_%].[All]" allUniqueName="[Tabla_master_rend].[Rendimiento_Solidos_%].[All]" dimensionUniqueName="[Tabla_master_rend]" displayFolder="" count="0" memberValueDatatype="5" unbalanced="0"/>
    <cacheHierarchy uniqueName="[Tabla_master_rend].[Kg_MG_Nata]" caption="Kg_MG_Nata" attribute="1" defaultMemberUniqueName="[Tabla_master_rend].[Kg_MG_Nata].[All]" allUniqueName="[Tabla_master_rend].[Kg_MG_Nata].[All]" dimensionUniqueName="[Tabla_master_rend]" displayFolder="" count="0" memberValueDatatype="5" unbalanced="0"/>
    <cacheHierarchy uniqueName="[Tabla_master_rend].[%RECUP_MG]" caption="%RECUP_MG" attribute="1" defaultMemberUniqueName="[Tabla_master_rend].[%RECUP_MG].[All]" allUniqueName="[Tabla_master_rend].[%RECUP_MG].[All]" dimensionUniqueName="[Tabla_master_rend]" displayFolder="" count="0" memberValueDatatype="5" unbalanced="0"/>
    <cacheHierarchy uniqueName="[Tabla_master_rend].[%RECUP_PT]" caption="%RECUP_PT" attribute="1" defaultMemberUniqueName="[Tabla_master_rend].[%RECUP_PT].[All]" allUniqueName="[Tabla_master_rend].[%RECUP_PT].[All]" dimensionUniqueName="[Tabla_master_rend]" displayFolder="" count="0" memberValueDatatype="5" unbalanced="0"/>
    <cacheHierarchy uniqueName="[Tabla_master_rend].[Valor_Nata_€]" caption="Valor_Nata_€" attribute="1" defaultMemberUniqueName="[Tabla_master_rend].[Valor_Nata_€].[All]" allUniqueName="[Tabla_master_rend].[Valor_Nata_€].[All]" dimensionUniqueName="[Tabla_master_rend]" displayFolder="" count="0" memberValueDatatype="5" unbalanced="0"/>
    <cacheHierarchy uniqueName="[Tabla_master_rend].[Kg_Finos]" caption="Kg_Finos" attribute="1" defaultMemberUniqueName="[Tabla_master_rend].[Kg_Finos].[All]" allUniqueName="[Tabla_master_rend].[Kg_Finos].[All]" dimensionUniqueName="[Tabla_master_rend]" displayFolder="" count="0" memberValueDatatype="5" unbalanced="0"/>
    <cacheHierarchy uniqueName="[Tabla_master_rend].[Kg_Llenadora]" caption="Kg_Llenadora" attribute="1" defaultMemberUniqueName="[Tabla_master_rend].[Kg_Llenadora].[All]" allUniqueName="[Tabla_master_rend].[Kg_Llenadora].[All]" dimensionUniqueName="[Tabla_master_rend]" displayFolder="" count="0" memberValueDatatype="5" unbalanced="0"/>
    <cacheHierarchy uniqueName="[Tabla_master_rend].[Kg_Desmoldeo]" caption="Kg_Desmoldeo" attribute="1" defaultMemberUniqueName="[Tabla_master_rend].[Kg_Desmoldeo].[All]" allUniqueName="[Tabla_master_rend].[Kg_Desmoldeo].[All]" dimensionUniqueName="[Tabla_master_rend]" displayFolder="" count="0" memberValueDatatype="5" unbalanced="0"/>
    <cacheHierarchy uniqueName="[Tabla_master_rend].[Merma_fab]" caption="Merma_fab" attribute="1" defaultMemberUniqueName="[Tabla_master_rend].[Merma_fab].[All]" allUniqueName="[Tabla_master_rend].[Merma_fab].[All]" dimensionUniqueName="[Tabla_master_rend]" displayFolder="" count="0" memberValueDatatype="5" unbalanced="0"/>
    <cacheHierarchy uniqueName="[Tabla_master_rend].[% Merma_fab2]" caption="% Merma_fab2" attribute="1" defaultMemberUniqueName="[Tabla_master_rend].[% Merma_fab2].[All]" allUniqueName="[Tabla_master_rend].[% Merma_fab2].[All]" dimensionUniqueName="[Tabla_master_rend]" displayFolder="" count="0" memberValueDatatype="5" unbalanced="0"/>
    <cacheHierarchy uniqueName="[Tabla_master_rend].[L_Agua]" caption="L_Agua" attribute="1" defaultMemberUniqueName="[Tabla_master_rend].[L_Agua].[All]" allUniqueName="[Tabla_master_rend].[L_Agua].[All]" dimensionUniqueName="[Tabla_master_rend]" displayFolder="" count="0" memberValueDatatype="20" unbalanced="0"/>
    <cacheHierarchy uniqueName="[Tabla_master_rend].[% oreo]" caption="% oreo" attribute="1" defaultMemberUniqueName="[Tabla_master_rend].[% oreo].[All]" allUniqueName="[Tabla_master_rend].[% oreo].[All]" dimensionUniqueName="[Tabla_master_rend]" displayFolder="" count="0" memberValueDatatype="5" unbalanced="0"/>
    <cacheHierarchy uniqueName="[Tabla_master_rend].[B_totales]" caption="B_totales" attribute="1" defaultMemberUniqueName="[Tabla_master_rend].[B_totales].[All]" allUniqueName="[Tabla_master_rend].[B_totales].[All]" dimensionUniqueName="[Tabla_master_rend]" displayFolder="" count="0" memberValueDatatype="5" unbalanced="0"/>
    <cacheHierarchy uniqueName="[Tabla_master_rend].[B_OK_uni]" caption="B_OK_uni" attribute="1" defaultMemberUniqueName="[Tabla_master_rend].[B_OK_uni].[All]" allUniqueName="[Tabla_master_rend].[B_OK_uni].[All]" dimensionUniqueName="[Tabla_master_rend]" displayFolder="" count="0" memberValueDatatype="5" unbalanced="0"/>
    <cacheHierarchy uniqueName="[Tabla_master_rend].[B_OK_kg]" caption="B_OK_kg" attribute="1" defaultMemberUniqueName="[Tabla_master_rend].[B_OK_kg].[All]" allUniqueName="[Tabla_master_rend].[B_OK_kg].[All]" dimensionUniqueName="[Tabla_master_rend]" displayFolder="" count="0" memberValueDatatype="5" unbalanced="0"/>
    <cacheHierarchy uniqueName="[Tabla_master_rend].[B_altas]" caption="B_altas" attribute="1" defaultMemberUniqueName="[Tabla_master_rend].[B_altas].[All]" allUniqueName="[Tabla_master_rend].[B_altas].[All]" dimensionUniqueName="[Tabla_master_rend]" displayFolder="" count="0" memberValueDatatype="5" unbalanced="0"/>
    <cacheHierarchy uniqueName="[Tabla_master_rend].[B_bajas]" caption="B_bajas" attribute="1" defaultMemberUniqueName="[Tabla_master_rend].[B_bajas].[All]" allUniqueName="[Tabla_master_rend].[B_bajas].[All]" dimensionUniqueName="[Tabla_master_rend]" displayFolder="" count="0" memberValueDatatype="5" unbalanced="0"/>
    <cacheHierarchy uniqueName="[Tabla_master_rend].[B_rotas]" caption="B_rotas" attribute="1" defaultMemberUniqueName="[Tabla_master_rend].[B_rotas].[All]" allUniqueName="[Tabla_master_rend].[B_rotas].[All]" dimensionUniqueName="[Tabla_master_rend]" displayFolder="" count="0" memberValueDatatype="5" unbalanced="0"/>
    <cacheHierarchy uniqueName="[Tabla_master_rend].[B_feas]" caption="B_feas" attribute="1" defaultMemberUniqueName="[Tabla_master_rend].[B_feas].[All]" allUniqueName="[Tabla_master_rend].[B_feas].[All]" dimensionUniqueName="[Tabla_master_rend]" displayFolder="" count="0" memberValueDatatype="5" unbalanced="0"/>
    <cacheHierarchy uniqueName="[Tabla_master_rend].[B_lab]" caption="B_lab" attribute="1" defaultMemberUniqueName="[Tabla_master_rend].[B_lab].[All]" allUniqueName="[Tabla_master_rend].[B_lab].[All]" dimensionUniqueName="[Tabla_master_rend]" displayFolder="" count="0" memberValueDatatype="5" unbalanced="0"/>
    <cacheHierarchy uniqueName="[Tabla_master_rend].[Kg_SalidaSecadero]" caption="Kg_SalidaSecadero" attribute="1" defaultMemberUniqueName="[Tabla_master_rend].[Kg_SalidaSecadero].[All]" allUniqueName="[Tabla_master_rend].[Kg_SalidaSecadero].[All]" dimensionUniqueName="[Tabla_master_rend]" displayFolder="" count="0" memberValueDatatype="5" unbalanced="0"/>
    <cacheHierarchy uniqueName="[Tabla_master_rend].[Kg_rebaba]" caption="Kg_rebaba" attribute="1" defaultMemberUniqueName="[Tabla_master_rend].[Kg_rebaba].[All]" allUniqueName="[Tabla_master_rend].[Kg_rebaba].[All]" dimensionUniqueName="[Tabla_master_rend]" displayFolder="" count="0" memberValueDatatype="5" unbalanced="0"/>
    <cacheHierarchy uniqueName="[Tabla_master_rend].[Kg_mer_env_real]" caption="Kg_mer_env_real" attribute="1" defaultMemberUniqueName="[Tabla_master_rend].[Kg_mer_env_real].[All]" allUniqueName="[Tabla_master_rend].[Kg_mer_env_real].[All]" dimensionUniqueName="[Tabla_master_rend]" displayFolder="" count="0" memberValueDatatype="5" unbalanced="0"/>
    <cacheHierarchy uniqueName="[Tabla_master_rend].[kg_mer_lab_real]" caption="kg_mer_lab_real" attribute="1" defaultMemberUniqueName="[Tabla_master_rend].[kg_mer_lab_real].[All]" allUniqueName="[Tabla_master_rend].[kg_mer_lab_real].[All]" dimensionUniqueName="[Tabla_master_rend]" displayFolder="" count="0" memberValueDatatype="5" unbalanced="0"/>
    <cacheHierarchy uniqueName="[Tabla_master_rend].[%Merma_env]" caption="%Merma_env" attribute="1" defaultMemberUniqueName="[Tabla_master_rend].[%Merma_env].[All]" allUniqueName="[Tabla_master_rend].[%Merma_env].[All]" dimensionUniqueName="[Tabla_master_rend]" displayFolder="" count="0" memberValueDatatype="5" unbalanced="0"/>
    <cacheHierarchy uniqueName="[Tabla_master_rend].[%Merma_env_corr]" caption="%Merma_env_corr" attribute="1" defaultMemberUniqueName="[Tabla_master_rend].[%Merma_env_corr].[All]" allUniqueName="[Tabla_master_rend].[%Merma_env_corr].[All]" dimensionUniqueName="[Tabla_master_rend]" displayFolder="" count="0" memberValueDatatype="5" unbalanced="0"/>
    <cacheHierarchy uniqueName="[Tabla_master_rend].[% merma TOT]" caption="% merma TOT" attribute="1" defaultMemberUniqueName="[Tabla_master_rend].[% merma TOT].[All]" allUniqueName="[Tabla_master_rend].[% merma TOT].[All]" dimensionUniqueName="[Tabla_master_rend]" displayFolder="" count="0" memberValueDatatype="5" unbalanced="0"/>
    <cacheHierarchy uniqueName="[Tabla_master_rend].[Merma_TOT]" caption="Merma_TOT" attribute="1" defaultMemberUniqueName="[Tabla_master_rend].[Merma_TOT].[All]" allUniqueName="[Tabla_master_rend].[Merma_TOT].[All]" dimensionUniqueName="[Tabla_master_rend]" displayFolder="" count="0" memberValueDatatype="5" unbalanced="0"/>
    <cacheHierarchy uniqueName="[Tabla_master_rend].[Kg_Env_Total]" caption="Kg_Env_Total" attribute="1" defaultMemberUniqueName="[Tabla_master_rend].[Kg_Env_Total].[All]" allUniqueName="[Tabla_master_rend].[Kg_Env_Total].[All]" dimensionUniqueName="[Tabla_master_rend]" displayFolder="" count="0" memberValueDatatype="5" unbalanced="0"/>
    <cacheHierarchy uniqueName="[Tabla_master_rend].[Coste_Leche_€]" caption="Coste_Leche_€" attribute="1" defaultMemberUniqueName="[Tabla_master_rend].[Coste_Leche_€].[All]" allUniqueName="[Tabla_master_rend].[Coste_Leche_€].[All]" dimensionUniqueName="[Tabla_master_rend]" displayFolder="" count="0" memberValueDatatype="5" unbalanced="0"/>
    <cacheHierarchy uniqueName="[Tabla_master_rend].[€/kg_MPQueso]" caption="€/kg_MPQueso" attribute="1" defaultMemberUniqueName="[Tabla_master_rend].[€/kg_MPQueso].[All]" allUniqueName="[Tabla_master_rend].[€/kg_MPQueso].[All]" dimensionUniqueName="[Tabla_master_rend]" displayFolder="" count="0" memberValueDatatype="5" unbalanced="0"/>
    <cacheHierarchy uniqueName="[Tabla_master_rend].[Merma_inic]" caption="Merma_inic" attribute="1" defaultMemberUniqueName="[Tabla_master_rend].[Merma_inic].[All]" allUniqueName="[Tabla_master_rend].[Merma_inic].[All]" dimensionUniqueName="[Tabla_master_rend]" displayFolder="" count="0" memberValueDatatype="5" unbalanced="0"/>
    <cacheHierarchy uniqueName="[Tabla_master_rend].[Recup_kg]" caption="Recup_kg" attribute="1" defaultMemberUniqueName="[Tabla_master_rend].[Recup_kg].[All]" allUniqueName="[Tabla_master_rend].[Recup_kg].[All]" dimensionUniqueName="[Tabla_master_rend]" displayFolder="" count="0" memberValueDatatype="5" unbalanced="0"/>
    <cacheHierarchy uniqueName="[Tabla_master_rend].[Recup_%]" caption="Recup_%" attribute="1" defaultMemberUniqueName="[Tabla_master_rend].[Recup_%].[All]" allUniqueName="[Tabla_master_rend].[Recup_%].[All]" dimensionUniqueName="[Tabla_master_rend]" displayFolder="" count="0" memberValueDatatype="5" unbalanced="0"/>
    <cacheHierarchy uniqueName="[Tabla_master_rend].[Merma_ppto fab]" caption="Merma_ppto fab" attribute="1" defaultMemberUniqueName="[Tabla_master_rend].[Merma_ppto fab].[All]" allUniqueName="[Tabla_master_rend].[Merma_ppto fab].[All]" dimensionUniqueName="[Tabla_master_rend]" displayFolder="" count="0" memberValueDatatype="5" unbalanced="0"/>
    <cacheHierarchy uniqueName="[Tabla_master_rend].[Merma_ppto oreo]" caption="Merma_ppto oreo" attribute="1" defaultMemberUniqueName="[Tabla_master_rend].[Merma_ppto oreo].[All]" allUniqueName="[Tabla_master_rend].[Merma_ppto oreo].[All]" dimensionUniqueName="[Tabla_master_rend]" displayFolder="" count="0" memberValueDatatype="5" unbalanced="0"/>
    <cacheHierarchy uniqueName="[Tabla_master_rend].[Merma_ppto Env/Enc]" caption="Merma_ppto Env/Enc" attribute="1" defaultMemberUniqueName="[Tabla_master_rend].[Merma_ppto Env/Enc].[All]" allUniqueName="[Tabla_master_rend].[Merma_ppto Env/Enc].[All]" dimensionUniqueName="[Tabla_master_rend]" displayFolder="" count="0" memberValueDatatype="5" unbalanced="0"/>
    <cacheHierarchy uniqueName="[Tabla_master_rend].[Merma_T ppto]" caption="Merma_T ppto" attribute="1" defaultMemberUniqueName="[Tabla_master_rend].[Merma_T ppto].[All]" allUniqueName="[Tabla_master_rend].[Merma_T ppto].[All]" dimensionUniqueName="[Tabla_master_rend]" displayFolder="" count="0" memberValueDatatype="5" unbalanced="0"/>
    <cacheHierarchy uniqueName="[Tabla_master_rend].[Merma_T ppto %]" caption="Merma_T ppto %" attribute="1" defaultMemberUniqueName="[Tabla_master_rend].[Merma_T ppto %].[All]" allUniqueName="[Tabla_master_rend].[Merma_T ppto %].[All]" dimensionUniqueName="[Tabla_master_rend]" displayFolder="" count="0" memberValueDatatype="5" unbalanced="0"/>
    <cacheHierarchy uniqueName="[Tabla_master_rend].[Merma_T real %]" caption="Merma_T real %" attribute="1" defaultMemberUniqueName="[Tabla_master_rend].[Merma_T real %].[All]" allUniqueName="[Tabla_master_rend].[Merma_T real %].[All]" dimensionUniqueName="[Tabla_master_rend]" displayFolder="" count="0" memberValueDatatype="5" unbalanced="0"/>
    <cacheHierarchy uniqueName="[Tabla_master_rend].[DIF R Vs PPTO]" caption="DIF R Vs PPTO" attribute="1" defaultMemberUniqueName="[Tabla_master_rend].[DIF R Vs PPTO].[All]" allUniqueName="[Tabla_master_rend].[DIF R Vs PPTO].[All]" dimensionUniqueName="[Tabla_master_rend]" displayFolder="" count="0" memberValueDatatype="5" unbalanced="0"/>
    <cacheHierarchy uniqueName="[Tabla_master_rend].[IMPACTO]" caption="IMPACTO" attribute="1" defaultMemberUniqueName="[Tabla_master_rend].[IMPACTO].[All]" allUniqueName="[Tabla_master_rend].[IMPACTO].[All]" dimensionUniqueName="[Tabla_master_rend]" displayFolder="" count="0" memberValueDatatype="5" unbalanced="0"/>
    <cacheHierarchy uniqueName="[Tabla_master_rend].[IMPACTO_vs_PPTO]" caption="IMPACTO_vs_PPTO" attribute="1" defaultMemberUniqueName="[Tabla_master_rend].[IMPACTO_vs_PPTO].[All]" allUniqueName="[Tabla_master_rend].[IMPACTO_vs_PPTO].[All]" dimensionUniqueName="[Tabla_master_rend]" displayFolder="" count="0" memberValueDatatype="5" unbalanced="0"/>
    <cacheHierarchy uniqueName="[Tabla_master_rend].[Fecha (mes)]" caption="Fecha (mes)" attribute="1" defaultMemberUniqueName="[Tabla_master_rend].[Fecha (mes)].[All]" allUniqueName="[Tabla_master_rend].[Fecha (mes)].[All]" dimensionUniqueName="[Tabla_master_rend]" displayFolder="" count="0" memberValueDatatype="130" unbalanced="0"/>
    <cacheHierarchy uniqueName="[Tabla_master_rend 1].[Fecha]" caption="Fecha" attribute="1" time="1" defaultMemberUniqueName="[Tabla_master_rend 1].[Fecha].[All]" allUniqueName="[Tabla_master_rend 1].[Fecha].[All]" dimensionUniqueName="[Tabla_master_rend 1]" displayFolder="" count="0" memberValueDatatype="7" unbalanced="0"/>
    <cacheHierarchy uniqueName="[Tabla_master_rend 1].[mes]" caption="mes" attribute="1" defaultMemberUniqueName="[Tabla_master_rend 1].[mes].[All]" allUniqueName="[Tabla_master_rend 1].[mes].[All]" dimensionUniqueName="[Tabla_master_rend 1]" displayFolder="" count="0" memberValueDatatype="20" unbalanced="0"/>
    <cacheHierarchy uniqueName="[Tabla_master_rend 1].[Mes_Nom]" caption="Mes_Nom" attribute="1" defaultMemberUniqueName="[Tabla_master_rend 1].[Mes_Nom].[All]" allUniqueName="[Tabla_master_rend 1].[Mes_Nom].[All]" dimensionUniqueName="[Tabla_master_rend 1]" displayFolder="" count="0" memberValueDatatype="130" unbalanced="0"/>
    <cacheHierarchy uniqueName="[Tabla_master_rend 1].[Día]" caption="Día" attribute="1" defaultMemberUniqueName="[Tabla_master_rend 1].[Día].[All]" allUniqueName="[Tabla_master_rend 1].[Día].[All]" dimensionUniqueName="[Tabla_master_rend 1]" displayFolder="" count="0" memberValueDatatype="130" unbalanced="0"/>
    <cacheHierarchy uniqueName="[Tabla_master_rend 1].[Lote]" caption="Lote" attribute="1" defaultMemberUniqueName="[Tabla_master_rend 1].[Lote].[All]" allUniqueName="[Tabla_master_rend 1].[Lote].[All]" dimensionUniqueName="[Tabla_master_rend 1]" displayFolder="" count="0" memberValueDatatype="130" unbalanced="0"/>
    <cacheHierarchy uniqueName="[Tabla_master_rend 1].[Producto]" caption="Producto" attribute="1" defaultMemberUniqueName="[Tabla_master_rend 1].[Producto].[All]" allUniqueName="[Tabla_master_rend 1].[Producto].[All]" dimensionUniqueName="[Tabla_master_rend 1]" displayFolder="" count="0" memberValueDatatype="130" unbalanced="0"/>
    <cacheHierarchy uniqueName="[Tabla_master_rend 1].[Cubas_prod]" caption="Cubas_prod" attribute="1" defaultMemberUniqueName="[Tabla_master_rend 1].[Cubas_prod].[All]" allUniqueName="[Tabla_master_rend 1].[Cubas_prod].[All]" dimensionUniqueName="[Tabla_master_rend 1]" displayFolder="" count="0" memberValueDatatype="20" unbalanced="0"/>
    <cacheHierarchy uniqueName="[Tabla_master_rend 1].[Litros_Leche_Total]" caption="Litros_Leche_Total" attribute="1" defaultMemberUniqueName="[Tabla_master_rend 1].[Litros_Leche_Total].[All]" allUniqueName="[Tabla_master_rend 1].[Litros_Leche_Total].[All]" dimensionUniqueName="[Tabla_master_rend 1]" displayFolder="" count="0" memberValueDatatype="20" unbalanced="0"/>
    <cacheHierarchy uniqueName="[Tabla_master_rend 1].[L_Leche_ent]" caption="L_Leche_ent" attribute="1" defaultMemberUniqueName="[Tabla_master_rend 1].[L_Leche_ent].[All]" allUniqueName="[Tabla_master_rend 1].[L_Leche_ent].[All]" dimensionUniqueName="[Tabla_master_rend 1]" displayFolder="" count="0" memberValueDatatype="20" unbalanced="0"/>
    <cacheHierarchy uniqueName="[Tabla_master_rend 1].[%MG_Leche]" caption="%MG_Leche" attribute="1" defaultMemberUniqueName="[Tabla_master_rend 1].[%MG_Leche].[All]" allUniqueName="[Tabla_master_rend 1].[%MG_Leche].[All]" dimensionUniqueName="[Tabla_master_rend 1]" displayFolder="" count="0" memberValueDatatype="5" unbalanced="0"/>
    <cacheHierarchy uniqueName="[Tabla_master_rend 1].[%MP_Leche]" caption="%MP_Leche" attribute="1" defaultMemberUniqueName="[Tabla_master_rend 1].[%MP_Leche].[All]" allUniqueName="[Tabla_master_rend 1].[%MP_Leche].[All]" dimensionUniqueName="[Tabla_master_rend 1]" displayFolder="" count="0" memberValueDatatype="5" unbalanced="0"/>
    <cacheHierarchy uniqueName="[Tabla_master_rend 1].[EST_%]" caption="EST_%" attribute="1" defaultMemberUniqueName="[Tabla_master_rend 1].[EST_%].[All]" allUniqueName="[Tabla_master_rend 1].[EST_%].[All]" dimensionUniqueName="[Tabla_master_rend 1]" displayFolder="" count="0" memberValueDatatype="5" unbalanced="0"/>
    <cacheHierarchy uniqueName="[Tabla_master_rend 1].[Desn_en_linea]" caption="Desn_en_linea" attribute="1" defaultMemberUniqueName="[Tabla_master_rend 1].[Desn_en_linea].[All]" allUniqueName="[Tabla_master_rend 1].[Desn_en_linea].[All]" dimensionUniqueName="[Tabla_master_rend 1]" displayFolder="" count="0" memberValueDatatype="130" unbalanced="0"/>
    <cacheHierarchy uniqueName="[Tabla_master_rend 1].[L_desn_ext]" caption="L_desn_ext" attribute="1" defaultMemberUniqueName="[Tabla_master_rend 1].[L_desn_ext].[All]" allUniqueName="[Tabla_master_rend 1].[L_desn_ext].[All]" dimensionUniqueName="[Tabla_master_rend 1]" displayFolder="" count="0" memberValueDatatype="20" unbalanced="0"/>
    <cacheHierarchy uniqueName="[Tabla_master_rend 1].[L_cabra]" caption="L_cabra" attribute="1" defaultMemberUniqueName="[Tabla_master_rend 1].[L_cabra].[All]" allUniqueName="[Tabla_master_rend 1].[L_cabra].[All]" dimensionUniqueName="[Tabla_master_rend 1]" displayFolder="" count="0" memberValueDatatype="20" unbalanced="0"/>
    <cacheHierarchy uniqueName="[Tabla_master_rend 1].[L_oveja]" caption="L_oveja" attribute="1" defaultMemberUniqueName="[Tabla_master_rend 1].[L_oveja].[All]" allUniqueName="[Tabla_master_rend 1].[L_oveja].[All]" dimensionUniqueName="[Tabla_master_rend 1]" displayFolder="" count="0" memberValueDatatype="20" unbalanced="0"/>
    <cacheHierarchy uniqueName="[Tabla_master_rend 1].[Litros_Nata]" caption="Litros_Nata" attribute="1" defaultMemberUniqueName="[Tabla_master_rend 1].[Litros_Nata].[All]" allUniqueName="[Tabla_master_rend 1].[Litros_Nata].[All]" dimensionUniqueName="[Tabla_master_rend 1]" displayFolder="" count="0" memberValueDatatype="20" unbalanced="0"/>
    <cacheHierarchy uniqueName="[Tabla_master_rend 1].[L_nata_suero]" caption="L_nata_suero" attribute="1" defaultMemberUniqueName="[Tabla_master_rend 1].[L_nata_suero].[All]" allUniqueName="[Tabla_master_rend 1].[L_nata_suero].[All]" dimensionUniqueName="[Tabla_master_rend 1]" displayFolder="" count="0" memberValueDatatype="20" unbalanced="0"/>
    <cacheHierarchy uniqueName="[Tabla_master_rend 1].[L_suero Total]" caption="L_suero Total" attribute="1" defaultMemberUniqueName="[Tabla_master_rend 1].[L_suero Total].[All]" allUniqueName="[Tabla_master_rend 1].[L_suero Total].[All]" dimensionUniqueName="[Tabla_master_rend 1]" displayFolder="" count="0" memberValueDatatype="20" unbalanced="0"/>
    <cacheHierarchy uniqueName="[Tabla_master_rend 1].[%Suero_vs_leche]" caption="%Suero_vs_leche" attribute="1" defaultMemberUniqueName="[Tabla_master_rend 1].[%Suero_vs_leche].[All]" allUniqueName="[Tabla_master_rend 1].[%Suero_vs_leche].[All]" dimensionUniqueName="[Tabla_master_rend 1]" displayFolder="" count="0" memberValueDatatype="5" unbalanced="0"/>
    <cacheHierarchy uniqueName="[Tabla_master_rend 1].[MG_suero]" caption="MG_suero" attribute="1" defaultMemberUniqueName="[Tabla_master_rend 1].[MG_suero].[All]" allUniqueName="[Tabla_master_rend 1].[MG_suero].[All]" dimensionUniqueName="[Tabla_master_rend 1]" displayFolder="" count="0" memberValueDatatype="5" unbalanced="0"/>
    <cacheHierarchy uniqueName="[Tabla_master_rend 1].[MP_suero]" caption="MP_suero" attribute="1" defaultMemberUniqueName="[Tabla_master_rend 1].[MP_suero].[All]" allUniqueName="[Tabla_master_rend 1].[MP_suero].[All]" dimensionUniqueName="[Tabla_master_rend 1]" displayFolder="" count="0" memberValueDatatype="5" unbalanced="0"/>
    <cacheHierarchy uniqueName="[Tabla_master_rend 1].[L_suero para con]" caption="L_suero para con" attribute="1" defaultMemberUniqueName="[Tabla_master_rend 1].[L_suero para con].[All]" allUniqueName="[Tabla_master_rend 1].[L_suero para con].[All]" dimensionUniqueName="[Tabla_master_rend 1]" displayFolder="" count="0" memberValueDatatype="20" unbalanced="0"/>
    <cacheHierarchy uniqueName="[Tabla_master_rend 1].[L_suero_con]" caption="L_suero_con" attribute="1" defaultMemberUniqueName="[Tabla_master_rend 1].[L_suero_con].[All]" allUniqueName="[Tabla_master_rend 1].[L_suero_con].[All]" dimensionUniqueName="[Tabla_master_rend 1]" displayFolder="" count="0" memberValueDatatype="20" unbalanced="0"/>
    <cacheHierarchy uniqueName="[Tabla_master_rend 1].[Rartio_sueroC]" caption="Rartio_sueroC" attribute="1" defaultMemberUniqueName="[Tabla_master_rend 1].[Rartio_sueroC].[All]" allUniqueName="[Tabla_master_rend 1].[Rartio_sueroC].[All]" dimensionUniqueName="[Tabla_master_rend 1]" displayFolder="" count="0" memberValueDatatype="5" unbalanced="0"/>
    <cacheHierarchy uniqueName="[Tabla_master_rend 1].[L_Suero_Sobrante]" caption="L_Suero_Sobrante" attribute="1" defaultMemberUniqueName="[Tabla_master_rend 1].[L_Suero_Sobrante].[All]" allUniqueName="[Tabla_master_rend 1].[L_Suero_Sobrante].[All]" dimensionUniqueName="[Tabla_master_rend 1]" displayFolder="" count="0" memberValueDatatype="20" unbalanced="0"/>
    <cacheHierarchy uniqueName="[Tabla_master_rend 1].[MG_sueroc]" caption="MG_sueroc" attribute="1" defaultMemberUniqueName="[Tabla_master_rend 1].[MG_sueroc].[All]" allUniqueName="[Tabla_master_rend 1].[MG_sueroc].[All]" dimensionUniqueName="[Tabla_master_rend 1]" displayFolder="" count="0" memberValueDatatype="130" unbalanced="0"/>
    <cacheHierarchy uniqueName="[Tabla_master_rend 1].[MP_sueroc]" caption="MP_sueroc" attribute="1" defaultMemberUniqueName="[Tabla_master_rend 1].[MP_sueroc].[All]" allUniqueName="[Tabla_master_rend 1].[MP_sueroc].[All]" dimensionUniqueName="[Tabla_master_rend 1]" displayFolder="" count="0" memberValueDatatype="130" unbalanced="0"/>
    <cacheHierarchy uniqueName="[Tabla_master_rend 1].[L_LPS_Gen]" caption="L_LPS_Gen" attribute="1" defaultMemberUniqueName="[Tabla_master_rend 1].[L_LPS_Gen].[All]" allUniqueName="[Tabla_master_rend 1].[L_LPS_Gen].[All]" dimensionUniqueName="[Tabla_master_rend 1]" displayFolder="" count="0" memberValueDatatype="20" unbalanced="0"/>
    <cacheHierarchy uniqueName="[Tabla_master_rend 1].[L_LPS_incor]" caption="L_LPS_incor" attribute="1" defaultMemberUniqueName="[Tabla_master_rend 1].[L_LPS_incor].[All]" allUniqueName="[Tabla_master_rend 1].[L_LPS_incor].[All]" dimensionUniqueName="[Tabla_master_rend 1]" displayFolder="" count="0" memberValueDatatype="20" unbalanced="0"/>
    <cacheHierarchy uniqueName="[Tabla_master_rend 1].[gr_LPS]" caption="gr_LPS" attribute="1" defaultMemberUniqueName="[Tabla_master_rend 1].[gr_LPS].[All]" allUniqueName="[Tabla_master_rend 1].[gr_LPS].[All]" dimensionUniqueName="[Tabla_master_rend 1]" displayFolder="" count="0" memberValueDatatype="20" unbalanced="0"/>
    <cacheHierarchy uniqueName="[Tabla_master_rend 1].[MG_LPS]" caption="MG_LPS" attribute="1" defaultMemberUniqueName="[Tabla_master_rend 1].[MG_LPS].[All]" allUniqueName="[Tabla_master_rend 1].[MG_LPS].[All]" dimensionUniqueName="[Tabla_master_rend 1]" displayFolder="" count="0" memberValueDatatype="5" unbalanced="0"/>
    <cacheHierarchy uniqueName="[Tabla_master_rend 1].[MP_LPS]" caption="MP_LPS" attribute="1" defaultMemberUniqueName="[Tabla_master_rend 1].[MP_LPS].[All]" allUniqueName="[Tabla_master_rend 1].[MP_LPS].[All]" dimensionUniqueName="[Tabla_master_rend 1]" displayFolder="" count="0" memberValueDatatype="5" unbalanced="0"/>
    <cacheHierarchy uniqueName="[Tabla_master_rend 1].[Kg_Queso_Blan]" caption="Kg_Queso_Blan" attribute="1" defaultMemberUniqueName="[Tabla_master_rend 1].[Kg_Queso_Blan].[All]" allUniqueName="[Tabla_master_rend 1].[Kg_Queso_Blan].[All]" dimensionUniqueName="[Tabla_master_rend 1]" displayFolder="" count="0" memberValueDatatype="5" unbalanced="0"/>
    <cacheHierarchy uniqueName="[Tabla_master_rend 1].[RDTO_Blanco]" caption="RDTO_Blanco" attribute="1" defaultMemberUniqueName="[Tabla_master_rend 1].[RDTO_Blanco].[All]" allUniqueName="[Tabla_master_rend 1].[RDTO_Blanco].[All]" dimensionUniqueName="[Tabla_master_rend 1]" displayFolder="" count="0" memberValueDatatype="5" unbalanced="0"/>
    <cacheHierarchy uniqueName="[Tabla_master_rend 1].[RDTO_NETO]" caption="RDTO_NETO" attribute="1" defaultMemberUniqueName="[Tabla_master_rend 1].[RDTO_NETO].[All]" allUniqueName="[Tabla_master_rend 1].[RDTO_NETO].[All]" dimensionUniqueName="[Tabla_master_rend 1]" displayFolder="" count="0" memberValueDatatype="5" unbalanced="0"/>
    <cacheHierarchy uniqueName="[Tabla_master_rend 1].[REND_TARGET]" caption="REND_TARGET" attribute="1" defaultMemberUniqueName="[Tabla_master_rend 1].[REND_TARGET].[All]" allUniqueName="[Tabla_master_rend 1].[REND_TARGET].[All]" dimensionUniqueName="[Tabla_master_rend 1]" displayFolder="" count="0" memberValueDatatype="5" unbalanced="0"/>
    <cacheHierarchy uniqueName="[Tabla_master_rend 1].[Kg_Solidos_leche]" caption="Kg_Solidos_leche" attribute="1" defaultMemberUniqueName="[Tabla_master_rend 1].[Kg_Solidos_leche].[All]" allUniqueName="[Tabla_master_rend 1].[Kg_Solidos_leche].[All]" dimensionUniqueName="[Tabla_master_rend 1]" displayFolder="" count="0" memberValueDatatype="5" unbalanced="0"/>
    <cacheHierarchy uniqueName="[Tabla_master_rend 1].[%MG_QUESO]" caption="%MG_QUESO" attribute="1" defaultMemberUniqueName="[Tabla_master_rend 1].[%MG_QUESO].[All]" allUniqueName="[Tabla_master_rend 1].[%MG_QUESO].[All]" dimensionUniqueName="[Tabla_master_rend 1]" displayFolder="" count="0" memberValueDatatype="5" unbalanced="0"/>
    <cacheHierarchy uniqueName="[Tabla_master_rend 1].[%PT_QUESO]" caption="%PT_QUESO" attribute="1" defaultMemberUniqueName="[Tabla_master_rend 1].[%PT_QUESO].[All]" allUniqueName="[Tabla_master_rend 1].[%PT_QUESO].[All]" dimensionUniqueName="[Tabla_master_rend 1]" displayFolder="" count="0" memberValueDatatype="5" unbalanced="0"/>
    <cacheHierarchy uniqueName="[Tabla_master_rend 1].[ES_QUESO]" caption="ES_QUESO" attribute="1" defaultMemberUniqueName="[Tabla_master_rend 1].[ES_QUESO].[All]" allUniqueName="[Tabla_master_rend 1].[ES_QUESO].[All]" dimensionUniqueName="[Tabla_master_rend 1]" displayFolder="" count="0" memberValueDatatype="5" unbalanced="0"/>
    <cacheHierarchy uniqueName="[Tabla_master_rend 1].[Rendimiento_Solidos_%]" caption="Rendimiento_Solidos_%" attribute="1" defaultMemberUniqueName="[Tabla_master_rend 1].[Rendimiento_Solidos_%].[All]" allUniqueName="[Tabla_master_rend 1].[Rendimiento_Solidos_%].[All]" dimensionUniqueName="[Tabla_master_rend 1]" displayFolder="" count="0" memberValueDatatype="5" unbalanced="0"/>
    <cacheHierarchy uniqueName="[Tabla_master_rend 1].[Kg_MG_Nata]" caption="Kg_MG_Nata" attribute="1" defaultMemberUniqueName="[Tabla_master_rend 1].[Kg_MG_Nata].[All]" allUniqueName="[Tabla_master_rend 1].[Kg_MG_Nata].[All]" dimensionUniqueName="[Tabla_master_rend 1]" displayFolder="" count="0" memberValueDatatype="5" unbalanced="0"/>
    <cacheHierarchy uniqueName="[Tabla_master_rend 1].[%RECUP_MG]" caption="%RECUP_MG" attribute="1" defaultMemberUniqueName="[Tabla_master_rend 1].[%RECUP_MG].[All]" allUniqueName="[Tabla_master_rend 1].[%RECUP_MG].[All]" dimensionUniqueName="[Tabla_master_rend 1]" displayFolder="" count="0" memberValueDatatype="5" unbalanced="0"/>
    <cacheHierarchy uniqueName="[Tabla_master_rend 1].[%RECUP_PT]" caption="%RECUP_PT" attribute="1" defaultMemberUniqueName="[Tabla_master_rend 1].[%RECUP_PT].[All]" allUniqueName="[Tabla_master_rend 1].[%RECUP_PT].[All]" dimensionUniqueName="[Tabla_master_rend 1]" displayFolder="" count="0" memberValueDatatype="5" unbalanced="0"/>
    <cacheHierarchy uniqueName="[Tabla_master_rend 1].[Valor_Nata_€]" caption="Valor_Nata_€" attribute="1" defaultMemberUniqueName="[Tabla_master_rend 1].[Valor_Nata_€].[All]" allUniqueName="[Tabla_master_rend 1].[Valor_Nata_€].[All]" dimensionUniqueName="[Tabla_master_rend 1]" displayFolder="" count="0" memberValueDatatype="5" unbalanced="0"/>
    <cacheHierarchy uniqueName="[Tabla_master_rend 1].[Kg_Finos]" caption="Kg_Finos" attribute="1" defaultMemberUniqueName="[Tabla_master_rend 1].[Kg_Finos].[All]" allUniqueName="[Tabla_master_rend 1].[Kg_Finos].[All]" dimensionUniqueName="[Tabla_master_rend 1]" displayFolder="" count="0" memberValueDatatype="5" unbalanced="0"/>
    <cacheHierarchy uniqueName="[Tabla_master_rend 1].[Kg_Llenadora]" caption="Kg_Llenadora" attribute="1" defaultMemberUniqueName="[Tabla_master_rend 1].[Kg_Llenadora].[All]" allUniqueName="[Tabla_master_rend 1].[Kg_Llenadora].[All]" dimensionUniqueName="[Tabla_master_rend 1]" displayFolder="" count="0" memberValueDatatype="5" unbalanced="0"/>
    <cacheHierarchy uniqueName="[Tabla_master_rend 1].[Kg_Desmoldeo]" caption="Kg_Desmoldeo" attribute="1" defaultMemberUniqueName="[Tabla_master_rend 1].[Kg_Desmoldeo].[All]" allUniqueName="[Tabla_master_rend 1].[Kg_Desmoldeo].[All]" dimensionUniqueName="[Tabla_master_rend 1]" displayFolder="" count="0" memberValueDatatype="5" unbalanced="0"/>
    <cacheHierarchy uniqueName="[Tabla_master_rend 1].[Merma_fab]" caption="Merma_fab" attribute="1" defaultMemberUniqueName="[Tabla_master_rend 1].[Merma_fab].[All]" allUniqueName="[Tabla_master_rend 1].[Merma_fab].[All]" dimensionUniqueName="[Tabla_master_rend 1]" displayFolder="" count="0" memberValueDatatype="5" unbalanced="0"/>
    <cacheHierarchy uniqueName="[Tabla_master_rend 1].[% Merma_fab2]" caption="% Merma_fab2" attribute="1" defaultMemberUniqueName="[Tabla_master_rend 1].[% Merma_fab2].[All]" allUniqueName="[Tabla_master_rend 1].[% Merma_fab2].[All]" dimensionUniqueName="[Tabla_master_rend 1]" displayFolder="" count="0" memberValueDatatype="5" unbalanced="0"/>
    <cacheHierarchy uniqueName="[Tabla_master_rend 1].[L_Agua]" caption="L_Agua" attribute="1" defaultMemberUniqueName="[Tabla_master_rend 1].[L_Agua].[All]" allUniqueName="[Tabla_master_rend 1].[L_Agua].[All]" dimensionUniqueName="[Tabla_master_rend 1]" displayFolder="" count="0" memberValueDatatype="20" unbalanced="0"/>
    <cacheHierarchy uniqueName="[Tabla_master_rend 1].[% oreo]" caption="% oreo" attribute="1" defaultMemberUniqueName="[Tabla_master_rend 1].[% oreo].[All]" allUniqueName="[Tabla_master_rend 1].[% oreo].[All]" dimensionUniqueName="[Tabla_master_rend 1]" displayFolder="" count="0" memberValueDatatype="5" unbalanced="0"/>
    <cacheHierarchy uniqueName="[Tabla_master_rend 1].[B_totales]" caption="B_totales" attribute="1" defaultMemberUniqueName="[Tabla_master_rend 1].[B_totales].[All]" allUniqueName="[Tabla_master_rend 1].[B_totales].[All]" dimensionUniqueName="[Tabla_master_rend 1]" displayFolder="" count="0" memberValueDatatype="20" unbalanced="0"/>
    <cacheHierarchy uniqueName="[Tabla_master_rend 1].[B_OK_uni]" caption="B_OK_uni" attribute="1" defaultMemberUniqueName="[Tabla_master_rend 1].[B_OK_uni].[All]" allUniqueName="[Tabla_master_rend 1].[B_OK_uni].[All]" dimensionUniqueName="[Tabla_master_rend 1]" displayFolder="" count="0" memberValueDatatype="20" unbalanced="0"/>
    <cacheHierarchy uniqueName="[Tabla_master_rend 1].[B_OK_kg]" caption="B_OK_kg" attribute="1" defaultMemberUniqueName="[Tabla_master_rend 1].[B_OK_kg].[All]" allUniqueName="[Tabla_master_rend 1].[B_OK_kg].[All]" dimensionUniqueName="[Tabla_master_rend 1]" displayFolder="" count="0" memberValueDatatype="20" unbalanced="0"/>
    <cacheHierarchy uniqueName="[Tabla_master_rend 1].[B_altas]" caption="B_altas" attribute="1" defaultMemberUniqueName="[Tabla_master_rend 1].[B_altas].[All]" allUniqueName="[Tabla_master_rend 1].[B_altas].[All]" dimensionUniqueName="[Tabla_master_rend 1]" displayFolder="" count="0" memberValueDatatype="20" unbalanced="0"/>
    <cacheHierarchy uniqueName="[Tabla_master_rend 1].[B_bajas]" caption="B_bajas" attribute="1" defaultMemberUniqueName="[Tabla_master_rend 1].[B_bajas].[All]" allUniqueName="[Tabla_master_rend 1].[B_bajas].[All]" dimensionUniqueName="[Tabla_master_rend 1]" displayFolder="" count="0" memberValueDatatype="20" unbalanced="0"/>
    <cacheHierarchy uniqueName="[Tabla_master_rend 1].[B_rotas]" caption="B_rotas" attribute="1" defaultMemberUniqueName="[Tabla_master_rend 1].[B_rotas].[All]" allUniqueName="[Tabla_master_rend 1].[B_rotas].[All]" dimensionUniqueName="[Tabla_master_rend 1]" displayFolder="" count="0" memberValueDatatype="20" unbalanced="0"/>
    <cacheHierarchy uniqueName="[Tabla_master_rend 1].[B_feas]" caption="B_feas" attribute="1" defaultMemberUniqueName="[Tabla_master_rend 1].[B_feas].[All]" allUniqueName="[Tabla_master_rend 1].[B_feas].[All]" dimensionUniqueName="[Tabla_master_rend 1]" displayFolder="" count="0" memberValueDatatype="20" unbalanced="0"/>
    <cacheHierarchy uniqueName="[Tabla_master_rend 1].[B_lab]" caption="B_lab" attribute="1" defaultMemberUniqueName="[Tabla_master_rend 1].[B_lab].[All]" allUniqueName="[Tabla_master_rend 1].[B_lab].[All]" dimensionUniqueName="[Tabla_master_rend 1]" displayFolder="" count="0" memberValueDatatype="20" unbalanced="0"/>
    <cacheHierarchy uniqueName="[Tabla_master_rend 1].[Kg_SalidaSecadero]" caption="Kg_SalidaSecadero" attribute="1" defaultMemberUniqueName="[Tabla_master_rend 1].[Kg_SalidaSecadero].[All]" allUniqueName="[Tabla_master_rend 1].[Kg_SalidaSecadero].[All]" dimensionUniqueName="[Tabla_master_rend 1]" displayFolder="" count="0" memberValueDatatype="20" unbalanced="0"/>
    <cacheHierarchy uniqueName="[Tabla_master_rend 1].[Kg_rebaba]" caption="Kg_rebaba" attribute="1" defaultMemberUniqueName="[Tabla_master_rend 1].[Kg_rebaba].[All]" allUniqueName="[Tabla_master_rend 1].[Kg_rebaba].[All]" dimensionUniqueName="[Tabla_master_rend 1]" displayFolder="" count="0" memberValueDatatype="20" unbalanced="0"/>
    <cacheHierarchy uniqueName="[Tabla_master_rend 1].[Kg_mer_env_real]" caption="Kg_mer_env_real" attribute="1" defaultMemberUniqueName="[Tabla_master_rend 1].[Kg_mer_env_real].[All]" allUniqueName="[Tabla_master_rend 1].[Kg_mer_env_real].[All]" dimensionUniqueName="[Tabla_master_rend 1]" displayFolder="" count="0" memberValueDatatype="5" unbalanced="0"/>
    <cacheHierarchy uniqueName="[Tabla_master_rend 1].[kg_mer_lab_real]" caption="kg_mer_lab_real" attribute="1" defaultMemberUniqueName="[Tabla_master_rend 1].[kg_mer_lab_real].[All]" allUniqueName="[Tabla_master_rend 1].[kg_mer_lab_real].[All]" dimensionUniqueName="[Tabla_master_rend 1]" displayFolder="" count="0" memberValueDatatype="5" unbalanced="0"/>
    <cacheHierarchy uniqueName="[Tabla_master_rend 1].[%Merma_env]" caption="%Merma_env" attribute="1" defaultMemberUniqueName="[Tabla_master_rend 1].[%Merma_env].[All]" allUniqueName="[Tabla_master_rend 1].[%Merma_env].[All]" dimensionUniqueName="[Tabla_master_rend 1]" displayFolder="" count="0" memberValueDatatype="5" unbalanced="0"/>
    <cacheHierarchy uniqueName="[Tabla_master_rend 1].[%Merma_env_corr]" caption="%Merma_env_corr" attribute="1" defaultMemberUniqueName="[Tabla_master_rend 1].[%Merma_env_corr].[All]" allUniqueName="[Tabla_master_rend 1].[%Merma_env_corr].[All]" dimensionUniqueName="[Tabla_master_rend 1]" displayFolder="" count="0" memberValueDatatype="5" unbalanced="0"/>
    <cacheHierarchy uniqueName="[Tabla_master_rend 1].[% merma TOT]" caption="% merma TOT" attribute="1" defaultMemberUniqueName="[Tabla_master_rend 1].[% merma TOT].[All]" allUniqueName="[Tabla_master_rend 1].[% merma TOT].[All]" dimensionUniqueName="[Tabla_master_rend 1]" displayFolder="" count="0" memberValueDatatype="5" unbalanced="0"/>
    <cacheHierarchy uniqueName="[Tabla_master_rend 1].[Merma_TOT]" caption="Merma_TOT" attribute="1" defaultMemberUniqueName="[Tabla_master_rend 1].[Merma_TOT].[All]" allUniqueName="[Tabla_master_rend 1].[Merma_TOT].[All]" dimensionUniqueName="[Tabla_master_rend 1]" displayFolder="" count="0" memberValueDatatype="5" unbalanced="0"/>
    <cacheHierarchy uniqueName="[Tabla_master_rend 1].[Kg_Env_Total]" caption="Kg_Env_Total" attribute="1" defaultMemberUniqueName="[Tabla_master_rend 1].[Kg_Env_Total].[All]" allUniqueName="[Tabla_master_rend 1].[Kg_Env_Total].[All]" dimensionUniqueName="[Tabla_master_rend 1]" displayFolder="" count="0" memberValueDatatype="5" unbalanced="0"/>
    <cacheHierarchy uniqueName="[Tabla_master_rend 1].[Coste_Leche_€]" caption="Coste_Leche_€" attribute="1" defaultMemberUniqueName="[Tabla_master_rend 1].[Coste_Leche_€].[All]" allUniqueName="[Tabla_master_rend 1].[Coste_Leche_€].[All]" dimensionUniqueName="[Tabla_master_rend 1]" displayFolder="" count="0" memberValueDatatype="5" unbalanced="0"/>
    <cacheHierarchy uniqueName="[Tabla_master_rend 1].[€/kg_MPQueso]" caption="€/kg_MPQueso" attribute="1" defaultMemberUniqueName="[Tabla_master_rend 1].[€/kg_MPQueso].[All]" allUniqueName="[Tabla_master_rend 1].[€/kg_MPQueso].[All]" dimensionUniqueName="[Tabla_master_rend 1]" displayFolder="" count="0" memberValueDatatype="5" unbalanced="0"/>
    <cacheHierarchy uniqueName="[Tabla_master_rend 1].[Merma_inic]" caption="Merma_inic" attribute="1" defaultMemberUniqueName="[Tabla_master_rend 1].[Merma_inic].[All]" allUniqueName="[Tabla_master_rend 1].[Merma_inic].[All]" dimensionUniqueName="[Tabla_master_rend 1]" displayFolder="" count="0" memberValueDatatype="5" unbalanced="0"/>
    <cacheHierarchy uniqueName="[Tabla_master_rend 1].[Recup_kg]" caption="Recup_kg" attribute="1" defaultMemberUniqueName="[Tabla_master_rend 1].[Recup_kg].[All]" allUniqueName="[Tabla_master_rend 1].[Recup_kg].[All]" dimensionUniqueName="[Tabla_master_rend 1]" displayFolder="" count="0" memberValueDatatype="5" unbalanced="0"/>
    <cacheHierarchy uniqueName="[Tabla_master_rend 1].[Recup_%]" caption="Recup_%" attribute="1" defaultMemberUniqueName="[Tabla_master_rend 1].[Recup_%].[All]" allUniqueName="[Tabla_master_rend 1].[Recup_%].[All]" dimensionUniqueName="[Tabla_master_rend 1]" displayFolder="" count="0" memberValueDatatype="5" unbalanced="0"/>
    <cacheHierarchy uniqueName="[Tabla_master_rend 1].[Merma_ppto fab]" caption="Merma_ppto fab" attribute="1" defaultMemberUniqueName="[Tabla_master_rend 1].[Merma_ppto fab].[All]" allUniqueName="[Tabla_master_rend 1].[Merma_ppto fab].[All]" dimensionUniqueName="[Tabla_master_rend 1]" displayFolder="" count="0" memberValueDatatype="5" unbalanced="0"/>
    <cacheHierarchy uniqueName="[Tabla_master_rend 1].[Merma_ppto oreo]" caption="Merma_ppto oreo" attribute="1" defaultMemberUniqueName="[Tabla_master_rend 1].[Merma_ppto oreo].[All]" allUniqueName="[Tabla_master_rend 1].[Merma_ppto oreo].[All]" dimensionUniqueName="[Tabla_master_rend 1]" displayFolder="" count="0" memberValueDatatype="5" unbalanced="0"/>
    <cacheHierarchy uniqueName="[Tabla_master_rend 1].[Merma_ppto Env/Enc]" caption="Merma_ppto Env/Enc" attribute="1" defaultMemberUniqueName="[Tabla_master_rend 1].[Merma_ppto Env/Enc].[All]" allUniqueName="[Tabla_master_rend 1].[Merma_ppto Env/Enc].[All]" dimensionUniqueName="[Tabla_master_rend 1]" displayFolder="" count="0" memberValueDatatype="5" unbalanced="0"/>
    <cacheHierarchy uniqueName="[Tabla_master_rend 1].[Merma_T ppto]" caption="Merma_T ppto" attribute="1" defaultMemberUniqueName="[Tabla_master_rend 1].[Merma_T ppto].[All]" allUniqueName="[Tabla_master_rend 1].[Merma_T ppto].[All]" dimensionUniqueName="[Tabla_master_rend 1]" displayFolder="" count="0" memberValueDatatype="5" unbalanced="0"/>
    <cacheHierarchy uniqueName="[Tabla_master_rend 1].[Merma_T ppto %]" caption="Merma_T ppto %" attribute="1" defaultMemberUniqueName="[Tabla_master_rend 1].[Merma_T ppto %].[All]" allUniqueName="[Tabla_master_rend 1].[Merma_T ppto %].[All]" dimensionUniqueName="[Tabla_master_rend 1]" displayFolder="" count="0" memberValueDatatype="5" unbalanced="0"/>
    <cacheHierarchy uniqueName="[Tabla_master_rend 1].[Merma_T real %]" caption="Merma_T real %" attribute="1" defaultMemberUniqueName="[Tabla_master_rend 1].[Merma_T real %].[All]" allUniqueName="[Tabla_master_rend 1].[Merma_T real %].[All]" dimensionUniqueName="[Tabla_master_rend 1]" displayFolder="" count="0" memberValueDatatype="5" unbalanced="0"/>
    <cacheHierarchy uniqueName="[Tabla_master_rend 1].[DIF R Vs PPTO]" caption="DIF R Vs PPTO" attribute="1" defaultMemberUniqueName="[Tabla_master_rend 1].[DIF R Vs PPTO].[All]" allUniqueName="[Tabla_master_rend 1].[DIF R Vs PPTO].[All]" dimensionUniqueName="[Tabla_master_rend 1]" displayFolder="" count="0" memberValueDatatype="5" unbalanced="0"/>
    <cacheHierarchy uniqueName="[Tabla_master_rend 1].[IMPACTO]" caption="IMPACTO" attribute="1" defaultMemberUniqueName="[Tabla_master_rend 1].[IMPACTO].[All]" allUniqueName="[Tabla_master_rend 1].[IMPACTO].[All]" dimensionUniqueName="[Tabla_master_rend 1]" displayFolder="" count="0" memberValueDatatype="5" unbalanced="0"/>
    <cacheHierarchy uniqueName="[Tabla_master_rend 1].[IMPACTO_vs_PPTO]" caption="IMPACTO_vs_PPTO" attribute="1" defaultMemberUniqueName="[Tabla_master_rend 1].[IMPACTO_vs_PPTO].[All]" allUniqueName="[Tabla_master_rend 1].[IMPACTO_vs_PPTO].[All]" dimensionUniqueName="[Tabla_master_rend 1]" displayFolder="" count="0" memberValueDatatype="5" unbalanced="0"/>
    <cacheHierarchy uniqueName="[Tabla_Precio_Venta].[Fecha]" caption="Fecha" attribute="1" defaultMemberUniqueName="[Tabla_Precio_Venta].[Fecha].[All]" allUniqueName="[Tabla_Precio_Venta].[Fecha].[All]" dimensionUniqueName="[Tabla_Precio_Venta]" displayFolder="" count="0" memberValueDatatype="130" unbalanced="0"/>
    <cacheHierarchy uniqueName="[Tabla_Precio_Venta].[Producto]" caption="Producto" attribute="1" defaultMemberUniqueName="[Tabla_Precio_Venta].[Producto].[All]" allUniqueName="[Tabla_Precio_Venta].[Producto].[All]" dimensionUniqueName="[Tabla_Precio_Venta]" displayFolder="" count="0" memberValueDatatype="130" unbalanced="0"/>
    <cacheHierarchy uniqueName="[Tabla_Precio_Venta].[Ventas (kg)]" caption="Ventas (kg)" attribute="1" defaultMemberUniqueName="[Tabla_Precio_Venta].[Ventas (kg)].[All]" allUniqueName="[Tabla_Precio_Venta].[Ventas (kg)].[All]" dimensionUniqueName="[Tabla_Precio_Venta]" displayFolder="" count="0" memberValueDatatype="20" unbalanced="0"/>
    <cacheHierarchy uniqueName="[Tabla_Precio_Venta].[PV_eur_kg]" caption="PV_eur_kg" attribute="1" defaultMemberUniqueName="[Tabla_Precio_Venta].[PV_eur_kg].[All]" allUniqueName="[Tabla_Precio_Venta].[PV_eur_kg].[All]" dimensionUniqueName="[Tabla_Precio_Venta]" displayFolder="" count="0" memberValueDatatype="5" unbalanced="0"/>
    <cacheHierarchy uniqueName="[tbl_DimFecha].[Fecha]" caption="Fecha" attribute="1" time="1" defaultMemberUniqueName="[tbl_DimFecha].[Fecha].[All]" allUniqueName="[tbl_DimFecha].[Fecha].[All]" dimensionUniqueName="[tbl_DimFecha]" displayFolder="" count="0" memberValueDatatype="7" unbalanced="0"/>
    <cacheHierarchy uniqueName="[tbl_DimFecha].[Año]" caption="Año" attribute="1" defaultMemberUniqueName="[tbl_DimFecha].[Año].[All]" allUniqueName="[tbl_DimFecha].[Año].[All]" dimensionUniqueName="[tbl_DimFecha]" displayFolder="" count="2" memberValueDatatype="20" unbalanced="0">
      <fieldsUsage count="2">
        <fieldUsage x="-1"/>
        <fieldUsage x="12"/>
      </fieldsUsage>
    </cacheHierarchy>
    <cacheHierarchy uniqueName="[tbl_DimFecha].[MesN]" caption="MesN" attribute="1" defaultMemberUniqueName="[tbl_DimFecha].[MesN].[All]" allUniqueName="[tbl_DimFecha].[MesN].[All]" dimensionUniqueName="[tbl_DimFecha]" displayFolder="" count="0" memberValueDatatype="20" unbalanced="0"/>
    <cacheHierarchy uniqueName="[tbl_DimFecha].[Mes]" caption="Mes" attribute="1" defaultMemberUniqueName="[tbl_DimFecha].[Mes].[All]" allUniqueName="[tbl_DimFecha].[Mes].[All]" dimensionUniqueName="[tbl_DimFecha]" displayFolder="" count="0" memberValueDatatype="130" unbalanced="0"/>
    <cacheHierarchy uniqueName="[tbl_DimFecha].[AñoMes]" caption="AñoMes" attribute="1" defaultMemberUniqueName="[tbl_DimFecha].[AñoMes].[All]" allUniqueName="[tbl_DimFecha].[AñoMes].[All]" dimensionUniqueName="[tbl_DimFecha]" displayFolder="" count="2" memberValueDatatype="130" unbalanced="0">
      <fieldsUsage count="2">
        <fieldUsage x="-1"/>
        <fieldUsage x="0"/>
      </fieldsUsage>
    </cacheHierarchy>
    <cacheHierarchy uniqueName="[tbl_DimFecha].[SemanaISO]" caption="SemanaISO" attribute="1" defaultMemberUniqueName="[tbl_DimFecha].[SemanaISO].[All]" allUniqueName="[tbl_DimFecha].[SemanaISO].[All]" dimensionUniqueName="[tbl_DimFecha]" displayFolder="" count="0" memberValueDatatype="20" unbalanced="0"/>
    <cacheHierarchy uniqueName="[tbl_DimFecha].[AñoSemana]" caption="AñoSemana" attribute="1" defaultMemberUniqueName="[tbl_DimFecha].[AñoSemana].[All]" allUniqueName="[tbl_DimFecha].[AñoSemana].[All]" dimensionUniqueName="[tbl_DimFecha]" displayFolder="" count="0" memberValueDatatype="130" unbalanced="0"/>
    <cacheHierarchy uniqueName="[tbl_DimFecha].[DiaSemanaN]" caption="DiaSemanaN" attribute="1" defaultMemberUniqueName="[tbl_DimFecha].[DiaSemanaN].[All]" allUniqueName="[tbl_DimFecha].[DiaSemanaN].[All]" dimensionUniqueName="[tbl_DimFecha]" displayFolder="" count="0" memberValueDatatype="20" unbalanced="0"/>
    <cacheHierarchy uniqueName="[tbl_DimFecha].[DiaSemana]" caption="DiaSemana" attribute="1" defaultMemberUniqueName="[tbl_DimFecha].[DiaSemana].[All]" allUniqueName="[tbl_DimFecha].[DiaSemana].[All]" dimensionUniqueName="[tbl_DimFecha]" displayFolder="" count="0" memberValueDatatype="130" unbalanced="0"/>
    <cacheHierarchy uniqueName="[tbl_DimFecha].[Mes_Orden]" caption="Mes_Orden" attribute="1" defaultMemberUniqueName="[tbl_DimFecha].[Mes_Orden].[All]" allUniqueName="[tbl_DimFecha].[Mes_Orden].[All]" dimensionUniqueName="[tbl_DimFecha]" displayFolder="" count="0" memberValueDatatype="130" unbalanced="0"/>
    <cacheHierarchy uniqueName="[tbl_DimProducto].[Producto]" caption="Producto" attribute="1" defaultMemberUniqueName="[tbl_DimProducto].[Producto].[All]" allUniqueName="[tbl_DimProducto].[Producto].[All]" dimensionUniqueName="[tbl_DimProducto]" displayFolder="" count="0" memberValueDatatype="130" unbalanced="0"/>
    <cacheHierarchy uniqueName="[tbl_DimProducto].[Producto_id]" caption="Producto_id" attribute="1" defaultMemberUniqueName="[tbl_DimProducto].[Producto_id].[All]" allUniqueName="[tbl_DimProducto].[Producto_id].[All]" dimensionUniqueName="[tbl_DimProducto]" displayFolder="" count="0" memberValueDatatype="130" unbalanced="0"/>
    <cacheHierarchy uniqueName="[tbl_DimProducto].[Categoría]" caption="Categoría" attribute="1" defaultMemberUniqueName="[tbl_DimProducto].[Categoría].[All]" allUniqueName="[tbl_DimProducto].[Categoría].[All]" dimensionUniqueName="[tbl_DimProducto]" displayFolder="" count="2" memberValueDatatype="130" unbalanced="0"/>
    <cacheHierarchy uniqueName="[tbl_DimProducto].[PesoBarra_kg]" caption="PesoBarra_kg" attribute="1" defaultMemberUniqueName="[tbl_DimProducto].[PesoBarra_kg].[All]" allUniqueName="[tbl_DimProducto].[PesoBarra_kg].[All]" dimensionUniqueName="[tbl_DimProducto]" displayFolder="" count="0" memberValueDatatype="5" unbalanced="0"/>
    <cacheHierarchy uniqueName="[tbl_PrecioLeche].[Año]" caption="Año" attribute="1" defaultMemberUniqueName="[tbl_PrecioLeche].[Año].[All]" allUniqueName="[tbl_PrecioLeche].[Año].[All]" dimensionUniqueName="[tbl_PrecioLeche]" displayFolder="" count="0" memberValueDatatype="20" unbalanced="0"/>
    <cacheHierarchy uniqueName="[tbl_PrecioLeche].[AñoMes]" caption="AñoMes" attribute="1" defaultMemberUniqueName="[tbl_PrecioLeche].[AñoMes].[All]" allUniqueName="[tbl_PrecioLeche].[AñoMes].[All]" dimensionUniqueName="[tbl_PrecioLeche]" displayFolder="" count="0" memberValueDatatype="130" unbalanced="0"/>
    <cacheHierarchy uniqueName="[tbl_PrecioLeche].[Mes]" caption="Mes" attribute="1" defaultMemberUniqueName="[tbl_PrecioLeche].[Mes].[All]" allUniqueName="[tbl_PrecioLeche].[Mes].[All]" dimensionUniqueName="[tbl_PrecioLeche]" displayFolder="" count="0" memberValueDatatype="130" unbalanced="0"/>
    <cacheHierarchy uniqueName="[tbl_PrecioLeche].[Tipo_Leche]" caption="Tipo_Leche" attribute="1" defaultMemberUniqueName="[tbl_PrecioLeche].[Tipo_Leche].[All]" allUniqueName="[tbl_PrecioLeche].[Tipo_Leche].[All]" dimensionUniqueName="[tbl_PrecioLeche]" displayFolder="" count="0" memberValueDatatype="130" unbalanced="0"/>
    <cacheHierarchy uniqueName="[tbl_PrecioLeche].[Precio_base]" caption="Precio_base" attribute="1" defaultMemberUniqueName="[tbl_PrecioLeche].[Precio_base].[All]" allUniqueName="[tbl_PrecioLeche].[Precio_base].[All]" dimensionUniqueName="[tbl_PrecioLeche]" displayFolder="" count="0" memberValueDatatype="20" unbalanced="0"/>
    <cacheHierarchy uniqueName="[tbl_PrecioLeche].[Calidades]" caption="Calidades" attribute="1" defaultMemberUniqueName="[tbl_PrecioLeche].[Calidades].[All]" allUniqueName="[tbl_PrecioLeche].[Calidades].[All]" dimensionUniqueName="[tbl_PrecioLeche]" displayFolder="" count="0" memberValueDatatype="20" unbalanced="0"/>
    <cacheHierarchy uniqueName="[tbl_PrecioLeche].[Transporte]" caption="Transporte" attribute="1" defaultMemberUniqueName="[tbl_PrecioLeche].[Transporte].[All]" allUniqueName="[tbl_PrecioLeche].[Transporte].[All]" dimensionUniqueName="[tbl_PrecioLeche]" displayFolder="" count="0" memberValueDatatype="20" unbalanced="0"/>
    <cacheHierarchy uniqueName="[tbl_PrecioLeche].[PMV_eur_L]" caption="PMV_eur_L" attribute="1" defaultMemberUniqueName="[tbl_PrecioLeche].[PMV_eur_L].[All]" allUniqueName="[tbl_PrecioLeche].[PMV_eur_L].[All]" dimensionUniqueName="[tbl_PrecioLeche]" displayFolder="" count="0" memberValueDatatype="5" unbalanced="0"/>
    <cacheHierarchy uniqueName="[Tabla_master_rend].[Fecha (índice de meses)]" caption="Fecha (índice de meses)" attribute="1" defaultMemberUniqueName="[Tabla_master_rend].[Fecha (índice de meses)].[All]" allUniqueName="[Tabla_master_rend].[Fecha (índice de meses)].[All]" dimensionUniqueName="[Tabla_master_rend]" displayFolder="" count="0" memberValueDatatype="20" unbalanced="0" hidden="1"/>
    <cacheHierarchy uniqueName="[Measures].[Litros_Leche]" caption="Litros_Leche" measure="1" displayFolder="" measureGroup="Tabla_master_rend" count="0" oneField="1">
      <fieldsUsage count="1">
        <fieldUsage x="3"/>
      </fieldsUsage>
    </cacheHierarchy>
    <cacheHierarchy uniqueName="[Measures].[kg_Blancos]" caption="kg_Blancos" measure="1" displayFolder="" measureGroup="Tabla_master_rend" count="0" oneField="1">
      <fieldsUsage count="1">
        <fieldUsage x="4"/>
      </fieldsUsage>
    </cacheHierarchy>
    <cacheHierarchy uniqueName="[Measures].[Kg_secadero]" caption="Kg_secadero" measure="1" displayFolder="" measureGroup="Tabla_master_rend" count="0" oneField="1">
      <fieldsUsage count="1">
        <fieldUsage x="5"/>
      </fieldsUsage>
    </cacheHierarchy>
    <cacheHierarchy uniqueName="[Measures].[Merma_TOT_kg]" caption="Merma_TOT_kg" measure="1" displayFolder="" measureGroup="Tabla_master_rend" count="0"/>
    <cacheHierarchy uniqueName="[Measures].[Merma_env_kg]" caption="Merma_env_kg" measure="1" displayFolder="" measureGroup="Tabla_master_rend" count="0"/>
    <cacheHierarchy uniqueName="[Measures].[Impacto_EUR]" caption="Impacto_EUR" measure="1" displayFolder="" measureGroup="Tabla_master_rend" count="0" oneField="1">
      <fieldsUsage count="1">
        <fieldUsage x="9"/>
      </fieldsUsage>
    </cacheHierarchy>
    <cacheHierarchy uniqueName="[Measures].[RDTO_Blanco_kg]" caption="RDTO_Blanco_kg" measure="1" displayFolder="" measureGroup="Tabla_master_rend" count="0"/>
    <cacheHierarchy uniqueName="[Measures].[Merma_env_pct]" caption="Merma_env_pct" measure="1" displayFolder="" measureGroup="Tabla_master_rend" count="0"/>
    <cacheHierarchy uniqueName="[Measures].[B_totales_u]" caption="B_totales_u" measure="1" displayFolder="" measureGroup="Tabla_master_rend" count="0"/>
    <cacheHierarchy uniqueName="[Measures].[Feas_pct]" caption="Feas_pct" measure="1" displayFolder="" measureGroup="Tabla_master_rend" count="0"/>
    <cacheHierarchy uniqueName="[Measures].[Bajas_pct]" caption="Bajas_pct" measure="1" displayFolder="" measureGroup="Tabla_master_rend" count="0"/>
    <cacheHierarchy uniqueName="[Measures].[Rotas_pct]" caption="Rotas_pct" measure="1" displayFolder="" measureGroup="Tabla_master_rend" count="0"/>
    <cacheHierarchy uniqueName="[Measures].[Recup_kg_sum]" caption="Recup_kg_sum" measure="1" displayFolder="" measureGroup="Tabla_master_rend" count="0"/>
    <cacheHierarchy uniqueName="[Measures].[Merma_inic_kg]" caption="Merma_inic_kg" measure="1" displayFolder="" measureGroup="Tabla_master_rend" count="0"/>
    <cacheHierarchy uniqueName="[Measures].[Recup_pct]" caption="Recup_pct" measure="1" displayFolder="" measureGroup="Tabla_master_rend" count="0" oneField="1">
      <fieldsUsage count="1">
        <fieldUsage x="1"/>
      </fieldsUsage>
    </cacheHierarchy>
    <cacheHierarchy uniqueName="[Measures].[Merma_env_corregida_kg]" caption="Merma_env_corregida_kg" measure="1" displayFolder="" measureGroup="Tabla_master_rend" count="0"/>
    <cacheHierarchy uniqueName="[Measures].[Merma_env_corregida_pct]" caption="Merma_env_corregida_pct" measure="1" displayFolder="" measureGroup="Tabla_master_rend" count="0" oneField="1">
      <fieldsUsage count="1">
        <fieldUsage x="8"/>
      </fieldsUsage>
    </cacheHierarchy>
    <cacheHierarchy uniqueName="[Measures].[Merma_TOT_pct]" caption="Merma_TOT_pct" measure="1" displayFolder="" measureGroup="Tabla_master_rend" count="0" oneField="1">
      <fieldsUsage count="1">
        <fieldUsage x="2"/>
      </fieldsUsage>
    </cacheHierarchy>
    <cacheHierarchy uniqueName="[Measures].[Labo_pct]" caption="Labo_pct" measure="1" displayFolder="" measureGroup="Tabla_master_rend" count="0"/>
    <cacheHierarchy uniqueName="[Measures].[Recup_MG_pct_pond]" caption="Recup_MG_pct_pond" measure="1" displayFolder="" measureGroup="Tabla_master_rend" count="0"/>
    <cacheHierarchy uniqueName="[Measures].[Recup_PT_pct_pond]" caption="Recup_PT_pct_pond" measure="1" displayFolder="" measureGroup="Tabla_master_rend" count="0"/>
    <cacheHierarchy uniqueName="[Measures].[Suero_vs_Leche]" caption="Suero_vs_Leche" measure="1" displayFolder="" measureGroup="Tabla_master_rend" count="0"/>
    <cacheHierarchy uniqueName="[Measures].[MG_suero_pct_pond]" caption="MG_suero_pct_pond" measure="1" displayFolder="" measureGroup="Tabla_master_rend" count="0"/>
    <cacheHierarchy uniqueName="[Measures].[PT_suero_pct_pond]" caption="PT_suero_pct_pond" measure="1" displayFolder="" measureGroup="Tabla_master_rend" count="0"/>
    <cacheHierarchy uniqueName="[Measures].[Nata_leche_L]" caption="Nata_leche_L" measure="1" displayFolder="" measureGroup="Tabla_master_rend" count="0"/>
    <cacheHierarchy uniqueName="[Measures].[Nata_suero_L]" caption="Nata_suero_L" measure="1" displayFolder="" measureGroup="Tabla_master_rend" count="0"/>
    <cacheHierarchy uniqueName="[Measures].[Nata_suero_pct]" caption="Nata_suero_pct" measure="1" displayFolder="" measureGroup="Tabla_master_rend" count="0"/>
    <cacheHierarchy uniqueName="[Measures].[Valor_Nata_EUR]" caption="Valor_Nata_EUR" measure="1" displayFolder="" measureGroup="Tabla_master_rend" count="0"/>
    <cacheHierarchy uniqueName="[Measures].[Nata_Total_L]" caption="Nata_Total_L" measure="1" displayFolder="" measureGroup="Tabla_master_rend" count="0"/>
    <cacheHierarchy uniqueName="[Measures].[Solidos_leche_kg]" caption="Solidos_leche_kg" measure="1" displayFolder="" measureGroup="Tabla_master_rend" count="0"/>
    <cacheHierarchy uniqueName="[Measures].[Solidos_en_queso_kg]" caption="Solidos_en_queso_kg" measure="1" displayFolder="" measureGroup="Tabla_master_rend" count="0"/>
    <cacheHierarchy uniqueName="[Measures].[Recup_solidos_a_queso_pct]" caption="Recup_solidos_a_queso_pct" measure="1" displayFolder="" measureGroup="Tabla_master_rend" count="0"/>
    <cacheHierarchy uniqueName="[Measures].[Suero_kg_aprox]" caption="Suero_kg_aprox" measure="1" displayFolder="" measureGroup="Tabla_master_rend" count="0"/>
    <cacheHierarchy uniqueName="[Measures].[Solidos_principales_suero_kg]" caption="Solidos_principales_suero_kg" measure="1" displayFolder="" measureGroup="Tabla_master_rend" count="0"/>
    <cacheHierarchy uniqueName="[Measures].[Solidos_principales_suero_pct_sobre_leche]" caption="Solidos_principales_suero_pct_sobre_leche" measure="1" displayFolder="" measureGroup="Tabla_master_rend" count="0"/>
    <cacheHierarchy uniqueName="[Measures].[Solidos_gap_kg]" caption="Solidos_gap_kg" measure="1" displayFolder="" measureGroup="Tabla_master_rend" count="0"/>
    <cacheHierarchy uniqueName="[Measures].[MG_a_nata_leche_kg]" caption="MG_a_nata_leche_kg" measure="1" displayFolder="" measureGroup="Tabla_master_rend" count="0"/>
    <cacheHierarchy uniqueName="[Measures].[MG_a_nata_leche_pct_sobre_solidos]" caption="MG_a_nata_leche_pct_sobre_solidos" measure="1" displayFolder="" measureGroup="Tabla_master_rend" count="0"/>
    <cacheHierarchy uniqueName="[Measures].[Solidos_leche_FP_kg]" caption="Solidos_leche_FP_kg" measure="1" displayFolder="" measureGroup="Tabla_master_rend" count="0"/>
    <cacheHierarchy uniqueName="[Measures].[Solidos_queso_FP_kg]" caption="Solidos_queso_FP_kg" measure="1" displayFolder="" measureGroup="Tabla_master_rend" count="0"/>
    <cacheHierarchy uniqueName="[Measures].[Solidos_suero_FP_kg]" caption="Solidos_suero_FP_kg" measure="1" displayFolder="" measureGroup="Tabla_master_rend" count="0"/>
    <cacheHierarchy uniqueName="[Measures].[Solidos_GAP_des_pct]" caption="Solidos_GAP_des_pct" measure="1" displayFolder="" measureGroup="Tabla_master_rend" count="0"/>
    <cacheHierarchy uniqueName="[Measures].[RDTO_neto_pond]" caption="RDTO_neto_pond" measure="1" displayFolder="" measureGroup="Tabla_master_rend" count="0" oneField="1">
      <fieldsUsage count="1">
        <fieldUsage x="6"/>
      </fieldsUsage>
    </cacheHierarchy>
    <cacheHierarchy uniqueName="[Measures].[Recup_FP_queso_pct]" caption="Recup_FP_queso_pct" measure="1" displayFolder="" measureGroup="Tabla_master_rend" count="0" oneField="1">
      <fieldsUsage count="1">
        <fieldUsage x="7"/>
      </fieldsUsage>
    </cacheHierarchy>
    <cacheHierarchy uniqueName="[Measures].[IMPACTO_VS__PPTO]" caption="IMPACTO_VS__PPTO" measure="1" displayFolder="" measureGroup="Tabla_master_rend" count="0"/>
    <cacheHierarchy uniqueName="[Measures].[€/kg_MP_Queso]" caption="€/kg_MP_Queso" measure="1" displayFolder="" measureGroup="Tabla_master_rend" count="0" oneField="1">
      <fieldsUsage count="1">
        <fieldUsage x="10"/>
      </fieldsUsage>
    </cacheHierarchy>
    <cacheHierarchy uniqueName="[Measures].[Merma_TOT_%_blanco_a_vendible]" caption="Merma_TOT_%_blanco_a_vendible" measure="1" displayFolder="" measureGroup="Tabla_master_rend" count="0"/>
    <cacheHierarchy uniqueName="[Measures].[Merma_TOT_kg_blanco_a_vendible :]" caption="Merma_TOT_kg_blanco_a_vendible :" measure="1" displayFolder="" measureGroup="Tabla_master_rend" count="0"/>
    <cacheHierarchy uniqueName="[Measures].[Gap_solidos_pct]" caption="Gap_solidos_pct" measure="1" displayFolder="" measureGroup="Tabla_master_rend" count="0"/>
    <cacheHierarchy uniqueName="[Measures].[Kg_saladero_tons]" caption="Kg_saladero_tons" measure="1" displayFolder="" measureGroup="Tabla_master_rend" count="0"/>
    <cacheHierarchy uniqueName="[Measures].[Suero_L]" caption="Suero_L" measure="1" displayFolder="" measureGroup="Tabla_master_rend" count="0"/>
    <cacheHierarchy uniqueName="[Measures].[%_Merma_Finos]" caption="%_Merma_Finos" measure="1" displayFolder="" measureGroup="Tabla_master_rend" count="0"/>
    <cacheHierarchy uniqueName="[Measures].[%_Merma_Llenadora]" caption="%_Merma_Llenadora" measure="1" displayFolder="" measureGroup="Tabla_master_rend" count="0"/>
    <cacheHierarchy uniqueName="[Measures].[%_Merma_Desm]" caption="%_Merma_Desm" measure="1" displayFolder="" measureGroup="Tabla_master_rend" count="0"/>
    <cacheHierarchy uniqueName="[Measures].[%_Merma_oreo]" caption="%_Merma_oreo" measure="1" displayFolder="" measureGroup="Tabla_master_rend" count="0"/>
    <cacheHierarchy uniqueName="[Measures].[__XL_Count tbl_DimProducto]" caption="__XL_Count tbl_DimProducto" measure="1" displayFolder="" measureGroup="tbl_DimProducto" count="0" hidden="1"/>
    <cacheHierarchy uniqueName="[Measures].[__XL_Count tbl_FactRendFecha]" caption="__XL_Count tbl_FactRendFecha" measure="1" displayFolder="" measureGroup="tbl_DimFecha" count="0" hidden="1"/>
    <cacheHierarchy uniqueName="[Measures].[__XL_Count Tabla_master_rend]" caption="__XL_Count Tabla_master_rend" measure="1" displayFolder="" measureGroup="Tabla_master_rend" count="0" hidden="1"/>
    <cacheHierarchy uniqueName="[Measures].[__XL_Count REND_TARGET]" caption="__XL_Count REND_TARGET" measure="1" displayFolder="" measureGroup="REND_TARGET" count="0" hidden="1"/>
    <cacheHierarchy uniqueName="[Measures].[__XL_Count Tabla_master_rend 1]" caption="__XL_Count Tabla_master_rend 1" measure="1" displayFolder="" measureGroup="Tabla_master_rend 1" count="0" hidden="1"/>
    <cacheHierarchy uniqueName="[Measures].[__XL_Count Tabla_Precio_Venta]" caption="__XL_Count Tabla_Precio_Venta" measure="1" displayFolder="" measureGroup="Tabla_Precio_Venta" count="0" hidden="1"/>
    <cacheHierarchy uniqueName="[Measures].[__XL_Count tbl_PrecioLeche]" caption="__XL_Count tbl_PrecioLeche" measure="1" displayFolder="" measureGroup="tbl_PrecioLeche" count="0" hidden="1"/>
    <cacheHierarchy uniqueName="[Measures].[__XL_Count Tabla_Contabilidad]" caption="__XL_Count Tabla_Contabilidad" measure="1" displayFolder="" measureGroup="Tabla_Contabilidad" count="0" hidden="1"/>
    <cacheHierarchy uniqueName="[Measures].[__No measures defined]" caption="__No measures defined" measure="1" displayFolder="" count="0" hidden="1"/>
    <cacheHierarchy uniqueName="[Measures].[Sum of Rend_Ntarget]" caption="Sum of Rend_Ntarget" measure="1" displayFolder="" measureGroup="REND_TARG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imum of Rend_Ntarget]" caption="Maximum of Rend_Ntarget" measure="1" displayFolder="" measureGroup="REND_TARG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REND_TARGET]" caption="Suma de REND_TARGET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Promedio de REND_TARGET]" caption="Promedio de REND_TARGET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RDTO_NETO]" caption="Suma de RDTO_NETO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Kg_Finos]" caption="Suma de Kg_Finos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Kg_Llenadora]" caption="Suma de Kg_Llenadora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Kg_Desmoldeo]" caption="Suma de Kg_Desmoldeo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de Merma_fab]" caption="Suma de Merma_fab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Recuento de L_Agua]" caption="Recuento de L_Agua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de %Merma_env_corr]" caption="Suma de %Merma_env_corr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Promedio de %Merma_env_corr]" caption="Promedio de %Merma_env_corr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a de Gastos Estructura (€∕mes)]" caption="Suma de Gastos Estructura (€∕mes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Gastos Estructura (€∕mes)]" caption="Promedio de Gastos Estructura (€∕mes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BITDA  (M€)]" caption="Suma de EBITDA  (M€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BITDA  (M€)]" caption="Promedio de EBITDA  (M€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9">
    <dimension measure="1" name="Measures" uniqueName="[Measures]" caption="Measures"/>
    <dimension name="REND_TARGET" uniqueName="[REND_TARGET]" caption="REND_TARGET"/>
    <dimension name="Tabla_Contabilidad" uniqueName="[Tabla_Contabilidad]" caption="Tabla_Contabilidad"/>
    <dimension name="Tabla_master_rend" uniqueName="[Tabla_master_rend]" caption="Tabla_master_rend"/>
    <dimension name="Tabla_master_rend 1" uniqueName="[Tabla_master_rend 1]" caption="Tabla_master_rend 1"/>
    <dimension name="Tabla_Precio_Venta" uniqueName="[Tabla_Precio_Venta]" caption="Tabla_Precio_Venta"/>
    <dimension name="tbl_DimFecha" uniqueName="[tbl_DimFecha]" caption="tbl_DimFecha"/>
    <dimension name="tbl_DimProducto" uniqueName="[tbl_DimProducto]" caption="tbl_DimProducto"/>
    <dimension name="tbl_PrecioLeche" uniqueName="[tbl_PrecioLeche]" caption="tbl_PrecioLeche"/>
  </dimensions>
  <measureGroups count="8">
    <measureGroup name="REND_TARGET" caption="REND_TARGET"/>
    <measureGroup name="Tabla_Contabilidad" caption="Tabla_Contabilidad"/>
    <measureGroup name="Tabla_master_rend" caption="Tabla_master_rend"/>
    <measureGroup name="Tabla_master_rend 1" caption="Tabla_master_rend 1"/>
    <measureGroup name="Tabla_Precio_Venta" caption="Tabla_Precio_Venta"/>
    <measureGroup name="tbl_DimFecha" caption="tbl_DimFecha"/>
    <measureGroup name="tbl_DimProducto" caption="tbl_DimProducto"/>
    <measureGroup name="tbl_PrecioLeche" caption="tbl_PrecioLeche"/>
  </measureGroups>
  <maps count="13">
    <map measureGroup="0" dimension="1"/>
    <map measureGroup="0" dimension="7"/>
    <map measureGroup="1" dimension="2"/>
    <map measureGroup="2" dimension="3"/>
    <map measureGroup="2" dimension="6"/>
    <map measureGroup="2" dimension="7"/>
    <map measureGroup="3" dimension="4"/>
    <map measureGroup="4" dimension="5"/>
    <map measureGroup="4" dimension="6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os Colasante" refreshedDate="46134.996703703706" backgroundQuery="1" createdVersion="8" refreshedVersion="8" minRefreshableVersion="3" recordCount="0" supportSubquery="1" supportAdvancedDrill="1" xr:uid="{5E3C38F5-0017-4B6C-9DC9-31E955D0073F}">
  <cacheSource type="external" connectionId="4"/>
  <cacheFields count="7">
    <cacheField name="[Measures].[%_Merma_Finos]" caption="%_Merma_Finos" numFmtId="0" hierarchy="259" level="32767"/>
    <cacheField name="[Measures].[%_Merma_Llenadora]" caption="%_Merma_Llenadora" numFmtId="0" hierarchy="260" level="32767"/>
    <cacheField name="[Measures].[%_Merma_Desm]" caption="%_Merma_Desm" numFmtId="0" hierarchy="261" level="32767"/>
    <cacheField name="[Measures].[%_Merma_oreo]" caption="%_Merma_oreo" numFmtId="0" hierarchy="262" level="32767"/>
    <cacheField name="[Measures].[Promedio de %Merma_env_corr]" caption="Promedio de %Merma_env_corr" numFmtId="0" hierarchy="283" level="32767"/>
    <cacheField name="[Tabla_master_rend].[Mes_Nom].[Mes_Nom]" caption="Mes_Nom" numFmtId="0" hierarchy="14" level="1">
      <sharedItems count="3">
        <s v="ENE"/>
        <s v="FEB"/>
        <s v="MAR"/>
      </sharedItems>
    </cacheField>
    <cacheField name="[tbl_DimFecha].[Año].[Año]" caption="Año" numFmtId="0" hierarchy="186" level="1">
      <sharedItems containsSemiMixedTypes="0" containsNonDate="0" containsString="0"/>
    </cacheField>
  </cacheFields>
  <cacheHierarchies count="288">
    <cacheHierarchy uniqueName="[REND_TARGET].[Producto]" caption="Producto" attribute="1" defaultMemberUniqueName="[REND_TARGET].[Producto].[All]" allUniqueName="[REND_TARGET].[Producto].[All]" dimensionUniqueName="[REND_TARGET]" displayFolder="" count="0" memberValueDatatype="130" unbalanced="0"/>
    <cacheHierarchy uniqueName="[REND_TARGET].[Rendimiento Blanco]" caption="Rendimiento Blanco" attribute="1" defaultMemberUniqueName="[REND_TARGET].[Rendimiento Blanco].[All]" allUniqueName="[REND_TARGET].[Rendimiento Blanco].[All]" dimensionUniqueName="[REND_TARGET]" displayFolder="" count="0" memberValueDatatype="5" unbalanced="0"/>
    <cacheHierarchy uniqueName="[REND_TARGET].[Merma Fabr]" caption="Merma Fabr" attribute="1" defaultMemberUniqueName="[REND_TARGET].[Merma Fabr].[All]" allUniqueName="[REND_TARGET].[Merma Fabr].[All]" dimensionUniqueName="[REND_TARGET]" displayFolder="" count="0" memberValueDatatype="5" unbalanced="0"/>
    <cacheHierarchy uniqueName="[REND_TARGET].[Merma Oreo]" caption="Merma Oreo" attribute="1" defaultMemberUniqueName="[REND_TARGET].[Merma Oreo].[All]" allUniqueName="[REND_TARGET].[Merma Oreo].[All]" dimensionUniqueName="[REND_TARGET]" displayFolder="" count="0" memberValueDatatype="5" unbalanced="0"/>
    <cacheHierarchy uniqueName="[REND_TARGET].[Merma E/E]" caption="Merma E/E" attribute="1" defaultMemberUniqueName="[REND_TARGET].[Merma E/E].[All]" allUniqueName="[REND_TARGET].[Merma E/E].[All]" dimensionUniqueName="[REND_TARGET]" displayFolder="" count="0" memberValueDatatype="5" unbalanced="0"/>
    <cacheHierarchy uniqueName="[REND_TARGET].[Rend_Ntarget]" caption="Rend_Ntarget" attribute="1" defaultMemberUniqueName="[REND_TARGET].[Rend_Ntarget].[All]" allUniqueName="[REND_TARGET].[Rend_Ntarget].[All]" dimensionUniqueName="[REND_TARGET]" displayFolder="" count="0" memberValueDatatype="5" unbalanced="0"/>
    <cacheHierarchy uniqueName="[Tabla_Contabilidad].[Año]" caption="Año" attribute="1" defaultMemberUniqueName="[Tabla_Contabilidad].[Año].[All]" allUniqueName="[Tabla_Contabilidad].[Año].[All]" dimensionUniqueName="[Tabla_Contabilidad]" displayFolder="" count="0" memberValueDatatype="20" unbalanced="0"/>
    <cacheHierarchy uniqueName="[Tabla_Contabilidad].[AñoMes]" caption="AñoMes" attribute="1" defaultMemberUniqueName="[Tabla_Contabilidad].[AñoMes].[All]" allUniqueName="[Tabla_Contabilidad].[AñoMes].[All]" dimensionUniqueName="[Tabla_Contabilidad]" displayFolder="" count="0" memberValueDatatype="130" unbalanced="0"/>
    <cacheHierarchy uniqueName="[Tabla_Contabilidad].[Mes]" caption="Mes" attribute="1" defaultMemberUniqueName="[Tabla_Contabilidad].[Mes].[All]" allUniqueName="[Tabla_Contabilidad].[Mes].[All]" dimensionUniqueName="[Tabla_Contabilidad]" displayFolder="" count="0" memberValueDatatype="130" unbalanced="0"/>
    <cacheHierarchy uniqueName="[Tabla_Contabilidad].[Gastos Estructura (€∕mes)]" caption="Gastos Estructura (€∕mes)" attribute="1" defaultMemberUniqueName="[Tabla_Contabilidad].[Gastos Estructura (€∕mes)].[All]" allUniqueName="[Tabla_Contabilidad].[Gastos Estructura (€∕mes)].[All]" dimensionUniqueName="[Tabla_Contabilidad]" displayFolder="" count="0" memberValueDatatype="20" unbalanced="0"/>
    <cacheHierarchy uniqueName="[Tabla_Contabilidad].[EBITDA  (M€)]" caption="EBITDA  (M€)" attribute="1" defaultMemberUniqueName="[Tabla_Contabilidad].[EBITDA  (M€)].[All]" allUniqueName="[Tabla_Contabilidad].[EBITDA  (M€)].[All]" dimensionUniqueName="[Tabla_Contabilidad]" displayFolder="" count="0" memberValueDatatype="20" unbalanced="0"/>
    <cacheHierarchy uniqueName="[Tabla_Contabilidad].[EBITDA_PPTO (M€)]" caption="EBITDA_PPTO (M€)" attribute="1" defaultMemberUniqueName="[Tabla_Contabilidad].[EBITDA_PPTO (M€)].[All]" allUniqueName="[Tabla_Contabilidad].[EBITDA_PPTO (M€)].[All]" dimensionUniqueName="[Tabla_Contabilidad]" displayFolder="" count="0" memberValueDatatype="20" unbalanced="0"/>
    <cacheHierarchy uniqueName="[Tabla_master_rend].[Fecha]" caption="Fecha" attribute="1" time="1" defaultMemberUniqueName="[Tabla_master_rend].[Fecha].[All]" allUniqueName="[Tabla_master_rend].[Fecha].[All]" dimensionUniqueName="[Tabla_master_rend]" displayFolder="" count="0" memberValueDatatype="7" unbalanced="0"/>
    <cacheHierarchy uniqueName="[Tabla_master_rend].[mes]" caption="mes" attribute="1" defaultMemberUniqueName="[Tabla_master_rend].[mes].[All]" allUniqueName="[Tabla_master_rend].[mes].[All]" dimensionUniqueName="[Tabla_master_rend]" displayFolder="" count="0" memberValueDatatype="20" unbalanced="0"/>
    <cacheHierarchy uniqueName="[Tabla_master_rend].[Mes_Nom]" caption="Mes_Nom" attribute="1" defaultMemberUniqueName="[Tabla_master_rend].[Mes_Nom].[All]" allUniqueName="[Tabla_master_rend].[Mes_Nom].[All]" dimensionUniqueName="[Tabla_master_rend]" displayFolder="" count="2" memberValueDatatype="130" unbalanced="0">
      <fieldsUsage count="2">
        <fieldUsage x="-1"/>
        <fieldUsage x="5"/>
      </fieldsUsage>
    </cacheHierarchy>
    <cacheHierarchy uniqueName="[Tabla_master_rend].[Día]" caption="Día" attribute="1" defaultMemberUniqueName="[Tabla_master_rend].[Día].[All]" allUniqueName="[Tabla_master_rend].[Día].[All]" dimensionUniqueName="[Tabla_master_rend]" displayFolder="" count="2" memberValueDatatype="130" unbalanced="0"/>
    <cacheHierarchy uniqueName="[Tabla_master_rend].[Lote]" caption="Lote" attribute="1" defaultMemberUniqueName="[Tabla_master_rend].[Lote].[All]" allUniqueName="[Tabla_master_rend].[Lote].[All]" dimensionUniqueName="[Tabla_master_rend]" displayFolder="" count="0" memberValueDatatype="20" unbalanced="0"/>
    <cacheHierarchy uniqueName="[Tabla_master_rend].[Producto]" caption="Producto" attribute="1" defaultMemberUniqueName="[Tabla_master_rend].[Producto].[All]" allUniqueName="[Tabla_master_rend].[Producto].[All]" dimensionUniqueName="[Tabla_master_rend]" displayFolder="" count="2" memberValueDatatype="130" unbalanced="0"/>
    <cacheHierarchy uniqueName="[Tabla_master_rend].[Cubas_prod]" caption="Cubas_prod" attribute="1" defaultMemberUniqueName="[Tabla_master_rend].[Cubas_prod].[All]" allUniqueName="[Tabla_master_rend].[Cubas_prod].[All]" dimensionUniqueName="[Tabla_master_rend]" displayFolder="" count="0" memberValueDatatype="20" unbalanced="0"/>
    <cacheHierarchy uniqueName="[Tabla_master_rend].[Litros_Leche_Total]" caption="Litros_Leche_Total" attribute="1" defaultMemberUniqueName="[Tabla_master_rend].[Litros_Leche_Total].[All]" allUniqueName="[Tabla_master_rend].[Litros_Leche_Total].[All]" dimensionUniqueName="[Tabla_master_rend]" displayFolder="" count="0" memberValueDatatype="20" unbalanced="0"/>
    <cacheHierarchy uniqueName="[Tabla_master_rend].[L_Leche_ent]" caption="L_Leche_ent" attribute="1" defaultMemberUniqueName="[Tabla_master_rend].[L_Leche_ent].[All]" allUniqueName="[Tabla_master_rend].[L_Leche_ent].[All]" dimensionUniqueName="[Tabla_master_rend]" displayFolder="" count="0" memberValueDatatype="20" unbalanced="0"/>
    <cacheHierarchy uniqueName="[Tabla_master_rend].[%MG_Leche]" caption="%MG_Leche" attribute="1" defaultMemberUniqueName="[Tabla_master_rend].[%MG_Leche].[All]" allUniqueName="[Tabla_master_rend].[%MG_Leche].[All]" dimensionUniqueName="[Tabla_master_rend]" displayFolder="" count="0" memberValueDatatype="5" unbalanced="0"/>
    <cacheHierarchy uniqueName="[Tabla_master_rend].[%MP_Leche]" caption="%MP_Leche" attribute="1" defaultMemberUniqueName="[Tabla_master_rend].[%MP_Leche].[All]" allUniqueName="[Tabla_master_rend].[%MP_Leche].[All]" dimensionUniqueName="[Tabla_master_rend]" displayFolder="" count="0" memberValueDatatype="5" unbalanced="0"/>
    <cacheHierarchy uniqueName="[Tabla_master_rend].[EST_%]" caption="EST_%" attribute="1" defaultMemberUniqueName="[Tabla_master_rend].[EST_%].[All]" allUniqueName="[Tabla_master_rend].[EST_%].[All]" dimensionUniqueName="[Tabla_master_rend]" displayFolder="" count="0" memberValueDatatype="5" unbalanced="0"/>
    <cacheHierarchy uniqueName="[Tabla_master_rend].[Desn_en_linea]" caption="Desn_en_linea" attribute="1" defaultMemberUniqueName="[Tabla_master_rend].[Desn_en_linea].[All]" allUniqueName="[Tabla_master_rend].[Desn_en_linea].[All]" dimensionUniqueName="[Tabla_master_rend]" displayFolder="" count="2" memberValueDatatype="130" unbalanced="0"/>
    <cacheHierarchy uniqueName="[Tabla_master_rend].[L_desn_ext]" caption="L_desn_ext" attribute="1" defaultMemberUniqueName="[Tabla_master_rend].[L_desn_ext].[All]" allUniqueName="[Tabla_master_rend].[L_desn_ext].[All]" dimensionUniqueName="[Tabla_master_rend]" displayFolder="" count="0" memberValueDatatype="20" unbalanced="0"/>
    <cacheHierarchy uniqueName="[Tabla_master_rend].[L_cabra]" caption="L_cabra" attribute="1" defaultMemberUniqueName="[Tabla_master_rend].[L_cabra].[All]" allUniqueName="[Tabla_master_rend].[L_cabra].[All]" dimensionUniqueName="[Tabla_master_rend]" displayFolder="" count="0" memberValueDatatype="20" unbalanced="0"/>
    <cacheHierarchy uniqueName="[Tabla_master_rend].[L_oveja]" caption="L_oveja" attribute="1" defaultMemberUniqueName="[Tabla_master_rend].[L_oveja].[All]" allUniqueName="[Tabla_master_rend].[L_oveja].[All]" dimensionUniqueName="[Tabla_master_rend]" displayFolder="" count="0" memberValueDatatype="20" unbalanced="0"/>
    <cacheHierarchy uniqueName="[Tabla_master_rend].[Litros_Nata]" caption="Litros_Nata" attribute="1" defaultMemberUniqueName="[Tabla_master_rend].[Litros_Nata].[All]" allUniqueName="[Tabla_master_rend].[Litros_Nata].[All]" dimensionUniqueName="[Tabla_master_rend]" displayFolder="" count="0" memberValueDatatype="20" unbalanced="0"/>
    <cacheHierarchy uniqueName="[Tabla_master_rend].[L_nata_suero]" caption="L_nata_suero" attribute="1" defaultMemberUniqueName="[Tabla_master_rend].[L_nata_suero].[All]" allUniqueName="[Tabla_master_rend].[L_nata_suero].[All]" dimensionUniqueName="[Tabla_master_rend]" displayFolder="" count="0" memberValueDatatype="20" unbalanced="0"/>
    <cacheHierarchy uniqueName="[Tabla_master_rend].[L_suero Total]" caption="L_suero Total" attribute="1" defaultMemberUniqueName="[Tabla_master_rend].[L_suero Total].[All]" allUniqueName="[Tabla_master_rend].[L_suero Total].[All]" dimensionUniqueName="[Tabla_master_rend]" displayFolder="" count="0" memberValueDatatype="20" unbalanced="0"/>
    <cacheHierarchy uniqueName="[Tabla_master_rend].[%Suero_vs_leche]" caption="%Suero_vs_leche" attribute="1" defaultMemberUniqueName="[Tabla_master_rend].[%Suero_vs_leche].[All]" allUniqueName="[Tabla_master_rend].[%Suero_vs_leche].[All]" dimensionUniqueName="[Tabla_master_rend]" displayFolder="" count="0" memberValueDatatype="5" unbalanced="0"/>
    <cacheHierarchy uniqueName="[Tabla_master_rend].[MG_suero]" caption="MG_suero" attribute="1" defaultMemberUniqueName="[Tabla_master_rend].[MG_suero].[All]" allUniqueName="[Tabla_master_rend].[MG_suero].[All]" dimensionUniqueName="[Tabla_master_rend]" displayFolder="" count="0" memberValueDatatype="5" unbalanced="0"/>
    <cacheHierarchy uniqueName="[Tabla_master_rend].[MP_suero]" caption="MP_suero" attribute="1" defaultMemberUniqueName="[Tabla_master_rend].[MP_suero].[All]" allUniqueName="[Tabla_master_rend].[MP_suero].[All]" dimensionUniqueName="[Tabla_master_rend]" displayFolder="" count="0" memberValueDatatype="5" unbalanced="0"/>
    <cacheHierarchy uniqueName="[Tabla_master_rend].[L_suero para con]" caption="L_suero para con" attribute="1" defaultMemberUniqueName="[Tabla_master_rend].[L_suero para con].[All]" allUniqueName="[Tabla_master_rend].[L_suero para con].[All]" dimensionUniqueName="[Tabla_master_rend]" displayFolder="" count="0" memberValueDatatype="20" unbalanced="0"/>
    <cacheHierarchy uniqueName="[Tabla_master_rend].[L_suero_con]" caption="L_suero_con" attribute="1" defaultMemberUniqueName="[Tabla_master_rend].[L_suero_con].[All]" allUniqueName="[Tabla_master_rend].[L_suero_con].[All]" dimensionUniqueName="[Tabla_master_rend]" displayFolder="" count="0" memberValueDatatype="20" unbalanced="0"/>
    <cacheHierarchy uniqueName="[Tabla_master_rend].[Rartio_sueroC]" caption="Rartio_sueroC" attribute="1" defaultMemberUniqueName="[Tabla_master_rend].[Rartio_sueroC].[All]" allUniqueName="[Tabla_master_rend].[Rartio_sueroC].[All]" dimensionUniqueName="[Tabla_master_rend]" displayFolder="" count="0" memberValueDatatype="5" unbalanced="0"/>
    <cacheHierarchy uniqueName="[Tabla_master_rend].[L_Suero_Sobrante]" caption="L_Suero_Sobrante" attribute="1" defaultMemberUniqueName="[Tabla_master_rend].[L_Suero_Sobrante].[All]" allUniqueName="[Tabla_master_rend].[L_Suero_Sobrante].[All]" dimensionUniqueName="[Tabla_master_rend]" displayFolder="" count="0" memberValueDatatype="20" unbalanced="0"/>
    <cacheHierarchy uniqueName="[Tabla_master_rend].[MG_sueroc]" caption="MG_sueroc" attribute="1" defaultMemberUniqueName="[Tabla_master_rend].[MG_sueroc].[All]" allUniqueName="[Tabla_master_rend].[MG_sueroc].[All]" dimensionUniqueName="[Tabla_master_rend]" displayFolder="" count="0" memberValueDatatype="20" unbalanced="0"/>
    <cacheHierarchy uniqueName="[Tabla_master_rend].[MP_sueroc]" caption="MP_sueroc" attribute="1" defaultMemberUniqueName="[Tabla_master_rend].[MP_sueroc].[All]" allUniqueName="[Tabla_master_rend].[MP_sueroc].[All]" dimensionUniqueName="[Tabla_master_rend]" displayFolder="" count="0" memberValueDatatype="20" unbalanced="0"/>
    <cacheHierarchy uniqueName="[Tabla_master_rend].[L_LPS_Gen]" caption="L_LPS_Gen" attribute="1" defaultMemberUniqueName="[Tabla_master_rend].[L_LPS_Gen].[All]" allUniqueName="[Tabla_master_rend].[L_LPS_Gen].[All]" dimensionUniqueName="[Tabla_master_rend]" displayFolder="" count="0" memberValueDatatype="20" unbalanced="0"/>
    <cacheHierarchy uniqueName="[Tabla_master_rend].[L_LPS_incor]" caption="L_LPS_incor" attribute="1" defaultMemberUniqueName="[Tabla_master_rend].[L_LPS_incor].[All]" allUniqueName="[Tabla_master_rend].[L_LPS_incor].[All]" dimensionUniqueName="[Tabla_master_rend]" displayFolder="" count="0" memberValueDatatype="20" unbalanced="0"/>
    <cacheHierarchy uniqueName="[Tabla_master_rend].[gr_LPS]" caption="gr_LPS" attribute="1" defaultMemberUniqueName="[Tabla_master_rend].[gr_LPS].[All]" allUniqueName="[Tabla_master_rend].[gr_LPS].[All]" dimensionUniqueName="[Tabla_master_rend]" displayFolder="" count="0" memberValueDatatype="20" unbalanced="0"/>
    <cacheHierarchy uniqueName="[Tabla_master_rend].[MG_LPS]" caption="MG_LPS" attribute="1" defaultMemberUniqueName="[Tabla_master_rend].[MG_LPS].[All]" allUniqueName="[Tabla_master_rend].[MG_LPS].[All]" dimensionUniqueName="[Tabla_master_rend]" displayFolder="" count="0" memberValueDatatype="5" unbalanced="0"/>
    <cacheHierarchy uniqueName="[Tabla_master_rend].[MP_LPS]" caption="MP_LPS" attribute="1" defaultMemberUniqueName="[Tabla_master_rend].[MP_LPS].[All]" allUniqueName="[Tabla_master_rend].[MP_LPS].[All]" dimensionUniqueName="[Tabla_master_rend]" displayFolder="" count="0" memberValueDatatype="5" unbalanced="0"/>
    <cacheHierarchy uniqueName="[Tabla_master_rend].[Kg_Queso_Blan]" caption="Kg_Queso_Blan" attribute="1" defaultMemberUniqueName="[Tabla_master_rend].[Kg_Queso_Blan].[All]" allUniqueName="[Tabla_master_rend].[Kg_Queso_Blan].[All]" dimensionUniqueName="[Tabla_master_rend]" displayFolder="" count="0" memberValueDatatype="5" unbalanced="0"/>
    <cacheHierarchy uniqueName="[Tabla_master_rend].[RDTO_Blanco]" caption="RDTO_Blanco" attribute="1" defaultMemberUniqueName="[Tabla_master_rend].[RDTO_Blanco].[All]" allUniqueName="[Tabla_master_rend].[RDTO_Blanco].[All]" dimensionUniqueName="[Tabla_master_rend]" displayFolder="" count="0" memberValueDatatype="5" unbalanced="0"/>
    <cacheHierarchy uniqueName="[Tabla_master_rend].[RDTO_NETO]" caption="RDTO_NETO" attribute="1" defaultMemberUniqueName="[Tabla_master_rend].[RDTO_NETO].[All]" allUniqueName="[Tabla_master_rend].[RDTO_NETO].[All]" dimensionUniqueName="[Tabla_master_rend]" displayFolder="" count="0" memberValueDatatype="5" unbalanced="0"/>
    <cacheHierarchy uniqueName="[Tabla_master_rend].[REND_TARGET]" caption="REND_TARGET" attribute="1" defaultMemberUniqueName="[Tabla_master_rend].[REND_TARGET].[All]" allUniqueName="[Tabla_master_rend].[REND_TARGET].[All]" dimensionUniqueName="[Tabla_master_rend]" displayFolder="" count="0" memberValueDatatype="5" unbalanced="0"/>
    <cacheHierarchy uniqueName="[Tabla_master_rend].[Kg_Solidos_leche]" caption="Kg_Solidos_leche" attribute="1" defaultMemberUniqueName="[Tabla_master_rend].[Kg_Solidos_leche].[All]" allUniqueName="[Tabla_master_rend].[Kg_Solidos_leche].[All]" dimensionUniqueName="[Tabla_master_rend]" displayFolder="" count="0" memberValueDatatype="5" unbalanced="0"/>
    <cacheHierarchy uniqueName="[Tabla_master_rend].[%MG_QUESO]" caption="%MG_QUESO" attribute="1" defaultMemberUniqueName="[Tabla_master_rend].[%MG_QUESO].[All]" allUniqueName="[Tabla_master_rend].[%MG_QUESO].[All]" dimensionUniqueName="[Tabla_master_rend]" displayFolder="" count="0" memberValueDatatype="5" unbalanced="0"/>
    <cacheHierarchy uniqueName="[Tabla_master_rend].[%PT_QUESO]" caption="%PT_QUESO" attribute="1" defaultMemberUniqueName="[Tabla_master_rend].[%PT_QUESO].[All]" allUniqueName="[Tabla_master_rend].[%PT_QUESO].[All]" dimensionUniqueName="[Tabla_master_rend]" displayFolder="" count="0" memberValueDatatype="5" unbalanced="0"/>
    <cacheHierarchy uniqueName="[Tabla_master_rend].[ES_QUESO]" caption="ES_QUESO" attribute="1" defaultMemberUniqueName="[Tabla_master_rend].[ES_QUESO].[All]" allUniqueName="[Tabla_master_rend].[ES_QUESO].[All]" dimensionUniqueName="[Tabla_master_rend]" displayFolder="" count="0" memberValueDatatype="5" unbalanced="0"/>
    <cacheHierarchy uniqueName="[Tabla_master_rend].[Rendimiento_Solidos_%]" caption="Rendimiento_Solidos_%" attribute="1" defaultMemberUniqueName="[Tabla_master_rend].[Rendimiento_Solidos_%].[All]" allUniqueName="[Tabla_master_rend].[Rendimiento_Solidos_%].[All]" dimensionUniqueName="[Tabla_master_rend]" displayFolder="" count="0" memberValueDatatype="5" unbalanced="0"/>
    <cacheHierarchy uniqueName="[Tabla_master_rend].[Kg_MG_Nata]" caption="Kg_MG_Nata" attribute="1" defaultMemberUniqueName="[Tabla_master_rend].[Kg_MG_Nata].[All]" allUniqueName="[Tabla_master_rend].[Kg_MG_Nata].[All]" dimensionUniqueName="[Tabla_master_rend]" displayFolder="" count="0" memberValueDatatype="5" unbalanced="0"/>
    <cacheHierarchy uniqueName="[Tabla_master_rend].[%RECUP_MG]" caption="%RECUP_MG" attribute="1" defaultMemberUniqueName="[Tabla_master_rend].[%RECUP_MG].[All]" allUniqueName="[Tabla_master_rend].[%RECUP_MG].[All]" dimensionUniqueName="[Tabla_master_rend]" displayFolder="" count="0" memberValueDatatype="5" unbalanced="0"/>
    <cacheHierarchy uniqueName="[Tabla_master_rend].[%RECUP_PT]" caption="%RECUP_PT" attribute="1" defaultMemberUniqueName="[Tabla_master_rend].[%RECUP_PT].[All]" allUniqueName="[Tabla_master_rend].[%RECUP_PT].[All]" dimensionUniqueName="[Tabla_master_rend]" displayFolder="" count="0" memberValueDatatype="5" unbalanced="0"/>
    <cacheHierarchy uniqueName="[Tabla_master_rend].[Valor_Nata_€]" caption="Valor_Nata_€" attribute="1" defaultMemberUniqueName="[Tabla_master_rend].[Valor_Nata_€].[All]" allUniqueName="[Tabla_master_rend].[Valor_Nata_€].[All]" dimensionUniqueName="[Tabla_master_rend]" displayFolder="" count="0" memberValueDatatype="5" unbalanced="0"/>
    <cacheHierarchy uniqueName="[Tabla_master_rend].[Kg_Finos]" caption="Kg_Finos" attribute="1" defaultMemberUniqueName="[Tabla_master_rend].[Kg_Finos].[All]" allUniqueName="[Tabla_master_rend].[Kg_Finos].[All]" dimensionUniqueName="[Tabla_master_rend]" displayFolder="" count="0" memberValueDatatype="5" unbalanced="0"/>
    <cacheHierarchy uniqueName="[Tabla_master_rend].[Kg_Llenadora]" caption="Kg_Llenadora" attribute="1" defaultMemberUniqueName="[Tabla_master_rend].[Kg_Llenadora].[All]" allUniqueName="[Tabla_master_rend].[Kg_Llenadora].[All]" dimensionUniqueName="[Tabla_master_rend]" displayFolder="" count="0" memberValueDatatype="5" unbalanced="0"/>
    <cacheHierarchy uniqueName="[Tabla_master_rend].[Kg_Desmoldeo]" caption="Kg_Desmoldeo" attribute="1" defaultMemberUniqueName="[Tabla_master_rend].[Kg_Desmoldeo].[All]" allUniqueName="[Tabla_master_rend].[Kg_Desmoldeo].[All]" dimensionUniqueName="[Tabla_master_rend]" displayFolder="" count="0" memberValueDatatype="5" unbalanced="0"/>
    <cacheHierarchy uniqueName="[Tabla_master_rend].[Merma_fab]" caption="Merma_fab" attribute="1" defaultMemberUniqueName="[Tabla_master_rend].[Merma_fab].[All]" allUniqueName="[Tabla_master_rend].[Merma_fab].[All]" dimensionUniqueName="[Tabla_master_rend]" displayFolder="" count="0" memberValueDatatype="5" unbalanced="0"/>
    <cacheHierarchy uniqueName="[Tabla_master_rend].[% Merma_fab2]" caption="% Merma_fab2" attribute="1" defaultMemberUniqueName="[Tabla_master_rend].[% Merma_fab2].[All]" allUniqueName="[Tabla_master_rend].[% Merma_fab2].[All]" dimensionUniqueName="[Tabla_master_rend]" displayFolder="" count="0" memberValueDatatype="5" unbalanced="0"/>
    <cacheHierarchy uniqueName="[Tabla_master_rend].[L_Agua]" caption="L_Agua" attribute="1" defaultMemberUniqueName="[Tabla_master_rend].[L_Agua].[All]" allUniqueName="[Tabla_master_rend].[L_Agua].[All]" dimensionUniqueName="[Tabla_master_rend]" displayFolder="" count="0" memberValueDatatype="20" unbalanced="0"/>
    <cacheHierarchy uniqueName="[Tabla_master_rend].[% oreo]" caption="% oreo" attribute="1" defaultMemberUniqueName="[Tabla_master_rend].[% oreo].[All]" allUniqueName="[Tabla_master_rend].[% oreo].[All]" dimensionUniqueName="[Tabla_master_rend]" displayFolder="" count="0" memberValueDatatype="5" unbalanced="0"/>
    <cacheHierarchy uniqueName="[Tabla_master_rend].[B_totales]" caption="B_totales" attribute="1" defaultMemberUniqueName="[Tabla_master_rend].[B_totales].[All]" allUniqueName="[Tabla_master_rend].[B_totales].[All]" dimensionUniqueName="[Tabla_master_rend]" displayFolder="" count="0" memberValueDatatype="5" unbalanced="0"/>
    <cacheHierarchy uniqueName="[Tabla_master_rend].[B_OK_uni]" caption="B_OK_uni" attribute="1" defaultMemberUniqueName="[Tabla_master_rend].[B_OK_uni].[All]" allUniqueName="[Tabla_master_rend].[B_OK_uni].[All]" dimensionUniqueName="[Tabla_master_rend]" displayFolder="" count="0" memberValueDatatype="5" unbalanced="0"/>
    <cacheHierarchy uniqueName="[Tabla_master_rend].[B_OK_kg]" caption="B_OK_kg" attribute="1" defaultMemberUniqueName="[Tabla_master_rend].[B_OK_kg].[All]" allUniqueName="[Tabla_master_rend].[B_OK_kg].[All]" dimensionUniqueName="[Tabla_master_rend]" displayFolder="" count="0" memberValueDatatype="5" unbalanced="0"/>
    <cacheHierarchy uniqueName="[Tabla_master_rend].[B_altas]" caption="B_altas" attribute="1" defaultMemberUniqueName="[Tabla_master_rend].[B_altas].[All]" allUniqueName="[Tabla_master_rend].[B_altas].[All]" dimensionUniqueName="[Tabla_master_rend]" displayFolder="" count="0" memberValueDatatype="5" unbalanced="0"/>
    <cacheHierarchy uniqueName="[Tabla_master_rend].[B_bajas]" caption="B_bajas" attribute="1" defaultMemberUniqueName="[Tabla_master_rend].[B_bajas].[All]" allUniqueName="[Tabla_master_rend].[B_bajas].[All]" dimensionUniqueName="[Tabla_master_rend]" displayFolder="" count="0" memberValueDatatype="5" unbalanced="0"/>
    <cacheHierarchy uniqueName="[Tabla_master_rend].[B_rotas]" caption="B_rotas" attribute="1" defaultMemberUniqueName="[Tabla_master_rend].[B_rotas].[All]" allUniqueName="[Tabla_master_rend].[B_rotas].[All]" dimensionUniqueName="[Tabla_master_rend]" displayFolder="" count="0" memberValueDatatype="5" unbalanced="0"/>
    <cacheHierarchy uniqueName="[Tabla_master_rend].[B_feas]" caption="B_feas" attribute="1" defaultMemberUniqueName="[Tabla_master_rend].[B_feas].[All]" allUniqueName="[Tabla_master_rend].[B_feas].[All]" dimensionUniqueName="[Tabla_master_rend]" displayFolder="" count="0" memberValueDatatype="5" unbalanced="0"/>
    <cacheHierarchy uniqueName="[Tabla_master_rend].[B_lab]" caption="B_lab" attribute="1" defaultMemberUniqueName="[Tabla_master_rend].[B_lab].[All]" allUniqueName="[Tabla_master_rend].[B_lab].[All]" dimensionUniqueName="[Tabla_master_rend]" displayFolder="" count="0" memberValueDatatype="5" unbalanced="0"/>
    <cacheHierarchy uniqueName="[Tabla_master_rend].[Kg_SalidaSecadero]" caption="Kg_SalidaSecadero" attribute="1" defaultMemberUniqueName="[Tabla_master_rend].[Kg_SalidaSecadero].[All]" allUniqueName="[Tabla_master_rend].[Kg_SalidaSecadero].[All]" dimensionUniqueName="[Tabla_master_rend]" displayFolder="" count="0" memberValueDatatype="5" unbalanced="0"/>
    <cacheHierarchy uniqueName="[Tabla_master_rend].[Kg_rebaba]" caption="Kg_rebaba" attribute="1" defaultMemberUniqueName="[Tabla_master_rend].[Kg_rebaba].[All]" allUniqueName="[Tabla_master_rend].[Kg_rebaba].[All]" dimensionUniqueName="[Tabla_master_rend]" displayFolder="" count="0" memberValueDatatype="5" unbalanced="0"/>
    <cacheHierarchy uniqueName="[Tabla_master_rend].[Kg_mer_env_real]" caption="Kg_mer_env_real" attribute="1" defaultMemberUniqueName="[Tabla_master_rend].[Kg_mer_env_real].[All]" allUniqueName="[Tabla_master_rend].[Kg_mer_env_real].[All]" dimensionUniqueName="[Tabla_master_rend]" displayFolder="" count="0" memberValueDatatype="5" unbalanced="0"/>
    <cacheHierarchy uniqueName="[Tabla_master_rend].[kg_mer_lab_real]" caption="kg_mer_lab_real" attribute="1" defaultMemberUniqueName="[Tabla_master_rend].[kg_mer_lab_real].[All]" allUniqueName="[Tabla_master_rend].[kg_mer_lab_real].[All]" dimensionUniqueName="[Tabla_master_rend]" displayFolder="" count="0" memberValueDatatype="5" unbalanced="0"/>
    <cacheHierarchy uniqueName="[Tabla_master_rend].[%Merma_env]" caption="%Merma_env" attribute="1" defaultMemberUniqueName="[Tabla_master_rend].[%Merma_env].[All]" allUniqueName="[Tabla_master_rend].[%Merma_env].[All]" dimensionUniqueName="[Tabla_master_rend]" displayFolder="" count="0" memberValueDatatype="5" unbalanced="0"/>
    <cacheHierarchy uniqueName="[Tabla_master_rend].[%Merma_env_corr]" caption="%Merma_env_corr" attribute="1" defaultMemberUniqueName="[Tabla_master_rend].[%Merma_env_corr].[All]" allUniqueName="[Tabla_master_rend].[%Merma_env_corr].[All]" dimensionUniqueName="[Tabla_master_rend]" displayFolder="" count="0" memberValueDatatype="5" unbalanced="0"/>
    <cacheHierarchy uniqueName="[Tabla_master_rend].[% merma TOT]" caption="% merma TOT" attribute="1" defaultMemberUniqueName="[Tabla_master_rend].[% merma TOT].[All]" allUniqueName="[Tabla_master_rend].[% merma TOT].[All]" dimensionUniqueName="[Tabla_master_rend]" displayFolder="" count="0" memberValueDatatype="5" unbalanced="0"/>
    <cacheHierarchy uniqueName="[Tabla_master_rend].[Merma_TOT]" caption="Merma_TOT" attribute="1" defaultMemberUniqueName="[Tabla_master_rend].[Merma_TOT].[All]" allUniqueName="[Tabla_master_rend].[Merma_TOT].[All]" dimensionUniqueName="[Tabla_master_rend]" displayFolder="" count="0" memberValueDatatype="5" unbalanced="0"/>
    <cacheHierarchy uniqueName="[Tabla_master_rend].[Kg_Env_Total]" caption="Kg_Env_Total" attribute="1" defaultMemberUniqueName="[Tabla_master_rend].[Kg_Env_Total].[All]" allUniqueName="[Tabla_master_rend].[Kg_Env_Total].[All]" dimensionUniqueName="[Tabla_master_rend]" displayFolder="" count="0" memberValueDatatype="5" unbalanced="0"/>
    <cacheHierarchy uniqueName="[Tabla_master_rend].[Coste_Leche_€]" caption="Coste_Leche_€" attribute="1" defaultMemberUniqueName="[Tabla_master_rend].[Coste_Leche_€].[All]" allUniqueName="[Tabla_master_rend].[Coste_Leche_€].[All]" dimensionUniqueName="[Tabla_master_rend]" displayFolder="" count="0" memberValueDatatype="5" unbalanced="0"/>
    <cacheHierarchy uniqueName="[Tabla_master_rend].[€/kg_MPQueso]" caption="€/kg_MPQueso" attribute="1" defaultMemberUniqueName="[Tabla_master_rend].[€/kg_MPQueso].[All]" allUniqueName="[Tabla_master_rend].[€/kg_MPQueso].[All]" dimensionUniqueName="[Tabla_master_rend]" displayFolder="" count="0" memberValueDatatype="5" unbalanced="0"/>
    <cacheHierarchy uniqueName="[Tabla_master_rend].[Merma_inic]" caption="Merma_inic" attribute="1" defaultMemberUniqueName="[Tabla_master_rend].[Merma_inic].[All]" allUniqueName="[Tabla_master_rend].[Merma_inic].[All]" dimensionUniqueName="[Tabla_master_rend]" displayFolder="" count="0" memberValueDatatype="5" unbalanced="0"/>
    <cacheHierarchy uniqueName="[Tabla_master_rend].[Recup_kg]" caption="Recup_kg" attribute="1" defaultMemberUniqueName="[Tabla_master_rend].[Recup_kg].[All]" allUniqueName="[Tabla_master_rend].[Recup_kg].[All]" dimensionUniqueName="[Tabla_master_rend]" displayFolder="" count="0" memberValueDatatype="5" unbalanced="0"/>
    <cacheHierarchy uniqueName="[Tabla_master_rend].[Recup_%]" caption="Recup_%" attribute="1" defaultMemberUniqueName="[Tabla_master_rend].[Recup_%].[All]" allUniqueName="[Tabla_master_rend].[Recup_%].[All]" dimensionUniqueName="[Tabla_master_rend]" displayFolder="" count="0" memberValueDatatype="5" unbalanced="0"/>
    <cacheHierarchy uniqueName="[Tabla_master_rend].[Merma_ppto fab]" caption="Merma_ppto fab" attribute="1" defaultMemberUniqueName="[Tabla_master_rend].[Merma_ppto fab].[All]" allUniqueName="[Tabla_master_rend].[Merma_ppto fab].[All]" dimensionUniqueName="[Tabla_master_rend]" displayFolder="" count="0" memberValueDatatype="5" unbalanced="0"/>
    <cacheHierarchy uniqueName="[Tabla_master_rend].[Merma_ppto oreo]" caption="Merma_ppto oreo" attribute="1" defaultMemberUniqueName="[Tabla_master_rend].[Merma_ppto oreo].[All]" allUniqueName="[Tabla_master_rend].[Merma_ppto oreo].[All]" dimensionUniqueName="[Tabla_master_rend]" displayFolder="" count="0" memberValueDatatype="5" unbalanced="0"/>
    <cacheHierarchy uniqueName="[Tabla_master_rend].[Merma_ppto Env/Enc]" caption="Merma_ppto Env/Enc" attribute="1" defaultMemberUniqueName="[Tabla_master_rend].[Merma_ppto Env/Enc].[All]" allUniqueName="[Tabla_master_rend].[Merma_ppto Env/Enc].[All]" dimensionUniqueName="[Tabla_master_rend]" displayFolder="" count="0" memberValueDatatype="5" unbalanced="0"/>
    <cacheHierarchy uniqueName="[Tabla_master_rend].[Merma_T ppto]" caption="Merma_T ppto" attribute="1" defaultMemberUniqueName="[Tabla_master_rend].[Merma_T ppto].[All]" allUniqueName="[Tabla_master_rend].[Merma_T ppto].[All]" dimensionUniqueName="[Tabla_master_rend]" displayFolder="" count="0" memberValueDatatype="5" unbalanced="0"/>
    <cacheHierarchy uniqueName="[Tabla_master_rend].[Merma_T ppto %]" caption="Merma_T ppto %" attribute="1" defaultMemberUniqueName="[Tabla_master_rend].[Merma_T ppto %].[All]" allUniqueName="[Tabla_master_rend].[Merma_T ppto %].[All]" dimensionUniqueName="[Tabla_master_rend]" displayFolder="" count="0" memberValueDatatype="5" unbalanced="0"/>
    <cacheHierarchy uniqueName="[Tabla_master_rend].[Merma_T real %]" caption="Merma_T real %" attribute="1" defaultMemberUniqueName="[Tabla_master_rend].[Merma_T real %].[All]" allUniqueName="[Tabla_master_rend].[Merma_T real %].[All]" dimensionUniqueName="[Tabla_master_rend]" displayFolder="" count="0" memberValueDatatype="5" unbalanced="0"/>
    <cacheHierarchy uniqueName="[Tabla_master_rend].[DIF R Vs PPTO]" caption="DIF R Vs PPTO" attribute="1" defaultMemberUniqueName="[Tabla_master_rend].[DIF R Vs PPTO].[All]" allUniqueName="[Tabla_master_rend].[DIF R Vs PPTO].[All]" dimensionUniqueName="[Tabla_master_rend]" displayFolder="" count="0" memberValueDatatype="5" unbalanced="0"/>
    <cacheHierarchy uniqueName="[Tabla_master_rend].[IMPACTO]" caption="IMPACTO" attribute="1" defaultMemberUniqueName="[Tabla_master_rend].[IMPACTO].[All]" allUniqueName="[Tabla_master_rend].[IMPACTO].[All]" dimensionUniqueName="[Tabla_master_rend]" displayFolder="" count="0" memberValueDatatype="5" unbalanced="0"/>
    <cacheHierarchy uniqueName="[Tabla_master_rend].[IMPACTO_vs_PPTO]" caption="IMPACTO_vs_PPTO" attribute="1" defaultMemberUniqueName="[Tabla_master_rend].[IMPACTO_vs_PPTO].[All]" allUniqueName="[Tabla_master_rend].[IMPACTO_vs_PPTO].[All]" dimensionUniqueName="[Tabla_master_rend]" displayFolder="" count="0" memberValueDatatype="5" unbalanced="0"/>
    <cacheHierarchy uniqueName="[Tabla_master_rend].[Fecha (mes)]" caption="Fecha (mes)" attribute="1" defaultMemberUniqueName="[Tabla_master_rend].[Fecha (mes)].[All]" allUniqueName="[Tabla_master_rend].[Fecha (mes)].[All]" dimensionUniqueName="[Tabla_master_rend]" displayFolder="" count="0" memberValueDatatype="130" unbalanced="0"/>
    <cacheHierarchy uniqueName="[Tabla_master_rend 1].[Fecha]" caption="Fecha" attribute="1" time="1" defaultMemberUniqueName="[Tabla_master_rend 1].[Fecha].[All]" allUniqueName="[Tabla_master_rend 1].[Fecha].[All]" dimensionUniqueName="[Tabla_master_rend 1]" displayFolder="" count="0" memberValueDatatype="7" unbalanced="0"/>
    <cacheHierarchy uniqueName="[Tabla_master_rend 1].[mes]" caption="mes" attribute="1" defaultMemberUniqueName="[Tabla_master_rend 1].[mes].[All]" allUniqueName="[Tabla_master_rend 1].[mes].[All]" dimensionUniqueName="[Tabla_master_rend 1]" displayFolder="" count="0" memberValueDatatype="20" unbalanced="0"/>
    <cacheHierarchy uniqueName="[Tabla_master_rend 1].[Mes_Nom]" caption="Mes_Nom" attribute="1" defaultMemberUniqueName="[Tabla_master_rend 1].[Mes_Nom].[All]" allUniqueName="[Tabla_master_rend 1].[Mes_Nom].[All]" dimensionUniqueName="[Tabla_master_rend 1]" displayFolder="" count="0" memberValueDatatype="130" unbalanced="0"/>
    <cacheHierarchy uniqueName="[Tabla_master_rend 1].[Día]" caption="Día" attribute="1" defaultMemberUniqueName="[Tabla_master_rend 1].[Día].[All]" allUniqueName="[Tabla_master_rend 1].[Día].[All]" dimensionUniqueName="[Tabla_master_rend 1]" displayFolder="" count="0" memberValueDatatype="130" unbalanced="0"/>
    <cacheHierarchy uniqueName="[Tabla_master_rend 1].[Lote]" caption="Lote" attribute="1" defaultMemberUniqueName="[Tabla_master_rend 1].[Lote].[All]" allUniqueName="[Tabla_master_rend 1].[Lote].[All]" dimensionUniqueName="[Tabla_master_rend 1]" displayFolder="" count="0" memberValueDatatype="130" unbalanced="0"/>
    <cacheHierarchy uniqueName="[Tabla_master_rend 1].[Producto]" caption="Producto" attribute="1" defaultMemberUniqueName="[Tabla_master_rend 1].[Producto].[All]" allUniqueName="[Tabla_master_rend 1].[Producto].[All]" dimensionUniqueName="[Tabla_master_rend 1]" displayFolder="" count="0" memberValueDatatype="130" unbalanced="0"/>
    <cacheHierarchy uniqueName="[Tabla_master_rend 1].[Cubas_prod]" caption="Cubas_prod" attribute="1" defaultMemberUniqueName="[Tabla_master_rend 1].[Cubas_prod].[All]" allUniqueName="[Tabla_master_rend 1].[Cubas_prod].[All]" dimensionUniqueName="[Tabla_master_rend 1]" displayFolder="" count="0" memberValueDatatype="20" unbalanced="0"/>
    <cacheHierarchy uniqueName="[Tabla_master_rend 1].[Litros_Leche_Total]" caption="Litros_Leche_Total" attribute="1" defaultMemberUniqueName="[Tabla_master_rend 1].[Litros_Leche_Total].[All]" allUniqueName="[Tabla_master_rend 1].[Litros_Leche_Total].[All]" dimensionUniqueName="[Tabla_master_rend 1]" displayFolder="" count="0" memberValueDatatype="20" unbalanced="0"/>
    <cacheHierarchy uniqueName="[Tabla_master_rend 1].[L_Leche_ent]" caption="L_Leche_ent" attribute="1" defaultMemberUniqueName="[Tabla_master_rend 1].[L_Leche_ent].[All]" allUniqueName="[Tabla_master_rend 1].[L_Leche_ent].[All]" dimensionUniqueName="[Tabla_master_rend 1]" displayFolder="" count="0" memberValueDatatype="20" unbalanced="0"/>
    <cacheHierarchy uniqueName="[Tabla_master_rend 1].[%MG_Leche]" caption="%MG_Leche" attribute="1" defaultMemberUniqueName="[Tabla_master_rend 1].[%MG_Leche].[All]" allUniqueName="[Tabla_master_rend 1].[%MG_Leche].[All]" dimensionUniqueName="[Tabla_master_rend 1]" displayFolder="" count="0" memberValueDatatype="5" unbalanced="0"/>
    <cacheHierarchy uniqueName="[Tabla_master_rend 1].[%MP_Leche]" caption="%MP_Leche" attribute="1" defaultMemberUniqueName="[Tabla_master_rend 1].[%MP_Leche].[All]" allUniqueName="[Tabla_master_rend 1].[%MP_Leche].[All]" dimensionUniqueName="[Tabla_master_rend 1]" displayFolder="" count="0" memberValueDatatype="5" unbalanced="0"/>
    <cacheHierarchy uniqueName="[Tabla_master_rend 1].[EST_%]" caption="EST_%" attribute="1" defaultMemberUniqueName="[Tabla_master_rend 1].[EST_%].[All]" allUniqueName="[Tabla_master_rend 1].[EST_%].[All]" dimensionUniqueName="[Tabla_master_rend 1]" displayFolder="" count="0" memberValueDatatype="5" unbalanced="0"/>
    <cacheHierarchy uniqueName="[Tabla_master_rend 1].[Desn_en_linea]" caption="Desn_en_linea" attribute="1" defaultMemberUniqueName="[Tabla_master_rend 1].[Desn_en_linea].[All]" allUniqueName="[Tabla_master_rend 1].[Desn_en_linea].[All]" dimensionUniqueName="[Tabla_master_rend 1]" displayFolder="" count="0" memberValueDatatype="130" unbalanced="0"/>
    <cacheHierarchy uniqueName="[Tabla_master_rend 1].[L_desn_ext]" caption="L_desn_ext" attribute="1" defaultMemberUniqueName="[Tabla_master_rend 1].[L_desn_ext].[All]" allUniqueName="[Tabla_master_rend 1].[L_desn_ext].[All]" dimensionUniqueName="[Tabla_master_rend 1]" displayFolder="" count="0" memberValueDatatype="20" unbalanced="0"/>
    <cacheHierarchy uniqueName="[Tabla_master_rend 1].[L_cabra]" caption="L_cabra" attribute="1" defaultMemberUniqueName="[Tabla_master_rend 1].[L_cabra].[All]" allUniqueName="[Tabla_master_rend 1].[L_cabra].[All]" dimensionUniqueName="[Tabla_master_rend 1]" displayFolder="" count="0" memberValueDatatype="20" unbalanced="0"/>
    <cacheHierarchy uniqueName="[Tabla_master_rend 1].[L_oveja]" caption="L_oveja" attribute="1" defaultMemberUniqueName="[Tabla_master_rend 1].[L_oveja].[All]" allUniqueName="[Tabla_master_rend 1].[L_oveja].[All]" dimensionUniqueName="[Tabla_master_rend 1]" displayFolder="" count="0" memberValueDatatype="20" unbalanced="0"/>
    <cacheHierarchy uniqueName="[Tabla_master_rend 1].[Litros_Nata]" caption="Litros_Nata" attribute="1" defaultMemberUniqueName="[Tabla_master_rend 1].[Litros_Nata].[All]" allUniqueName="[Tabla_master_rend 1].[Litros_Nata].[All]" dimensionUniqueName="[Tabla_master_rend 1]" displayFolder="" count="0" memberValueDatatype="20" unbalanced="0"/>
    <cacheHierarchy uniqueName="[Tabla_master_rend 1].[L_nata_suero]" caption="L_nata_suero" attribute="1" defaultMemberUniqueName="[Tabla_master_rend 1].[L_nata_suero].[All]" allUniqueName="[Tabla_master_rend 1].[L_nata_suero].[All]" dimensionUniqueName="[Tabla_master_rend 1]" displayFolder="" count="0" memberValueDatatype="20" unbalanced="0"/>
    <cacheHierarchy uniqueName="[Tabla_master_rend 1].[L_suero Total]" caption="L_suero Total" attribute="1" defaultMemberUniqueName="[Tabla_master_rend 1].[L_suero Total].[All]" allUniqueName="[Tabla_master_rend 1].[L_suero Total].[All]" dimensionUniqueName="[Tabla_master_rend 1]" displayFolder="" count="0" memberValueDatatype="20" unbalanced="0"/>
    <cacheHierarchy uniqueName="[Tabla_master_rend 1].[%Suero_vs_leche]" caption="%Suero_vs_leche" attribute="1" defaultMemberUniqueName="[Tabla_master_rend 1].[%Suero_vs_leche].[All]" allUniqueName="[Tabla_master_rend 1].[%Suero_vs_leche].[All]" dimensionUniqueName="[Tabla_master_rend 1]" displayFolder="" count="0" memberValueDatatype="5" unbalanced="0"/>
    <cacheHierarchy uniqueName="[Tabla_master_rend 1].[MG_suero]" caption="MG_suero" attribute="1" defaultMemberUniqueName="[Tabla_master_rend 1].[MG_suero].[All]" allUniqueName="[Tabla_master_rend 1].[MG_suero].[All]" dimensionUniqueName="[Tabla_master_rend 1]" displayFolder="" count="0" memberValueDatatype="5" unbalanced="0"/>
    <cacheHierarchy uniqueName="[Tabla_master_rend 1].[MP_suero]" caption="MP_suero" attribute="1" defaultMemberUniqueName="[Tabla_master_rend 1].[MP_suero].[All]" allUniqueName="[Tabla_master_rend 1].[MP_suero].[All]" dimensionUniqueName="[Tabla_master_rend 1]" displayFolder="" count="0" memberValueDatatype="5" unbalanced="0"/>
    <cacheHierarchy uniqueName="[Tabla_master_rend 1].[L_suero para con]" caption="L_suero para con" attribute="1" defaultMemberUniqueName="[Tabla_master_rend 1].[L_suero para con].[All]" allUniqueName="[Tabla_master_rend 1].[L_suero para con].[All]" dimensionUniqueName="[Tabla_master_rend 1]" displayFolder="" count="0" memberValueDatatype="20" unbalanced="0"/>
    <cacheHierarchy uniqueName="[Tabla_master_rend 1].[L_suero_con]" caption="L_suero_con" attribute="1" defaultMemberUniqueName="[Tabla_master_rend 1].[L_suero_con].[All]" allUniqueName="[Tabla_master_rend 1].[L_suero_con].[All]" dimensionUniqueName="[Tabla_master_rend 1]" displayFolder="" count="0" memberValueDatatype="20" unbalanced="0"/>
    <cacheHierarchy uniqueName="[Tabla_master_rend 1].[Rartio_sueroC]" caption="Rartio_sueroC" attribute="1" defaultMemberUniqueName="[Tabla_master_rend 1].[Rartio_sueroC].[All]" allUniqueName="[Tabla_master_rend 1].[Rartio_sueroC].[All]" dimensionUniqueName="[Tabla_master_rend 1]" displayFolder="" count="0" memberValueDatatype="5" unbalanced="0"/>
    <cacheHierarchy uniqueName="[Tabla_master_rend 1].[L_Suero_Sobrante]" caption="L_Suero_Sobrante" attribute="1" defaultMemberUniqueName="[Tabla_master_rend 1].[L_Suero_Sobrante].[All]" allUniqueName="[Tabla_master_rend 1].[L_Suero_Sobrante].[All]" dimensionUniqueName="[Tabla_master_rend 1]" displayFolder="" count="0" memberValueDatatype="20" unbalanced="0"/>
    <cacheHierarchy uniqueName="[Tabla_master_rend 1].[MG_sueroc]" caption="MG_sueroc" attribute="1" defaultMemberUniqueName="[Tabla_master_rend 1].[MG_sueroc].[All]" allUniqueName="[Tabla_master_rend 1].[MG_sueroc].[All]" dimensionUniqueName="[Tabla_master_rend 1]" displayFolder="" count="0" memberValueDatatype="130" unbalanced="0"/>
    <cacheHierarchy uniqueName="[Tabla_master_rend 1].[MP_sueroc]" caption="MP_sueroc" attribute="1" defaultMemberUniqueName="[Tabla_master_rend 1].[MP_sueroc].[All]" allUniqueName="[Tabla_master_rend 1].[MP_sueroc].[All]" dimensionUniqueName="[Tabla_master_rend 1]" displayFolder="" count="0" memberValueDatatype="130" unbalanced="0"/>
    <cacheHierarchy uniqueName="[Tabla_master_rend 1].[L_LPS_Gen]" caption="L_LPS_Gen" attribute="1" defaultMemberUniqueName="[Tabla_master_rend 1].[L_LPS_Gen].[All]" allUniqueName="[Tabla_master_rend 1].[L_LPS_Gen].[All]" dimensionUniqueName="[Tabla_master_rend 1]" displayFolder="" count="0" memberValueDatatype="20" unbalanced="0"/>
    <cacheHierarchy uniqueName="[Tabla_master_rend 1].[L_LPS_incor]" caption="L_LPS_incor" attribute="1" defaultMemberUniqueName="[Tabla_master_rend 1].[L_LPS_incor].[All]" allUniqueName="[Tabla_master_rend 1].[L_LPS_incor].[All]" dimensionUniqueName="[Tabla_master_rend 1]" displayFolder="" count="0" memberValueDatatype="20" unbalanced="0"/>
    <cacheHierarchy uniqueName="[Tabla_master_rend 1].[gr_LPS]" caption="gr_LPS" attribute="1" defaultMemberUniqueName="[Tabla_master_rend 1].[gr_LPS].[All]" allUniqueName="[Tabla_master_rend 1].[gr_LPS].[All]" dimensionUniqueName="[Tabla_master_rend 1]" displayFolder="" count="0" memberValueDatatype="20" unbalanced="0"/>
    <cacheHierarchy uniqueName="[Tabla_master_rend 1].[MG_LPS]" caption="MG_LPS" attribute="1" defaultMemberUniqueName="[Tabla_master_rend 1].[MG_LPS].[All]" allUniqueName="[Tabla_master_rend 1].[MG_LPS].[All]" dimensionUniqueName="[Tabla_master_rend 1]" displayFolder="" count="0" memberValueDatatype="5" unbalanced="0"/>
    <cacheHierarchy uniqueName="[Tabla_master_rend 1].[MP_LPS]" caption="MP_LPS" attribute="1" defaultMemberUniqueName="[Tabla_master_rend 1].[MP_LPS].[All]" allUniqueName="[Tabla_master_rend 1].[MP_LPS].[All]" dimensionUniqueName="[Tabla_master_rend 1]" displayFolder="" count="0" memberValueDatatype="5" unbalanced="0"/>
    <cacheHierarchy uniqueName="[Tabla_master_rend 1].[Kg_Queso_Blan]" caption="Kg_Queso_Blan" attribute="1" defaultMemberUniqueName="[Tabla_master_rend 1].[Kg_Queso_Blan].[All]" allUniqueName="[Tabla_master_rend 1].[Kg_Queso_Blan].[All]" dimensionUniqueName="[Tabla_master_rend 1]" displayFolder="" count="0" memberValueDatatype="5" unbalanced="0"/>
    <cacheHierarchy uniqueName="[Tabla_master_rend 1].[RDTO_Blanco]" caption="RDTO_Blanco" attribute="1" defaultMemberUniqueName="[Tabla_master_rend 1].[RDTO_Blanco].[All]" allUniqueName="[Tabla_master_rend 1].[RDTO_Blanco].[All]" dimensionUniqueName="[Tabla_master_rend 1]" displayFolder="" count="0" memberValueDatatype="5" unbalanced="0"/>
    <cacheHierarchy uniqueName="[Tabla_master_rend 1].[RDTO_NETO]" caption="RDTO_NETO" attribute="1" defaultMemberUniqueName="[Tabla_master_rend 1].[RDTO_NETO].[All]" allUniqueName="[Tabla_master_rend 1].[RDTO_NETO].[All]" dimensionUniqueName="[Tabla_master_rend 1]" displayFolder="" count="0" memberValueDatatype="5" unbalanced="0"/>
    <cacheHierarchy uniqueName="[Tabla_master_rend 1].[REND_TARGET]" caption="REND_TARGET" attribute="1" defaultMemberUniqueName="[Tabla_master_rend 1].[REND_TARGET].[All]" allUniqueName="[Tabla_master_rend 1].[REND_TARGET].[All]" dimensionUniqueName="[Tabla_master_rend 1]" displayFolder="" count="0" memberValueDatatype="5" unbalanced="0"/>
    <cacheHierarchy uniqueName="[Tabla_master_rend 1].[Kg_Solidos_leche]" caption="Kg_Solidos_leche" attribute="1" defaultMemberUniqueName="[Tabla_master_rend 1].[Kg_Solidos_leche].[All]" allUniqueName="[Tabla_master_rend 1].[Kg_Solidos_leche].[All]" dimensionUniqueName="[Tabla_master_rend 1]" displayFolder="" count="0" memberValueDatatype="5" unbalanced="0"/>
    <cacheHierarchy uniqueName="[Tabla_master_rend 1].[%MG_QUESO]" caption="%MG_QUESO" attribute="1" defaultMemberUniqueName="[Tabla_master_rend 1].[%MG_QUESO].[All]" allUniqueName="[Tabla_master_rend 1].[%MG_QUESO].[All]" dimensionUniqueName="[Tabla_master_rend 1]" displayFolder="" count="0" memberValueDatatype="5" unbalanced="0"/>
    <cacheHierarchy uniqueName="[Tabla_master_rend 1].[%PT_QUESO]" caption="%PT_QUESO" attribute="1" defaultMemberUniqueName="[Tabla_master_rend 1].[%PT_QUESO].[All]" allUniqueName="[Tabla_master_rend 1].[%PT_QUESO].[All]" dimensionUniqueName="[Tabla_master_rend 1]" displayFolder="" count="0" memberValueDatatype="5" unbalanced="0"/>
    <cacheHierarchy uniqueName="[Tabla_master_rend 1].[ES_QUESO]" caption="ES_QUESO" attribute="1" defaultMemberUniqueName="[Tabla_master_rend 1].[ES_QUESO].[All]" allUniqueName="[Tabla_master_rend 1].[ES_QUESO].[All]" dimensionUniqueName="[Tabla_master_rend 1]" displayFolder="" count="0" memberValueDatatype="5" unbalanced="0"/>
    <cacheHierarchy uniqueName="[Tabla_master_rend 1].[Rendimiento_Solidos_%]" caption="Rendimiento_Solidos_%" attribute="1" defaultMemberUniqueName="[Tabla_master_rend 1].[Rendimiento_Solidos_%].[All]" allUniqueName="[Tabla_master_rend 1].[Rendimiento_Solidos_%].[All]" dimensionUniqueName="[Tabla_master_rend 1]" displayFolder="" count="0" memberValueDatatype="5" unbalanced="0"/>
    <cacheHierarchy uniqueName="[Tabla_master_rend 1].[Kg_MG_Nata]" caption="Kg_MG_Nata" attribute="1" defaultMemberUniqueName="[Tabla_master_rend 1].[Kg_MG_Nata].[All]" allUniqueName="[Tabla_master_rend 1].[Kg_MG_Nata].[All]" dimensionUniqueName="[Tabla_master_rend 1]" displayFolder="" count="0" memberValueDatatype="5" unbalanced="0"/>
    <cacheHierarchy uniqueName="[Tabla_master_rend 1].[%RECUP_MG]" caption="%RECUP_MG" attribute="1" defaultMemberUniqueName="[Tabla_master_rend 1].[%RECUP_MG].[All]" allUniqueName="[Tabla_master_rend 1].[%RECUP_MG].[All]" dimensionUniqueName="[Tabla_master_rend 1]" displayFolder="" count="0" memberValueDatatype="5" unbalanced="0"/>
    <cacheHierarchy uniqueName="[Tabla_master_rend 1].[%RECUP_PT]" caption="%RECUP_PT" attribute="1" defaultMemberUniqueName="[Tabla_master_rend 1].[%RECUP_PT].[All]" allUniqueName="[Tabla_master_rend 1].[%RECUP_PT].[All]" dimensionUniqueName="[Tabla_master_rend 1]" displayFolder="" count="0" memberValueDatatype="5" unbalanced="0"/>
    <cacheHierarchy uniqueName="[Tabla_master_rend 1].[Valor_Nata_€]" caption="Valor_Nata_€" attribute="1" defaultMemberUniqueName="[Tabla_master_rend 1].[Valor_Nata_€].[All]" allUniqueName="[Tabla_master_rend 1].[Valor_Nata_€].[All]" dimensionUniqueName="[Tabla_master_rend 1]" displayFolder="" count="0" memberValueDatatype="5" unbalanced="0"/>
    <cacheHierarchy uniqueName="[Tabla_master_rend 1].[Kg_Finos]" caption="Kg_Finos" attribute="1" defaultMemberUniqueName="[Tabla_master_rend 1].[Kg_Finos].[All]" allUniqueName="[Tabla_master_rend 1].[Kg_Finos].[All]" dimensionUniqueName="[Tabla_master_rend 1]" displayFolder="" count="0" memberValueDatatype="5" unbalanced="0"/>
    <cacheHierarchy uniqueName="[Tabla_master_rend 1].[Kg_Llenadora]" caption="Kg_Llenadora" attribute="1" defaultMemberUniqueName="[Tabla_master_rend 1].[Kg_Llenadora].[All]" allUniqueName="[Tabla_master_rend 1].[Kg_Llenadora].[All]" dimensionUniqueName="[Tabla_master_rend 1]" displayFolder="" count="0" memberValueDatatype="5" unbalanced="0"/>
    <cacheHierarchy uniqueName="[Tabla_master_rend 1].[Kg_Desmoldeo]" caption="Kg_Desmoldeo" attribute="1" defaultMemberUniqueName="[Tabla_master_rend 1].[Kg_Desmoldeo].[All]" allUniqueName="[Tabla_master_rend 1].[Kg_Desmoldeo].[All]" dimensionUniqueName="[Tabla_master_rend 1]" displayFolder="" count="0" memberValueDatatype="5" unbalanced="0"/>
    <cacheHierarchy uniqueName="[Tabla_master_rend 1].[Merma_fab]" caption="Merma_fab" attribute="1" defaultMemberUniqueName="[Tabla_master_rend 1].[Merma_fab].[All]" allUniqueName="[Tabla_master_rend 1].[Merma_fab].[All]" dimensionUniqueName="[Tabla_master_rend 1]" displayFolder="" count="0" memberValueDatatype="5" unbalanced="0"/>
    <cacheHierarchy uniqueName="[Tabla_master_rend 1].[% Merma_fab2]" caption="% Merma_fab2" attribute="1" defaultMemberUniqueName="[Tabla_master_rend 1].[% Merma_fab2].[All]" allUniqueName="[Tabla_master_rend 1].[% Merma_fab2].[All]" dimensionUniqueName="[Tabla_master_rend 1]" displayFolder="" count="0" memberValueDatatype="5" unbalanced="0"/>
    <cacheHierarchy uniqueName="[Tabla_master_rend 1].[L_Agua]" caption="L_Agua" attribute="1" defaultMemberUniqueName="[Tabla_master_rend 1].[L_Agua].[All]" allUniqueName="[Tabla_master_rend 1].[L_Agua].[All]" dimensionUniqueName="[Tabla_master_rend 1]" displayFolder="" count="0" memberValueDatatype="20" unbalanced="0"/>
    <cacheHierarchy uniqueName="[Tabla_master_rend 1].[% oreo]" caption="% oreo" attribute="1" defaultMemberUniqueName="[Tabla_master_rend 1].[% oreo].[All]" allUniqueName="[Tabla_master_rend 1].[% oreo].[All]" dimensionUniqueName="[Tabla_master_rend 1]" displayFolder="" count="0" memberValueDatatype="5" unbalanced="0"/>
    <cacheHierarchy uniqueName="[Tabla_master_rend 1].[B_totales]" caption="B_totales" attribute="1" defaultMemberUniqueName="[Tabla_master_rend 1].[B_totales].[All]" allUniqueName="[Tabla_master_rend 1].[B_totales].[All]" dimensionUniqueName="[Tabla_master_rend 1]" displayFolder="" count="0" memberValueDatatype="20" unbalanced="0"/>
    <cacheHierarchy uniqueName="[Tabla_master_rend 1].[B_OK_uni]" caption="B_OK_uni" attribute="1" defaultMemberUniqueName="[Tabla_master_rend 1].[B_OK_uni].[All]" allUniqueName="[Tabla_master_rend 1].[B_OK_uni].[All]" dimensionUniqueName="[Tabla_master_rend 1]" displayFolder="" count="0" memberValueDatatype="20" unbalanced="0"/>
    <cacheHierarchy uniqueName="[Tabla_master_rend 1].[B_OK_kg]" caption="B_OK_kg" attribute="1" defaultMemberUniqueName="[Tabla_master_rend 1].[B_OK_kg].[All]" allUniqueName="[Tabla_master_rend 1].[B_OK_kg].[All]" dimensionUniqueName="[Tabla_master_rend 1]" displayFolder="" count="0" memberValueDatatype="20" unbalanced="0"/>
    <cacheHierarchy uniqueName="[Tabla_master_rend 1].[B_altas]" caption="B_altas" attribute="1" defaultMemberUniqueName="[Tabla_master_rend 1].[B_altas].[All]" allUniqueName="[Tabla_master_rend 1].[B_altas].[All]" dimensionUniqueName="[Tabla_master_rend 1]" displayFolder="" count="0" memberValueDatatype="20" unbalanced="0"/>
    <cacheHierarchy uniqueName="[Tabla_master_rend 1].[B_bajas]" caption="B_bajas" attribute="1" defaultMemberUniqueName="[Tabla_master_rend 1].[B_bajas].[All]" allUniqueName="[Tabla_master_rend 1].[B_bajas].[All]" dimensionUniqueName="[Tabla_master_rend 1]" displayFolder="" count="0" memberValueDatatype="20" unbalanced="0"/>
    <cacheHierarchy uniqueName="[Tabla_master_rend 1].[B_rotas]" caption="B_rotas" attribute="1" defaultMemberUniqueName="[Tabla_master_rend 1].[B_rotas].[All]" allUniqueName="[Tabla_master_rend 1].[B_rotas].[All]" dimensionUniqueName="[Tabla_master_rend 1]" displayFolder="" count="0" memberValueDatatype="20" unbalanced="0"/>
    <cacheHierarchy uniqueName="[Tabla_master_rend 1].[B_feas]" caption="B_feas" attribute="1" defaultMemberUniqueName="[Tabla_master_rend 1].[B_feas].[All]" allUniqueName="[Tabla_master_rend 1].[B_feas].[All]" dimensionUniqueName="[Tabla_master_rend 1]" displayFolder="" count="0" memberValueDatatype="20" unbalanced="0"/>
    <cacheHierarchy uniqueName="[Tabla_master_rend 1].[B_lab]" caption="B_lab" attribute="1" defaultMemberUniqueName="[Tabla_master_rend 1].[B_lab].[All]" allUniqueName="[Tabla_master_rend 1].[B_lab].[All]" dimensionUniqueName="[Tabla_master_rend 1]" displayFolder="" count="0" memberValueDatatype="20" unbalanced="0"/>
    <cacheHierarchy uniqueName="[Tabla_master_rend 1].[Kg_SalidaSecadero]" caption="Kg_SalidaSecadero" attribute="1" defaultMemberUniqueName="[Tabla_master_rend 1].[Kg_SalidaSecadero].[All]" allUniqueName="[Tabla_master_rend 1].[Kg_SalidaSecadero].[All]" dimensionUniqueName="[Tabla_master_rend 1]" displayFolder="" count="0" memberValueDatatype="20" unbalanced="0"/>
    <cacheHierarchy uniqueName="[Tabla_master_rend 1].[Kg_rebaba]" caption="Kg_rebaba" attribute="1" defaultMemberUniqueName="[Tabla_master_rend 1].[Kg_rebaba].[All]" allUniqueName="[Tabla_master_rend 1].[Kg_rebaba].[All]" dimensionUniqueName="[Tabla_master_rend 1]" displayFolder="" count="0" memberValueDatatype="20" unbalanced="0"/>
    <cacheHierarchy uniqueName="[Tabla_master_rend 1].[Kg_mer_env_real]" caption="Kg_mer_env_real" attribute="1" defaultMemberUniqueName="[Tabla_master_rend 1].[Kg_mer_env_real].[All]" allUniqueName="[Tabla_master_rend 1].[Kg_mer_env_real].[All]" dimensionUniqueName="[Tabla_master_rend 1]" displayFolder="" count="0" memberValueDatatype="5" unbalanced="0"/>
    <cacheHierarchy uniqueName="[Tabla_master_rend 1].[kg_mer_lab_real]" caption="kg_mer_lab_real" attribute="1" defaultMemberUniqueName="[Tabla_master_rend 1].[kg_mer_lab_real].[All]" allUniqueName="[Tabla_master_rend 1].[kg_mer_lab_real].[All]" dimensionUniqueName="[Tabla_master_rend 1]" displayFolder="" count="0" memberValueDatatype="5" unbalanced="0"/>
    <cacheHierarchy uniqueName="[Tabla_master_rend 1].[%Merma_env]" caption="%Merma_env" attribute="1" defaultMemberUniqueName="[Tabla_master_rend 1].[%Merma_env].[All]" allUniqueName="[Tabla_master_rend 1].[%Merma_env].[All]" dimensionUniqueName="[Tabla_master_rend 1]" displayFolder="" count="0" memberValueDatatype="5" unbalanced="0"/>
    <cacheHierarchy uniqueName="[Tabla_master_rend 1].[%Merma_env_corr]" caption="%Merma_env_corr" attribute="1" defaultMemberUniqueName="[Tabla_master_rend 1].[%Merma_env_corr].[All]" allUniqueName="[Tabla_master_rend 1].[%Merma_env_corr].[All]" dimensionUniqueName="[Tabla_master_rend 1]" displayFolder="" count="0" memberValueDatatype="5" unbalanced="0"/>
    <cacheHierarchy uniqueName="[Tabla_master_rend 1].[% merma TOT]" caption="% merma TOT" attribute="1" defaultMemberUniqueName="[Tabla_master_rend 1].[% merma TOT].[All]" allUniqueName="[Tabla_master_rend 1].[% merma TOT].[All]" dimensionUniqueName="[Tabla_master_rend 1]" displayFolder="" count="0" memberValueDatatype="5" unbalanced="0"/>
    <cacheHierarchy uniqueName="[Tabla_master_rend 1].[Merma_TOT]" caption="Merma_TOT" attribute="1" defaultMemberUniqueName="[Tabla_master_rend 1].[Merma_TOT].[All]" allUniqueName="[Tabla_master_rend 1].[Merma_TOT].[All]" dimensionUniqueName="[Tabla_master_rend 1]" displayFolder="" count="0" memberValueDatatype="5" unbalanced="0"/>
    <cacheHierarchy uniqueName="[Tabla_master_rend 1].[Kg_Env_Total]" caption="Kg_Env_Total" attribute="1" defaultMemberUniqueName="[Tabla_master_rend 1].[Kg_Env_Total].[All]" allUniqueName="[Tabla_master_rend 1].[Kg_Env_Total].[All]" dimensionUniqueName="[Tabla_master_rend 1]" displayFolder="" count="0" memberValueDatatype="5" unbalanced="0"/>
    <cacheHierarchy uniqueName="[Tabla_master_rend 1].[Coste_Leche_€]" caption="Coste_Leche_€" attribute="1" defaultMemberUniqueName="[Tabla_master_rend 1].[Coste_Leche_€].[All]" allUniqueName="[Tabla_master_rend 1].[Coste_Leche_€].[All]" dimensionUniqueName="[Tabla_master_rend 1]" displayFolder="" count="0" memberValueDatatype="5" unbalanced="0"/>
    <cacheHierarchy uniqueName="[Tabla_master_rend 1].[€/kg_MPQueso]" caption="€/kg_MPQueso" attribute="1" defaultMemberUniqueName="[Tabla_master_rend 1].[€/kg_MPQueso].[All]" allUniqueName="[Tabla_master_rend 1].[€/kg_MPQueso].[All]" dimensionUniqueName="[Tabla_master_rend 1]" displayFolder="" count="0" memberValueDatatype="5" unbalanced="0"/>
    <cacheHierarchy uniqueName="[Tabla_master_rend 1].[Merma_inic]" caption="Merma_inic" attribute="1" defaultMemberUniqueName="[Tabla_master_rend 1].[Merma_inic].[All]" allUniqueName="[Tabla_master_rend 1].[Merma_inic].[All]" dimensionUniqueName="[Tabla_master_rend 1]" displayFolder="" count="0" memberValueDatatype="5" unbalanced="0"/>
    <cacheHierarchy uniqueName="[Tabla_master_rend 1].[Recup_kg]" caption="Recup_kg" attribute="1" defaultMemberUniqueName="[Tabla_master_rend 1].[Recup_kg].[All]" allUniqueName="[Tabla_master_rend 1].[Recup_kg].[All]" dimensionUniqueName="[Tabla_master_rend 1]" displayFolder="" count="0" memberValueDatatype="5" unbalanced="0"/>
    <cacheHierarchy uniqueName="[Tabla_master_rend 1].[Recup_%]" caption="Recup_%" attribute="1" defaultMemberUniqueName="[Tabla_master_rend 1].[Recup_%].[All]" allUniqueName="[Tabla_master_rend 1].[Recup_%].[All]" dimensionUniqueName="[Tabla_master_rend 1]" displayFolder="" count="0" memberValueDatatype="5" unbalanced="0"/>
    <cacheHierarchy uniqueName="[Tabla_master_rend 1].[Merma_ppto fab]" caption="Merma_ppto fab" attribute="1" defaultMemberUniqueName="[Tabla_master_rend 1].[Merma_ppto fab].[All]" allUniqueName="[Tabla_master_rend 1].[Merma_ppto fab].[All]" dimensionUniqueName="[Tabla_master_rend 1]" displayFolder="" count="0" memberValueDatatype="5" unbalanced="0"/>
    <cacheHierarchy uniqueName="[Tabla_master_rend 1].[Merma_ppto oreo]" caption="Merma_ppto oreo" attribute="1" defaultMemberUniqueName="[Tabla_master_rend 1].[Merma_ppto oreo].[All]" allUniqueName="[Tabla_master_rend 1].[Merma_ppto oreo].[All]" dimensionUniqueName="[Tabla_master_rend 1]" displayFolder="" count="0" memberValueDatatype="5" unbalanced="0"/>
    <cacheHierarchy uniqueName="[Tabla_master_rend 1].[Merma_ppto Env/Enc]" caption="Merma_ppto Env/Enc" attribute="1" defaultMemberUniqueName="[Tabla_master_rend 1].[Merma_ppto Env/Enc].[All]" allUniqueName="[Tabla_master_rend 1].[Merma_ppto Env/Enc].[All]" dimensionUniqueName="[Tabla_master_rend 1]" displayFolder="" count="0" memberValueDatatype="5" unbalanced="0"/>
    <cacheHierarchy uniqueName="[Tabla_master_rend 1].[Merma_T ppto]" caption="Merma_T ppto" attribute="1" defaultMemberUniqueName="[Tabla_master_rend 1].[Merma_T ppto].[All]" allUniqueName="[Tabla_master_rend 1].[Merma_T ppto].[All]" dimensionUniqueName="[Tabla_master_rend 1]" displayFolder="" count="0" memberValueDatatype="5" unbalanced="0"/>
    <cacheHierarchy uniqueName="[Tabla_master_rend 1].[Merma_T ppto %]" caption="Merma_T ppto %" attribute="1" defaultMemberUniqueName="[Tabla_master_rend 1].[Merma_T ppto %].[All]" allUniqueName="[Tabla_master_rend 1].[Merma_T ppto %].[All]" dimensionUniqueName="[Tabla_master_rend 1]" displayFolder="" count="0" memberValueDatatype="5" unbalanced="0"/>
    <cacheHierarchy uniqueName="[Tabla_master_rend 1].[Merma_T real %]" caption="Merma_T real %" attribute="1" defaultMemberUniqueName="[Tabla_master_rend 1].[Merma_T real %].[All]" allUniqueName="[Tabla_master_rend 1].[Merma_T real %].[All]" dimensionUniqueName="[Tabla_master_rend 1]" displayFolder="" count="0" memberValueDatatype="5" unbalanced="0"/>
    <cacheHierarchy uniqueName="[Tabla_master_rend 1].[DIF R Vs PPTO]" caption="DIF R Vs PPTO" attribute="1" defaultMemberUniqueName="[Tabla_master_rend 1].[DIF R Vs PPTO].[All]" allUniqueName="[Tabla_master_rend 1].[DIF R Vs PPTO].[All]" dimensionUniqueName="[Tabla_master_rend 1]" displayFolder="" count="0" memberValueDatatype="5" unbalanced="0"/>
    <cacheHierarchy uniqueName="[Tabla_master_rend 1].[IMPACTO]" caption="IMPACTO" attribute="1" defaultMemberUniqueName="[Tabla_master_rend 1].[IMPACTO].[All]" allUniqueName="[Tabla_master_rend 1].[IMPACTO].[All]" dimensionUniqueName="[Tabla_master_rend 1]" displayFolder="" count="0" memberValueDatatype="5" unbalanced="0"/>
    <cacheHierarchy uniqueName="[Tabla_master_rend 1].[IMPACTO_vs_PPTO]" caption="IMPACTO_vs_PPTO" attribute="1" defaultMemberUniqueName="[Tabla_master_rend 1].[IMPACTO_vs_PPTO].[All]" allUniqueName="[Tabla_master_rend 1].[IMPACTO_vs_PPTO].[All]" dimensionUniqueName="[Tabla_master_rend 1]" displayFolder="" count="0" memberValueDatatype="5" unbalanced="0"/>
    <cacheHierarchy uniqueName="[Tabla_Precio_Venta].[Fecha]" caption="Fecha" attribute="1" defaultMemberUniqueName="[Tabla_Precio_Venta].[Fecha].[All]" allUniqueName="[Tabla_Precio_Venta].[Fecha].[All]" dimensionUniqueName="[Tabla_Precio_Venta]" displayFolder="" count="0" memberValueDatatype="130" unbalanced="0"/>
    <cacheHierarchy uniqueName="[Tabla_Precio_Venta].[Producto]" caption="Producto" attribute="1" defaultMemberUniqueName="[Tabla_Precio_Venta].[Producto].[All]" allUniqueName="[Tabla_Precio_Venta].[Producto].[All]" dimensionUniqueName="[Tabla_Precio_Venta]" displayFolder="" count="0" memberValueDatatype="130" unbalanced="0"/>
    <cacheHierarchy uniqueName="[Tabla_Precio_Venta].[Ventas (kg)]" caption="Ventas (kg)" attribute="1" defaultMemberUniqueName="[Tabla_Precio_Venta].[Ventas (kg)].[All]" allUniqueName="[Tabla_Precio_Venta].[Ventas (kg)].[All]" dimensionUniqueName="[Tabla_Precio_Venta]" displayFolder="" count="0" memberValueDatatype="20" unbalanced="0"/>
    <cacheHierarchy uniqueName="[Tabla_Precio_Venta].[PV_eur_kg]" caption="PV_eur_kg" attribute="1" defaultMemberUniqueName="[Tabla_Precio_Venta].[PV_eur_kg].[All]" allUniqueName="[Tabla_Precio_Venta].[PV_eur_kg].[All]" dimensionUniqueName="[Tabla_Precio_Venta]" displayFolder="" count="0" memberValueDatatype="5" unbalanced="0"/>
    <cacheHierarchy uniqueName="[tbl_DimFecha].[Fecha]" caption="Fecha" attribute="1" time="1" defaultMemberUniqueName="[tbl_DimFecha].[Fecha].[All]" allUniqueName="[tbl_DimFecha].[Fecha].[All]" dimensionUniqueName="[tbl_DimFecha]" displayFolder="" count="0" memberValueDatatype="7" unbalanced="0"/>
    <cacheHierarchy uniqueName="[tbl_DimFecha].[Año]" caption="Año" attribute="1" defaultMemberUniqueName="[tbl_DimFecha].[Año].[All]" allUniqueName="[tbl_DimFecha].[Año].[All]" dimensionUniqueName="[tbl_DimFecha]" displayFolder="" count="2" memberValueDatatype="20" unbalanced="0">
      <fieldsUsage count="2">
        <fieldUsage x="-1"/>
        <fieldUsage x="6"/>
      </fieldsUsage>
    </cacheHierarchy>
    <cacheHierarchy uniqueName="[tbl_DimFecha].[MesN]" caption="MesN" attribute="1" defaultMemberUniqueName="[tbl_DimFecha].[MesN].[All]" allUniqueName="[tbl_DimFecha].[MesN].[All]" dimensionUniqueName="[tbl_DimFecha]" displayFolder="" count="0" memberValueDatatype="20" unbalanced="0"/>
    <cacheHierarchy uniqueName="[tbl_DimFecha].[Mes]" caption="Mes" attribute="1" defaultMemberUniqueName="[tbl_DimFecha].[Mes].[All]" allUniqueName="[tbl_DimFecha].[Mes].[All]" dimensionUniqueName="[tbl_DimFecha]" displayFolder="" count="0" memberValueDatatype="130" unbalanced="0"/>
    <cacheHierarchy uniqueName="[tbl_DimFecha].[AñoMes]" caption="AñoMes" attribute="1" defaultMemberUniqueName="[tbl_DimFecha].[AñoMes].[All]" allUniqueName="[tbl_DimFecha].[AñoMes].[All]" dimensionUniqueName="[tbl_DimFecha]" displayFolder="" count="0" memberValueDatatype="130" unbalanced="0"/>
    <cacheHierarchy uniqueName="[tbl_DimFecha].[SemanaISO]" caption="SemanaISO" attribute="1" defaultMemberUniqueName="[tbl_DimFecha].[SemanaISO].[All]" allUniqueName="[tbl_DimFecha].[SemanaISO].[All]" dimensionUniqueName="[tbl_DimFecha]" displayFolder="" count="0" memberValueDatatype="20" unbalanced="0"/>
    <cacheHierarchy uniqueName="[tbl_DimFecha].[AñoSemana]" caption="AñoSemana" attribute="1" defaultMemberUniqueName="[tbl_DimFecha].[AñoSemana].[All]" allUniqueName="[tbl_DimFecha].[AñoSemana].[All]" dimensionUniqueName="[tbl_DimFecha]" displayFolder="" count="0" memberValueDatatype="130" unbalanced="0"/>
    <cacheHierarchy uniqueName="[tbl_DimFecha].[DiaSemanaN]" caption="DiaSemanaN" attribute="1" defaultMemberUniqueName="[tbl_DimFecha].[DiaSemanaN].[All]" allUniqueName="[tbl_DimFecha].[DiaSemanaN].[All]" dimensionUniqueName="[tbl_DimFecha]" displayFolder="" count="0" memberValueDatatype="20" unbalanced="0"/>
    <cacheHierarchy uniqueName="[tbl_DimFecha].[DiaSemana]" caption="DiaSemana" attribute="1" defaultMemberUniqueName="[tbl_DimFecha].[DiaSemana].[All]" allUniqueName="[tbl_DimFecha].[DiaSemana].[All]" dimensionUniqueName="[tbl_DimFecha]" displayFolder="" count="0" memberValueDatatype="130" unbalanced="0"/>
    <cacheHierarchy uniqueName="[tbl_DimFecha].[Mes_Orden]" caption="Mes_Orden" attribute="1" defaultMemberUniqueName="[tbl_DimFecha].[Mes_Orden].[All]" allUniqueName="[tbl_DimFecha].[Mes_Orden].[All]" dimensionUniqueName="[tbl_DimFecha]" displayFolder="" count="0" memberValueDatatype="130" unbalanced="0"/>
    <cacheHierarchy uniqueName="[tbl_DimProducto].[Producto]" caption="Producto" attribute="1" defaultMemberUniqueName="[tbl_DimProducto].[Producto].[All]" allUniqueName="[tbl_DimProducto].[Producto].[All]" dimensionUniqueName="[tbl_DimProducto]" displayFolder="" count="0" memberValueDatatype="130" unbalanced="0"/>
    <cacheHierarchy uniqueName="[tbl_DimProducto].[Producto_id]" caption="Producto_id" attribute="1" defaultMemberUniqueName="[tbl_DimProducto].[Producto_id].[All]" allUniqueName="[tbl_DimProducto].[Producto_id].[All]" dimensionUniqueName="[tbl_DimProducto]" displayFolder="" count="0" memberValueDatatype="130" unbalanced="0"/>
    <cacheHierarchy uniqueName="[tbl_DimProducto].[Categoría]" caption="Categoría" attribute="1" defaultMemberUniqueName="[tbl_DimProducto].[Categoría].[All]" allUniqueName="[tbl_DimProducto].[Categoría].[All]" dimensionUniqueName="[tbl_DimProducto]" displayFolder="" count="2" memberValueDatatype="130" unbalanced="0"/>
    <cacheHierarchy uniqueName="[tbl_DimProducto].[PesoBarra_kg]" caption="PesoBarra_kg" attribute="1" defaultMemberUniqueName="[tbl_DimProducto].[PesoBarra_kg].[All]" allUniqueName="[tbl_DimProducto].[PesoBarra_kg].[All]" dimensionUniqueName="[tbl_DimProducto]" displayFolder="" count="0" memberValueDatatype="5" unbalanced="0"/>
    <cacheHierarchy uniqueName="[tbl_PrecioLeche].[Año]" caption="Año" attribute="1" defaultMemberUniqueName="[tbl_PrecioLeche].[Año].[All]" allUniqueName="[tbl_PrecioLeche].[Año].[All]" dimensionUniqueName="[tbl_PrecioLeche]" displayFolder="" count="0" memberValueDatatype="20" unbalanced="0"/>
    <cacheHierarchy uniqueName="[tbl_PrecioLeche].[AñoMes]" caption="AñoMes" attribute="1" defaultMemberUniqueName="[tbl_PrecioLeche].[AñoMes].[All]" allUniqueName="[tbl_PrecioLeche].[AñoMes].[All]" dimensionUniqueName="[tbl_PrecioLeche]" displayFolder="" count="0" memberValueDatatype="130" unbalanced="0"/>
    <cacheHierarchy uniqueName="[tbl_PrecioLeche].[Mes]" caption="Mes" attribute="1" defaultMemberUniqueName="[tbl_PrecioLeche].[Mes].[All]" allUniqueName="[tbl_PrecioLeche].[Mes].[All]" dimensionUniqueName="[tbl_PrecioLeche]" displayFolder="" count="0" memberValueDatatype="130" unbalanced="0"/>
    <cacheHierarchy uniqueName="[tbl_PrecioLeche].[Tipo_Leche]" caption="Tipo_Leche" attribute="1" defaultMemberUniqueName="[tbl_PrecioLeche].[Tipo_Leche].[All]" allUniqueName="[tbl_PrecioLeche].[Tipo_Leche].[All]" dimensionUniqueName="[tbl_PrecioLeche]" displayFolder="" count="0" memberValueDatatype="130" unbalanced="0"/>
    <cacheHierarchy uniqueName="[tbl_PrecioLeche].[Precio_base]" caption="Precio_base" attribute="1" defaultMemberUniqueName="[tbl_PrecioLeche].[Precio_base].[All]" allUniqueName="[tbl_PrecioLeche].[Precio_base].[All]" dimensionUniqueName="[tbl_PrecioLeche]" displayFolder="" count="0" memberValueDatatype="20" unbalanced="0"/>
    <cacheHierarchy uniqueName="[tbl_PrecioLeche].[Calidades]" caption="Calidades" attribute="1" defaultMemberUniqueName="[tbl_PrecioLeche].[Calidades].[All]" allUniqueName="[tbl_PrecioLeche].[Calidades].[All]" dimensionUniqueName="[tbl_PrecioLeche]" displayFolder="" count="0" memberValueDatatype="20" unbalanced="0"/>
    <cacheHierarchy uniqueName="[tbl_PrecioLeche].[Transporte]" caption="Transporte" attribute="1" defaultMemberUniqueName="[tbl_PrecioLeche].[Transporte].[All]" allUniqueName="[tbl_PrecioLeche].[Transporte].[All]" dimensionUniqueName="[tbl_PrecioLeche]" displayFolder="" count="0" memberValueDatatype="20" unbalanced="0"/>
    <cacheHierarchy uniqueName="[tbl_PrecioLeche].[PMV_eur_L]" caption="PMV_eur_L" attribute="1" defaultMemberUniqueName="[tbl_PrecioLeche].[PMV_eur_L].[All]" allUniqueName="[tbl_PrecioLeche].[PMV_eur_L].[All]" dimensionUniqueName="[tbl_PrecioLeche]" displayFolder="" count="0" memberValueDatatype="5" unbalanced="0"/>
    <cacheHierarchy uniqueName="[Tabla_master_rend].[Fecha (índice de meses)]" caption="Fecha (índice de meses)" attribute="1" defaultMemberUniqueName="[Tabla_master_rend].[Fecha (índice de meses)].[All]" allUniqueName="[Tabla_master_rend].[Fecha (índice de meses)].[All]" dimensionUniqueName="[Tabla_master_rend]" displayFolder="" count="0" memberValueDatatype="20" unbalanced="0" hidden="1"/>
    <cacheHierarchy uniqueName="[Measures].[Litros_Leche]" caption="Litros_Leche" measure="1" displayFolder="" measureGroup="Tabla_master_rend" count="0"/>
    <cacheHierarchy uniqueName="[Measures].[kg_Blancos]" caption="kg_Blancos" measure="1" displayFolder="" measureGroup="Tabla_master_rend" count="0"/>
    <cacheHierarchy uniqueName="[Measures].[Kg_secadero]" caption="Kg_secadero" measure="1" displayFolder="" measureGroup="Tabla_master_rend" count="0"/>
    <cacheHierarchy uniqueName="[Measures].[Merma_TOT_kg]" caption="Merma_TOT_kg" measure="1" displayFolder="" measureGroup="Tabla_master_rend" count="0"/>
    <cacheHierarchy uniqueName="[Measures].[Merma_env_kg]" caption="Merma_env_kg" measure="1" displayFolder="" measureGroup="Tabla_master_rend" count="0"/>
    <cacheHierarchy uniqueName="[Measures].[Impacto_EUR]" caption="Impacto_EUR" measure="1" displayFolder="" measureGroup="Tabla_master_rend" count="0"/>
    <cacheHierarchy uniqueName="[Measures].[RDTO_Blanco_kg]" caption="RDTO_Blanco_kg" measure="1" displayFolder="" measureGroup="Tabla_master_rend" count="0"/>
    <cacheHierarchy uniqueName="[Measures].[Merma_env_pct]" caption="Merma_env_pct" measure="1" displayFolder="" measureGroup="Tabla_master_rend" count="0"/>
    <cacheHierarchy uniqueName="[Measures].[B_totales_u]" caption="B_totales_u" measure="1" displayFolder="" measureGroup="Tabla_master_rend" count="0"/>
    <cacheHierarchy uniqueName="[Measures].[Feas_pct]" caption="Feas_pct" measure="1" displayFolder="" measureGroup="Tabla_master_rend" count="0"/>
    <cacheHierarchy uniqueName="[Measures].[Bajas_pct]" caption="Bajas_pct" measure="1" displayFolder="" measureGroup="Tabla_master_rend" count="0"/>
    <cacheHierarchy uniqueName="[Measures].[Rotas_pct]" caption="Rotas_pct" measure="1" displayFolder="" measureGroup="Tabla_master_rend" count="0"/>
    <cacheHierarchy uniqueName="[Measures].[Recup_kg_sum]" caption="Recup_kg_sum" measure="1" displayFolder="" measureGroup="Tabla_master_rend" count="0"/>
    <cacheHierarchy uniqueName="[Measures].[Merma_inic_kg]" caption="Merma_inic_kg" measure="1" displayFolder="" measureGroup="Tabla_master_rend" count="0"/>
    <cacheHierarchy uniqueName="[Measures].[Recup_pct]" caption="Recup_pct" measure="1" displayFolder="" measureGroup="Tabla_master_rend" count="0"/>
    <cacheHierarchy uniqueName="[Measures].[Merma_env_corregida_kg]" caption="Merma_env_corregida_kg" measure="1" displayFolder="" measureGroup="Tabla_master_rend" count="0"/>
    <cacheHierarchy uniqueName="[Measures].[Merma_env_corregida_pct]" caption="Merma_env_corregida_pct" measure="1" displayFolder="" measureGroup="Tabla_master_rend" count="0"/>
    <cacheHierarchy uniqueName="[Measures].[Merma_TOT_pct]" caption="Merma_TOT_pct" measure="1" displayFolder="" measureGroup="Tabla_master_rend" count="0"/>
    <cacheHierarchy uniqueName="[Measures].[Labo_pct]" caption="Labo_pct" measure="1" displayFolder="" measureGroup="Tabla_master_rend" count="0"/>
    <cacheHierarchy uniqueName="[Measures].[Recup_MG_pct_pond]" caption="Recup_MG_pct_pond" measure="1" displayFolder="" measureGroup="Tabla_master_rend" count="0"/>
    <cacheHierarchy uniqueName="[Measures].[Recup_PT_pct_pond]" caption="Recup_PT_pct_pond" measure="1" displayFolder="" measureGroup="Tabla_master_rend" count="0"/>
    <cacheHierarchy uniqueName="[Measures].[Suero_vs_Leche]" caption="Suero_vs_Leche" measure="1" displayFolder="" measureGroup="Tabla_master_rend" count="0"/>
    <cacheHierarchy uniqueName="[Measures].[MG_suero_pct_pond]" caption="MG_suero_pct_pond" measure="1" displayFolder="" measureGroup="Tabla_master_rend" count="0"/>
    <cacheHierarchy uniqueName="[Measures].[PT_suero_pct_pond]" caption="PT_suero_pct_pond" measure="1" displayFolder="" measureGroup="Tabla_master_rend" count="0"/>
    <cacheHierarchy uniqueName="[Measures].[Nata_leche_L]" caption="Nata_leche_L" measure="1" displayFolder="" measureGroup="Tabla_master_rend" count="0"/>
    <cacheHierarchy uniqueName="[Measures].[Nata_suero_L]" caption="Nata_suero_L" measure="1" displayFolder="" measureGroup="Tabla_master_rend" count="0"/>
    <cacheHierarchy uniqueName="[Measures].[Nata_suero_pct]" caption="Nata_suero_pct" measure="1" displayFolder="" measureGroup="Tabla_master_rend" count="0"/>
    <cacheHierarchy uniqueName="[Measures].[Valor_Nata_EUR]" caption="Valor_Nata_EUR" measure="1" displayFolder="" measureGroup="Tabla_master_rend" count="0"/>
    <cacheHierarchy uniqueName="[Measures].[Nata_Total_L]" caption="Nata_Total_L" measure="1" displayFolder="" measureGroup="Tabla_master_rend" count="0"/>
    <cacheHierarchy uniqueName="[Measures].[Solidos_leche_kg]" caption="Solidos_leche_kg" measure="1" displayFolder="" measureGroup="Tabla_master_rend" count="0"/>
    <cacheHierarchy uniqueName="[Measures].[Solidos_en_queso_kg]" caption="Solidos_en_queso_kg" measure="1" displayFolder="" measureGroup="Tabla_master_rend" count="0"/>
    <cacheHierarchy uniqueName="[Measures].[Recup_solidos_a_queso_pct]" caption="Recup_solidos_a_queso_pct" measure="1" displayFolder="" measureGroup="Tabla_master_rend" count="0"/>
    <cacheHierarchy uniqueName="[Measures].[Suero_kg_aprox]" caption="Suero_kg_aprox" measure="1" displayFolder="" measureGroup="Tabla_master_rend" count="0"/>
    <cacheHierarchy uniqueName="[Measures].[Solidos_principales_suero_kg]" caption="Solidos_principales_suero_kg" measure="1" displayFolder="" measureGroup="Tabla_master_rend" count="0"/>
    <cacheHierarchy uniqueName="[Measures].[Solidos_principales_suero_pct_sobre_leche]" caption="Solidos_principales_suero_pct_sobre_leche" measure="1" displayFolder="" measureGroup="Tabla_master_rend" count="0"/>
    <cacheHierarchy uniqueName="[Measures].[Solidos_gap_kg]" caption="Solidos_gap_kg" measure="1" displayFolder="" measureGroup="Tabla_master_rend" count="0"/>
    <cacheHierarchy uniqueName="[Measures].[MG_a_nata_leche_kg]" caption="MG_a_nata_leche_kg" measure="1" displayFolder="" measureGroup="Tabla_master_rend" count="0"/>
    <cacheHierarchy uniqueName="[Measures].[MG_a_nata_leche_pct_sobre_solidos]" caption="MG_a_nata_leche_pct_sobre_solidos" measure="1" displayFolder="" measureGroup="Tabla_master_rend" count="0"/>
    <cacheHierarchy uniqueName="[Measures].[Solidos_leche_FP_kg]" caption="Solidos_leche_FP_kg" measure="1" displayFolder="" measureGroup="Tabla_master_rend" count="0"/>
    <cacheHierarchy uniqueName="[Measures].[Solidos_queso_FP_kg]" caption="Solidos_queso_FP_kg" measure="1" displayFolder="" measureGroup="Tabla_master_rend" count="0"/>
    <cacheHierarchy uniqueName="[Measures].[Solidos_suero_FP_kg]" caption="Solidos_suero_FP_kg" measure="1" displayFolder="" measureGroup="Tabla_master_rend" count="0"/>
    <cacheHierarchy uniqueName="[Measures].[Solidos_GAP_des_pct]" caption="Solidos_GAP_des_pct" measure="1" displayFolder="" measureGroup="Tabla_master_rend" count="0"/>
    <cacheHierarchy uniqueName="[Measures].[RDTO_neto_pond]" caption="RDTO_neto_pond" measure="1" displayFolder="" measureGroup="Tabla_master_rend" count="0"/>
    <cacheHierarchy uniqueName="[Measures].[Recup_FP_queso_pct]" caption="Recup_FP_queso_pct" measure="1" displayFolder="" measureGroup="Tabla_master_rend" count="0"/>
    <cacheHierarchy uniqueName="[Measures].[IMPACTO_VS__PPTO]" caption="IMPACTO_VS__PPTO" measure="1" displayFolder="" measureGroup="Tabla_master_rend" count="0"/>
    <cacheHierarchy uniqueName="[Measures].[€/kg_MP_Queso]" caption="€/kg_MP_Queso" measure="1" displayFolder="" measureGroup="Tabla_master_rend" count="0"/>
    <cacheHierarchy uniqueName="[Measures].[Merma_TOT_%_blanco_a_vendible]" caption="Merma_TOT_%_blanco_a_vendible" measure="1" displayFolder="" measureGroup="Tabla_master_rend" count="0"/>
    <cacheHierarchy uniqueName="[Measures].[Merma_TOT_kg_blanco_a_vendible :]" caption="Merma_TOT_kg_blanco_a_vendible :" measure="1" displayFolder="" measureGroup="Tabla_master_rend" count="0"/>
    <cacheHierarchy uniqueName="[Measures].[Gap_solidos_pct]" caption="Gap_solidos_pct" measure="1" displayFolder="" measureGroup="Tabla_master_rend" count="0"/>
    <cacheHierarchy uniqueName="[Measures].[Kg_saladero_tons]" caption="Kg_saladero_tons" measure="1" displayFolder="" measureGroup="Tabla_master_rend" count="0"/>
    <cacheHierarchy uniqueName="[Measures].[Suero_L]" caption="Suero_L" measure="1" displayFolder="" measureGroup="Tabla_master_rend" count="0"/>
    <cacheHierarchy uniqueName="[Measures].[%_Merma_Finos]" caption="%_Merma_Finos" measure="1" displayFolder="" measureGroup="Tabla_master_rend" count="0" oneField="1">
      <fieldsUsage count="1">
        <fieldUsage x="0"/>
      </fieldsUsage>
    </cacheHierarchy>
    <cacheHierarchy uniqueName="[Measures].[%_Merma_Llenadora]" caption="%_Merma_Llenadora" measure="1" displayFolder="" measureGroup="Tabla_master_rend" count="0" oneField="1">
      <fieldsUsage count="1">
        <fieldUsage x="1"/>
      </fieldsUsage>
    </cacheHierarchy>
    <cacheHierarchy uniqueName="[Measures].[%_Merma_Desm]" caption="%_Merma_Desm" measure="1" displayFolder="" measureGroup="Tabla_master_rend" count="0" oneField="1">
      <fieldsUsage count="1">
        <fieldUsage x="2"/>
      </fieldsUsage>
    </cacheHierarchy>
    <cacheHierarchy uniqueName="[Measures].[%_Merma_oreo]" caption="%_Merma_oreo" measure="1" displayFolder="" measureGroup="Tabla_master_rend" count="0" oneField="1">
      <fieldsUsage count="1">
        <fieldUsage x="3"/>
      </fieldsUsage>
    </cacheHierarchy>
    <cacheHierarchy uniqueName="[Measures].[__XL_Count tbl_DimProducto]" caption="__XL_Count tbl_DimProducto" measure="1" displayFolder="" measureGroup="tbl_DimProducto" count="0" hidden="1"/>
    <cacheHierarchy uniqueName="[Measures].[__XL_Count tbl_FactRendFecha]" caption="__XL_Count tbl_FactRendFecha" measure="1" displayFolder="" measureGroup="tbl_DimFecha" count="0" hidden="1"/>
    <cacheHierarchy uniqueName="[Measures].[__XL_Count Tabla_master_rend]" caption="__XL_Count Tabla_master_rend" measure="1" displayFolder="" measureGroup="Tabla_master_rend" count="0" hidden="1"/>
    <cacheHierarchy uniqueName="[Measures].[__XL_Count REND_TARGET]" caption="__XL_Count REND_TARGET" measure="1" displayFolder="" measureGroup="REND_TARGET" count="0" hidden="1"/>
    <cacheHierarchy uniqueName="[Measures].[__XL_Count Tabla_master_rend 1]" caption="__XL_Count Tabla_master_rend 1" measure="1" displayFolder="" measureGroup="Tabla_master_rend 1" count="0" hidden="1"/>
    <cacheHierarchy uniqueName="[Measures].[__XL_Count Tabla_Precio_Venta]" caption="__XL_Count Tabla_Precio_Venta" measure="1" displayFolder="" measureGroup="Tabla_Precio_Venta" count="0" hidden="1"/>
    <cacheHierarchy uniqueName="[Measures].[__XL_Count tbl_PrecioLeche]" caption="__XL_Count tbl_PrecioLeche" measure="1" displayFolder="" measureGroup="tbl_PrecioLeche" count="0" hidden="1"/>
    <cacheHierarchy uniqueName="[Measures].[__XL_Count Tabla_Contabilidad]" caption="__XL_Count Tabla_Contabilidad" measure="1" displayFolder="" measureGroup="Tabla_Contabilidad" count="0" hidden="1"/>
    <cacheHierarchy uniqueName="[Measures].[__No measures defined]" caption="__No measures defined" measure="1" displayFolder="" count="0" hidden="1"/>
    <cacheHierarchy uniqueName="[Measures].[Sum of Rend_Ntarget]" caption="Sum of Rend_Ntarget" measure="1" displayFolder="" measureGroup="REND_TARG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imum of Rend_Ntarget]" caption="Maximum of Rend_Ntarget" measure="1" displayFolder="" measureGroup="REND_TARG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REND_TARGET]" caption="Suma de REND_TARGET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Promedio de REND_TARGET]" caption="Promedio de REND_TARGET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RDTO_NETO]" caption="Suma de RDTO_NETO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Kg_Finos]" caption="Suma de Kg_Finos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Kg_Llenadora]" caption="Suma de Kg_Llenadora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Kg_Desmoldeo]" caption="Suma de Kg_Desmoldeo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de Merma_fab]" caption="Suma de Merma_fab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Recuento de L_Agua]" caption="Recuento de L_Agua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de %Merma_env_corr]" caption="Suma de %Merma_env_corr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Promedio de %Merma_env_corr]" caption="Promedio de %Merma_env_corr" measure="1" displayFolder="" measureGroup="Tabla_master_rend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a de Gastos Estructura (€∕mes)]" caption="Suma de Gastos Estructura (€∕mes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Gastos Estructura (€∕mes)]" caption="Promedio de Gastos Estructura (€∕mes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BITDA  (M€)]" caption="Suma de EBITDA  (M€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BITDA  (M€)]" caption="Promedio de EBITDA  (M€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9">
    <dimension measure="1" name="Measures" uniqueName="[Measures]" caption="Measures"/>
    <dimension name="REND_TARGET" uniqueName="[REND_TARGET]" caption="REND_TARGET"/>
    <dimension name="Tabla_Contabilidad" uniqueName="[Tabla_Contabilidad]" caption="Tabla_Contabilidad"/>
    <dimension name="Tabla_master_rend" uniqueName="[Tabla_master_rend]" caption="Tabla_master_rend"/>
    <dimension name="Tabla_master_rend 1" uniqueName="[Tabla_master_rend 1]" caption="Tabla_master_rend 1"/>
    <dimension name="Tabla_Precio_Venta" uniqueName="[Tabla_Precio_Venta]" caption="Tabla_Precio_Venta"/>
    <dimension name="tbl_DimFecha" uniqueName="[tbl_DimFecha]" caption="tbl_DimFecha"/>
    <dimension name="tbl_DimProducto" uniqueName="[tbl_DimProducto]" caption="tbl_DimProducto"/>
    <dimension name="tbl_PrecioLeche" uniqueName="[tbl_PrecioLeche]" caption="tbl_PrecioLeche"/>
  </dimensions>
  <measureGroups count="8">
    <measureGroup name="REND_TARGET" caption="REND_TARGET"/>
    <measureGroup name="Tabla_Contabilidad" caption="Tabla_Contabilidad"/>
    <measureGroup name="Tabla_master_rend" caption="Tabla_master_rend"/>
    <measureGroup name="Tabla_master_rend 1" caption="Tabla_master_rend 1"/>
    <measureGroup name="Tabla_Precio_Venta" caption="Tabla_Precio_Venta"/>
    <measureGroup name="tbl_DimFecha" caption="tbl_DimFecha"/>
    <measureGroup name="tbl_DimProducto" caption="tbl_DimProducto"/>
    <measureGroup name="tbl_PrecioLeche" caption="tbl_PrecioLeche"/>
  </measureGroups>
  <maps count="13">
    <map measureGroup="0" dimension="1"/>
    <map measureGroup="0" dimension="7"/>
    <map measureGroup="1" dimension="2"/>
    <map measureGroup="2" dimension="3"/>
    <map measureGroup="2" dimension="6"/>
    <map measureGroup="2" dimension="7"/>
    <map measureGroup="3" dimension="4"/>
    <map measureGroup="4" dimension="5"/>
    <map measureGroup="4" dimension="6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os Colasante" refreshedDate="46134.996704745368" backgroundQuery="1" createdVersion="8" refreshedVersion="8" minRefreshableVersion="3" recordCount="0" supportSubquery="1" supportAdvancedDrill="1" xr:uid="{258AB0B5-9ABE-46FB-8050-BE6B2ED3F8E7}">
  <cacheSource type="external" connectionId="4"/>
  <cacheFields count="6">
    <cacheField name="[tbl_DimFecha].[AñoMes].[AñoMes]" caption="AñoMes" numFmtId="0" hierarchy="189" level="1">
      <sharedItems count="3">
        <s v="2026-01"/>
        <s v="2026-02"/>
        <s v="2026-03"/>
      </sharedItems>
    </cacheField>
    <cacheField name="[Measures].[Solidos_leche_FP_kg]" caption="Solidos_leche_FP_kg" numFmtId="0" hierarchy="246" level="32767"/>
    <cacheField name="[Measures].[Solidos_queso_FP_kg]" caption="Solidos_queso_FP_kg" numFmtId="0" hierarchy="247" level="32767"/>
    <cacheField name="[Measures].[MG_a_nata_leche_kg]" caption="MG_a_nata_leche_kg" numFmtId="0" hierarchy="244" level="32767"/>
    <cacheField name="[Measures].[Recup_solidos_a_queso_pct]" caption="Recup_solidos_a_queso_pct" numFmtId="0" hierarchy="239" level="32767"/>
    <cacheField name="[tbl_DimFecha].[Año].[Año]" caption="Año" numFmtId="0" hierarchy="186" level="1">
      <sharedItems containsSemiMixedTypes="0" containsNonDate="0" containsString="0"/>
    </cacheField>
  </cacheFields>
  <cacheHierarchies count="288">
    <cacheHierarchy uniqueName="[REND_TARGET].[Producto]" caption="Producto" attribute="1" defaultMemberUniqueName="[REND_TARGET].[Producto].[All]" allUniqueName="[REND_TARGET].[Producto].[All]" dimensionUniqueName="[REND_TARGET]" displayFolder="" count="0" memberValueDatatype="130" unbalanced="0"/>
    <cacheHierarchy uniqueName="[REND_TARGET].[Rendimiento Blanco]" caption="Rendimiento Blanco" attribute="1" defaultMemberUniqueName="[REND_TARGET].[Rendimiento Blanco].[All]" allUniqueName="[REND_TARGET].[Rendimiento Blanco].[All]" dimensionUniqueName="[REND_TARGET]" displayFolder="" count="0" memberValueDatatype="5" unbalanced="0"/>
    <cacheHierarchy uniqueName="[REND_TARGET].[Merma Fabr]" caption="Merma Fabr" attribute="1" defaultMemberUniqueName="[REND_TARGET].[Merma Fabr].[All]" allUniqueName="[REND_TARGET].[Merma Fabr].[All]" dimensionUniqueName="[REND_TARGET]" displayFolder="" count="0" memberValueDatatype="5" unbalanced="0"/>
    <cacheHierarchy uniqueName="[REND_TARGET].[Merma Oreo]" caption="Merma Oreo" attribute="1" defaultMemberUniqueName="[REND_TARGET].[Merma Oreo].[All]" allUniqueName="[REND_TARGET].[Merma Oreo].[All]" dimensionUniqueName="[REND_TARGET]" displayFolder="" count="0" memberValueDatatype="5" unbalanced="0"/>
    <cacheHierarchy uniqueName="[REND_TARGET].[Merma E/E]" caption="Merma E/E" attribute="1" defaultMemberUniqueName="[REND_TARGET].[Merma E/E].[All]" allUniqueName="[REND_TARGET].[Merma E/E].[All]" dimensionUniqueName="[REND_TARGET]" displayFolder="" count="0" memberValueDatatype="5" unbalanced="0"/>
    <cacheHierarchy uniqueName="[REND_TARGET].[Rend_Ntarget]" caption="Rend_Ntarget" attribute="1" defaultMemberUniqueName="[REND_TARGET].[Rend_Ntarget].[All]" allUniqueName="[REND_TARGET].[Rend_Ntarget].[All]" dimensionUniqueName="[REND_TARGET]" displayFolder="" count="0" memberValueDatatype="5" unbalanced="0"/>
    <cacheHierarchy uniqueName="[Tabla_Contabilidad].[Año]" caption="Año" attribute="1" defaultMemberUniqueName="[Tabla_Contabilidad].[Año].[All]" allUniqueName="[Tabla_Contabilidad].[Año].[All]" dimensionUniqueName="[Tabla_Contabilidad]" displayFolder="" count="0" memberValueDatatype="20" unbalanced="0"/>
    <cacheHierarchy uniqueName="[Tabla_Contabilidad].[AñoMes]" caption="AñoMes" attribute="1" defaultMemberUniqueName="[Tabla_Contabilidad].[AñoMes].[All]" allUniqueName="[Tabla_Contabilidad].[AñoMes].[All]" dimensionUniqueName="[Tabla_Contabilidad]" displayFolder="" count="0" memberValueDatatype="130" unbalanced="0"/>
    <cacheHierarchy uniqueName="[Tabla_Contabilidad].[Mes]" caption="Mes" attribute="1" defaultMemberUniqueName="[Tabla_Contabilidad].[Mes].[All]" allUniqueName="[Tabla_Contabilidad].[Mes].[All]" dimensionUniqueName="[Tabla_Contabilidad]" displayFolder="" count="0" memberValueDatatype="130" unbalanced="0"/>
    <cacheHierarchy uniqueName="[Tabla_Contabilidad].[Gastos Estructura (€∕mes)]" caption="Gastos Estructura (€∕mes)" attribute="1" defaultMemberUniqueName="[Tabla_Contabilidad].[Gastos Estructura (€∕mes)].[All]" allUniqueName="[Tabla_Contabilidad].[Gastos Estructura (€∕mes)].[All]" dimensionUniqueName="[Tabla_Contabilidad]" displayFolder="" count="0" memberValueDatatype="20" unbalanced="0"/>
    <cacheHierarchy uniqueName="[Tabla_Contabilidad].[EBITDA  (M€)]" caption="EBITDA  (M€)" attribute="1" defaultMemberUniqueName="[Tabla_Contabilidad].[EBITDA  (M€)].[All]" allUniqueName="[Tabla_Contabilidad].[EBITDA  (M€)].[All]" dimensionUniqueName="[Tabla_Contabilidad]" displayFolder="" count="0" memberValueDatatype="20" unbalanced="0"/>
    <cacheHierarchy uniqueName="[Tabla_Contabilidad].[EBITDA_PPTO (M€)]" caption="EBITDA_PPTO (M€)" attribute="1" defaultMemberUniqueName="[Tabla_Contabilidad].[EBITDA_PPTO (M€)].[All]" allUniqueName="[Tabla_Contabilidad].[EBITDA_PPTO (M€)].[All]" dimensionUniqueName="[Tabla_Contabilidad]" displayFolder="" count="0" memberValueDatatype="20" unbalanced="0"/>
    <cacheHierarchy uniqueName="[Tabla_master_rend].[Fecha]" caption="Fecha" attribute="1" time="1" defaultMemberUniqueName="[Tabla_master_rend].[Fecha].[All]" allUniqueName="[Tabla_master_rend].[Fecha].[All]" dimensionUniqueName="[Tabla_master_rend]" displayFolder="" count="0" memberValueDatatype="7" unbalanced="0"/>
    <cacheHierarchy uniqueName="[Tabla_master_rend].[mes]" caption="mes" attribute="1" defaultMemberUniqueName="[Tabla_master_rend].[mes].[All]" allUniqueName="[Tabla_master_rend].[mes].[All]" dimensionUniqueName="[Tabla_master_rend]" displayFolder="" count="0" memberValueDatatype="20" unbalanced="0"/>
    <cacheHierarchy uniqueName="[Tabla_master_rend].[Mes_Nom]" caption="Mes_Nom" attribute="1" defaultMemberUniqueName="[Tabla_master_rend].[Mes_Nom].[All]" allUniqueName="[Tabla_master_rend].[Mes_Nom].[All]" dimensionUniqueName="[Tabla_master_rend]" displayFolder="" count="2" memberValueDatatype="130" unbalanced="0"/>
    <cacheHierarchy uniqueName="[Tabla_master_rend].[Día]" caption="Día" attribute="1" defaultMemberUniqueName="[Tabla_master_rend].[Día].[All]" allUniqueName="[Tabla_master_rend].[Día].[All]" dimensionUniqueName="[Tabla_master_rend]" displayFolder="" count="2" memberValueDatatype="130" unbalanced="0"/>
    <cacheHierarchy uniqueName="[Tabla_master_rend].[Lote]" caption="Lote" attribute="1" defaultMemberUniqueName="[Tabla_master_rend].[Lote].[All]" allUniqueName="[Tabla_master_rend].[Lote].[All]" dimensionUniqueName="[Tabla_master_rend]" displayFolder="" count="0" memberValueDatatype="20" unbalanced="0"/>
    <cacheHierarchy uniqueName="[Tabla_master_rend].[Producto]" caption="Producto" attribute="1" defaultMemberUniqueName="[Tabla_master_rend].[Producto].[All]" allUniqueName="[Tabla_master_rend].[Producto].[All]" dimensionUniqueName="[Tabla_master_rend]" displayFolder="" count="2" memberValueDatatype="130" unbalanced="0"/>
    <cacheHierarchy uniqueName="[Tabla_master_rend].[Cubas_prod]" caption="Cubas_prod" attribute="1" defaultMemberUniqueName="[Tabla_master_rend].[Cubas_prod].[All]" allUniqueName="[Tabla_master_rend].[Cubas_prod].[All]" dimensionUniqueName="[Tabla_master_rend]" displayFolder="" count="0" memberValueDatatype="20" unbalanced="0"/>
    <cacheHierarchy uniqueName="[Tabla_master_rend].[Litros_Leche_Total]" caption="Litros_Leche_Total" attribute="1" defaultMemberUniqueName="[Tabla_master_rend].[Litros_Leche_Total].[All]" allUniqueName="[Tabla_master_rend].[Litros_Leche_Total].[All]" dimensionUniqueName="[Tabla_master_rend]" displayFolder="" count="0" memberValueDatatype="20" unbalanced="0"/>
    <cacheHierarchy uniqueName="[Tabla_master_rend].[L_Leche_ent]" caption="L_Leche_ent" attribute="1" defaultMemberUniqueName="[Tabla_master_rend].[L_Leche_ent].[All]" allUniqueName="[Tabla_master_rend].[L_Leche_ent].[All]" dimensionUniqueName="[Tabla_master_rend]" displayFolder="" count="0" memberValueDatatype="20" unbalanced="0"/>
    <cacheHierarchy uniqueName="[Tabla_master_rend].[%MG_Leche]" caption="%MG_Leche" attribute="1" defaultMemberUniqueName="[Tabla_master_rend].[%MG_Leche].[All]" allUniqueName="[Tabla_master_rend].[%MG_Leche].[All]" dimensionUniqueName="[Tabla_master_rend]" displayFolder="" count="0" memberValueDatatype="5" unbalanced="0"/>
    <cacheHierarchy uniqueName="[Tabla_master_rend].[%MP_Leche]" caption="%MP_Leche" attribute="1" defaultMemberUniqueName="[Tabla_master_rend].[%MP_Leche].[All]" allUniqueName="[Tabla_master_rend].[%MP_Leche].[All]" dimensionUniqueName="[Tabla_master_rend]" displayFolder="" count="0" memberValueDatatype="5" unbalanced="0"/>
    <cacheHierarchy uniqueName="[Tabla_master_rend].[EST_%]" caption="EST_%" attribute="1" defaultMemberUniqueName="[Tabla_master_rend].[EST_%].[All]" allUniqueName="[Tabla_master_rend].[EST_%].[All]" dimensionUniqueName="[Tabla_master_rend]" displayFolder="" count="0" memberValueDatatype="5" unbalanced="0"/>
    <cacheHierarchy uniqueName="[Tabla_master_rend].[Desn_en_linea]" caption="Desn_en_linea" attribute="1" defaultMemberUniqueName="[Tabla_master_rend].[Desn_en_linea].[All]" allUniqueName="[Tabla_master_rend].[Desn_en_linea].[All]" dimensionUniqueName="[Tabla_master_rend]" displayFolder="" count="2" memberValueDatatype="130" unbalanced="0"/>
    <cacheHierarchy uniqueName="[Tabla_master_rend].[L_desn_ext]" caption="L_desn_ext" attribute="1" defaultMemberUniqueName="[Tabla_master_rend].[L_desn_ext].[All]" allUniqueName="[Tabla_master_rend].[L_desn_ext].[All]" dimensionUniqueName="[Tabla_master_rend]" displayFolder="" count="0" memberValueDatatype="20" unbalanced="0"/>
    <cacheHierarchy uniqueName="[Tabla_master_rend].[L_cabra]" caption="L_cabra" attribute="1" defaultMemberUniqueName="[Tabla_master_rend].[L_cabra].[All]" allUniqueName="[Tabla_master_rend].[L_cabra].[All]" dimensionUniqueName="[Tabla_master_rend]" displayFolder="" count="0" memberValueDatatype="20" unbalanced="0"/>
    <cacheHierarchy uniqueName="[Tabla_master_rend].[L_oveja]" caption="L_oveja" attribute="1" defaultMemberUniqueName="[Tabla_master_rend].[L_oveja].[All]" allUniqueName="[Tabla_master_rend].[L_oveja].[All]" dimensionUniqueName="[Tabla_master_rend]" displayFolder="" count="0" memberValueDatatype="20" unbalanced="0"/>
    <cacheHierarchy uniqueName="[Tabla_master_rend].[Litros_Nata]" caption="Litros_Nata" attribute="1" defaultMemberUniqueName="[Tabla_master_rend].[Litros_Nata].[All]" allUniqueName="[Tabla_master_rend].[Litros_Nata].[All]" dimensionUniqueName="[Tabla_master_rend]" displayFolder="" count="0" memberValueDatatype="20" unbalanced="0"/>
    <cacheHierarchy uniqueName="[Tabla_master_rend].[L_nata_suero]" caption="L_nata_suero" attribute="1" defaultMemberUniqueName="[Tabla_master_rend].[L_nata_suero].[All]" allUniqueName="[Tabla_master_rend].[L_nata_suero].[All]" dimensionUniqueName="[Tabla_master_rend]" displayFolder="" count="0" memberValueDatatype="20" unbalanced="0"/>
    <cacheHierarchy uniqueName="[Tabla_master_rend].[L_suero Total]" caption="L_suero Total" attribute="1" defaultMemberUniqueName="[Tabla_master_rend].[L_suero Total].[All]" allUniqueName="[Tabla_master_rend].[L_suero Total].[All]" dimensionUniqueName="[Tabla_master_rend]" displayFolder="" count="0" memberValueDatatype="20" unbalanced="0"/>
    <cacheHierarchy uniqueName="[Tabla_master_rend].[%Suero_vs_leche]" caption="%Suero_vs_leche" attribute="1" defaultMemberUniqueName="[Tabla_master_rend].[%Suero_vs_leche].[All]" allUniqueName="[Tabla_master_rend].[%Suero_vs_leche].[All]" dimensionUniqueName="[Tabla_master_rend]" displayFolder="" count="0" memberValueDatatype="5" unbalanced="0"/>
    <cacheHierarchy uniqueName="[Tabla_master_rend].[MG_suero]" caption="MG_suero" attribute="1" defaultMemberUniqueName="[Tabla_master_rend].[MG_suero].[All]" allUniqueName="[Tabla_master_rend].[MG_suero].[All]" dimensionUniqueName="[Tabla_master_rend]" displayFolder="" count="0" memberValueDatatype="5" unbalanced="0"/>
    <cacheHierarchy uniqueName="[Tabla_master_rend].[MP_suero]" caption="MP_suero" attribute="1" defaultMemberUniqueName="[Tabla_master_rend].[MP_suero].[All]" allUniqueName="[Tabla_master_rend].[MP_suero].[All]" dimensionUniqueName="[Tabla_master_rend]" displayFolder="" count="0" memberValueDatatype="5" unbalanced="0"/>
    <cacheHierarchy uniqueName="[Tabla_master_rend].[L_suero para con]" caption="L_suero para con" attribute="1" defaultMemberUniqueName="[Tabla_master_rend].[L_suero para con].[All]" allUniqueName="[Tabla_master_rend].[L_suero para con].[All]" dimensionUniqueName="[Tabla_master_rend]" displayFolder="" count="0" memberValueDatatype="20" unbalanced="0"/>
    <cacheHierarchy uniqueName="[Tabla_master_rend].[L_suero_con]" caption="L_suero_con" attribute="1" defaultMemberUniqueName="[Tabla_master_rend].[L_suero_con].[All]" allUniqueName="[Tabla_master_rend].[L_suero_con].[All]" dimensionUniqueName="[Tabla_master_rend]" displayFolder="" count="0" memberValueDatatype="20" unbalanced="0"/>
    <cacheHierarchy uniqueName="[Tabla_master_rend].[Rartio_sueroC]" caption="Rartio_sueroC" attribute="1" defaultMemberUniqueName="[Tabla_master_rend].[Rartio_sueroC].[All]" allUniqueName="[Tabla_master_rend].[Rartio_sueroC].[All]" dimensionUniqueName="[Tabla_master_rend]" displayFolder="" count="0" memberValueDatatype="5" unbalanced="0"/>
    <cacheHierarchy uniqueName="[Tabla_master_rend].[L_Suero_Sobrante]" caption="L_Suero_Sobrante" attribute="1" defaultMemberUniqueName="[Tabla_master_rend].[L_Suero_Sobrante].[All]" allUniqueName="[Tabla_master_rend].[L_Suero_Sobrante].[All]" dimensionUniqueName="[Tabla_master_rend]" displayFolder="" count="0" memberValueDatatype="20" unbalanced="0"/>
    <cacheHierarchy uniqueName="[Tabla_master_rend].[MG_sueroc]" caption="MG_sueroc" attribute="1" defaultMemberUniqueName="[Tabla_master_rend].[MG_sueroc].[All]" allUniqueName="[Tabla_master_rend].[MG_sueroc].[All]" dimensionUniqueName="[Tabla_master_rend]" displayFolder="" count="0" memberValueDatatype="20" unbalanced="0"/>
    <cacheHierarchy uniqueName="[Tabla_master_rend].[MP_sueroc]" caption="MP_sueroc" attribute="1" defaultMemberUniqueName="[Tabla_master_rend].[MP_sueroc].[All]" allUniqueName="[Tabla_master_rend].[MP_sueroc].[All]" dimensionUniqueName="[Tabla_master_rend]" displayFolder="" count="0" memberValueDatatype="20" unbalanced="0"/>
    <cacheHierarchy uniqueName="[Tabla_master_rend].[L_LPS_Gen]" caption="L_LPS_Gen" attribute="1" defaultMemberUniqueName="[Tabla_master_rend].[L_LPS_Gen].[All]" allUniqueName="[Tabla_master_rend].[L_LPS_Gen].[All]" dimensionUniqueName="[Tabla_master_rend]" displayFolder="" count="0" memberValueDatatype="20" unbalanced="0"/>
    <cacheHierarchy uniqueName="[Tabla_master_rend].[L_LPS_incor]" caption="L_LPS_incor" attribute="1" defaultMemberUniqueName="[Tabla_master_rend].[L_LPS_incor].[All]" allUniqueName="[Tabla_master_rend].[L_LPS_incor].[All]" dimensionUniqueName="[Tabla_master_rend]" displayFolder="" count="0" memberValueDatatype="20" unbalanced="0"/>
    <cacheHierarchy uniqueName="[Tabla_master_rend].[gr_LPS]" caption="gr_LPS" attribute="1" defaultMemberUniqueName="[Tabla_master_rend].[gr_LPS].[All]" allUniqueName="[Tabla_master_rend].[gr_LPS].[All]" dimensionUniqueName="[Tabla_master_rend]" displayFolder="" count="0" memberValueDatatype="20" unbalanced="0"/>
    <cacheHierarchy uniqueName="[Tabla_master_rend].[MG_LPS]" caption="MG_LPS" attribute="1" defaultMemberUniqueName="[Tabla_master_rend].[MG_LPS].[All]" allUniqueName="[Tabla_master_rend].[MG_LPS].[All]" dimensionUniqueName="[Tabla_master_rend]" displayFolder="" count="0" memberValueDatatype="5" unbalanced="0"/>
    <cacheHierarchy uniqueName="[Tabla_master_rend].[MP_LPS]" caption="MP_LPS" attribute="1" defaultMemberUniqueName="[Tabla_master_rend].[MP_LPS].[All]" allUniqueName="[Tabla_master_rend].[MP_LPS].[All]" dimensionUniqueName="[Tabla_master_rend]" displayFolder="" count="0" memberValueDatatype="5" unbalanced="0"/>
    <cacheHierarchy uniqueName="[Tabla_master_rend].[Kg_Queso_Blan]" caption="Kg_Queso_Blan" attribute="1" defaultMemberUniqueName="[Tabla_master_rend].[Kg_Queso_Blan].[All]" allUniqueName="[Tabla_master_rend].[Kg_Queso_Blan].[All]" dimensionUniqueName="[Tabla_master_rend]" displayFolder="" count="0" memberValueDatatype="5" unbalanced="0"/>
    <cacheHierarchy uniqueName="[Tabla_master_rend].[RDTO_Blanco]" caption="RDTO_Blanco" attribute="1" defaultMemberUniqueName="[Tabla_master_rend].[RDTO_Blanco].[All]" allUniqueName="[Tabla_master_rend].[RDTO_Blanco].[All]" dimensionUniqueName="[Tabla_master_rend]" displayFolder="" count="0" memberValueDatatype="5" unbalanced="0"/>
    <cacheHierarchy uniqueName="[Tabla_master_rend].[RDTO_NETO]" caption="RDTO_NETO" attribute="1" defaultMemberUniqueName="[Tabla_master_rend].[RDTO_NETO].[All]" allUniqueName="[Tabla_master_rend].[RDTO_NETO].[All]" dimensionUniqueName="[Tabla_master_rend]" displayFolder="" count="0" memberValueDatatype="5" unbalanced="0"/>
    <cacheHierarchy uniqueName="[Tabla_master_rend].[REND_TARGET]" caption="REND_TARGET" attribute="1" defaultMemberUniqueName="[Tabla_master_rend].[REND_TARGET].[All]" allUniqueName="[Tabla_master_rend].[REND_TARGET].[All]" dimensionUniqueName="[Tabla_master_rend]" displayFolder="" count="0" memberValueDatatype="5" unbalanced="0"/>
    <cacheHierarchy uniqueName="[Tabla_master_rend].[Kg_Solidos_leche]" caption="Kg_Solidos_leche" attribute="1" defaultMemberUniqueName="[Tabla_master_rend].[Kg_Solidos_leche].[All]" allUniqueName="[Tabla_master_rend].[Kg_Solidos_leche].[All]" dimensionUniqueName="[Tabla_master_rend]" displayFolder="" count="0" memberValueDatatype="5" unbalanced="0"/>
    <cacheHierarchy uniqueName="[Tabla_master_rend].[%MG_QUESO]" caption="%MG_QUESO" attribute="1" defaultMemberUniqueName="[Tabla_master_rend].[%MG_QUESO].[All]" allUniqueName="[Tabla_master_rend].[%MG_QUESO].[All]" dimensionUniqueName="[Tabla_master_rend]" displayFolder="" count="0" memberValueDatatype="5" unbalanced="0"/>
    <cacheHierarchy uniqueName="[Tabla_master_rend].[%PT_QUESO]" caption="%PT_QUESO" attribute="1" defaultMemberUniqueName="[Tabla_master_rend].[%PT_QUESO].[All]" allUniqueName="[Tabla_master_rend].[%PT_QUESO].[All]" dimensionUniqueName="[Tabla_master_rend]" displayFolder="" count="0" memberValueDatatype="5" unbalanced="0"/>
    <cacheHierarchy uniqueName="[Tabla_master_rend].[ES_QUESO]" caption="ES_QUESO" attribute="1" defaultMemberUniqueName="[Tabla_master_rend].[ES_QUESO].[All]" allUniqueName="[Tabla_master_rend].[ES_QUESO].[All]" dimensionUniqueName="[Tabla_master_rend]" displayFolder="" count="0" memberValueDatatype="5" unbalanced="0"/>
    <cacheHierarchy uniqueName="[Tabla_master_rend].[Rendimiento_Solidos_%]" caption="Rendimiento_Solidos_%" attribute="1" defaultMemberUniqueName="[Tabla_master_rend].[Rendimiento_Solidos_%].[All]" allUniqueName="[Tabla_master_rend].[Rendimiento_Solidos_%].[All]" dimensionUniqueName="[Tabla_master_rend]" displayFolder="" count="0" memberValueDatatype="5" unbalanced="0"/>
    <cacheHierarchy uniqueName="[Tabla_master_rend].[Kg_MG_Nata]" caption="Kg_MG_Nata" attribute="1" defaultMemberUniqueName="[Tabla_master_rend].[Kg_MG_Nata].[All]" allUniqueName="[Tabla_master_rend].[Kg_MG_Nata].[All]" dimensionUniqueName="[Tabla_master_rend]" displayFolder="" count="0" memberValueDatatype="5" unbalanced="0"/>
    <cacheHierarchy uniqueName="[Tabla_master_rend].[%RECUP_MG]" caption="%RECUP_MG" attribute="1" defaultMemberUniqueName="[Tabla_master_rend].[%RECUP_MG].[All]" allUniqueName="[Tabla_master_rend].[%RECUP_MG].[All]" dimensionUniqueName="[Tabla_master_rend]" displayFolder="" count="0" memberValueDatatype="5" unbalanced="0"/>
    <cacheHierarchy uniqueName="[Tabla_master_rend].[%RECUP_PT]" caption="%RECUP_PT" attribute="1" defaultMemberUniqueName="[Tabla_master_rend].[%RECUP_PT].[All]" allUniqueName="[Tabla_master_rend].[%RECUP_PT].[All]" dimensionUniqueName="[Tabla_master_rend]" displayFolder="" count="0" memberValueDatatype="5" unbalanced="0"/>
    <cacheHierarchy uniqueName="[Tabla_master_rend].[Valor_Nata_€]" caption="Valor_Nata_€" attribute="1" defaultMemberUniqueName="[Tabla_master_rend].[Valor_Nata_€].[All]" allUniqueName="[Tabla_master_rend].[Valor_Nata_€].[All]" dimensionUniqueName="[Tabla_master_rend]" displayFolder="" count="0" memberValueDatatype="5" unbalanced="0"/>
    <cacheHierarchy uniqueName="[Tabla_master_rend].[Kg_Finos]" caption="Kg_Finos" attribute="1" defaultMemberUniqueName="[Tabla_master_rend].[Kg_Finos].[All]" allUniqueName="[Tabla_master_rend].[Kg_Finos].[All]" dimensionUniqueName="[Tabla_master_rend]" displayFolder="" count="0" memberValueDatatype="5" unbalanced="0"/>
    <cacheHierarchy uniqueName="[Tabla_master_rend].[Kg_Llenadora]" caption="Kg_Llenadora" attribute="1" defaultMemberUniqueName="[Tabla_master_rend].[Kg_Llenadora].[All]" allUniqueName="[Tabla_master_rend].[Kg_Llenadora].[All]" dimensionUniqueName="[Tabla_master_rend]" displayFolder="" count="0" memberValueDatatype="5" unbalanced="0"/>
    <cacheHierarchy uniqueName="[Tabla_master_rend].[Kg_Desmoldeo]" caption="Kg_Desmoldeo" attribute="1" defaultMemberUniqueName="[Tabla_master_rend].[Kg_Desmoldeo].[All]" allUniqueName="[Tabla_master_rend].[Kg_Desmoldeo].[All]" dimensionUniqueName="[Tabla_master_rend]" displayFolder="" count="0" memberValueDatatype="5" unbalanced="0"/>
    <cacheHierarchy uniqueName="[Tabla_master_rend].[Merma_fab]" caption="Merma_fab" attribute="1" defaultMemberUniqueName="[Tabla_master_rend].[Merma_fab].[All]" allUniqueName="[Tabla_master_rend].[Merma_fab].[All]" dimensionUniqueName="[Tabla_master_rend]" displayFolder="" count="0" memberValueDatatype="5" unbalanced="0"/>
    <cacheHierarchy uniqueName="[Tabla_master_rend].[% Merma_fab2]" caption="% Merma_fab2" attribute="1" defaultMemberUniqueName="[Tabla_master_rend].[% Merma_fab2].[All]" allUniqueName="[Tabla_master_rend].[% Merma_fab2].[All]" dimensionUniqueName="[Tabla_master_rend]" displayFolder="" count="0" memberValueDatatype="5" unbalanced="0"/>
    <cacheHierarchy uniqueName="[Tabla_master_rend].[L_Agua]" caption="L_Agua" attribute="1" defaultMemberUniqueName="[Tabla_master_rend].[L_Agua].[All]" allUniqueName="[Tabla_master_rend].[L_Agua].[All]" dimensionUniqueName="[Tabla_master_rend]" displayFolder="" count="0" memberValueDatatype="20" unbalanced="0"/>
    <cacheHierarchy uniqueName="[Tabla_master_rend].[% oreo]" caption="% oreo" attribute="1" defaultMemberUniqueName="[Tabla_master_rend].[% oreo].[All]" allUniqueName="[Tabla_master_rend].[% oreo].[All]" dimensionUniqueName="[Tabla_master_rend]" displayFolder="" count="0" memberValueDatatype="5" unbalanced="0"/>
    <cacheHierarchy uniqueName="[Tabla_master_rend].[B_totales]" caption="B_totales" attribute="1" defaultMemberUniqueName="[Tabla_master_rend].[B_totales].[All]" allUniqueName="[Tabla_master_rend].[B_totales].[All]" dimensionUniqueName="[Tabla_master_rend]" displayFolder="" count="0" memberValueDatatype="5" unbalanced="0"/>
    <cacheHierarchy uniqueName="[Tabla_master_rend].[B_OK_uni]" caption="B_OK_uni" attribute="1" defaultMemberUniqueName="[Tabla_master_rend].[B_OK_uni].[All]" allUniqueName="[Tabla_master_rend].[B_OK_uni].[All]" dimensionUniqueName="[Tabla_master_rend]" displayFolder="" count="0" memberValueDatatype="5" unbalanced="0"/>
    <cacheHierarchy uniqueName="[Tabla_master_rend].[B_OK_kg]" caption="B_OK_kg" attribute="1" defaultMemberUniqueName="[Tabla_master_rend].[B_OK_kg].[All]" allUniqueName="[Tabla_master_rend].[B_OK_kg].[All]" dimensionUniqueName="[Tabla_master_rend]" displayFolder="" count="0" memberValueDatatype="5" unbalanced="0"/>
    <cacheHierarchy uniqueName="[Tabla_master_rend].[B_altas]" caption="B_altas" attribute="1" defaultMemberUniqueName="[Tabla_master_rend].[B_altas].[All]" allUniqueName="[Tabla_master_rend].[B_altas].[All]" dimensionUniqueName="[Tabla_master_rend]" displayFolder="" count="0" memberValueDatatype="5" unbalanced="0"/>
    <cacheHierarchy uniqueName="[Tabla_master_rend].[B_bajas]" caption="B_bajas" attribute="1" defaultMemberUniqueName="[Tabla_master_rend].[B_bajas].[All]" allUniqueName="[Tabla_master_rend].[B_bajas].[All]" dimensionUniqueName="[Tabla_master_rend]" displayFolder="" count="0" memberValueDatatype="5" unbalanced="0"/>
    <cacheHierarchy uniqueName="[Tabla_master_rend].[B_rotas]" caption="B_rotas" attribute="1" defaultMemberUniqueName="[Tabla_master_rend].[B_rotas].[All]" allUniqueName="[Tabla_master_rend].[B_rotas].[All]" dimensionUniqueName="[Tabla_master_rend]" displayFolder="" count="0" memberValueDatatype="5" unbalanced="0"/>
    <cacheHierarchy uniqueName="[Tabla_master_rend].[B_feas]" caption="B_feas" attribute="1" defaultMemberUniqueName="[Tabla_master_rend].[B_feas].[All]" allUniqueName="[Tabla_master_rend].[B_feas].[All]" dimensionUniqueName="[Tabla_master_rend]" displayFolder="" count="0" memberValueDatatype="5" unbalanced="0"/>
    <cacheHierarchy uniqueName="[Tabla_master_rend].[B_lab]" caption="B_lab" attribute="1" defaultMemberUniqueName="[Tabla_master_rend].[B_lab].[All]" allUniqueName="[Tabla_master_rend].[B_lab].[All]" dimensionUniqueName="[Tabla_master_rend]" displayFolder="" count="0" memberValueDatatype="5" unbalanced="0"/>
    <cacheHierarchy uniqueName="[Tabla_master_rend].[Kg_SalidaSecadero]" caption="Kg_SalidaSecadero" attribute="1" defaultMemberUniqueName="[Tabla_master_rend].[Kg_SalidaSecadero].[All]" allUniqueName="[Tabla_master_rend].[Kg_SalidaSecadero].[All]" dimensionUniqueName="[Tabla_master_rend]" displayFolder="" count="0" memberValueDatatype="5" unbalanced="0"/>
    <cacheHierarchy uniqueName="[Tabla_master_rend].[Kg_rebaba]" caption="Kg_rebaba" attribute="1" defaultMemberUniqueName="[Tabla_master_rend].[Kg_rebaba].[All]" allUniqueName="[Tabla_master_rend].[Kg_rebaba].[All]" dimensionUniqueName="[Tabla_master_rend]" displayFolder="" count="0" memberValueDatatype="5" unbalanced="0"/>
    <cacheHierarchy uniqueName="[Tabla_master_rend].[Kg_mer_env_real]" caption="Kg_mer_env_real" attribute="1" defaultMemberUniqueName="[Tabla_master_rend].[Kg_mer_env_real].[All]" allUniqueName="[Tabla_master_rend].[Kg_mer_env_real].[All]" dimensionUniqueName="[Tabla_master_rend]" displayFolder="" count="0" memberValueDatatype="5" unbalanced="0"/>
    <cacheHierarchy uniqueName="[Tabla_master_rend].[kg_mer_lab_real]" caption="kg_mer_lab_real" attribute="1" defaultMemberUniqueName="[Tabla_master_rend].[kg_mer_lab_real].[All]" allUniqueName="[Tabla_master_rend].[kg_mer_lab_real].[All]" dimensionUniqueName="[Tabla_master_rend]" displayFolder="" count="0" memberValueDatatype="5" unbalanced="0"/>
    <cacheHierarchy uniqueName="[Tabla_master_rend].[%Merma_env]" caption="%Merma_env" attribute="1" defaultMemberUniqueName="[Tabla_master_rend].[%Merma_env].[All]" allUniqueName="[Tabla_master_rend].[%Merma_env].[All]" dimensionUniqueName="[Tabla_master_rend]" displayFolder="" count="0" memberValueDatatype="5" unbalanced="0"/>
    <cacheHierarchy uniqueName="[Tabla_master_rend].[%Merma_env_corr]" caption="%Merma_env_corr" attribute="1" defaultMemberUniqueName="[Tabla_master_rend].[%Merma_env_corr].[All]" allUniqueName="[Tabla_master_rend].[%Merma_env_corr].[All]" dimensionUniqueName="[Tabla_master_rend]" displayFolder="" count="0" memberValueDatatype="5" unbalanced="0"/>
    <cacheHierarchy uniqueName="[Tabla_master_rend].[% merma TOT]" caption="% merma TOT" attribute="1" defaultMemberUniqueName="[Tabla_master_rend].[% merma TOT].[All]" allUniqueName="[Tabla_master_rend].[% merma TOT].[All]" dimensionUniqueName="[Tabla_master_rend]" displayFolder="" count="0" memberValueDatatype="5" unbalanced="0"/>
    <cacheHierarchy uniqueName="[Tabla_master_rend].[Merma_TOT]" caption="Merma_TOT" attribute="1" defaultMemberUniqueName="[Tabla_master_rend].[Merma_TOT].[All]" allUniqueName="[Tabla_master_rend].[Merma_TOT].[All]" dimensionUniqueName="[Tabla_master_rend]" displayFolder="" count="0" memberValueDatatype="5" unbalanced="0"/>
    <cacheHierarchy uniqueName="[Tabla_master_rend].[Kg_Env_Total]" caption="Kg_Env_Total" attribute="1" defaultMemberUniqueName="[Tabla_master_rend].[Kg_Env_Total].[All]" allUniqueName="[Tabla_master_rend].[Kg_Env_Total].[All]" dimensionUniqueName="[Tabla_master_rend]" displayFolder="" count="0" memberValueDatatype="5" unbalanced="0"/>
    <cacheHierarchy uniqueName="[Tabla_master_rend].[Coste_Leche_€]" caption="Coste_Leche_€" attribute="1" defaultMemberUniqueName="[Tabla_master_rend].[Coste_Leche_€].[All]" allUniqueName="[Tabla_master_rend].[Coste_Leche_€].[All]" dimensionUniqueName="[Tabla_master_rend]" displayFolder="" count="0" memberValueDatatype="5" unbalanced="0"/>
    <cacheHierarchy uniqueName="[Tabla_master_rend].[€/kg_MPQueso]" caption="€/kg_MPQueso" attribute="1" defaultMemberUniqueName="[Tabla_master_rend].[€/kg_MPQueso].[All]" allUniqueName="[Tabla_master_rend].[€/kg_MPQueso].[All]" dimensionUniqueName="[Tabla_master_rend]" displayFolder="" count="0" memberValueDatatype="5" unbalanced="0"/>
    <cacheHierarchy uniqueName="[Tabla_master_rend].[Merma_inic]" caption="Merma_inic" attribute="1" defaultMemberUniqueName="[Tabla_master_rend].[Merma_inic].[All]" allUniqueName="[Tabla_master_rend].[Merma_inic].[All]" dimensionUniqueName="[Tabla_master_rend]" displayFolder="" count="0" memberValueDatatype="5" unbalanced="0"/>
    <cacheHierarchy uniqueName="[Tabla_master_rend].[Recup_kg]" caption="Recup_kg" attribute="1" defaultMemberUniqueName="[Tabla_master_rend].[Recup_kg].[All]" allUniqueName="[Tabla_master_rend].[Recup_kg].[All]" dimensionUniqueName="[Tabla_master_rend]" displayFolder="" count="0" memberValueDatatype="5" unbalanced="0"/>
    <cacheHierarchy uniqueName="[Tabla_master_rend].[Recup_%]" caption="Recup_%" attribute="1" defaultMemberUniqueName="[Tabla_master_rend].[Recup_%].[All]" allUniqueName="[Tabla_master_rend].[Recup_%].[All]" dimensionUniqueName="[Tabla_master_rend]" displayFolder="" count="0" memberValueDatatype="5" unbalanced="0"/>
    <cacheHierarchy uniqueName="[Tabla_master_rend].[Merma_ppto fab]" caption="Merma_ppto fab" attribute="1" defaultMemberUniqueName="[Tabla_master_rend].[Merma_ppto fab].[All]" allUniqueName="[Tabla_master_rend].[Merma_ppto fab].[All]" dimensionUniqueName="[Tabla_master_rend]" displayFolder="" count="0" memberValueDatatype="5" unbalanced="0"/>
    <cacheHierarchy uniqueName="[Tabla_master_rend].[Merma_ppto oreo]" caption="Merma_ppto oreo" attribute="1" defaultMemberUniqueName="[Tabla_master_rend].[Merma_ppto oreo].[All]" allUniqueName="[Tabla_master_rend].[Merma_ppto oreo].[All]" dimensionUniqueName="[Tabla_master_rend]" displayFolder="" count="0" memberValueDatatype="5" unbalanced="0"/>
    <cacheHierarchy uniqueName="[Tabla_master_rend].[Merma_ppto Env/Enc]" caption="Merma_ppto Env/Enc" attribute="1" defaultMemberUniqueName="[Tabla_master_rend].[Merma_ppto Env/Enc].[All]" allUniqueName="[Tabla_master_rend].[Merma_ppto Env/Enc].[All]" dimensionUniqueName="[Tabla_master_rend]" displayFolder="" count="0" memberValueDatatype="5" unbalanced="0"/>
    <cacheHierarchy uniqueName="[Tabla_master_rend].[Merma_T ppto]" caption="Merma_T ppto" attribute="1" defaultMemberUniqueName="[Tabla_master_rend].[Merma_T ppto].[All]" allUniqueName="[Tabla_master_rend].[Merma_T ppto].[All]" dimensionUniqueName="[Tabla_master_rend]" displayFolder="" count="0" memberValueDatatype="5" unbalanced="0"/>
    <cacheHierarchy uniqueName="[Tabla_master_rend].[Merma_T ppto %]" caption="Merma_T ppto %" attribute="1" defaultMemberUniqueName="[Tabla_master_rend].[Merma_T ppto %].[All]" allUniqueName="[Tabla_master_rend].[Merma_T ppto %].[All]" dimensionUniqueName="[Tabla_master_rend]" displayFolder="" count="0" memberValueDatatype="5" unbalanced="0"/>
    <cacheHierarchy uniqueName="[Tabla_master_rend].[Merma_T real %]" caption="Merma_T real %" attribute="1" defaultMemberUniqueName="[Tabla_master_rend].[Merma_T real %].[All]" allUniqueName="[Tabla_master_rend].[Merma_T real %].[All]" dimensionUniqueName="[Tabla_master_rend]" displayFolder="" count="0" memberValueDatatype="5" unbalanced="0"/>
    <cacheHierarchy uniqueName="[Tabla_master_rend].[DIF R Vs PPTO]" caption="DIF R Vs PPTO" attribute="1" defaultMemberUniqueName="[Tabla_master_rend].[DIF R Vs PPTO].[All]" allUniqueName="[Tabla_master_rend].[DIF R Vs PPTO].[All]" dimensionUniqueName="[Tabla_master_rend]" displayFolder="" count="0" memberValueDatatype="5" unbalanced="0"/>
    <cacheHierarchy uniqueName="[Tabla_master_rend].[IMPACTO]" caption="IMPACTO" attribute="1" defaultMemberUniqueName="[Tabla_master_rend].[IMPACTO].[All]" allUniqueName="[Tabla_master_rend].[IMPACTO].[All]" dimensionUniqueName="[Tabla_master_rend]" displayFolder="" count="0" memberValueDatatype="5" unbalanced="0"/>
    <cacheHierarchy uniqueName="[Tabla_master_rend].[IMPACTO_vs_PPTO]" caption="IMPACTO_vs_PPTO" attribute="1" defaultMemberUniqueName="[Tabla_master_rend].[IMPACTO_vs_PPTO].[All]" allUniqueName="[Tabla_master_rend].[IMPACTO_vs_PPTO].[All]" dimensionUniqueName="[Tabla_master_rend]" displayFolder="" count="0" memberValueDatatype="5" unbalanced="0"/>
    <cacheHierarchy uniqueName="[Tabla_master_rend].[Fecha (mes)]" caption="Fecha (mes)" attribute="1" defaultMemberUniqueName="[Tabla_master_rend].[Fecha (mes)].[All]" allUniqueName="[Tabla_master_rend].[Fecha (mes)].[All]" dimensionUniqueName="[Tabla_master_rend]" displayFolder="" count="0" memberValueDatatype="130" unbalanced="0"/>
    <cacheHierarchy uniqueName="[Tabla_master_rend 1].[Fecha]" caption="Fecha" attribute="1" time="1" defaultMemberUniqueName="[Tabla_master_rend 1].[Fecha].[All]" allUniqueName="[Tabla_master_rend 1].[Fecha].[All]" dimensionUniqueName="[Tabla_master_rend 1]" displayFolder="" count="0" memberValueDatatype="7" unbalanced="0"/>
    <cacheHierarchy uniqueName="[Tabla_master_rend 1].[mes]" caption="mes" attribute="1" defaultMemberUniqueName="[Tabla_master_rend 1].[mes].[All]" allUniqueName="[Tabla_master_rend 1].[mes].[All]" dimensionUniqueName="[Tabla_master_rend 1]" displayFolder="" count="0" memberValueDatatype="20" unbalanced="0"/>
    <cacheHierarchy uniqueName="[Tabla_master_rend 1].[Mes_Nom]" caption="Mes_Nom" attribute="1" defaultMemberUniqueName="[Tabla_master_rend 1].[Mes_Nom].[All]" allUniqueName="[Tabla_master_rend 1].[Mes_Nom].[All]" dimensionUniqueName="[Tabla_master_rend 1]" displayFolder="" count="0" memberValueDatatype="130" unbalanced="0"/>
    <cacheHierarchy uniqueName="[Tabla_master_rend 1].[Día]" caption="Día" attribute="1" defaultMemberUniqueName="[Tabla_master_rend 1].[Día].[All]" allUniqueName="[Tabla_master_rend 1].[Día].[All]" dimensionUniqueName="[Tabla_master_rend 1]" displayFolder="" count="0" memberValueDatatype="130" unbalanced="0"/>
    <cacheHierarchy uniqueName="[Tabla_master_rend 1].[Lote]" caption="Lote" attribute="1" defaultMemberUniqueName="[Tabla_master_rend 1].[Lote].[All]" allUniqueName="[Tabla_master_rend 1].[Lote].[All]" dimensionUniqueName="[Tabla_master_rend 1]" displayFolder="" count="0" memberValueDatatype="130" unbalanced="0"/>
    <cacheHierarchy uniqueName="[Tabla_master_rend 1].[Producto]" caption="Producto" attribute="1" defaultMemberUniqueName="[Tabla_master_rend 1].[Producto].[All]" allUniqueName="[Tabla_master_rend 1].[Producto].[All]" dimensionUniqueName="[Tabla_master_rend 1]" displayFolder="" count="0" memberValueDatatype="130" unbalanced="0"/>
    <cacheHierarchy uniqueName="[Tabla_master_rend 1].[Cubas_prod]" caption="Cubas_prod" attribute="1" defaultMemberUniqueName="[Tabla_master_rend 1].[Cubas_prod].[All]" allUniqueName="[Tabla_master_rend 1].[Cubas_prod].[All]" dimensionUniqueName="[Tabla_master_rend 1]" displayFolder="" count="0" memberValueDatatype="20" unbalanced="0"/>
    <cacheHierarchy uniqueName="[Tabla_master_rend 1].[Litros_Leche_Total]" caption="Litros_Leche_Total" attribute="1" defaultMemberUniqueName="[Tabla_master_rend 1].[Litros_Leche_Total].[All]" allUniqueName="[Tabla_master_rend 1].[Litros_Leche_Total].[All]" dimensionUniqueName="[Tabla_master_rend 1]" displayFolder="" count="0" memberValueDatatype="20" unbalanced="0"/>
    <cacheHierarchy uniqueName="[Tabla_master_rend 1].[L_Leche_ent]" caption="L_Leche_ent" attribute="1" defaultMemberUniqueName="[Tabla_master_rend 1].[L_Leche_ent].[All]" allUniqueName="[Tabla_master_rend 1].[L_Leche_ent].[All]" dimensionUniqueName="[Tabla_master_rend 1]" displayFolder="" count="0" memberValueDatatype="20" unbalanced="0"/>
    <cacheHierarchy uniqueName="[Tabla_master_rend 1].[%MG_Leche]" caption="%MG_Leche" attribute="1" defaultMemberUniqueName="[Tabla_master_rend 1].[%MG_Leche].[All]" allUniqueName="[Tabla_master_rend 1].[%MG_Leche].[All]" dimensionUniqueName="[Tabla_master_rend 1]" displayFolder="" count="0" memberValueDatatype="5" unbalanced="0"/>
    <cacheHierarchy uniqueName="[Tabla_master_rend 1].[%MP_Leche]" caption="%MP_Leche" attribute="1" defaultMemberUniqueName="[Tabla_master_rend 1].[%MP_Leche].[All]" allUniqueName="[Tabla_master_rend 1].[%MP_Leche].[All]" dimensionUniqueName="[Tabla_master_rend 1]" displayFolder="" count="0" memberValueDatatype="5" unbalanced="0"/>
    <cacheHierarchy uniqueName="[Tabla_master_rend 1].[EST_%]" caption="EST_%" attribute="1" defaultMemberUniqueName="[Tabla_master_rend 1].[EST_%].[All]" allUniqueName="[Tabla_master_rend 1].[EST_%].[All]" dimensionUniqueName="[Tabla_master_rend 1]" displayFolder="" count="0" memberValueDatatype="5" unbalanced="0"/>
    <cacheHierarchy uniqueName="[Tabla_master_rend 1].[Desn_en_linea]" caption="Desn_en_linea" attribute="1" defaultMemberUniqueName="[Tabla_master_rend 1].[Desn_en_linea].[All]" allUniqueName="[Tabla_master_rend 1].[Desn_en_linea].[All]" dimensionUniqueName="[Tabla_master_rend 1]" displayFolder="" count="0" memberValueDatatype="130" unbalanced="0"/>
    <cacheHierarchy uniqueName="[Tabla_master_rend 1].[L_desn_ext]" caption="L_desn_ext" attribute="1" defaultMemberUniqueName="[Tabla_master_rend 1].[L_desn_ext].[All]" allUniqueName="[Tabla_master_rend 1].[L_desn_ext].[All]" dimensionUniqueName="[Tabla_master_rend 1]" displayFolder="" count="0" memberValueDatatype="20" unbalanced="0"/>
    <cacheHierarchy uniqueName="[Tabla_master_rend 1].[L_cabra]" caption="L_cabra" attribute="1" defaultMemberUniqueName="[Tabla_master_rend 1].[L_cabra].[All]" allUniqueName="[Tabla_master_rend 1].[L_cabra].[All]" dimensionUniqueName="[Tabla_master_rend 1]" displayFolder="" count="0" memberValueDatatype="20" unbalanced="0"/>
    <cacheHierarchy uniqueName="[Tabla_master_rend 1].[L_oveja]" caption="L_oveja" attribute="1" defaultMemberUniqueName="[Tabla_master_rend 1].[L_oveja].[All]" allUniqueName="[Tabla_master_rend 1].[L_oveja].[All]" dimensionUniqueName="[Tabla_master_rend 1]" displayFolder="" count="0" memberValueDatatype="20" unbalanced="0"/>
    <cacheHierarchy uniqueName="[Tabla_master_rend 1].[Litros_Nata]" caption="Litros_Nata" attribute="1" defaultMemberUniqueName="[Tabla_master_rend 1].[Litros_Nata].[All]" allUniqueName="[Tabla_master_rend 1].[Litros_Nata].[All]" dimensionUniqueName="[Tabla_master_rend 1]" displayFolder="" count="0" memberValueDatatype="20" unbalanced="0"/>
    <cacheHierarchy uniqueName="[Tabla_master_rend 1].[L_nata_suero]" caption="L_nata_suero" attribute="1" defaultMemberUniqueName="[Tabla_master_rend 1].[L_nata_suero].[All]" allUniqueName="[Tabla_master_rend 1].[L_nata_suero].[All]" dimensionUniqueName="[Tabla_master_rend 1]" displayFolder="" count="0" memberValueDatatype="20" unbalanced="0"/>
    <cacheHierarchy uniqueName="[Tabla_master_rend 1].[L_suero Total]" caption="L_suero Total" attribute="1" defaultMemberUniqueName="[Tabla_master_rend 1].[L_suero Total].[All]" allUniqueName="[Tabla_master_rend 1].[L_suero Total].[All]" dimensionUniqueName="[Tabla_master_rend 1]" displayFolder="" count="0" memberValueDatatype="20" unbalanced="0"/>
    <cacheHierarchy uniqueName="[Tabla_master_rend 1].[%Suero_vs_leche]" caption="%Suero_vs_leche" attribute="1" defaultMemberUniqueName="[Tabla_master_rend 1].[%Suero_vs_leche].[All]" allUniqueName="[Tabla_master_rend 1].[%Suero_vs_leche].[All]" dimensionUniqueName="[Tabla_master_rend 1]" displayFolder="" count="0" memberValueDatatype="5" unbalanced="0"/>
    <cacheHierarchy uniqueName="[Tabla_master_rend 1].[MG_suero]" caption="MG_suero" attribute="1" defaultMemberUniqueName="[Tabla_master_rend 1].[MG_suero].[All]" allUniqueName="[Tabla_master_rend 1].[MG_suero].[All]" dimensionUniqueName="[Tabla_master_rend 1]" displayFolder="" count="0" memberValueDatatype="5" unbalanced="0"/>
    <cacheHierarchy uniqueName="[Tabla_master_rend 1].[MP_suero]" caption="MP_suero" attribute="1" defaultMemberUniqueName="[Tabla_master_rend 1].[MP_suero].[All]" allUniqueName="[Tabla_master_rend 1].[MP_suero].[All]" dimensionUniqueName="[Tabla_master_rend 1]" displayFolder="" count="0" memberValueDatatype="5" unbalanced="0"/>
    <cacheHierarchy uniqueName="[Tabla_master_rend 1].[L_suero para con]" caption="L_suero para con" attribute="1" defaultMemberUniqueName="[Tabla_master_rend 1].[L_suero para con].[All]" allUniqueName="[Tabla_master_rend 1].[L_suero para con].[All]" dimensionUniqueName="[Tabla_master_rend 1]" displayFolder="" count="0" memberValueDatatype="20" unbalanced="0"/>
    <cacheHierarchy uniqueName="[Tabla_master_rend 1].[L_suero_con]" caption="L_suero_con" attribute="1" defaultMemberUniqueName="[Tabla_master_rend 1].[L_suero_con].[All]" allUniqueName="[Tabla_master_rend 1].[L_suero_con].[All]" dimensionUniqueName="[Tabla_master_rend 1]" displayFolder="" count="0" memberValueDatatype="20" unbalanced="0"/>
    <cacheHierarchy uniqueName="[Tabla_master_rend 1].[Rartio_sueroC]" caption="Rartio_sueroC" attribute="1" defaultMemberUniqueName="[Tabla_master_rend 1].[Rartio_sueroC].[All]" allUniqueName="[Tabla_master_rend 1].[Rartio_sueroC].[All]" dimensionUniqueName="[Tabla_master_rend 1]" displayFolder="" count="0" memberValueDatatype="5" unbalanced="0"/>
    <cacheHierarchy uniqueName="[Tabla_master_rend 1].[L_Suero_Sobrante]" caption="L_Suero_Sobrante" attribute="1" defaultMemberUniqueName="[Tabla_master_rend 1].[L_Suero_Sobrante].[All]" allUniqueName="[Tabla_master_rend 1].[L_Suero_Sobrante].[All]" dimensionUniqueName="[Tabla_master_rend 1]" displayFolder="" count="0" memberValueDatatype="20" unbalanced="0"/>
    <cacheHierarchy uniqueName="[Tabla_master_rend 1].[MG_sueroc]" caption="MG_sueroc" attribute="1" defaultMemberUniqueName="[Tabla_master_rend 1].[MG_sueroc].[All]" allUniqueName="[Tabla_master_rend 1].[MG_sueroc].[All]" dimensionUniqueName="[Tabla_master_rend 1]" displayFolder="" count="0" memberValueDatatype="130" unbalanced="0"/>
    <cacheHierarchy uniqueName="[Tabla_master_rend 1].[MP_sueroc]" caption="MP_sueroc" attribute="1" defaultMemberUniqueName="[Tabla_master_rend 1].[MP_sueroc].[All]" allUniqueName="[Tabla_master_rend 1].[MP_sueroc].[All]" dimensionUniqueName="[Tabla_master_rend 1]" displayFolder="" count="0" memberValueDatatype="130" unbalanced="0"/>
    <cacheHierarchy uniqueName="[Tabla_master_rend 1].[L_LPS_Gen]" caption="L_LPS_Gen" attribute="1" defaultMemberUniqueName="[Tabla_master_rend 1].[L_LPS_Gen].[All]" allUniqueName="[Tabla_master_rend 1].[L_LPS_Gen].[All]" dimensionUniqueName="[Tabla_master_rend 1]" displayFolder="" count="0" memberValueDatatype="20" unbalanced="0"/>
    <cacheHierarchy uniqueName="[Tabla_master_rend 1].[L_LPS_incor]" caption="L_LPS_incor" attribute="1" defaultMemberUniqueName="[Tabla_master_rend 1].[L_LPS_incor].[All]" allUniqueName="[Tabla_master_rend 1].[L_LPS_incor].[All]" dimensionUniqueName="[Tabla_master_rend 1]" displayFolder="" count="0" memberValueDatatype="20" unbalanced="0"/>
    <cacheHierarchy uniqueName="[Tabla_master_rend 1].[gr_LPS]" caption="gr_LPS" attribute="1" defaultMemberUniqueName="[Tabla_master_rend 1].[gr_LPS].[All]" allUniqueName="[Tabla_master_rend 1].[gr_LPS].[All]" dimensionUniqueName="[Tabla_master_rend 1]" displayFolder="" count="0" memberValueDatatype="20" unbalanced="0"/>
    <cacheHierarchy uniqueName="[Tabla_master_rend 1].[MG_LPS]" caption="MG_LPS" attribute="1" defaultMemberUniqueName="[Tabla_master_rend 1].[MG_LPS].[All]" allUniqueName="[Tabla_master_rend 1].[MG_LPS].[All]" dimensionUniqueName="[Tabla_master_rend 1]" displayFolder="" count="0" memberValueDatatype="5" unbalanced="0"/>
    <cacheHierarchy uniqueName="[Tabla_master_rend 1].[MP_LPS]" caption="MP_LPS" attribute="1" defaultMemberUniqueName="[Tabla_master_rend 1].[MP_LPS].[All]" allUniqueName="[Tabla_master_rend 1].[MP_LPS].[All]" dimensionUniqueName="[Tabla_master_rend 1]" displayFolder="" count="0" memberValueDatatype="5" unbalanced="0"/>
    <cacheHierarchy uniqueName="[Tabla_master_rend 1].[Kg_Queso_Blan]" caption="Kg_Queso_Blan" attribute="1" defaultMemberUniqueName="[Tabla_master_rend 1].[Kg_Queso_Blan].[All]" allUniqueName="[Tabla_master_rend 1].[Kg_Queso_Blan].[All]" dimensionUniqueName="[Tabla_master_rend 1]" displayFolder="" count="0" memberValueDatatype="5" unbalanced="0"/>
    <cacheHierarchy uniqueName="[Tabla_master_rend 1].[RDTO_Blanco]" caption="RDTO_Blanco" attribute="1" defaultMemberUniqueName="[Tabla_master_rend 1].[RDTO_Blanco].[All]" allUniqueName="[Tabla_master_rend 1].[RDTO_Blanco].[All]" dimensionUniqueName="[Tabla_master_rend 1]" displayFolder="" count="0" memberValueDatatype="5" unbalanced="0"/>
    <cacheHierarchy uniqueName="[Tabla_master_rend 1].[RDTO_NETO]" caption="RDTO_NETO" attribute="1" defaultMemberUniqueName="[Tabla_master_rend 1].[RDTO_NETO].[All]" allUniqueName="[Tabla_master_rend 1].[RDTO_NETO].[All]" dimensionUniqueName="[Tabla_master_rend 1]" displayFolder="" count="0" memberValueDatatype="5" unbalanced="0"/>
    <cacheHierarchy uniqueName="[Tabla_master_rend 1].[REND_TARGET]" caption="REND_TARGET" attribute="1" defaultMemberUniqueName="[Tabla_master_rend 1].[REND_TARGET].[All]" allUniqueName="[Tabla_master_rend 1].[REND_TARGET].[All]" dimensionUniqueName="[Tabla_master_rend 1]" displayFolder="" count="0" memberValueDatatype="5" unbalanced="0"/>
    <cacheHierarchy uniqueName="[Tabla_master_rend 1].[Kg_Solidos_leche]" caption="Kg_Solidos_leche" attribute="1" defaultMemberUniqueName="[Tabla_master_rend 1].[Kg_Solidos_leche].[All]" allUniqueName="[Tabla_master_rend 1].[Kg_Solidos_leche].[All]" dimensionUniqueName="[Tabla_master_rend 1]" displayFolder="" count="0" memberValueDatatype="5" unbalanced="0"/>
    <cacheHierarchy uniqueName="[Tabla_master_rend 1].[%MG_QUESO]" caption="%MG_QUESO" attribute="1" defaultMemberUniqueName="[Tabla_master_rend 1].[%MG_QUESO].[All]" allUniqueName="[Tabla_master_rend 1].[%MG_QUESO].[All]" dimensionUniqueName="[Tabla_master_rend 1]" displayFolder="" count="0" memberValueDatatype="5" unbalanced="0"/>
    <cacheHierarchy uniqueName="[Tabla_master_rend 1].[%PT_QUESO]" caption="%PT_QUESO" attribute="1" defaultMemberUniqueName="[Tabla_master_rend 1].[%PT_QUESO].[All]" allUniqueName="[Tabla_master_rend 1].[%PT_QUESO].[All]" dimensionUniqueName="[Tabla_master_rend 1]" displayFolder="" count="0" memberValueDatatype="5" unbalanced="0"/>
    <cacheHierarchy uniqueName="[Tabla_master_rend 1].[ES_QUESO]" caption="ES_QUESO" attribute="1" defaultMemberUniqueName="[Tabla_master_rend 1].[ES_QUESO].[All]" allUniqueName="[Tabla_master_rend 1].[ES_QUESO].[All]" dimensionUniqueName="[Tabla_master_rend 1]" displayFolder="" count="0" memberValueDatatype="5" unbalanced="0"/>
    <cacheHierarchy uniqueName="[Tabla_master_rend 1].[Rendimiento_Solidos_%]" caption="Rendimiento_Solidos_%" attribute="1" defaultMemberUniqueName="[Tabla_master_rend 1].[Rendimiento_Solidos_%].[All]" allUniqueName="[Tabla_master_rend 1].[Rendimiento_Solidos_%].[All]" dimensionUniqueName="[Tabla_master_rend 1]" displayFolder="" count="0" memberValueDatatype="5" unbalanced="0"/>
    <cacheHierarchy uniqueName="[Tabla_master_rend 1].[Kg_MG_Nata]" caption="Kg_MG_Nata" attribute="1" defaultMemberUniqueName="[Tabla_master_rend 1].[Kg_MG_Nata].[All]" allUniqueName="[Tabla_master_rend 1].[Kg_MG_Nata].[All]" dimensionUniqueName="[Tabla_master_rend 1]" displayFolder="" count="0" memberValueDatatype="5" unbalanced="0"/>
    <cacheHierarchy uniqueName="[Tabla_master_rend 1].[%RECUP_MG]" caption="%RECUP_MG" attribute="1" defaultMemberUniqueName="[Tabla_master_rend 1].[%RECUP_MG].[All]" allUniqueName="[Tabla_master_rend 1].[%RECUP_MG].[All]" dimensionUniqueName="[Tabla_master_rend 1]" displayFolder="" count="0" memberValueDatatype="5" unbalanced="0"/>
    <cacheHierarchy uniqueName="[Tabla_master_rend 1].[%RECUP_PT]" caption="%RECUP_PT" attribute="1" defaultMemberUniqueName="[Tabla_master_rend 1].[%RECUP_PT].[All]" allUniqueName="[Tabla_master_rend 1].[%RECUP_PT].[All]" dimensionUniqueName="[Tabla_master_rend 1]" displayFolder="" count="0" memberValueDatatype="5" unbalanced="0"/>
    <cacheHierarchy uniqueName="[Tabla_master_rend 1].[Valor_Nata_€]" caption="Valor_Nata_€" attribute="1" defaultMemberUniqueName="[Tabla_master_rend 1].[Valor_Nata_€].[All]" allUniqueName="[Tabla_master_rend 1].[Valor_Nata_€].[All]" dimensionUniqueName="[Tabla_master_rend 1]" displayFolder="" count="0" memberValueDatatype="5" unbalanced="0"/>
    <cacheHierarchy uniqueName="[Tabla_master_rend 1].[Kg_Finos]" caption="Kg_Finos" attribute="1" defaultMemberUniqueName="[Tabla_master_rend 1].[Kg_Finos].[All]" allUniqueName="[Tabla_master_rend 1].[Kg_Finos].[All]" dimensionUniqueName="[Tabla_master_rend 1]" displayFolder="" count="0" memberValueDatatype="5" unbalanced="0"/>
    <cacheHierarchy uniqueName="[Tabla_master_rend 1].[Kg_Llenadora]" caption="Kg_Llenadora" attribute="1" defaultMemberUniqueName="[Tabla_master_rend 1].[Kg_Llenadora].[All]" allUniqueName="[Tabla_master_rend 1].[Kg_Llenadora].[All]" dimensionUniqueName="[Tabla_master_rend 1]" displayFolder="" count="0" memberValueDatatype="5" unbalanced="0"/>
    <cacheHierarchy uniqueName="[Tabla_master_rend 1].[Kg_Desmoldeo]" caption="Kg_Desmoldeo" attribute="1" defaultMemberUniqueName="[Tabla_master_rend 1].[Kg_Desmoldeo].[All]" allUniqueName="[Tabla_master_rend 1].[Kg_Desmoldeo].[All]" dimensionUniqueName="[Tabla_master_rend 1]" displayFolder="" count="0" memberValueDatatype="5" unbalanced="0"/>
    <cacheHierarchy uniqueName="[Tabla_master_rend 1].[Merma_fab]" caption="Merma_fab" attribute="1" defaultMemberUniqueName="[Tabla_master_rend 1].[Merma_fab].[All]" allUniqueName="[Tabla_master_rend 1].[Merma_fab].[All]" dimensionUniqueName="[Tabla_master_rend 1]" displayFolder="" count="0" memberValueDatatype="5" unbalanced="0"/>
    <cacheHierarchy uniqueName="[Tabla_master_rend 1].[% Merma_fab2]" caption="% Merma_fab2" attribute="1" defaultMemberUniqueName="[Tabla_master_rend 1].[% Merma_fab2].[All]" allUniqueName="[Tabla_master_rend 1].[% Merma_fab2].[All]" dimensionUniqueName="[Tabla_master_rend 1]" displayFolder="" count="0" memberValueDatatype="5" unbalanced="0"/>
    <cacheHierarchy uniqueName="[Tabla_master_rend 1].[L_Agua]" caption="L_Agua" attribute="1" defaultMemberUniqueName="[Tabla_master_rend 1].[L_Agua].[All]" allUniqueName="[Tabla_master_rend 1].[L_Agua].[All]" dimensionUniqueName="[Tabla_master_rend 1]" displayFolder="" count="0" memberValueDatatype="20" unbalanced="0"/>
    <cacheHierarchy uniqueName="[Tabla_master_rend 1].[% oreo]" caption="% oreo" attribute="1" defaultMemberUniqueName="[Tabla_master_rend 1].[% oreo].[All]" allUniqueName="[Tabla_master_rend 1].[% oreo].[All]" dimensionUniqueName="[Tabla_master_rend 1]" displayFolder="" count="0" memberValueDatatype="5" unbalanced="0"/>
    <cacheHierarchy uniqueName="[Tabla_master_rend 1].[B_totales]" caption="B_totales" attribute="1" defaultMemberUniqueName="[Tabla_master_rend 1].[B_totales].[All]" allUniqueName="[Tabla_master_rend 1].[B_totales].[All]" dimensionUniqueName="[Tabla_master_rend 1]" displayFolder="" count="0" memberValueDatatype="20" unbalanced="0"/>
    <cacheHierarchy uniqueName="[Tabla_master_rend 1].[B_OK_uni]" caption="B_OK_uni" attribute="1" defaultMemberUniqueName="[Tabla_master_rend 1].[B_OK_uni].[All]" allUniqueName="[Tabla_master_rend 1].[B_OK_uni].[All]" dimensionUniqueName="[Tabla_master_rend 1]" displayFolder="" count="0" memberValueDatatype="20" unbalanced="0"/>
    <cacheHierarchy uniqueName="[Tabla_master_rend 1].[B_OK_kg]" caption="B_OK_kg" attribute="1" defaultMemberUniqueName="[Tabla_master_rend 1].[B_OK_kg].[All]" allUniqueName="[Tabla_master_rend 1].[B_OK_kg].[All]" dimensionUniqueName="[Tabla_master_rend 1]" displayFolder="" count="0" memberValueDatatype="20" unbalanced="0"/>
    <cacheHierarchy uniqueName="[Tabla_master_rend 1].[B_altas]" caption="B_altas" attribute="1" defaultMemberUniqueName="[Tabla_master_rend 1].[B_altas].[All]" allUniqueName="[Tabla_master_rend 1].[B_altas].[All]" dimensionUniqueName="[Tabla_master_rend 1]" displayFolder="" count="0" memberValueDatatype="20" unbalanced="0"/>
    <cacheHierarchy uniqueName="[Tabla_master_rend 1].[B_bajas]" caption="B_bajas" attribute="1" defaultMemberUniqueName="[Tabla_master_rend 1].[B_bajas].[All]" allUniqueName="[Tabla_master_rend 1].[B_bajas].[All]" dimensionUniqueName="[Tabla_master_rend 1]" displayFolder="" count="0" memberValueDatatype="20" unbalanced="0"/>
    <cacheHierarchy uniqueName="[Tabla_master_rend 1].[B_rotas]" caption="B_rotas" attribute="1" defaultMemberUniqueName="[Tabla_master_rend 1].[B_rotas].[All]" allUniqueName="[Tabla_master_rend 1].[B_rotas].[All]" dimensionUniqueName="[Tabla_master_rend 1]" displayFolder="" count="0" memberValueDatatype="20" unbalanced="0"/>
    <cacheHierarchy uniqueName="[Tabla_master_rend 1].[B_feas]" caption="B_feas" attribute="1" defaultMemberUniqueName="[Tabla_master_rend 1].[B_feas].[All]" allUniqueName="[Tabla_master_rend 1].[B_feas].[All]" dimensionUniqueName="[Tabla_master_rend 1]" displayFolder="" count="0" memberValueDatatype="20" unbalanced="0"/>
    <cacheHierarchy uniqueName="[Tabla_master_rend 1].[B_lab]" caption="B_lab" attribute="1" defaultMemberUniqueName="[Tabla_master_rend 1].[B_lab].[All]" allUniqueName="[Tabla_master_rend 1].[B_lab].[All]" dimensionUniqueName="[Tabla_master_rend 1]" displayFolder="" count="0" memberValueDatatype="20" unbalanced="0"/>
    <cacheHierarchy uniqueName="[Tabla_master_rend 1].[Kg_SalidaSecadero]" caption="Kg_SalidaSecadero" attribute="1" defaultMemberUniqueName="[Tabla_master_rend 1].[Kg_SalidaSecadero].[All]" allUniqueName="[Tabla_master_rend 1].[Kg_SalidaSecadero].[All]" dimensionUniqueName="[Tabla_master_rend 1]" displayFolder="" count="0" memberValueDatatype="20" unbalanced="0"/>
    <cacheHierarchy uniqueName="[Tabla_master_rend 1].[Kg_rebaba]" caption="Kg_rebaba" attribute="1" defaultMemberUniqueName="[Tabla_master_rend 1].[Kg_rebaba].[All]" allUniqueName="[Tabla_master_rend 1].[Kg_rebaba].[All]" dimensionUniqueName="[Tabla_master_rend 1]" displayFolder="" count="0" memberValueDatatype="20" unbalanced="0"/>
    <cacheHierarchy uniqueName="[Tabla_master_rend 1].[Kg_mer_env_real]" caption="Kg_mer_env_real" attribute="1" defaultMemberUniqueName="[Tabla_master_rend 1].[Kg_mer_env_real].[All]" allUniqueName="[Tabla_master_rend 1].[Kg_mer_env_real].[All]" dimensionUniqueName="[Tabla_master_rend 1]" displayFolder="" count="0" memberValueDatatype="5" unbalanced="0"/>
    <cacheHierarchy uniqueName="[Tabla_master_rend 1].[kg_mer_lab_real]" caption="kg_mer_lab_real" attribute="1" defaultMemberUniqueName="[Tabla_master_rend 1].[kg_mer_lab_real].[All]" allUniqueName="[Tabla_master_rend 1].[kg_mer_lab_real].[All]" dimensionUniqueName="[Tabla_master_rend 1]" displayFolder="" count="0" memberValueDatatype="5" unbalanced="0"/>
    <cacheHierarchy uniqueName="[Tabla_master_rend 1].[%Merma_env]" caption="%Merma_env" attribute="1" defaultMemberUniqueName="[Tabla_master_rend 1].[%Merma_env].[All]" allUniqueName="[Tabla_master_rend 1].[%Merma_env].[All]" dimensionUniqueName="[Tabla_master_rend 1]" displayFolder="" count="0" memberValueDatatype="5" unbalanced="0"/>
    <cacheHierarchy uniqueName="[Tabla_master_rend 1].[%Merma_env_corr]" caption="%Merma_env_corr" attribute="1" defaultMemberUniqueName="[Tabla_master_rend 1].[%Merma_env_corr].[All]" allUniqueName="[Tabla_master_rend 1].[%Merma_env_corr].[All]" dimensionUniqueName="[Tabla_master_rend 1]" displayFolder="" count="0" memberValueDatatype="5" unbalanced="0"/>
    <cacheHierarchy uniqueName="[Tabla_master_rend 1].[% merma TOT]" caption="% merma TOT" attribute="1" defaultMemberUniqueName="[Tabla_master_rend 1].[% merma TOT].[All]" allUniqueName="[Tabla_master_rend 1].[% merma TOT].[All]" dimensionUniqueName="[Tabla_master_rend 1]" displayFolder="" count="0" memberValueDatatype="5" unbalanced="0"/>
    <cacheHierarchy uniqueName="[Tabla_master_rend 1].[Merma_TOT]" caption="Merma_TOT" attribute="1" defaultMemberUniqueName="[Tabla_master_rend 1].[Merma_TOT].[All]" allUniqueName="[Tabla_master_rend 1].[Merma_TOT].[All]" dimensionUniqueName="[Tabla_master_rend 1]" displayFolder="" count="0" memberValueDatatype="5" unbalanced="0"/>
    <cacheHierarchy uniqueName="[Tabla_master_rend 1].[Kg_Env_Total]" caption="Kg_Env_Total" attribute="1" defaultMemberUniqueName="[Tabla_master_rend 1].[Kg_Env_Total].[All]" allUniqueName="[Tabla_master_rend 1].[Kg_Env_Total].[All]" dimensionUniqueName="[Tabla_master_rend 1]" displayFolder="" count="0" memberValueDatatype="5" unbalanced="0"/>
    <cacheHierarchy uniqueName="[Tabla_master_rend 1].[Coste_Leche_€]" caption="Coste_Leche_€" attribute="1" defaultMemberUniqueName="[Tabla_master_rend 1].[Coste_Leche_€].[All]" allUniqueName="[Tabla_master_rend 1].[Coste_Leche_€].[All]" dimensionUniqueName="[Tabla_master_rend 1]" displayFolder="" count="0" memberValueDatatype="5" unbalanced="0"/>
    <cacheHierarchy uniqueName="[Tabla_master_rend 1].[€/kg_MPQueso]" caption="€/kg_MPQueso" attribute="1" defaultMemberUniqueName="[Tabla_master_rend 1].[€/kg_MPQueso].[All]" allUniqueName="[Tabla_master_rend 1].[€/kg_MPQueso].[All]" dimensionUniqueName="[Tabla_master_rend 1]" displayFolder="" count="0" memberValueDatatype="5" unbalanced="0"/>
    <cacheHierarchy uniqueName="[Tabla_master_rend 1].[Merma_inic]" caption="Merma_inic" attribute="1" defaultMemberUniqueName="[Tabla_master_rend 1].[Merma_inic].[All]" allUniqueName="[Tabla_master_rend 1].[Merma_inic].[All]" dimensionUniqueName="[Tabla_master_rend 1]" displayFolder="" count="0" memberValueDatatype="5" unbalanced="0"/>
    <cacheHierarchy uniqueName="[Tabla_master_rend 1].[Recup_kg]" caption="Recup_kg" attribute="1" defaultMemberUniqueName="[Tabla_master_rend 1].[Recup_kg].[All]" allUniqueName="[Tabla_master_rend 1].[Recup_kg].[All]" dimensionUniqueName="[Tabla_master_rend 1]" displayFolder="" count="0" memberValueDatatype="5" unbalanced="0"/>
    <cacheHierarchy uniqueName="[Tabla_master_rend 1].[Recup_%]" caption="Recup_%" attribute="1" defaultMemberUniqueName="[Tabla_master_rend 1].[Recup_%].[All]" allUniqueName="[Tabla_master_rend 1].[Recup_%].[All]" dimensionUniqueName="[Tabla_master_rend 1]" displayFolder="" count="0" memberValueDatatype="5" unbalanced="0"/>
    <cacheHierarchy uniqueName="[Tabla_master_rend 1].[Merma_ppto fab]" caption="Merma_ppto fab" attribute="1" defaultMemberUniqueName="[Tabla_master_rend 1].[Merma_ppto fab].[All]" allUniqueName="[Tabla_master_rend 1].[Merma_ppto fab].[All]" dimensionUniqueName="[Tabla_master_rend 1]" displayFolder="" count="0" memberValueDatatype="5" unbalanced="0"/>
    <cacheHierarchy uniqueName="[Tabla_master_rend 1].[Merma_ppto oreo]" caption="Merma_ppto oreo" attribute="1" defaultMemberUniqueName="[Tabla_master_rend 1].[Merma_ppto oreo].[All]" allUniqueName="[Tabla_master_rend 1].[Merma_ppto oreo].[All]" dimensionUniqueName="[Tabla_master_rend 1]" displayFolder="" count="0" memberValueDatatype="5" unbalanced="0"/>
    <cacheHierarchy uniqueName="[Tabla_master_rend 1].[Merma_ppto Env/Enc]" caption="Merma_ppto Env/Enc" attribute="1" defaultMemberUniqueName="[Tabla_master_rend 1].[Merma_ppto Env/Enc].[All]" allUniqueName="[Tabla_master_rend 1].[Merma_ppto Env/Enc].[All]" dimensionUniqueName="[Tabla_master_rend 1]" displayFolder="" count="0" memberValueDatatype="5" unbalanced="0"/>
    <cacheHierarchy uniqueName="[Tabla_master_rend 1].[Merma_T ppto]" caption="Merma_T ppto" attribute="1" defaultMemberUniqueName="[Tabla_master_rend 1].[Merma_T ppto].[All]" allUniqueName="[Tabla_master_rend 1].[Merma_T ppto].[All]" dimensionUniqueName="[Tabla_master_rend 1]" displayFolder="" count="0" memberValueDatatype="5" unbalanced="0"/>
    <cacheHierarchy uniqueName="[Tabla_master_rend 1].[Merma_T ppto %]" caption="Merma_T ppto %" attribute="1" defaultMemberUniqueName="[Tabla_master_rend 1].[Merma_T ppto %].[All]" allUniqueName="[Tabla_master_rend 1].[Merma_T ppto %].[All]" dimensionUniqueName="[Tabla_master_rend 1]" displayFolder="" count="0" memberValueDatatype="5" unbalanced="0"/>
    <cacheHierarchy uniqueName="[Tabla_master_rend 1].[Merma_T real %]" caption="Merma_T real %" attribute="1" defaultMemberUniqueName="[Tabla_master_rend 1].[Merma_T real %].[All]" allUniqueName="[Tabla_master_rend 1].[Merma_T real %].[All]" dimensionUniqueName="[Tabla_master_rend 1]" displayFolder="" count="0" memberValueDatatype="5" unbalanced="0"/>
    <cacheHierarchy uniqueName="[Tabla_master_rend 1].[DIF R Vs PPTO]" caption="DIF R Vs PPTO" attribute="1" defaultMemberUniqueName="[Tabla_master_rend 1].[DIF R Vs PPTO].[All]" allUniqueName="[Tabla_master_rend 1].[DIF R Vs PPTO].[All]" dimensionUniqueName="[Tabla_master_rend 1]" displayFolder="" count="0" memberValueDatatype="5" unbalanced="0"/>
    <cacheHierarchy uniqueName="[Tabla_master_rend 1].[IMPACTO]" caption="IMPACTO" attribute="1" defaultMemberUniqueName="[Tabla_master_rend 1].[IMPACTO].[All]" allUniqueName="[Tabla_master_rend 1].[IMPACTO].[All]" dimensionUniqueName="[Tabla_master_rend 1]" displayFolder="" count="0" memberValueDatatype="5" unbalanced="0"/>
    <cacheHierarchy uniqueName="[Tabla_master_rend 1].[IMPACTO_vs_PPTO]" caption="IMPACTO_vs_PPTO" attribute="1" defaultMemberUniqueName="[Tabla_master_rend 1].[IMPACTO_vs_PPTO].[All]" allUniqueName="[Tabla_master_rend 1].[IMPACTO_vs_PPTO].[All]" dimensionUniqueName="[Tabla_master_rend 1]" displayFolder="" count="0" memberValueDatatype="5" unbalanced="0"/>
    <cacheHierarchy uniqueName="[Tabla_Precio_Venta].[Fecha]" caption="Fecha" attribute="1" defaultMemberUniqueName="[Tabla_Precio_Venta].[Fecha].[All]" allUniqueName="[Tabla_Precio_Venta].[Fecha].[All]" dimensionUniqueName="[Tabla_Precio_Venta]" displayFolder="" count="0" memberValueDatatype="130" unbalanced="0"/>
    <cacheHierarchy uniqueName="[Tabla_Precio_Venta].[Producto]" caption="Producto" attribute="1" defaultMemberUniqueName="[Tabla_Precio_Venta].[Producto].[All]" allUniqueName="[Tabla_Precio_Venta].[Producto].[All]" dimensionUniqueName="[Tabla_Precio_Venta]" displayFolder="" count="0" memberValueDatatype="130" unbalanced="0"/>
    <cacheHierarchy uniqueName="[Tabla_Precio_Venta].[Ventas (kg)]" caption="Ventas (kg)" attribute="1" defaultMemberUniqueName="[Tabla_Precio_Venta].[Ventas (kg)].[All]" allUniqueName="[Tabla_Precio_Venta].[Ventas (kg)].[All]" dimensionUniqueName="[Tabla_Precio_Venta]" displayFolder="" count="0" memberValueDatatype="20" unbalanced="0"/>
    <cacheHierarchy uniqueName="[Tabla_Precio_Venta].[PV_eur_kg]" caption="PV_eur_kg" attribute="1" defaultMemberUniqueName="[Tabla_Precio_Venta].[PV_eur_kg].[All]" allUniqueName="[Tabla_Precio_Venta].[PV_eur_kg].[All]" dimensionUniqueName="[Tabla_Precio_Venta]" displayFolder="" count="0" memberValueDatatype="5" unbalanced="0"/>
    <cacheHierarchy uniqueName="[tbl_DimFecha].[Fecha]" caption="Fecha" attribute="1" time="1" defaultMemberUniqueName="[tbl_DimFecha].[Fecha].[All]" allUniqueName="[tbl_DimFecha].[Fecha].[All]" dimensionUniqueName="[tbl_DimFecha]" displayFolder="" count="0" memberValueDatatype="7" unbalanced="0"/>
    <cacheHierarchy uniqueName="[tbl_DimFecha].[Año]" caption="Año" attribute="1" defaultMemberUniqueName="[tbl_DimFecha].[Año].[All]" allUniqueName="[tbl_DimFecha].[Año].[All]" dimensionUniqueName="[tbl_DimFecha]" displayFolder="" count="2" memberValueDatatype="20" unbalanced="0">
      <fieldsUsage count="2">
        <fieldUsage x="-1"/>
        <fieldUsage x="5"/>
      </fieldsUsage>
    </cacheHierarchy>
    <cacheHierarchy uniqueName="[tbl_DimFecha].[MesN]" caption="MesN" attribute="1" defaultMemberUniqueName="[tbl_DimFecha].[MesN].[All]" allUniqueName="[tbl_DimFecha].[MesN].[All]" dimensionUniqueName="[tbl_DimFecha]" displayFolder="" count="0" memberValueDatatype="20" unbalanced="0"/>
    <cacheHierarchy uniqueName="[tbl_DimFecha].[Mes]" caption="Mes" attribute="1" defaultMemberUniqueName="[tbl_DimFecha].[Mes].[All]" allUniqueName="[tbl_DimFecha].[Mes].[All]" dimensionUniqueName="[tbl_DimFecha]" displayFolder="" count="0" memberValueDatatype="130" unbalanced="0"/>
    <cacheHierarchy uniqueName="[tbl_DimFecha].[AñoMes]" caption="AñoMes" attribute="1" defaultMemberUniqueName="[tbl_DimFecha].[AñoMes].[All]" allUniqueName="[tbl_DimFecha].[AñoMes].[All]" dimensionUniqueName="[tbl_DimFecha]" displayFolder="" count="2" memberValueDatatype="130" unbalanced="0">
      <fieldsUsage count="2">
        <fieldUsage x="-1"/>
        <fieldUsage x="0"/>
      </fieldsUsage>
    </cacheHierarchy>
    <cacheHierarchy uniqueName="[tbl_DimFecha].[SemanaISO]" caption="SemanaISO" attribute="1" defaultMemberUniqueName="[tbl_DimFecha].[SemanaISO].[All]" allUniqueName="[tbl_DimFecha].[SemanaISO].[All]" dimensionUniqueName="[tbl_DimFecha]" displayFolder="" count="0" memberValueDatatype="20" unbalanced="0"/>
    <cacheHierarchy uniqueName="[tbl_DimFecha].[AñoSemana]" caption="AñoSemana" attribute="1" defaultMemberUniqueName="[tbl_DimFecha].[AñoSemana].[All]" allUniqueName="[tbl_DimFecha].[AñoSemana].[All]" dimensionUniqueName="[tbl_DimFecha]" displayFolder="" count="0" memberValueDatatype="130" unbalanced="0"/>
    <cacheHierarchy uniqueName="[tbl_DimFecha].[DiaSemanaN]" caption="DiaSemanaN" attribute="1" defaultMemberUniqueName="[tbl_DimFecha].[DiaSemanaN].[All]" allUniqueName="[tbl_DimFecha].[DiaSemanaN].[All]" dimensionUniqueName="[tbl_DimFecha]" displayFolder="" count="0" memberValueDatatype="20" unbalanced="0"/>
    <cacheHierarchy uniqueName="[tbl_DimFecha].[DiaSemana]" caption="DiaSemana" attribute="1" defaultMemberUniqueName="[tbl_DimFecha].[DiaSemana].[All]" allUniqueName="[tbl_DimFecha].[DiaSemana].[All]" dimensionUniqueName="[tbl_DimFecha]" displayFolder="" count="0" memberValueDatatype="130" unbalanced="0"/>
    <cacheHierarchy uniqueName="[tbl_DimFecha].[Mes_Orden]" caption="Mes_Orden" attribute="1" defaultMemberUniqueName="[tbl_DimFecha].[Mes_Orden].[All]" allUniqueName="[tbl_DimFecha].[Mes_Orden].[All]" dimensionUniqueName="[tbl_DimFecha]" displayFolder="" count="0" memberValueDatatype="130" unbalanced="0"/>
    <cacheHierarchy uniqueName="[tbl_DimProducto].[Producto]" caption="Producto" attribute="1" defaultMemberUniqueName="[tbl_DimProducto].[Producto].[All]" allUniqueName="[tbl_DimProducto].[Producto].[All]" dimensionUniqueName="[tbl_DimProducto]" displayFolder="" count="0" memberValueDatatype="130" unbalanced="0"/>
    <cacheHierarchy uniqueName="[tbl_DimProducto].[Producto_id]" caption="Producto_id" attribute="1" defaultMemberUniqueName="[tbl_DimProducto].[Producto_id].[All]" allUniqueName="[tbl_DimProducto].[Producto_id].[All]" dimensionUniqueName="[tbl_DimProducto]" displayFolder="" count="0" memberValueDatatype="130" unbalanced="0"/>
    <cacheHierarchy uniqueName="[tbl_DimProducto].[Categoría]" caption="Categoría" attribute="1" defaultMemberUniqueName="[tbl_DimProducto].[Categoría].[All]" allUniqueName="[tbl_DimProducto].[Categoría].[All]" dimensionUniqueName="[tbl_DimProducto]" displayFolder="" count="2" memberValueDatatype="130" unbalanced="0"/>
    <cacheHierarchy uniqueName="[tbl_DimProducto].[PesoBarra_kg]" caption="PesoBarra_kg" attribute="1" defaultMemberUniqueName="[tbl_DimProducto].[PesoBarra_kg].[All]" allUniqueName="[tbl_DimProducto].[PesoBarra_kg].[All]" dimensionUniqueName="[tbl_DimProducto]" displayFolder="" count="0" memberValueDatatype="5" unbalanced="0"/>
    <cacheHierarchy uniqueName="[tbl_PrecioLeche].[Año]" caption="Año" attribute="1" defaultMemberUniqueName="[tbl_PrecioLeche].[Año].[All]" allUniqueName="[tbl_PrecioLeche].[Año].[All]" dimensionUniqueName="[tbl_PrecioLeche]" displayFolder="" count="0" memberValueDatatype="20" unbalanced="0"/>
    <cacheHierarchy uniqueName="[tbl_PrecioLeche].[AñoMes]" caption="AñoMes" attribute="1" defaultMemberUniqueName="[tbl_PrecioLeche].[AñoMes].[All]" allUniqueName="[tbl_PrecioLeche].[AñoMes].[All]" dimensionUniqueName="[tbl_PrecioLeche]" displayFolder="" count="0" memberValueDatatype="130" unbalanced="0"/>
    <cacheHierarchy uniqueName="[tbl_PrecioLeche].[Mes]" caption="Mes" attribute="1" defaultMemberUniqueName="[tbl_PrecioLeche].[Mes].[All]" allUniqueName="[tbl_PrecioLeche].[Mes].[All]" dimensionUniqueName="[tbl_PrecioLeche]" displayFolder="" count="0" memberValueDatatype="130" unbalanced="0"/>
    <cacheHierarchy uniqueName="[tbl_PrecioLeche].[Tipo_Leche]" caption="Tipo_Leche" attribute="1" defaultMemberUniqueName="[tbl_PrecioLeche].[Tipo_Leche].[All]" allUniqueName="[tbl_PrecioLeche].[Tipo_Leche].[All]" dimensionUniqueName="[tbl_PrecioLeche]" displayFolder="" count="0" memberValueDatatype="130" unbalanced="0"/>
    <cacheHierarchy uniqueName="[tbl_PrecioLeche].[Precio_base]" caption="Precio_base" attribute="1" defaultMemberUniqueName="[tbl_PrecioLeche].[Precio_base].[All]" allUniqueName="[tbl_PrecioLeche].[Precio_base].[All]" dimensionUniqueName="[tbl_PrecioLeche]" displayFolder="" count="0" memberValueDatatype="20" unbalanced="0"/>
    <cacheHierarchy uniqueName="[tbl_PrecioLeche].[Calidades]" caption="Calidades" attribute="1" defaultMemberUniqueName="[tbl_PrecioLeche].[Calidades].[All]" allUniqueName="[tbl_PrecioLeche].[Calidades].[All]" dimensionUniqueName="[tbl_PrecioLeche]" displayFolder="" count="0" memberValueDatatype="20" unbalanced="0"/>
    <cacheHierarchy uniqueName="[tbl_PrecioLeche].[Transporte]" caption="Transporte" attribute="1" defaultMemberUniqueName="[tbl_PrecioLeche].[Transporte].[All]" allUniqueName="[tbl_PrecioLeche].[Transporte].[All]" dimensionUniqueName="[tbl_PrecioLeche]" displayFolder="" count="0" memberValueDatatype="20" unbalanced="0"/>
    <cacheHierarchy uniqueName="[tbl_PrecioLeche].[PMV_eur_L]" caption="PMV_eur_L" attribute="1" defaultMemberUniqueName="[tbl_PrecioLeche].[PMV_eur_L].[All]" allUniqueName="[tbl_PrecioLeche].[PMV_eur_L].[All]" dimensionUniqueName="[tbl_PrecioLeche]" displayFolder="" count="0" memberValueDatatype="5" unbalanced="0"/>
    <cacheHierarchy uniqueName="[Tabla_master_rend].[Fecha (índice de meses)]" caption="Fecha (índice de meses)" attribute="1" defaultMemberUniqueName="[Tabla_master_rend].[Fecha (índice de meses)].[All]" allUniqueName="[Tabla_master_rend].[Fecha (índice de meses)].[All]" dimensionUniqueName="[Tabla_master_rend]" displayFolder="" count="0" memberValueDatatype="20" unbalanced="0" hidden="1"/>
    <cacheHierarchy uniqueName="[Measures].[Litros_Leche]" caption="Litros_Leche" measure="1" displayFolder="" measureGroup="Tabla_master_rend" count="0"/>
    <cacheHierarchy uniqueName="[Measures].[kg_Blancos]" caption="kg_Blancos" measure="1" displayFolder="" measureGroup="Tabla_master_rend" count="0"/>
    <cacheHierarchy uniqueName="[Measures].[Kg_secadero]" caption="Kg_secadero" measure="1" displayFolder="" measureGroup="Tabla_master_rend" count="0"/>
    <cacheHierarchy uniqueName="[Measures].[Merma_TOT_kg]" caption="Merma_TOT_kg" measure="1" displayFolder="" measureGroup="Tabla_master_rend" count="0"/>
    <cacheHierarchy uniqueName="[Measures].[Merma_env_kg]" caption="Merma_env_kg" measure="1" displayFolder="" measureGroup="Tabla_master_rend" count="0"/>
    <cacheHierarchy uniqueName="[Measures].[Impacto_EUR]" caption="Impacto_EUR" measure="1" displayFolder="" measureGroup="Tabla_master_rend" count="0"/>
    <cacheHierarchy uniqueName="[Measures].[RDTO_Blanco_kg]" caption="RDTO_Blanco_kg" measure="1" displayFolder="" measureGroup="Tabla_master_rend" count="0"/>
    <cacheHierarchy uniqueName="[Measures].[Merma_env_pct]" caption="Merma_env_pct" measure="1" displayFolder="" measureGroup="Tabla_master_rend" count="0"/>
    <cacheHierarchy uniqueName="[Measures].[B_totales_u]" caption="B_totales_u" measure="1" displayFolder="" measureGroup="Tabla_master_rend" count="0"/>
    <cacheHierarchy uniqueName="[Measures].[Feas_pct]" caption="Feas_pct" measure="1" displayFolder="" measureGroup="Tabla_master_rend" count="0"/>
    <cacheHierarchy uniqueName="[Measures].[Bajas_pct]" caption="Bajas_pct" measure="1" displayFolder="" measureGroup="Tabla_master_rend" count="0"/>
    <cacheHierarchy uniqueName="[Measures].[Rotas_pct]" caption="Rotas_pct" measure="1" displayFolder="" measureGroup="Tabla_master_rend" count="0"/>
    <cacheHierarchy uniqueName="[Measures].[Recup_kg_sum]" caption="Recup_kg_sum" measure="1" displayFolder="" measureGroup="Tabla_master_rend" count="0"/>
    <cacheHierarchy uniqueName="[Measures].[Merma_inic_kg]" caption="Merma_inic_kg" measure="1" displayFolder="" measureGroup="Tabla_master_rend" count="0"/>
    <cacheHierarchy uniqueName="[Measures].[Recup_pct]" caption="Recup_pct" measure="1" displayFolder="" measureGroup="Tabla_master_rend" count="0"/>
    <cacheHierarchy uniqueName="[Measures].[Merma_env_corregida_kg]" caption="Merma_env_corregida_kg" measure="1" displayFolder="" measureGroup="Tabla_master_rend" count="0"/>
    <cacheHierarchy uniqueName="[Measures].[Merma_env_corregida_pct]" caption="Merma_env_corregida_pct" measure="1" displayFolder="" measureGroup="Tabla_master_rend" count="0"/>
    <cacheHierarchy uniqueName="[Measures].[Merma_TOT_pct]" caption="Merma_TOT_pct" measure="1" displayFolder="" measureGroup="Tabla_master_rend" count="0"/>
    <cacheHierarchy uniqueName="[Measures].[Labo_pct]" caption="Labo_pct" measure="1" displayFolder="" measureGroup="Tabla_master_rend" count="0"/>
    <cacheHierarchy uniqueName="[Measures].[Recup_MG_pct_pond]" caption="Recup_MG_pct_pond" measure="1" displayFolder="" measureGroup="Tabla_master_rend" count="0"/>
    <cacheHierarchy uniqueName="[Measures].[Recup_PT_pct_pond]" caption="Recup_PT_pct_pond" measure="1" displayFolder="" measureGroup="Tabla_master_rend" count="0"/>
    <cacheHierarchy uniqueName="[Measures].[Suero_vs_Leche]" caption="Suero_vs_Leche" measure="1" displayFolder="" measureGroup="Tabla_master_rend" count="0"/>
    <cacheHierarchy uniqueName="[Measures].[MG_suero_pct_pond]" caption="MG_suero_pct_pond" measure="1" displayFolder="" measureGroup="Tabla_master_rend" count="0"/>
    <cacheHierarchy uniqueName="[Measures].[PT_suero_pct_pond]" caption="PT_suero_pct_pond" measure="1" displayFolder="" measureGroup="Tabla_master_rend" count="0"/>
    <cacheHierarchy uniqueName="[Measures].[Nata_leche_L]" caption="Nata_leche_L" measure="1" displayFolder="" measureGroup="Tabla_master_rend" count="0"/>
    <cacheHierarchy uniqueName="[Measures].[Nata_suero_L]" caption="Nata_suero_L" measure="1" displayFolder="" measureGroup="Tabla_master_rend" count="0"/>
    <cacheHierarchy uniqueName="[Measures].[Nata_suero_pct]" caption="Nata_suero_pct" measure="1" displayFolder="" measureGroup="Tabla_master_rend" count="0"/>
    <cacheHierarchy uniqueName="[Measures].[Valor_Nata_EUR]" caption="Valor_Nata_EUR" measure="1" displayFolder="" measureGroup="Tabla_master_rend" count="0"/>
    <cacheHierarchy uniqueName="[Measures].[Nata_Total_L]" caption="Nata_Total_L" measure="1" displayFolder="" measureGroup="Tabla_master_rend" count="0"/>
    <cacheHierarchy uniqueName="[Measures].[Solidos_leche_kg]" caption="Solidos_leche_kg" measure="1" displayFolder="" measureGroup="Tabla_master_rend" count="0"/>
    <cacheHierarchy uniqueName="[Measures].[Solidos_en_queso_kg]" caption="Solidos_en_queso_kg" measure="1" displayFolder="" measureGroup="Tabla_master_rend" count="0"/>
    <cacheHierarchy uniqueName="[Measures].[Recup_solidos_a_queso_pct]" caption="Recup_solidos_a_queso_pct" measure="1" displayFolder="" measureGroup="Tabla_master_rend" count="0" oneField="1">
      <fieldsUsage count="1">
        <fieldUsage x="4"/>
      </fieldsUsage>
    </cacheHierarchy>
    <cacheHierarchy uniqueName="[Measures].[Suero_kg_aprox]" caption="Suero_kg_aprox" measure="1" displayFolder="" measureGroup="Tabla_master_rend" count="0"/>
    <cacheHierarchy uniqueName="[Measures].[Solidos_principales_suero_kg]" caption="Solidos_principales_suero_kg" measure="1" displayFolder="" measureGroup="Tabla_master_rend" count="0"/>
    <cacheHierarchy uniqueName="[Measures].[Solidos_principales_suero_pct_sobre_leche]" caption="Solidos_principales_suero_pct_sobre_leche" measure="1" displayFolder="" measureGroup="Tabla_master_rend" count="0"/>
    <cacheHierarchy uniqueName="[Measures].[Solidos_gap_kg]" caption="Solidos_gap_kg" measure="1" displayFolder="" measureGroup="Tabla_master_rend" count="0"/>
    <cacheHierarchy uniqueName="[Measures].[MG_a_nata_leche_kg]" caption="MG_a_nata_leche_kg" measure="1" displayFolder="" measureGroup="Tabla_master_rend" count="0" oneField="1">
      <fieldsUsage count="1">
        <fieldUsage x="3"/>
      </fieldsUsage>
    </cacheHierarchy>
    <cacheHierarchy uniqueName="[Measures].[MG_a_nata_leche_pct_sobre_solidos]" caption="MG_a_nata_leche_pct_sobre_solidos" measure="1" displayFolder="" measureGroup="Tabla_master_rend" count="0"/>
    <cacheHierarchy uniqueName="[Measures].[Solidos_leche_FP_kg]" caption="Solidos_leche_FP_kg" measure="1" displayFolder="" measureGroup="Tabla_master_rend" count="0" oneField="1">
      <fieldsUsage count="1">
        <fieldUsage x="1"/>
      </fieldsUsage>
    </cacheHierarchy>
    <cacheHierarchy uniqueName="[Measures].[Solidos_queso_FP_kg]" caption="Solidos_queso_FP_kg" measure="1" displayFolder="" measureGroup="Tabla_master_rend" count="0" oneField="1">
      <fieldsUsage count="1">
        <fieldUsage x="2"/>
      </fieldsUsage>
    </cacheHierarchy>
    <cacheHierarchy uniqueName="[Measures].[Solidos_suero_FP_kg]" caption="Solidos_suero_FP_kg" measure="1" displayFolder="" measureGroup="Tabla_master_rend" count="0"/>
    <cacheHierarchy uniqueName="[Measures].[Solidos_GAP_des_pct]" caption="Solidos_GAP_des_pct" measure="1" displayFolder="" measureGroup="Tabla_master_rend" count="0"/>
    <cacheHierarchy uniqueName="[Measures].[RDTO_neto_pond]" caption="RDTO_neto_pond" measure="1" displayFolder="" measureGroup="Tabla_master_rend" count="0"/>
    <cacheHierarchy uniqueName="[Measures].[Recup_FP_queso_pct]" caption="Recup_FP_queso_pct" measure="1" displayFolder="" measureGroup="Tabla_master_rend" count="0"/>
    <cacheHierarchy uniqueName="[Measures].[IMPACTO_VS__PPTO]" caption="IMPACTO_VS__PPTO" measure="1" displayFolder="" measureGroup="Tabla_master_rend" count="0"/>
    <cacheHierarchy uniqueName="[Measures].[€/kg_MP_Queso]" caption="€/kg_MP_Queso" measure="1" displayFolder="" measureGroup="Tabla_master_rend" count="0"/>
    <cacheHierarchy uniqueName="[Measures].[Merma_TOT_%_blanco_a_vendible]" caption="Merma_TOT_%_blanco_a_vendible" measure="1" displayFolder="" measureGroup="Tabla_master_rend" count="0"/>
    <cacheHierarchy uniqueName="[Measures].[Merma_TOT_kg_blanco_a_vendible :]" caption="Merma_TOT_kg_blanco_a_vendible :" measure="1" displayFolder="" measureGroup="Tabla_master_rend" count="0"/>
    <cacheHierarchy uniqueName="[Measures].[Gap_solidos_pct]" caption="Gap_solidos_pct" measure="1" displayFolder="" measureGroup="Tabla_master_rend" count="0"/>
    <cacheHierarchy uniqueName="[Measures].[Kg_saladero_tons]" caption="Kg_saladero_tons" measure="1" displayFolder="" measureGroup="Tabla_master_rend" count="0"/>
    <cacheHierarchy uniqueName="[Measures].[Suero_L]" caption="Suero_L" measure="1" displayFolder="" measureGroup="Tabla_master_rend" count="0"/>
    <cacheHierarchy uniqueName="[Measures].[%_Merma_Finos]" caption="%_Merma_Finos" measure="1" displayFolder="" measureGroup="Tabla_master_rend" count="0"/>
    <cacheHierarchy uniqueName="[Measures].[%_Merma_Llenadora]" caption="%_Merma_Llenadora" measure="1" displayFolder="" measureGroup="Tabla_master_rend" count="0"/>
    <cacheHierarchy uniqueName="[Measures].[%_Merma_Desm]" caption="%_Merma_Desm" measure="1" displayFolder="" measureGroup="Tabla_master_rend" count="0"/>
    <cacheHierarchy uniqueName="[Measures].[%_Merma_oreo]" caption="%_Merma_oreo" measure="1" displayFolder="" measureGroup="Tabla_master_rend" count="0"/>
    <cacheHierarchy uniqueName="[Measures].[__XL_Count tbl_DimProducto]" caption="__XL_Count tbl_DimProducto" measure="1" displayFolder="" measureGroup="tbl_DimProducto" count="0" hidden="1"/>
    <cacheHierarchy uniqueName="[Measures].[__XL_Count tbl_FactRendFecha]" caption="__XL_Count tbl_FactRendFecha" measure="1" displayFolder="" measureGroup="tbl_DimFecha" count="0" hidden="1"/>
    <cacheHierarchy uniqueName="[Measures].[__XL_Count Tabla_master_rend]" caption="__XL_Count Tabla_master_rend" measure="1" displayFolder="" measureGroup="Tabla_master_rend" count="0" hidden="1"/>
    <cacheHierarchy uniqueName="[Measures].[__XL_Count REND_TARGET]" caption="__XL_Count REND_TARGET" measure="1" displayFolder="" measureGroup="REND_TARGET" count="0" hidden="1"/>
    <cacheHierarchy uniqueName="[Measures].[__XL_Count Tabla_master_rend 1]" caption="__XL_Count Tabla_master_rend 1" measure="1" displayFolder="" measureGroup="Tabla_master_rend 1" count="0" hidden="1"/>
    <cacheHierarchy uniqueName="[Measures].[__XL_Count Tabla_Precio_Venta]" caption="__XL_Count Tabla_Precio_Venta" measure="1" displayFolder="" measureGroup="Tabla_Precio_Venta" count="0" hidden="1"/>
    <cacheHierarchy uniqueName="[Measures].[__XL_Count tbl_PrecioLeche]" caption="__XL_Count tbl_PrecioLeche" measure="1" displayFolder="" measureGroup="tbl_PrecioLeche" count="0" hidden="1"/>
    <cacheHierarchy uniqueName="[Measures].[__XL_Count Tabla_Contabilidad]" caption="__XL_Count Tabla_Contabilidad" measure="1" displayFolder="" measureGroup="Tabla_Contabilidad" count="0" hidden="1"/>
    <cacheHierarchy uniqueName="[Measures].[__No measures defined]" caption="__No measures defined" measure="1" displayFolder="" count="0" hidden="1"/>
    <cacheHierarchy uniqueName="[Measures].[Sum of Rend_Ntarget]" caption="Sum of Rend_Ntarget" measure="1" displayFolder="" measureGroup="REND_TARG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imum of Rend_Ntarget]" caption="Maximum of Rend_Ntarget" measure="1" displayFolder="" measureGroup="REND_TARG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REND_TARGET]" caption="Suma de REND_TARGET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Promedio de REND_TARGET]" caption="Promedio de REND_TARGET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RDTO_NETO]" caption="Suma de RDTO_NETO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Kg_Finos]" caption="Suma de Kg_Finos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Kg_Llenadora]" caption="Suma de Kg_Llenadora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Kg_Desmoldeo]" caption="Suma de Kg_Desmoldeo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de Merma_fab]" caption="Suma de Merma_fab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Recuento de L_Agua]" caption="Recuento de L_Agua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de %Merma_env_corr]" caption="Suma de %Merma_env_corr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Promedio de %Merma_env_corr]" caption="Promedio de %Merma_env_corr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a de Gastos Estructura (€∕mes)]" caption="Suma de Gastos Estructura (€∕mes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Gastos Estructura (€∕mes)]" caption="Promedio de Gastos Estructura (€∕mes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BITDA  (M€)]" caption="Suma de EBITDA  (M€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BITDA  (M€)]" caption="Promedio de EBITDA  (M€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9">
    <dimension measure="1" name="Measures" uniqueName="[Measures]" caption="Measures"/>
    <dimension name="REND_TARGET" uniqueName="[REND_TARGET]" caption="REND_TARGET"/>
    <dimension name="Tabla_Contabilidad" uniqueName="[Tabla_Contabilidad]" caption="Tabla_Contabilidad"/>
    <dimension name="Tabla_master_rend" uniqueName="[Tabla_master_rend]" caption="Tabla_master_rend"/>
    <dimension name="Tabla_master_rend 1" uniqueName="[Tabla_master_rend 1]" caption="Tabla_master_rend 1"/>
    <dimension name="Tabla_Precio_Venta" uniqueName="[Tabla_Precio_Venta]" caption="Tabla_Precio_Venta"/>
    <dimension name="tbl_DimFecha" uniqueName="[tbl_DimFecha]" caption="tbl_DimFecha"/>
    <dimension name="tbl_DimProducto" uniqueName="[tbl_DimProducto]" caption="tbl_DimProducto"/>
    <dimension name="tbl_PrecioLeche" uniqueName="[tbl_PrecioLeche]" caption="tbl_PrecioLeche"/>
  </dimensions>
  <measureGroups count="8">
    <measureGroup name="REND_TARGET" caption="REND_TARGET"/>
    <measureGroup name="Tabla_Contabilidad" caption="Tabla_Contabilidad"/>
    <measureGroup name="Tabla_master_rend" caption="Tabla_master_rend"/>
    <measureGroup name="Tabla_master_rend 1" caption="Tabla_master_rend 1"/>
    <measureGroup name="Tabla_Precio_Venta" caption="Tabla_Precio_Venta"/>
    <measureGroup name="tbl_DimFecha" caption="tbl_DimFecha"/>
    <measureGroup name="tbl_DimProducto" caption="tbl_DimProducto"/>
    <measureGroup name="tbl_PrecioLeche" caption="tbl_PrecioLeche"/>
  </measureGroups>
  <maps count="13">
    <map measureGroup="0" dimension="1"/>
    <map measureGroup="0" dimension="7"/>
    <map measureGroup="1" dimension="2"/>
    <map measureGroup="2" dimension="3"/>
    <map measureGroup="2" dimension="6"/>
    <map measureGroup="2" dimension="7"/>
    <map measureGroup="3" dimension="4"/>
    <map measureGroup="4" dimension="5"/>
    <map measureGroup="4" dimension="6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os Colasante" refreshedDate="46134.996705902777" backgroundQuery="1" createdVersion="8" refreshedVersion="8" minRefreshableVersion="3" recordCount="0" supportSubquery="1" supportAdvancedDrill="1" xr:uid="{0B588013-1B9C-4E4B-A9AD-9F4F519B1C10}">
  <cacheSource type="external" connectionId="4"/>
  <cacheFields count="7">
    <cacheField name="[Measures].[Solidos_en_queso_kg]" caption="Solidos_en_queso_kg" numFmtId="0" hierarchy="238" level="32767"/>
    <cacheField name="[Measures].[Recup_solidos_a_queso_pct]" caption="Recup_solidos_a_queso_pct" numFmtId="0" hierarchy="239" level="32767"/>
    <cacheField name="[Measures].[Suero_kg_aprox]" caption="Suero_kg_aprox" numFmtId="0" hierarchy="240" level="32767"/>
    <cacheField name="[Measures].[Solidos_principales_suero_kg]" caption="Solidos_principales_suero_kg" numFmtId="0" hierarchy="241" level="32767"/>
    <cacheField name="[Measures].[Solidos_principales_suero_pct_sobre_leche]" caption="Solidos_principales_suero_pct_sobre_leche" numFmtId="0" hierarchy="242" level="32767"/>
    <cacheField name="[Measures].[Kg_secadero]" caption="Kg_secadero" numFmtId="0" hierarchy="210" level="32767"/>
    <cacheField name="[tbl_DimFecha].[Año].[Año]" caption="Año" numFmtId="0" hierarchy="186" level="1">
      <sharedItems containsSemiMixedTypes="0" containsNonDate="0" containsString="0"/>
    </cacheField>
  </cacheFields>
  <cacheHierarchies count="288">
    <cacheHierarchy uniqueName="[REND_TARGET].[Producto]" caption="Producto" attribute="1" defaultMemberUniqueName="[REND_TARGET].[Producto].[All]" allUniqueName="[REND_TARGET].[Producto].[All]" dimensionUniqueName="[REND_TARGET]" displayFolder="" count="0" memberValueDatatype="130" unbalanced="0"/>
    <cacheHierarchy uniqueName="[REND_TARGET].[Rendimiento Blanco]" caption="Rendimiento Blanco" attribute="1" defaultMemberUniqueName="[REND_TARGET].[Rendimiento Blanco].[All]" allUniqueName="[REND_TARGET].[Rendimiento Blanco].[All]" dimensionUniqueName="[REND_TARGET]" displayFolder="" count="0" memberValueDatatype="5" unbalanced="0"/>
    <cacheHierarchy uniqueName="[REND_TARGET].[Merma Fabr]" caption="Merma Fabr" attribute="1" defaultMemberUniqueName="[REND_TARGET].[Merma Fabr].[All]" allUniqueName="[REND_TARGET].[Merma Fabr].[All]" dimensionUniqueName="[REND_TARGET]" displayFolder="" count="0" memberValueDatatype="5" unbalanced="0"/>
    <cacheHierarchy uniqueName="[REND_TARGET].[Merma Oreo]" caption="Merma Oreo" attribute="1" defaultMemberUniqueName="[REND_TARGET].[Merma Oreo].[All]" allUniqueName="[REND_TARGET].[Merma Oreo].[All]" dimensionUniqueName="[REND_TARGET]" displayFolder="" count="0" memberValueDatatype="5" unbalanced="0"/>
    <cacheHierarchy uniqueName="[REND_TARGET].[Merma E/E]" caption="Merma E/E" attribute="1" defaultMemberUniqueName="[REND_TARGET].[Merma E/E].[All]" allUniqueName="[REND_TARGET].[Merma E/E].[All]" dimensionUniqueName="[REND_TARGET]" displayFolder="" count="0" memberValueDatatype="5" unbalanced="0"/>
    <cacheHierarchy uniqueName="[REND_TARGET].[Rend_Ntarget]" caption="Rend_Ntarget" attribute="1" defaultMemberUniqueName="[REND_TARGET].[Rend_Ntarget].[All]" allUniqueName="[REND_TARGET].[Rend_Ntarget].[All]" dimensionUniqueName="[REND_TARGET]" displayFolder="" count="0" memberValueDatatype="5" unbalanced="0"/>
    <cacheHierarchy uniqueName="[Tabla_Contabilidad].[Año]" caption="Año" attribute="1" defaultMemberUniqueName="[Tabla_Contabilidad].[Año].[All]" allUniqueName="[Tabla_Contabilidad].[Año].[All]" dimensionUniqueName="[Tabla_Contabilidad]" displayFolder="" count="0" memberValueDatatype="20" unbalanced="0"/>
    <cacheHierarchy uniqueName="[Tabla_Contabilidad].[AñoMes]" caption="AñoMes" attribute="1" defaultMemberUniqueName="[Tabla_Contabilidad].[AñoMes].[All]" allUniqueName="[Tabla_Contabilidad].[AñoMes].[All]" dimensionUniqueName="[Tabla_Contabilidad]" displayFolder="" count="0" memberValueDatatype="130" unbalanced="0"/>
    <cacheHierarchy uniqueName="[Tabla_Contabilidad].[Mes]" caption="Mes" attribute="1" defaultMemberUniqueName="[Tabla_Contabilidad].[Mes].[All]" allUniqueName="[Tabla_Contabilidad].[Mes].[All]" dimensionUniqueName="[Tabla_Contabilidad]" displayFolder="" count="0" memberValueDatatype="130" unbalanced="0"/>
    <cacheHierarchy uniqueName="[Tabla_Contabilidad].[Gastos Estructura (€∕mes)]" caption="Gastos Estructura (€∕mes)" attribute="1" defaultMemberUniqueName="[Tabla_Contabilidad].[Gastos Estructura (€∕mes)].[All]" allUniqueName="[Tabla_Contabilidad].[Gastos Estructura (€∕mes)].[All]" dimensionUniqueName="[Tabla_Contabilidad]" displayFolder="" count="0" memberValueDatatype="20" unbalanced="0"/>
    <cacheHierarchy uniqueName="[Tabla_Contabilidad].[EBITDA  (M€)]" caption="EBITDA  (M€)" attribute="1" defaultMemberUniqueName="[Tabla_Contabilidad].[EBITDA  (M€)].[All]" allUniqueName="[Tabla_Contabilidad].[EBITDA  (M€)].[All]" dimensionUniqueName="[Tabla_Contabilidad]" displayFolder="" count="0" memberValueDatatype="20" unbalanced="0"/>
    <cacheHierarchy uniqueName="[Tabla_Contabilidad].[EBITDA_PPTO (M€)]" caption="EBITDA_PPTO (M€)" attribute="1" defaultMemberUniqueName="[Tabla_Contabilidad].[EBITDA_PPTO (M€)].[All]" allUniqueName="[Tabla_Contabilidad].[EBITDA_PPTO (M€)].[All]" dimensionUniqueName="[Tabla_Contabilidad]" displayFolder="" count="0" memberValueDatatype="20" unbalanced="0"/>
    <cacheHierarchy uniqueName="[Tabla_master_rend].[Fecha]" caption="Fecha" attribute="1" time="1" defaultMemberUniqueName="[Tabla_master_rend].[Fecha].[All]" allUniqueName="[Tabla_master_rend].[Fecha].[All]" dimensionUniqueName="[Tabla_master_rend]" displayFolder="" count="0" memberValueDatatype="7" unbalanced="0"/>
    <cacheHierarchy uniqueName="[Tabla_master_rend].[mes]" caption="mes" attribute="1" defaultMemberUniqueName="[Tabla_master_rend].[mes].[All]" allUniqueName="[Tabla_master_rend].[mes].[All]" dimensionUniqueName="[Tabla_master_rend]" displayFolder="" count="0" memberValueDatatype="20" unbalanced="0"/>
    <cacheHierarchy uniqueName="[Tabla_master_rend].[Mes_Nom]" caption="Mes_Nom" attribute="1" defaultMemberUniqueName="[Tabla_master_rend].[Mes_Nom].[All]" allUniqueName="[Tabla_master_rend].[Mes_Nom].[All]" dimensionUniqueName="[Tabla_master_rend]" displayFolder="" count="2" memberValueDatatype="130" unbalanced="0"/>
    <cacheHierarchy uniqueName="[Tabla_master_rend].[Día]" caption="Día" attribute="1" defaultMemberUniqueName="[Tabla_master_rend].[Día].[All]" allUniqueName="[Tabla_master_rend].[Día].[All]" dimensionUniqueName="[Tabla_master_rend]" displayFolder="" count="2" memberValueDatatype="130" unbalanced="0"/>
    <cacheHierarchy uniqueName="[Tabla_master_rend].[Lote]" caption="Lote" attribute="1" defaultMemberUniqueName="[Tabla_master_rend].[Lote].[All]" allUniqueName="[Tabla_master_rend].[Lote].[All]" dimensionUniqueName="[Tabla_master_rend]" displayFolder="" count="0" memberValueDatatype="20" unbalanced="0"/>
    <cacheHierarchy uniqueName="[Tabla_master_rend].[Producto]" caption="Producto" attribute="1" defaultMemberUniqueName="[Tabla_master_rend].[Producto].[All]" allUniqueName="[Tabla_master_rend].[Producto].[All]" dimensionUniqueName="[Tabla_master_rend]" displayFolder="" count="2" memberValueDatatype="130" unbalanced="0"/>
    <cacheHierarchy uniqueName="[Tabla_master_rend].[Cubas_prod]" caption="Cubas_prod" attribute="1" defaultMemberUniqueName="[Tabla_master_rend].[Cubas_prod].[All]" allUniqueName="[Tabla_master_rend].[Cubas_prod].[All]" dimensionUniqueName="[Tabla_master_rend]" displayFolder="" count="0" memberValueDatatype="20" unbalanced="0"/>
    <cacheHierarchy uniqueName="[Tabla_master_rend].[Litros_Leche_Total]" caption="Litros_Leche_Total" attribute="1" defaultMemberUniqueName="[Tabla_master_rend].[Litros_Leche_Total].[All]" allUniqueName="[Tabla_master_rend].[Litros_Leche_Total].[All]" dimensionUniqueName="[Tabla_master_rend]" displayFolder="" count="0" memberValueDatatype="20" unbalanced="0"/>
    <cacheHierarchy uniqueName="[Tabla_master_rend].[L_Leche_ent]" caption="L_Leche_ent" attribute="1" defaultMemberUniqueName="[Tabla_master_rend].[L_Leche_ent].[All]" allUniqueName="[Tabla_master_rend].[L_Leche_ent].[All]" dimensionUniqueName="[Tabla_master_rend]" displayFolder="" count="0" memberValueDatatype="20" unbalanced="0"/>
    <cacheHierarchy uniqueName="[Tabla_master_rend].[%MG_Leche]" caption="%MG_Leche" attribute="1" defaultMemberUniqueName="[Tabla_master_rend].[%MG_Leche].[All]" allUniqueName="[Tabla_master_rend].[%MG_Leche].[All]" dimensionUniqueName="[Tabla_master_rend]" displayFolder="" count="0" memberValueDatatype="5" unbalanced="0"/>
    <cacheHierarchy uniqueName="[Tabla_master_rend].[%MP_Leche]" caption="%MP_Leche" attribute="1" defaultMemberUniqueName="[Tabla_master_rend].[%MP_Leche].[All]" allUniqueName="[Tabla_master_rend].[%MP_Leche].[All]" dimensionUniqueName="[Tabla_master_rend]" displayFolder="" count="0" memberValueDatatype="5" unbalanced="0"/>
    <cacheHierarchy uniqueName="[Tabla_master_rend].[EST_%]" caption="EST_%" attribute="1" defaultMemberUniqueName="[Tabla_master_rend].[EST_%].[All]" allUniqueName="[Tabla_master_rend].[EST_%].[All]" dimensionUniqueName="[Tabla_master_rend]" displayFolder="" count="0" memberValueDatatype="5" unbalanced="0"/>
    <cacheHierarchy uniqueName="[Tabla_master_rend].[Desn_en_linea]" caption="Desn_en_linea" attribute="1" defaultMemberUniqueName="[Tabla_master_rend].[Desn_en_linea].[All]" allUniqueName="[Tabla_master_rend].[Desn_en_linea].[All]" dimensionUniqueName="[Tabla_master_rend]" displayFolder="" count="2" memberValueDatatype="130" unbalanced="0"/>
    <cacheHierarchy uniqueName="[Tabla_master_rend].[L_desn_ext]" caption="L_desn_ext" attribute="1" defaultMemberUniqueName="[Tabla_master_rend].[L_desn_ext].[All]" allUniqueName="[Tabla_master_rend].[L_desn_ext].[All]" dimensionUniqueName="[Tabla_master_rend]" displayFolder="" count="0" memberValueDatatype="20" unbalanced="0"/>
    <cacheHierarchy uniqueName="[Tabla_master_rend].[L_cabra]" caption="L_cabra" attribute="1" defaultMemberUniqueName="[Tabla_master_rend].[L_cabra].[All]" allUniqueName="[Tabla_master_rend].[L_cabra].[All]" dimensionUniqueName="[Tabla_master_rend]" displayFolder="" count="0" memberValueDatatype="20" unbalanced="0"/>
    <cacheHierarchy uniqueName="[Tabla_master_rend].[L_oveja]" caption="L_oveja" attribute="1" defaultMemberUniqueName="[Tabla_master_rend].[L_oveja].[All]" allUniqueName="[Tabla_master_rend].[L_oveja].[All]" dimensionUniqueName="[Tabla_master_rend]" displayFolder="" count="0" memberValueDatatype="20" unbalanced="0"/>
    <cacheHierarchy uniqueName="[Tabla_master_rend].[Litros_Nata]" caption="Litros_Nata" attribute="1" defaultMemberUniqueName="[Tabla_master_rend].[Litros_Nata].[All]" allUniqueName="[Tabla_master_rend].[Litros_Nata].[All]" dimensionUniqueName="[Tabla_master_rend]" displayFolder="" count="0" memberValueDatatype="20" unbalanced="0"/>
    <cacheHierarchy uniqueName="[Tabla_master_rend].[L_nata_suero]" caption="L_nata_suero" attribute="1" defaultMemberUniqueName="[Tabla_master_rend].[L_nata_suero].[All]" allUniqueName="[Tabla_master_rend].[L_nata_suero].[All]" dimensionUniqueName="[Tabla_master_rend]" displayFolder="" count="0" memberValueDatatype="20" unbalanced="0"/>
    <cacheHierarchy uniqueName="[Tabla_master_rend].[L_suero Total]" caption="L_suero Total" attribute="1" defaultMemberUniqueName="[Tabla_master_rend].[L_suero Total].[All]" allUniqueName="[Tabla_master_rend].[L_suero Total].[All]" dimensionUniqueName="[Tabla_master_rend]" displayFolder="" count="0" memberValueDatatype="20" unbalanced="0"/>
    <cacheHierarchy uniqueName="[Tabla_master_rend].[%Suero_vs_leche]" caption="%Suero_vs_leche" attribute="1" defaultMemberUniqueName="[Tabla_master_rend].[%Suero_vs_leche].[All]" allUniqueName="[Tabla_master_rend].[%Suero_vs_leche].[All]" dimensionUniqueName="[Tabla_master_rend]" displayFolder="" count="0" memberValueDatatype="5" unbalanced="0"/>
    <cacheHierarchy uniqueName="[Tabla_master_rend].[MG_suero]" caption="MG_suero" attribute="1" defaultMemberUniqueName="[Tabla_master_rend].[MG_suero].[All]" allUniqueName="[Tabla_master_rend].[MG_suero].[All]" dimensionUniqueName="[Tabla_master_rend]" displayFolder="" count="0" memberValueDatatype="5" unbalanced="0"/>
    <cacheHierarchy uniqueName="[Tabla_master_rend].[MP_suero]" caption="MP_suero" attribute="1" defaultMemberUniqueName="[Tabla_master_rend].[MP_suero].[All]" allUniqueName="[Tabla_master_rend].[MP_suero].[All]" dimensionUniqueName="[Tabla_master_rend]" displayFolder="" count="0" memberValueDatatype="5" unbalanced="0"/>
    <cacheHierarchy uniqueName="[Tabla_master_rend].[L_suero para con]" caption="L_suero para con" attribute="1" defaultMemberUniqueName="[Tabla_master_rend].[L_suero para con].[All]" allUniqueName="[Tabla_master_rend].[L_suero para con].[All]" dimensionUniqueName="[Tabla_master_rend]" displayFolder="" count="0" memberValueDatatype="20" unbalanced="0"/>
    <cacheHierarchy uniqueName="[Tabla_master_rend].[L_suero_con]" caption="L_suero_con" attribute="1" defaultMemberUniqueName="[Tabla_master_rend].[L_suero_con].[All]" allUniqueName="[Tabla_master_rend].[L_suero_con].[All]" dimensionUniqueName="[Tabla_master_rend]" displayFolder="" count="0" memberValueDatatype="20" unbalanced="0"/>
    <cacheHierarchy uniqueName="[Tabla_master_rend].[Rartio_sueroC]" caption="Rartio_sueroC" attribute="1" defaultMemberUniqueName="[Tabla_master_rend].[Rartio_sueroC].[All]" allUniqueName="[Tabla_master_rend].[Rartio_sueroC].[All]" dimensionUniqueName="[Tabla_master_rend]" displayFolder="" count="0" memberValueDatatype="5" unbalanced="0"/>
    <cacheHierarchy uniqueName="[Tabla_master_rend].[L_Suero_Sobrante]" caption="L_Suero_Sobrante" attribute="1" defaultMemberUniqueName="[Tabla_master_rend].[L_Suero_Sobrante].[All]" allUniqueName="[Tabla_master_rend].[L_Suero_Sobrante].[All]" dimensionUniqueName="[Tabla_master_rend]" displayFolder="" count="0" memberValueDatatype="20" unbalanced="0"/>
    <cacheHierarchy uniqueName="[Tabla_master_rend].[MG_sueroc]" caption="MG_sueroc" attribute="1" defaultMemberUniqueName="[Tabla_master_rend].[MG_sueroc].[All]" allUniqueName="[Tabla_master_rend].[MG_sueroc].[All]" dimensionUniqueName="[Tabla_master_rend]" displayFolder="" count="0" memberValueDatatype="20" unbalanced="0"/>
    <cacheHierarchy uniqueName="[Tabla_master_rend].[MP_sueroc]" caption="MP_sueroc" attribute="1" defaultMemberUniqueName="[Tabla_master_rend].[MP_sueroc].[All]" allUniqueName="[Tabla_master_rend].[MP_sueroc].[All]" dimensionUniqueName="[Tabla_master_rend]" displayFolder="" count="0" memberValueDatatype="20" unbalanced="0"/>
    <cacheHierarchy uniqueName="[Tabla_master_rend].[L_LPS_Gen]" caption="L_LPS_Gen" attribute="1" defaultMemberUniqueName="[Tabla_master_rend].[L_LPS_Gen].[All]" allUniqueName="[Tabla_master_rend].[L_LPS_Gen].[All]" dimensionUniqueName="[Tabla_master_rend]" displayFolder="" count="0" memberValueDatatype="20" unbalanced="0"/>
    <cacheHierarchy uniqueName="[Tabla_master_rend].[L_LPS_incor]" caption="L_LPS_incor" attribute="1" defaultMemberUniqueName="[Tabla_master_rend].[L_LPS_incor].[All]" allUniqueName="[Tabla_master_rend].[L_LPS_incor].[All]" dimensionUniqueName="[Tabla_master_rend]" displayFolder="" count="0" memberValueDatatype="20" unbalanced="0"/>
    <cacheHierarchy uniqueName="[Tabla_master_rend].[gr_LPS]" caption="gr_LPS" attribute="1" defaultMemberUniqueName="[Tabla_master_rend].[gr_LPS].[All]" allUniqueName="[Tabla_master_rend].[gr_LPS].[All]" dimensionUniqueName="[Tabla_master_rend]" displayFolder="" count="0" memberValueDatatype="20" unbalanced="0"/>
    <cacheHierarchy uniqueName="[Tabla_master_rend].[MG_LPS]" caption="MG_LPS" attribute="1" defaultMemberUniqueName="[Tabla_master_rend].[MG_LPS].[All]" allUniqueName="[Tabla_master_rend].[MG_LPS].[All]" dimensionUniqueName="[Tabla_master_rend]" displayFolder="" count="0" memberValueDatatype="5" unbalanced="0"/>
    <cacheHierarchy uniqueName="[Tabla_master_rend].[MP_LPS]" caption="MP_LPS" attribute="1" defaultMemberUniqueName="[Tabla_master_rend].[MP_LPS].[All]" allUniqueName="[Tabla_master_rend].[MP_LPS].[All]" dimensionUniqueName="[Tabla_master_rend]" displayFolder="" count="0" memberValueDatatype="5" unbalanced="0"/>
    <cacheHierarchy uniqueName="[Tabla_master_rend].[Kg_Queso_Blan]" caption="Kg_Queso_Blan" attribute="1" defaultMemberUniqueName="[Tabla_master_rend].[Kg_Queso_Blan].[All]" allUniqueName="[Tabla_master_rend].[Kg_Queso_Blan].[All]" dimensionUniqueName="[Tabla_master_rend]" displayFolder="" count="0" memberValueDatatype="5" unbalanced="0"/>
    <cacheHierarchy uniqueName="[Tabla_master_rend].[RDTO_Blanco]" caption="RDTO_Blanco" attribute="1" defaultMemberUniqueName="[Tabla_master_rend].[RDTO_Blanco].[All]" allUniqueName="[Tabla_master_rend].[RDTO_Blanco].[All]" dimensionUniqueName="[Tabla_master_rend]" displayFolder="" count="0" memberValueDatatype="5" unbalanced="0"/>
    <cacheHierarchy uniqueName="[Tabla_master_rend].[RDTO_NETO]" caption="RDTO_NETO" attribute="1" defaultMemberUniqueName="[Tabla_master_rend].[RDTO_NETO].[All]" allUniqueName="[Tabla_master_rend].[RDTO_NETO].[All]" dimensionUniqueName="[Tabla_master_rend]" displayFolder="" count="0" memberValueDatatype="5" unbalanced="0"/>
    <cacheHierarchy uniqueName="[Tabla_master_rend].[REND_TARGET]" caption="REND_TARGET" attribute="1" defaultMemberUniqueName="[Tabla_master_rend].[REND_TARGET].[All]" allUniqueName="[Tabla_master_rend].[REND_TARGET].[All]" dimensionUniqueName="[Tabla_master_rend]" displayFolder="" count="0" memberValueDatatype="5" unbalanced="0"/>
    <cacheHierarchy uniqueName="[Tabla_master_rend].[Kg_Solidos_leche]" caption="Kg_Solidos_leche" attribute="1" defaultMemberUniqueName="[Tabla_master_rend].[Kg_Solidos_leche].[All]" allUniqueName="[Tabla_master_rend].[Kg_Solidos_leche].[All]" dimensionUniqueName="[Tabla_master_rend]" displayFolder="" count="0" memberValueDatatype="5" unbalanced="0"/>
    <cacheHierarchy uniqueName="[Tabla_master_rend].[%MG_QUESO]" caption="%MG_QUESO" attribute="1" defaultMemberUniqueName="[Tabla_master_rend].[%MG_QUESO].[All]" allUniqueName="[Tabla_master_rend].[%MG_QUESO].[All]" dimensionUniqueName="[Tabla_master_rend]" displayFolder="" count="0" memberValueDatatype="5" unbalanced="0"/>
    <cacheHierarchy uniqueName="[Tabla_master_rend].[%PT_QUESO]" caption="%PT_QUESO" attribute="1" defaultMemberUniqueName="[Tabla_master_rend].[%PT_QUESO].[All]" allUniqueName="[Tabla_master_rend].[%PT_QUESO].[All]" dimensionUniqueName="[Tabla_master_rend]" displayFolder="" count="0" memberValueDatatype="5" unbalanced="0"/>
    <cacheHierarchy uniqueName="[Tabla_master_rend].[ES_QUESO]" caption="ES_QUESO" attribute="1" defaultMemberUniqueName="[Tabla_master_rend].[ES_QUESO].[All]" allUniqueName="[Tabla_master_rend].[ES_QUESO].[All]" dimensionUniqueName="[Tabla_master_rend]" displayFolder="" count="0" memberValueDatatype="5" unbalanced="0"/>
    <cacheHierarchy uniqueName="[Tabla_master_rend].[Rendimiento_Solidos_%]" caption="Rendimiento_Solidos_%" attribute="1" defaultMemberUniqueName="[Tabla_master_rend].[Rendimiento_Solidos_%].[All]" allUniqueName="[Tabla_master_rend].[Rendimiento_Solidos_%].[All]" dimensionUniqueName="[Tabla_master_rend]" displayFolder="" count="0" memberValueDatatype="5" unbalanced="0"/>
    <cacheHierarchy uniqueName="[Tabla_master_rend].[Kg_MG_Nata]" caption="Kg_MG_Nata" attribute="1" defaultMemberUniqueName="[Tabla_master_rend].[Kg_MG_Nata].[All]" allUniqueName="[Tabla_master_rend].[Kg_MG_Nata].[All]" dimensionUniqueName="[Tabla_master_rend]" displayFolder="" count="0" memberValueDatatype="5" unbalanced="0"/>
    <cacheHierarchy uniqueName="[Tabla_master_rend].[%RECUP_MG]" caption="%RECUP_MG" attribute="1" defaultMemberUniqueName="[Tabla_master_rend].[%RECUP_MG].[All]" allUniqueName="[Tabla_master_rend].[%RECUP_MG].[All]" dimensionUniqueName="[Tabla_master_rend]" displayFolder="" count="0" memberValueDatatype="5" unbalanced="0"/>
    <cacheHierarchy uniqueName="[Tabla_master_rend].[%RECUP_PT]" caption="%RECUP_PT" attribute="1" defaultMemberUniqueName="[Tabla_master_rend].[%RECUP_PT].[All]" allUniqueName="[Tabla_master_rend].[%RECUP_PT].[All]" dimensionUniqueName="[Tabla_master_rend]" displayFolder="" count="0" memberValueDatatype="5" unbalanced="0"/>
    <cacheHierarchy uniqueName="[Tabla_master_rend].[Valor_Nata_€]" caption="Valor_Nata_€" attribute="1" defaultMemberUniqueName="[Tabla_master_rend].[Valor_Nata_€].[All]" allUniqueName="[Tabla_master_rend].[Valor_Nata_€].[All]" dimensionUniqueName="[Tabla_master_rend]" displayFolder="" count="0" memberValueDatatype="5" unbalanced="0"/>
    <cacheHierarchy uniqueName="[Tabla_master_rend].[Kg_Finos]" caption="Kg_Finos" attribute="1" defaultMemberUniqueName="[Tabla_master_rend].[Kg_Finos].[All]" allUniqueName="[Tabla_master_rend].[Kg_Finos].[All]" dimensionUniqueName="[Tabla_master_rend]" displayFolder="" count="0" memberValueDatatype="5" unbalanced="0"/>
    <cacheHierarchy uniqueName="[Tabla_master_rend].[Kg_Llenadora]" caption="Kg_Llenadora" attribute="1" defaultMemberUniqueName="[Tabla_master_rend].[Kg_Llenadora].[All]" allUniqueName="[Tabla_master_rend].[Kg_Llenadora].[All]" dimensionUniqueName="[Tabla_master_rend]" displayFolder="" count="0" memberValueDatatype="5" unbalanced="0"/>
    <cacheHierarchy uniqueName="[Tabla_master_rend].[Kg_Desmoldeo]" caption="Kg_Desmoldeo" attribute="1" defaultMemberUniqueName="[Tabla_master_rend].[Kg_Desmoldeo].[All]" allUniqueName="[Tabla_master_rend].[Kg_Desmoldeo].[All]" dimensionUniqueName="[Tabla_master_rend]" displayFolder="" count="0" memberValueDatatype="5" unbalanced="0"/>
    <cacheHierarchy uniqueName="[Tabla_master_rend].[Merma_fab]" caption="Merma_fab" attribute="1" defaultMemberUniqueName="[Tabla_master_rend].[Merma_fab].[All]" allUniqueName="[Tabla_master_rend].[Merma_fab].[All]" dimensionUniqueName="[Tabla_master_rend]" displayFolder="" count="0" memberValueDatatype="5" unbalanced="0"/>
    <cacheHierarchy uniqueName="[Tabla_master_rend].[% Merma_fab2]" caption="% Merma_fab2" attribute="1" defaultMemberUniqueName="[Tabla_master_rend].[% Merma_fab2].[All]" allUniqueName="[Tabla_master_rend].[% Merma_fab2].[All]" dimensionUniqueName="[Tabla_master_rend]" displayFolder="" count="0" memberValueDatatype="5" unbalanced="0"/>
    <cacheHierarchy uniqueName="[Tabla_master_rend].[L_Agua]" caption="L_Agua" attribute="1" defaultMemberUniqueName="[Tabla_master_rend].[L_Agua].[All]" allUniqueName="[Tabla_master_rend].[L_Agua].[All]" dimensionUniqueName="[Tabla_master_rend]" displayFolder="" count="0" memberValueDatatype="20" unbalanced="0"/>
    <cacheHierarchy uniqueName="[Tabla_master_rend].[% oreo]" caption="% oreo" attribute="1" defaultMemberUniqueName="[Tabla_master_rend].[% oreo].[All]" allUniqueName="[Tabla_master_rend].[% oreo].[All]" dimensionUniqueName="[Tabla_master_rend]" displayFolder="" count="0" memberValueDatatype="5" unbalanced="0"/>
    <cacheHierarchy uniqueName="[Tabla_master_rend].[B_totales]" caption="B_totales" attribute="1" defaultMemberUniqueName="[Tabla_master_rend].[B_totales].[All]" allUniqueName="[Tabla_master_rend].[B_totales].[All]" dimensionUniqueName="[Tabla_master_rend]" displayFolder="" count="0" memberValueDatatype="5" unbalanced="0"/>
    <cacheHierarchy uniqueName="[Tabla_master_rend].[B_OK_uni]" caption="B_OK_uni" attribute="1" defaultMemberUniqueName="[Tabla_master_rend].[B_OK_uni].[All]" allUniqueName="[Tabla_master_rend].[B_OK_uni].[All]" dimensionUniqueName="[Tabla_master_rend]" displayFolder="" count="0" memberValueDatatype="5" unbalanced="0"/>
    <cacheHierarchy uniqueName="[Tabla_master_rend].[B_OK_kg]" caption="B_OK_kg" attribute="1" defaultMemberUniqueName="[Tabla_master_rend].[B_OK_kg].[All]" allUniqueName="[Tabla_master_rend].[B_OK_kg].[All]" dimensionUniqueName="[Tabla_master_rend]" displayFolder="" count="0" memberValueDatatype="5" unbalanced="0"/>
    <cacheHierarchy uniqueName="[Tabla_master_rend].[B_altas]" caption="B_altas" attribute="1" defaultMemberUniqueName="[Tabla_master_rend].[B_altas].[All]" allUniqueName="[Tabla_master_rend].[B_altas].[All]" dimensionUniqueName="[Tabla_master_rend]" displayFolder="" count="0" memberValueDatatype="5" unbalanced="0"/>
    <cacheHierarchy uniqueName="[Tabla_master_rend].[B_bajas]" caption="B_bajas" attribute="1" defaultMemberUniqueName="[Tabla_master_rend].[B_bajas].[All]" allUniqueName="[Tabla_master_rend].[B_bajas].[All]" dimensionUniqueName="[Tabla_master_rend]" displayFolder="" count="0" memberValueDatatype="5" unbalanced="0"/>
    <cacheHierarchy uniqueName="[Tabla_master_rend].[B_rotas]" caption="B_rotas" attribute="1" defaultMemberUniqueName="[Tabla_master_rend].[B_rotas].[All]" allUniqueName="[Tabla_master_rend].[B_rotas].[All]" dimensionUniqueName="[Tabla_master_rend]" displayFolder="" count="0" memberValueDatatype="5" unbalanced="0"/>
    <cacheHierarchy uniqueName="[Tabla_master_rend].[B_feas]" caption="B_feas" attribute="1" defaultMemberUniqueName="[Tabla_master_rend].[B_feas].[All]" allUniqueName="[Tabla_master_rend].[B_feas].[All]" dimensionUniqueName="[Tabla_master_rend]" displayFolder="" count="0" memberValueDatatype="5" unbalanced="0"/>
    <cacheHierarchy uniqueName="[Tabla_master_rend].[B_lab]" caption="B_lab" attribute="1" defaultMemberUniqueName="[Tabla_master_rend].[B_lab].[All]" allUniqueName="[Tabla_master_rend].[B_lab].[All]" dimensionUniqueName="[Tabla_master_rend]" displayFolder="" count="0" memberValueDatatype="5" unbalanced="0"/>
    <cacheHierarchy uniqueName="[Tabla_master_rend].[Kg_SalidaSecadero]" caption="Kg_SalidaSecadero" attribute="1" defaultMemberUniqueName="[Tabla_master_rend].[Kg_SalidaSecadero].[All]" allUniqueName="[Tabla_master_rend].[Kg_SalidaSecadero].[All]" dimensionUniqueName="[Tabla_master_rend]" displayFolder="" count="0" memberValueDatatype="5" unbalanced="0"/>
    <cacheHierarchy uniqueName="[Tabla_master_rend].[Kg_rebaba]" caption="Kg_rebaba" attribute="1" defaultMemberUniqueName="[Tabla_master_rend].[Kg_rebaba].[All]" allUniqueName="[Tabla_master_rend].[Kg_rebaba].[All]" dimensionUniqueName="[Tabla_master_rend]" displayFolder="" count="0" memberValueDatatype="5" unbalanced="0"/>
    <cacheHierarchy uniqueName="[Tabla_master_rend].[Kg_mer_env_real]" caption="Kg_mer_env_real" attribute="1" defaultMemberUniqueName="[Tabla_master_rend].[Kg_mer_env_real].[All]" allUniqueName="[Tabla_master_rend].[Kg_mer_env_real].[All]" dimensionUniqueName="[Tabla_master_rend]" displayFolder="" count="0" memberValueDatatype="5" unbalanced="0"/>
    <cacheHierarchy uniqueName="[Tabla_master_rend].[kg_mer_lab_real]" caption="kg_mer_lab_real" attribute="1" defaultMemberUniqueName="[Tabla_master_rend].[kg_mer_lab_real].[All]" allUniqueName="[Tabla_master_rend].[kg_mer_lab_real].[All]" dimensionUniqueName="[Tabla_master_rend]" displayFolder="" count="0" memberValueDatatype="5" unbalanced="0"/>
    <cacheHierarchy uniqueName="[Tabla_master_rend].[%Merma_env]" caption="%Merma_env" attribute="1" defaultMemberUniqueName="[Tabla_master_rend].[%Merma_env].[All]" allUniqueName="[Tabla_master_rend].[%Merma_env].[All]" dimensionUniqueName="[Tabla_master_rend]" displayFolder="" count="0" memberValueDatatype="5" unbalanced="0"/>
    <cacheHierarchy uniqueName="[Tabla_master_rend].[%Merma_env_corr]" caption="%Merma_env_corr" attribute="1" defaultMemberUniqueName="[Tabla_master_rend].[%Merma_env_corr].[All]" allUniqueName="[Tabla_master_rend].[%Merma_env_corr].[All]" dimensionUniqueName="[Tabla_master_rend]" displayFolder="" count="0" memberValueDatatype="5" unbalanced="0"/>
    <cacheHierarchy uniqueName="[Tabla_master_rend].[% merma TOT]" caption="% merma TOT" attribute="1" defaultMemberUniqueName="[Tabla_master_rend].[% merma TOT].[All]" allUniqueName="[Tabla_master_rend].[% merma TOT].[All]" dimensionUniqueName="[Tabla_master_rend]" displayFolder="" count="0" memberValueDatatype="5" unbalanced="0"/>
    <cacheHierarchy uniqueName="[Tabla_master_rend].[Merma_TOT]" caption="Merma_TOT" attribute="1" defaultMemberUniqueName="[Tabla_master_rend].[Merma_TOT].[All]" allUniqueName="[Tabla_master_rend].[Merma_TOT].[All]" dimensionUniqueName="[Tabla_master_rend]" displayFolder="" count="0" memberValueDatatype="5" unbalanced="0"/>
    <cacheHierarchy uniqueName="[Tabla_master_rend].[Kg_Env_Total]" caption="Kg_Env_Total" attribute="1" defaultMemberUniqueName="[Tabla_master_rend].[Kg_Env_Total].[All]" allUniqueName="[Tabla_master_rend].[Kg_Env_Total].[All]" dimensionUniqueName="[Tabla_master_rend]" displayFolder="" count="0" memberValueDatatype="5" unbalanced="0"/>
    <cacheHierarchy uniqueName="[Tabla_master_rend].[Coste_Leche_€]" caption="Coste_Leche_€" attribute="1" defaultMemberUniqueName="[Tabla_master_rend].[Coste_Leche_€].[All]" allUniqueName="[Tabla_master_rend].[Coste_Leche_€].[All]" dimensionUniqueName="[Tabla_master_rend]" displayFolder="" count="0" memberValueDatatype="5" unbalanced="0"/>
    <cacheHierarchy uniqueName="[Tabla_master_rend].[€/kg_MPQueso]" caption="€/kg_MPQueso" attribute="1" defaultMemberUniqueName="[Tabla_master_rend].[€/kg_MPQueso].[All]" allUniqueName="[Tabla_master_rend].[€/kg_MPQueso].[All]" dimensionUniqueName="[Tabla_master_rend]" displayFolder="" count="0" memberValueDatatype="5" unbalanced="0"/>
    <cacheHierarchy uniqueName="[Tabla_master_rend].[Merma_inic]" caption="Merma_inic" attribute="1" defaultMemberUniqueName="[Tabla_master_rend].[Merma_inic].[All]" allUniqueName="[Tabla_master_rend].[Merma_inic].[All]" dimensionUniqueName="[Tabla_master_rend]" displayFolder="" count="0" memberValueDatatype="5" unbalanced="0"/>
    <cacheHierarchy uniqueName="[Tabla_master_rend].[Recup_kg]" caption="Recup_kg" attribute="1" defaultMemberUniqueName="[Tabla_master_rend].[Recup_kg].[All]" allUniqueName="[Tabla_master_rend].[Recup_kg].[All]" dimensionUniqueName="[Tabla_master_rend]" displayFolder="" count="0" memberValueDatatype="5" unbalanced="0"/>
    <cacheHierarchy uniqueName="[Tabla_master_rend].[Recup_%]" caption="Recup_%" attribute="1" defaultMemberUniqueName="[Tabla_master_rend].[Recup_%].[All]" allUniqueName="[Tabla_master_rend].[Recup_%].[All]" dimensionUniqueName="[Tabla_master_rend]" displayFolder="" count="0" memberValueDatatype="5" unbalanced="0"/>
    <cacheHierarchy uniqueName="[Tabla_master_rend].[Merma_ppto fab]" caption="Merma_ppto fab" attribute="1" defaultMemberUniqueName="[Tabla_master_rend].[Merma_ppto fab].[All]" allUniqueName="[Tabla_master_rend].[Merma_ppto fab].[All]" dimensionUniqueName="[Tabla_master_rend]" displayFolder="" count="0" memberValueDatatype="5" unbalanced="0"/>
    <cacheHierarchy uniqueName="[Tabla_master_rend].[Merma_ppto oreo]" caption="Merma_ppto oreo" attribute="1" defaultMemberUniqueName="[Tabla_master_rend].[Merma_ppto oreo].[All]" allUniqueName="[Tabla_master_rend].[Merma_ppto oreo].[All]" dimensionUniqueName="[Tabla_master_rend]" displayFolder="" count="0" memberValueDatatype="5" unbalanced="0"/>
    <cacheHierarchy uniqueName="[Tabla_master_rend].[Merma_ppto Env/Enc]" caption="Merma_ppto Env/Enc" attribute="1" defaultMemberUniqueName="[Tabla_master_rend].[Merma_ppto Env/Enc].[All]" allUniqueName="[Tabla_master_rend].[Merma_ppto Env/Enc].[All]" dimensionUniqueName="[Tabla_master_rend]" displayFolder="" count="0" memberValueDatatype="5" unbalanced="0"/>
    <cacheHierarchy uniqueName="[Tabla_master_rend].[Merma_T ppto]" caption="Merma_T ppto" attribute="1" defaultMemberUniqueName="[Tabla_master_rend].[Merma_T ppto].[All]" allUniqueName="[Tabla_master_rend].[Merma_T ppto].[All]" dimensionUniqueName="[Tabla_master_rend]" displayFolder="" count="0" memberValueDatatype="5" unbalanced="0"/>
    <cacheHierarchy uniqueName="[Tabla_master_rend].[Merma_T ppto %]" caption="Merma_T ppto %" attribute="1" defaultMemberUniqueName="[Tabla_master_rend].[Merma_T ppto %].[All]" allUniqueName="[Tabla_master_rend].[Merma_T ppto %].[All]" dimensionUniqueName="[Tabla_master_rend]" displayFolder="" count="0" memberValueDatatype="5" unbalanced="0"/>
    <cacheHierarchy uniqueName="[Tabla_master_rend].[Merma_T real %]" caption="Merma_T real %" attribute="1" defaultMemberUniqueName="[Tabla_master_rend].[Merma_T real %].[All]" allUniqueName="[Tabla_master_rend].[Merma_T real %].[All]" dimensionUniqueName="[Tabla_master_rend]" displayFolder="" count="0" memberValueDatatype="5" unbalanced="0"/>
    <cacheHierarchy uniqueName="[Tabla_master_rend].[DIF R Vs PPTO]" caption="DIF R Vs PPTO" attribute="1" defaultMemberUniqueName="[Tabla_master_rend].[DIF R Vs PPTO].[All]" allUniqueName="[Tabla_master_rend].[DIF R Vs PPTO].[All]" dimensionUniqueName="[Tabla_master_rend]" displayFolder="" count="0" memberValueDatatype="5" unbalanced="0"/>
    <cacheHierarchy uniqueName="[Tabla_master_rend].[IMPACTO]" caption="IMPACTO" attribute="1" defaultMemberUniqueName="[Tabla_master_rend].[IMPACTO].[All]" allUniqueName="[Tabla_master_rend].[IMPACTO].[All]" dimensionUniqueName="[Tabla_master_rend]" displayFolder="" count="0" memberValueDatatype="5" unbalanced="0"/>
    <cacheHierarchy uniqueName="[Tabla_master_rend].[IMPACTO_vs_PPTO]" caption="IMPACTO_vs_PPTO" attribute="1" defaultMemberUniqueName="[Tabla_master_rend].[IMPACTO_vs_PPTO].[All]" allUniqueName="[Tabla_master_rend].[IMPACTO_vs_PPTO].[All]" dimensionUniqueName="[Tabla_master_rend]" displayFolder="" count="0" memberValueDatatype="5" unbalanced="0"/>
    <cacheHierarchy uniqueName="[Tabla_master_rend].[Fecha (mes)]" caption="Fecha (mes)" attribute="1" defaultMemberUniqueName="[Tabla_master_rend].[Fecha (mes)].[All]" allUniqueName="[Tabla_master_rend].[Fecha (mes)].[All]" dimensionUniqueName="[Tabla_master_rend]" displayFolder="" count="0" memberValueDatatype="130" unbalanced="0"/>
    <cacheHierarchy uniqueName="[Tabla_master_rend 1].[Fecha]" caption="Fecha" attribute="1" time="1" defaultMemberUniqueName="[Tabla_master_rend 1].[Fecha].[All]" allUniqueName="[Tabla_master_rend 1].[Fecha].[All]" dimensionUniqueName="[Tabla_master_rend 1]" displayFolder="" count="0" memberValueDatatype="7" unbalanced="0"/>
    <cacheHierarchy uniqueName="[Tabla_master_rend 1].[mes]" caption="mes" attribute="1" defaultMemberUniqueName="[Tabla_master_rend 1].[mes].[All]" allUniqueName="[Tabla_master_rend 1].[mes].[All]" dimensionUniqueName="[Tabla_master_rend 1]" displayFolder="" count="0" memberValueDatatype="20" unbalanced="0"/>
    <cacheHierarchy uniqueName="[Tabla_master_rend 1].[Mes_Nom]" caption="Mes_Nom" attribute="1" defaultMemberUniqueName="[Tabla_master_rend 1].[Mes_Nom].[All]" allUniqueName="[Tabla_master_rend 1].[Mes_Nom].[All]" dimensionUniqueName="[Tabla_master_rend 1]" displayFolder="" count="0" memberValueDatatype="130" unbalanced="0"/>
    <cacheHierarchy uniqueName="[Tabla_master_rend 1].[Día]" caption="Día" attribute="1" defaultMemberUniqueName="[Tabla_master_rend 1].[Día].[All]" allUniqueName="[Tabla_master_rend 1].[Día].[All]" dimensionUniqueName="[Tabla_master_rend 1]" displayFolder="" count="0" memberValueDatatype="130" unbalanced="0"/>
    <cacheHierarchy uniqueName="[Tabla_master_rend 1].[Lote]" caption="Lote" attribute="1" defaultMemberUniqueName="[Tabla_master_rend 1].[Lote].[All]" allUniqueName="[Tabla_master_rend 1].[Lote].[All]" dimensionUniqueName="[Tabla_master_rend 1]" displayFolder="" count="0" memberValueDatatype="130" unbalanced="0"/>
    <cacheHierarchy uniqueName="[Tabla_master_rend 1].[Producto]" caption="Producto" attribute="1" defaultMemberUniqueName="[Tabla_master_rend 1].[Producto].[All]" allUniqueName="[Tabla_master_rend 1].[Producto].[All]" dimensionUniqueName="[Tabla_master_rend 1]" displayFolder="" count="0" memberValueDatatype="130" unbalanced="0"/>
    <cacheHierarchy uniqueName="[Tabla_master_rend 1].[Cubas_prod]" caption="Cubas_prod" attribute="1" defaultMemberUniqueName="[Tabla_master_rend 1].[Cubas_prod].[All]" allUniqueName="[Tabla_master_rend 1].[Cubas_prod].[All]" dimensionUniqueName="[Tabla_master_rend 1]" displayFolder="" count="0" memberValueDatatype="20" unbalanced="0"/>
    <cacheHierarchy uniqueName="[Tabla_master_rend 1].[Litros_Leche_Total]" caption="Litros_Leche_Total" attribute="1" defaultMemberUniqueName="[Tabla_master_rend 1].[Litros_Leche_Total].[All]" allUniqueName="[Tabla_master_rend 1].[Litros_Leche_Total].[All]" dimensionUniqueName="[Tabla_master_rend 1]" displayFolder="" count="0" memberValueDatatype="20" unbalanced="0"/>
    <cacheHierarchy uniqueName="[Tabla_master_rend 1].[L_Leche_ent]" caption="L_Leche_ent" attribute="1" defaultMemberUniqueName="[Tabla_master_rend 1].[L_Leche_ent].[All]" allUniqueName="[Tabla_master_rend 1].[L_Leche_ent].[All]" dimensionUniqueName="[Tabla_master_rend 1]" displayFolder="" count="0" memberValueDatatype="20" unbalanced="0"/>
    <cacheHierarchy uniqueName="[Tabla_master_rend 1].[%MG_Leche]" caption="%MG_Leche" attribute="1" defaultMemberUniqueName="[Tabla_master_rend 1].[%MG_Leche].[All]" allUniqueName="[Tabla_master_rend 1].[%MG_Leche].[All]" dimensionUniqueName="[Tabla_master_rend 1]" displayFolder="" count="0" memberValueDatatype="5" unbalanced="0"/>
    <cacheHierarchy uniqueName="[Tabla_master_rend 1].[%MP_Leche]" caption="%MP_Leche" attribute="1" defaultMemberUniqueName="[Tabla_master_rend 1].[%MP_Leche].[All]" allUniqueName="[Tabla_master_rend 1].[%MP_Leche].[All]" dimensionUniqueName="[Tabla_master_rend 1]" displayFolder="" count="0" memberValueDatatype="5" unbalanced="0"/>
    <cacheHierarchy uniqueName="[Tabla_master_rend 1].[EST_%]" caption="EST_%" attribute="1" defaultMemberUniqueName="[Tabla_master_rend 1].[EST_%].[All]" allUniqueName="[Tabla_master_rend 1].[EST_%].[All]" dimensionUniqueName="[Tabla_master_rend 1]" displayFolder="" count="0" memberValueDatatype="5" unbalanced="0"/>
    <cacheHierarchy uniqueName="[Tabla_master_rend 1].[Desn_en_linea]" caption="Desn_en_linea" attribute="1" defaultMemberUniqueName="[Tabla_master_rend 1].[Desn_en_linea].[All]" allUniqueName="[Tabla_master_rend 1].[Desn_en_linea].[All]" dimensionUniqueName="[Tabla_master_rend 1]" displayFolder="" count="0" memberValueDatatype="130" unbalanced="0"/>
    <cacheHierarchy uniqueName="[Tabla_master_rend 1].[L_desn_ext]" caption="L_desn_ext" attribute="1" defaultMemberUniqueName="[Tabla_master_rend 1].[L_desn_ext].[All]" allUniqueName="[Tabla_master_rend 1].[L_desn_ext].[All]" dimensionUniqueName="[Tabla_master_rend 1]" displayFolder="" count="0" memberValueDatatype="20" unbalanced="0"/>
    <cacheHierarchy uniqueName="[Tabla_master_rend 1].[L_cabra]" caption="L_cabra" attribute="1" defaultMemberUniqueName="[Tabla_master_rend 1].[L_cabra].[All]" allUniqueName="[Tabla_master_rend 1].[L_cabra].[All]" dimensionUniqueName="[Tabla_master_rend 1]" displayFolder="" count="0" memberValueDatatype="20" unbalanced="0"/>
    <cacheHierarchy uniqueName="[Tabla_master_rend 1].[L_oveja]" caption="L_oveja" attribute="1" defaultMemberUniqueName="[Tabla_master_rend 1].[L_oveja].[All]" allUniqueName="[Tabla_master_rend 1].[L_oveja].[All]" dimensionUniqueName="[Tabla_master_rend 1]" displayFolder="" count="0" memberValueDatatype="20" unbalanced="0"/>
    <cacheHierarchy uniqueName="[Tabla_master_rend 1].[Litros_Nata]" caption="Litros_Nata" attribute="1" defaultMemberUniqueName="[Tabla_master_rend 1].[Litros_Nata].[All]" allUniqueName="[Tabla_master_rend 1].[Litros_Nata].[All]" dimensionUniqueName="[Tabla_master_rend 1]" displayFolder="" count="0" memberValueDatatype="20" unbalanced="0"/>
    <cacheHierarchy uniqueName="[Tabla_master_rend 1].[L_nata_suero]" caption="L_nata_suero" attribute="1" defaultMemberUniqueName="[Tabla_master_rend 1].[L_nata_suero].[All]" allUniqueName="[Tabla_master_rend 1].[L_nata_suero].[All]" dimensionUniqueName="[Tabla_master_rend 1]" displayFolder="" count="0" memberValueDatatype="20" unbalanced="0"/>
    <cacheHierarchy uniqueName="[Tabla_master_rend 1].[L_suero Total]" caption="L_suero Total" attribute="1" defaultMemberUniqueName="[Tabla_master_rend 1].[L_suero Total].[All]" allUniqueName="[Tabla_master_rend 1].[L_suero Total].[All]" dimensionUniqueName="[Tabla_master_rend 1]" displayFolder="" count="0" memberValueDatatype="20" unbalanced="0"/>
    <cacheHierarchy uniqueName="[Tabla_master_rend 1].[%Suero_vs_leche]" caption="%Suero_vs_leche" attribute="1" defaultMemberUniqueName="[Tabla_master_rend 1].[%Suero_vs_leche].[All]" allUniqueName="[Tabla_master_rend 1].[%Suero_vs_leche].[All]" dimensionUniqueName="[Tabla_master_rend 1]" displayFolder="" count="0" memberValueDatatype="5" unbalanced="0"/>
    <cacheHierarchy uniqueName="[Tabla_master_rend 1].[MG_suero]" caption="MG_suero" attribute="1" defaultMemberUniqueName="[Tabla_master_rend 1].[MG_suero].[All]" allUniqueName="[Tabla_master_rend 1].[MG_suero].[All]" dimensionUniqueName="[Tabla_master_rend 1]" displayFolder="" count="0" memberValueDatatype="5" unbalanced="0"/>
    <cacheHierarchy uniqueName="[Tabla_master_rend 1].[MP_suero]" caption="MP_suero" attribute="1" defaultMemberUniqueName="[Tabla_master_rend 1].[MP_suero].[All]" allUniqueName="[Tabla_master_rend 1].[MP_suero].[All]" dimensionUniqueName="[Tabla_master_rend 1]" displayFolder="" count="0" memberValueDatatype="5" unbalanced="0"/>
    <cacheHierarchy uniqueName="[Tabla_master_rend 1].[L_suero para con]" caption="L_suero para con" attribute="1" defaultMemberUniqueName="[Tabla_master_rend 1].[L_suero para con].[All]" allUniqueName="[Tabla_master_rend 1].[L_suero para con].[All]" dimensionUniqueName="[Tabla_master_rend 1]" displayFolder="" count="0" memberValueDatatype="20" unbalanced="0"/>
    <cacheHierarchy uniqueName="[Tabla_master_rend 1].[L_suero_con]" caption="L_suero_con" attribute="1" defaultMemberUniqueName="[Tabla_master_rend 1].[L_suero_con].[All]" allUniqueName="[Tabla_master_rend 1].[L_suero_con].[All]" dimensionUniqueName="[Tabla_master_rend 1]" displayFolder="" count="0" memberValueDatatype="20" unbalanced="0"/>
    <cacheHierarchy uniqueName="[Tabla_master_rend 1].[Rartio_sueroC]" caption="Rartio_sueroC" attribute="1" defaultMemberUniqueName="[Tabla_master_rend 1].[Rartio_sueroC].[All]" allUniqueName="[Tabla_master_rend 1].[Rartio_sueroC].[All]" dimensionUniqueName="[Tabla_master_rend 1]" displayFolder="" count="0" memberValueDatatype="5" unbalanced="0"/>
    <cacheHierarchy uniqueName="[Tabla_master_rend 1].[L_Suero_Sobrante]" caption="L_Suero_Sobrante" attribute="1" defaultMemberUniqueName="[Tabla_master_rend 1].[L_Suero_Sobrante].[All]" allUniqueName="[Tabla_master_rend 1].[L_Suero_Sobrante].[All]" dimensionUniqueName="[Tabla_master_rend 1]" displayFolder="" count="0" memberValueDatatype="20" unbalanced="0"/>
    <cacheHierarchy uniqueName="[Tabla_master_rend 1].[MG_sueroc]" caption="MG_sueroc" attribute="1" defaultMemberUniqueName="[Tabla_master_rend 1].[MG_sueroc].[All]" allUniqueName="[Tabla_master_rend 1].[MG_sueroc].[All]" dimensionUniqueName="[Tabla_master_rend 1]" displayFolder="" count="0" memberValueDatatype="130" unbalanced="0"/>
    <cacheHierarchy uniqueName="[Tabla_master_rend 1].[MP_sueroc]" caption="MP_sueroc" attribute="1" defaultMemberUniqueName="[Tabla_master_rend 1].[MP_sueroc].[All]" allUniqueName="[Tabla_master_rend 1].[MP_sueroc].[All]" dimensionUniqueName="[Tabla_master_rend 1]" displayFolder="" count="0" memberValueDatatype="130" unbalanced="0"/>
    <cacheHierarchy uniqueName="[Tabla_master_rend 1].[L_LPS_Gen]" caption="L_LPS_Gen" attribute="1" defaultMemberUniqueName="[Tabla_master_rend 1].[L_LPS_Gen].[All]" allUniqueName="[Tabla_master_rend 1].[L_LPS_Gen].[All]" dimensionUniqueName="[Tabla_master_rend 1]" displayFolder="" count="0" memberValueDatatype="20" unbalanced="0"/>
    <cacheHierarchy uniqueName="[Tabla_master_rend 1].[L_LPS_incor]" caption="L_LPS_incor" attribute="1" defaultMemberUniqueName="[Tabla_master_rend 1].[L_LPS_incor].[All]" allUniqueName="[Tabla_master_rend 1].[L_LPS_incor].[All]" dimensionUniqueName="[Tabla_master_rend 1]" displayFolder="" count="0" memberValueDatatype="20" unbalanced="0"/>
    <cacheHierarchy uniqueName="[Tabla_master_rend 1].[gr_LPS]" caption="gr_LPS" attribute="1" defaultMemberUniqueName="[Tabla_master_rend 1].[gr_LPS].[All]" allUniqueName="[Tabla_master_rend 1].[gr_LPS].[All]" dimensionUniqueName="[Tabla_master_rend 1]" displayFolder="" count="0" memberValueDatatype="20" unbalanced="0"/>
    <cacheHierarchy uniqueName="[Tabla_master_rend 1].[MG_LPS]" caption="MG_LPS" attribute="1" defaultMemberUniqueName="[Tabla_master_rend 1].[MG_LPS].[All]" allUniqueName="[Tabla_master_rend 1].[MG_LPS].[All]" dimensionUniqueName="[Tabla_master_rend 1]" displayFolder="" count="0" memberValueDatatype="5" unbalanced="0"/>
    <cacheHierarchy uniqueName="[Tabla_master_rend 1].[MP_LPS]" caption="MP_LPS" attribute="1" defaultMemberUniqueName="[Tabla_master_rend 1].[MP_LPS].[All]" allUniqueName="[Tabla_master_rend 1].[MP_LPS].[All]" dimensionUniqueName="[Tabla_master_rend 1]" displayFolder="" count="0" memberValueDatatype="5" unbalanced="0"/>
    <cacheHierarchy uniqueName="[Tabla_master_rend 1].[Kg_Queso_Blan]" caption="Kg_Queso_Blan" attribute="1" defaultMemberUniqueName="[Tabla_master_rend 1].[Kg_Queso_Blan].[All]" allUniqueName="[Tabla_master_rend 1].[Kg_Queso_Blan].[All]" dimensionUniqueName="[Tabla_master_rend 1]" displayFolder="" count="0" memberValueDatatype="5" unbalanced="0"/>
    <cacheHierarchy uniqueName="[Tabla_master_rend 1].[RDTO_Blanco]" caption="RDTO_Blanco" attribute="1" defaultMemberUniqueName="[Tabla_master_rend 1].[RDTO_Blanco].[All]" allUniqueName="[Tabla_master_rend 1].[RDTO_Blanco].[All]" dimensionUniqueName="[Tabla_master_rend 1]" displayFolder="" count="0" memberValueDatatype="5" unbalanced="0"/>
    <cacheHierarchy uniqueName="[Tabla_master_rend 1].[RDTO_NETO]" caption="RDTO_NETO" attribute="1" defaultMemberUniqueName="[Tabla_master_rend 1].[RDTO_NETO].[All]" allUniqueName="[Tabla_master_rend 1].[RDTO_NETO].[All]" dimensionUniqueName="[Tabla_master_rend 1]" displayFolder="" count="0" memberValueDatatype="5" unbalanced="0"/>
    <cacheHierarchy uniqueName="[Tabla_master_rend 1].[REND_TARGET]" caption="REND_TARGET" attribute="1" defaultMemberUniqueName="[Tabla_master_rend 1].[REND_TARGET].[All]" allUniqueName="[Tabla_master_rend 1].[REND_TARGET].[All]" dimensionUniqueName="[Tabla_master_rend 1]" displayFolder="" count="0" memberValueDatatype="5" unbalanced="0"/>
    <cacheHierarchy uniqueName="[Tabla_master_rend 1].[Kg_Solidos_leche]" caption="Kg_Solidos_leche" attribute="1" defaultMemberUniqueName="[Tabla_master_rend 1].[Kg_Solidos_leche].[All]" allUniqueName="[Tabla_master_rend 1].[Kg_Solidos_leche].[All]" dimensionUniqueName="[Tabla_master_rend 1]" displayFolder="" count="0" memberValueDatatype="5" unbalanced="0"/>
    <cacheHierarchy uniqueName="[Tabla_master_rend 1].[%MG_QUESO]" caption="%MG_QUESO" attribute="1" defaultMemberUniqueName="[Tabla_master_rend 1].[%MG_QUESO].[All]" allUniqueName="[Tabla_master_rend 1].[%MG_QUESO].[All]" dimensionUniqueName="[Tabla_master_rend 1]" displayFolder="" count="0" memberValueDatatype="5" unbalanced="0"/>
    <cacheHierarchy uniqueName="[Tabla_master_rend 1].[%PT_QUESO]" caption="%PT_QUESO" attribute="1" defaultMemberUniqueName="[Tabla_master_rend 1].[%PT_QUESO].[All]" allUniqueName="[Tabla_master_rend 1].[%PT_QUESO].[All]" dimensionUniqueName="[Tabla_master_rend 1]" displayFolder="" count="0" memberValueDatatype="5" unbalanced="0"/>
    <cacheHierarchy uniqueName="[Tabla_master_rend 1].[ES_QUESO]" caption="ES_QUESO" attribute="1" defaultMemberUniqueName="[Tabla_master_rend 1].[ES_QUESO].[All]" allUniqueName="[Tabla_master_rend 1].[ES_QUESO].[All]" dimensionUniqueName="[Tabla_master_rend 1]" displayFolder="" count="0" memberValueDatatype="5" unbalanced="0"/>
    <cacheHierarchy uniqueName="[Tabla_master_rend 1].[Rendimiento_Solidos_%]" caption="Rendimiento_Solidos_%" attribute="1" defaultMemberUniqueName="[Tabla_master_rend 1].[Rendimiento_Solidos_%].[All]" allUniqueName="[Tabla_master_rend 1].[Rendimiento_Solidos_%].[All]" dimensionUniqueName="[Tabla_master_rend 1]" displayFolder="" count="0" memberValueDatatype="5" unbalanced="0"/>
    <cacheHierarchy uniqueName="[Tabla_master_rend 1].[Kg_MG_Nata]" caption="Kg_MG_Nata" attribute="1" defaultMemberUniqueName="[Tabla_master_rend 1].[Kg_MG_Nata].[All]" allUniqueName="[Tabla_master_rend 1].[Kg_MG_Nata].[All]" dimensionUniqueName="[Tabla_master_rend 1]" displayFolder="" count="0" memberValueDatatype="5" unbalanced="0"/>
    <cacheHierarchy uniqueName="[Tabla_master_rend 1].[%RECUP_MG]" caption="%RECUP_MG" attribute="1" defaultMemberUniqueName="[Tabla_master_rend 1].[%RECUP_MG].[All]" allUniqueName="[Tabla_master_rend 1].[%RECUP_MG].[All]" dimensionUniqueName="[Tabla_master_rend 1]" displayFolder="" count="0" memberValueDatatype="5" unbalanced="0"/>
    <cacheHierarchy uniqueName="[Tabla_master_rend 1].[%RECUP_PT]" caption="%RECUP_PT" attribute="1" defaultMemberUniqueName="[Tabla_master_rend 1].[%RECUP_PT].[All]" allUniqueName="[Tabla_master_rend 1].[%RECUP_PT].[All]" dimensionUniqueName="[Tabla_master_rend 1]" displayFolder="" count="0" memberValueDatatype="5" unbalanced="0"/>
    <cacheHierarchy uniqueName="[Tabla_master_rend 1].[Valor_Nata_€]" caption="Valor_Nata_€" attribute="1" defaultMemberUniqueName="[Tabla_master_rend 1].[Valor_Nata_€].[All]" allUniqueName="[Tabla_master_rend 1].[Valor_Nata_€].[All]" dimensionUniqueName="[Tabla_master_rend 1]" displayFolder="" count="0" memberValueDatatype="5" unbalanced="0"/>
    <cacheHierarchy uniqueName="[Tabla_master_rend 1].[Kg_Finos]" caption="Kg_Finos" attribute="1" defaultMemberUniqueName="[Tabla_master_rend 1].[Kg_Finos].[All]" allUniqueName="[Tabla_master_rend 1].[Kg_Finos].[All]" dimensionUniqueName="[Tabla_master_rend 1]" displayFolder="" count="0" memberValueDatatype="5" unbalanced="0"/>
    <cacheHierarchy uniqueName="[Tabla_master_rend 1].[Kg_Llenadora]" caption="Kg_Llenadora" attribute="1" defaultMemberUniqueName="[Tabla_master_rend 1].[Kg_Llenadora].[All]" allUniqueName="[Tabla_master_rend 1].[Kg_Llenadora].[All]" dimensionUniqueName="[Tabla_master_rend 1]" displayFolder="" count="0" memberValueDatatype="5" unbalanced="0"/>
    <cacheHierarchy uniqueName="[Tabla_master_rend 1].[Kg_Desmoldeo]" caption="Kg_Desmoldeo" attribute="1" defaultMemberUniqueName="[Tabla_master_rend 1].[Kg_Desmoldeo].[All]" allUniqueName="[Tabla_master_rend 1].[Kg_Desmoldeo].[All]" dimensionUniqueName="[Tabla_master_rend 1]" displayFolder="" count="0" memberValueDatatype="5" unbalanced="0"/>
    <cacheHierarchy uniqueName="[Tabla_master_rend 1].[Merma_fab]" caption="Merma_fab" attribute="1" defaultMemberUniqueName="[Tabla_master_rend 1].[Merma_fab].[All]" allUniqueName="[Tabla_master_rend 1].[Merma_fab].[All]" dimensionUniqueName="[Tabla_master_rend 1]" displayFolder="" count="0" memberValueDatatype="5" unbalanced="0"/>
    <cacheHierarchy uniqueName="[Tabla_master_rend 1].[% Merma_fab2]" caption="% Merma_fab2" attribute="1" defaultMemberUniqueName="[Tabla_master_rend 1].[% Merma_fab2].[All]" allUniqueName="[Tabla_master_rend 1].[% Merma_fab2].[All]" dimensionUniqueName="[Tabla_master_rend 1]" displayFolder="" count="0" memberValueDatatype="5" unbalanced="0"/>
    <cacheHierarchy uniqueName="[Tabla_master_rend 1].[L_Agua]" caption="L_Agua" attribute="1" defaultMemberUniqueName="[Tabla_master_rend 1].[L_Agua].[All]" allUniqueName="[Tabla_master_rend 1].[L_Agua].[All]" dimensionUniqueName="[Tabla_master_rend 1]" displayFolder="" count="0" memberValueDatatype="20" unbalanced="0"/>
    <cacheHierarchy uniqueName="[Tabla_master_rend 1].[% oreo]" caption="% oreo" attribute="1" defaultMemberUniqueName="[Tabla_master_rend 1].[% oreo].[All]" allUniqueName="[Tabla_master_rend 1].[% oreo].[All]" dimensionUniqueName="[Tabla_master_rend 1]" displayFolder="" count="0" memberValueDatatype="5" unbalanced="0"/>
    <cacheHierarchy uniqueName="[Tabla_master_rend 1].[B_totales]" caption="B_totales" attribute="1" defaultMemberUniqueName="[Tabla_master_rend 1].[B_totales].[All]" allUniqueName="[Tabla_master_rend 1].[B_totales].[All]" dimensionUniqueName="[Tabla_master_rend 1]" displayFolder="" count="0" memberValueDatatype="20" unbalanced="0"/>
    <cacheHierarchy uniqueName="[Tabla_master_rend 1].[B_OK_uni]" caption="B_OK_uni" attribute="1" defaultMemberUniqueName="[Tabla_master_rend 1].[B_OK_uni].[All]" allUniqueName="[Tabla_master_rend 1].[B_OK_uni].[All]" dimensionUniqueName="[Tabla_master_rend 1]" displayFolder="" count="0" memberValueDatatype="20" unbalanced="0"/>
    <cacheHierarchy uniqueName="[Tabla_master_rend 1].[B_OK_kg]" caption="B_OK_kg" attribute="1" defaultMemberUniqueName="[Tabla_master_rend 1].[B_OK_kg].[All]" allUniqueName="[Tabla_master_rend 1].[B_OK_kg].[All]" dimensionUniqueName="[Tabla_master_rend 1]" displayFolder="" count="0" memberValueDatatype="20" unbalanced="0"/>
    <cacheHierarchy uniqueName="[Tabla_master_rend 1].[B_altas]" caption="B_altas" attribute="1" defaultMemberUniqueName="[Tabla_master_rend 1].[B_altas].[All]" allUniqueName="[Tabla_master_rend 1].[B_altas].[All]" dimensionUniqueName="[Tabla_master_rend 1]" displayFolder="" count="0" memberValueDatatype="20" unbalanced="0"/>
    <cacheHierarchy uniqueName="[Tabla_master_rend 1].[B_bajas]" caption="B_bajas" attribute="1" defaultMemberUniqueName="[Tabla_master_rend 1].[B_bajas].[All]" allUniqueName="[Tabla_master_rend 1].[B_bajas].[All]" dimensionUniqueName="[Tabla_master_rend 1]" displayFolder="" count="0" memberValueDatatype="20" unbalanced="0"/>
    <cacheHierarchy uniqueName="[Tabla_master_rend 1].[B_rotas]" caption="B_rotas" attribute="1" defaultMemberUniqueName="[Tabla_master_rend 1].[B_rotas].[All]" allUniqueName="[Tabla_master_rend 1].[B_rotas].[All]" dimensionUniqueName="[Tabla_master_rend 1]" displayFolder="" count="0" memberValueDatatype="20" unbalanced="0"/>
    <cacheHierarchy uniqueName="[Tabla_master_rend 1].[B_feas]" caption="B_feas" attribute="1" defaultMemberUniqueName="[Tabla_master_rend 1].[B_feas].[All]" allUniqueName="[Tabla_master_rend 1].[B_feas].[All]" dimensionUniqueName="[Tabla_master_rend 1]" displayFolder="" count="0" memberValueDatatype="20" unbalanced="0"/>
    <cacheHierarchy uniqueName="[Tabla_master_rend 1].[B_lab]" caption="B_lab" attribute="1" defaultMemberUniqueName="[Tabla_master_rend 1].[B_lab].[All]" allUniqueName="[Tabla_master_rend 1].[B_lab].[All]" dimensionUniqueName="[Tabla_master_rend 1]" displayFolder="" count="0" memberValueDatatype="20" unbalanced="0"/>
    <cacheHierarchy uniqueName="[Tabla_master_rend 1].[Kg_SalidaSecadero]" caption="Kg_SalidaSecadero" attribute="1" defaultMemberUniqueName="[Tabla_master_rend 1].[Kg_SalidaSecadero].[All]" allUniqueName="[Tabla_master_rend 1].[Kg_SalidaSecadero].[All]" dimensionUniqueName="[Tabla_master_rend 1]" displayFolder="" count="0" memberValueDatatype="20" unbalanced="0"/>
    <cacheHierarchy uniqueName="[Tabla_master_rend 1].[Kg_rebaba]" caption="Kg_rebaba" attribute="1" defaultMemberUniqueName="[Tabla_master_rend 1].[Kg_rebaba].[All]" allUniqueName="[Tabla_master_rend 1].[Kg_rebaba].[All]" dimensionUniqueName="[Tabla_master_rend 1]" displayFolder="" count="0" memberValueDatatype="20" unbalanced="0"/>
    <cacheHierarchy uniqueName="[Tabla_master_rend 1].[Kg_mer_env_real]" caption="Kg_mer_env_real" attribute="1" defaultMemberUniqueName="[Tabla_master_rend 1].[Kg_mer_env_real].[All]" allUniqueName="[Tabla_master_rend 1].[Kg_mer_env_real].[All]" dimensionUniqueName="[Tabla_master_rend 1]" displayFolder="" count="0" memberValueDatatype="5" unbalanced="0"/>
    <cacheHierarchy uniqueName="[Tabla_master_rend 1].[kg_mer_lab_real]" caption="kg_mer_lab_real" attribute="1" defaultMemberUniqueName="[Tabla_master_rend 1].[kg_mer_lab_real].[All]" allUniqueName="[Tabla_master_rend 1].[kg_mer_lab_real].[All]" dimensionUniqueName="[Tabla_master_rend 1]" displayFolder="" count="0" memberValueDatatype="5" unbalanced="0"/>
    <cacheHierarchy uniqueName="[Tabla_master_rend 1].[%Merma_env]" caption="%Merma_env" attribute="1" defaultMemberUniqueName="[Tabla_master_rend 1].[%Merma_env].[All]" allUniqueName="[Tabla_master_rend 1].[%Merma_env].[All]" dimensionUniqueName="[Tabla_master_rend 1]" displayFolder="" count="0" memberValueDatatype="5" unbalanced="0"/>
    <cacheHierarchy uniqueName="[Tabla_master_rend 1].[%Merma_env_corr]" caption="%Merma_env_corr" attribute="1" defaultMemberUniqueName="[Tabla_master_rend 1].[%Merma_env_corr].[All]" allUniqueName="[Tabla_master_rend 1].[%Merma_env_corr].[All]" dimensionUniqueName="[Tabla_master_rend 1]" displayFolder="" count="0" memberValueDatatype="5" unbalanced="0"/>
    <cacheHierarchy uniqueName="[Tabla_master_rend 1].[% merma TOT]" caption="% merma TOT" attribute="1" defaultMemberUniqueName="[Tabla_master_rend 1].[% merma TOT].[All]" allUniqueName="[Tabla_master_rend 1].[% merma TOT].[All]" dimensionUniqueName="[Tabla_master_rend 1]" displayFolder="" count="0" memberValueDatatype="5" unbalanced="0"/>
    <cacheHierarchy uniqueName="[Tabla_master_rend 1].[Merma_TOT]" caption="Merma_TOT" attribute="1" defaultMemberUniqueName="[Tabla_master_rend 1].[Merma_TOT].[All]" allUniqueName="[Tabla_master_rend 1].[Merma_TOT].[All]" dimensionUniqueName="[Tabla_master_rend 1]" displayFolder="" count="0" memberValueDatatype="5" unbalanced="0"/>
    <cacheHierarchy uniqueName="[Tabla_master_rend 1].[Kg_Env_Total]" caption="Kg_Env_Total" attribute="1" defaultMemberUniqueName="[Tabla_master_rend 1].[Kg_Env_Total].[All]" allUniqueName="[Tabla_master_rend 1].[Kg_Env_Total].[All]" dimensionUniqueName="[Tabla_master_rend 1]" displayFolder="" count="0" memberValueDatatype="5" unbalanced="0"/>
    <cacheHierarchy uniqueName="[Tabla_master_rend 1].[Coste_Leche_€]" caption="Coste_Leche_€" attribute="1" defaultMemberUniqueName="[Tabla_master_rend 1].[Coste_Leche_€].[All]" allUniqueName="[Tabla_master_rend 1].[Coste_Leche_€].[All]" dimensionUniqueName="[Tabla_master_rend 1]" displayFolder="" count="0" memberValueDatatype="5" unbalanced="0"/>
    <cacheHierarchy uniqueName="[Tabla_master_rend 1].[€/kg_MPQueso]" caption="€/kg_MPQueso" attribute="1" defaultMemberUniqueName="[Tabla_master_rend 1].[€/kg_MPQueso].[All]" allUniqueName="[Tabla_master_rend 1].[€/kg_MPQueso].[All]" dimensionUniqueName="[Tabla_master_rend 1]" displayFolder="" count="0" memberValueDatatype="5" unbalanced="0"/>
    <cacheHierarchy uniqueName="[Tabla_master_rend 1].[Merma_inic]" caption="Merma_inic" attribute="1" defaultMemberUniqueName="[Tabla_master_rend 1].[Merma_inic].[All]" allUniqueName="[Tabla_master_rend 1].[Merma_inic].[All]" dimensionUniqueName="[Tabla_master_rend 1]" displayFolder="" count="0" memberValueDatatype="5" unbalanced="0"/>
    <cacheHierarchy uniqueName="[Tabla_master_rend 1].[Recup_kg]" caption="Recup_kg" attribute="1" defaultMemberUniqueName="[Tabla_master_rend 1].[Recup_kg].[All]" allUniqueName="[Tabla_master_rend 1].[Recup_kg].[All]" dimensionUniqueName="[Tabla_master_rend 1]" displayFolder="" count="0" memberValueDatatype="5" unbalanced="0"/>
    <cacheHierarchy uniqueName="[Tabla_master_rend 1].[Recup_%]" caption="Recup_%" attribute="1" defaultMemberUniqueName="[Tabla_master_rend 1].[Recup_%].[All]" allUniqueName="[Tabla_master_rend 1].[Recup_%].[All]" dimensionUniqueName="[Tabla_master_rend 1]" displayFolder="" count="0" memberValueDatatype="5" unbalanced="0"/>
    <cacheHierarchy uniqueName="[Tabla_master_rend 1].[Merma_ppto fab]" caption="Merma_ppto fab" attribute="1" defaultMemberUniqueName="[Tabla_master_rend 1].[Merma_ppto fab].[All]" allUniqueName="[Tabla_master_rend 1].[Merma_ppto fab].[All]" dimensionUniqueName="[Tabla_master_rend 1]" displayFolder="" count="0" memberValueDatatype="5" unbalanced="0"/>
    <cacheHierarchy uniqueName="[Tabla_master_rend 1].[Merma_ppto oreo]" caption="Merma_ppto oreo" attribute="1" defaultMemberUniqueName="[Tabla_master_rend 1].[Merma_ppto oreo].[All]" allUniqueName="[Tabla_master_rend 1].[Merma_ppto oreo].[All]" dimensionUniqueName="[Tabla_master_rend 1]" displayFolder="" count="0" memberValueDatatype="5" unbalanced="0"/>
    <cacheHierarchy uniqueName="[Tabla_master_rend 1].[Merma_ppto Env/Enc]" caption="Merma_ppto Env/Enc" attribute="1" defaultMemberUniqueName="[Tabla_master_rend 1].[Merma_ppto Env/Enc].[All]" allUniqueName="[Tabla_master_rend 1].[Merma_ppto Env/Enc].[All]" dimensionUniqueName="[Tabla_master_rend 1]" displayFolder="" count="0" memberValueDatatype="5" unbalanced="0"/>
    <cacheHierarchy uniqueName="[Tabla_master_rend 1].[Merma_T ppto]" caption="Merma_T ppto" attribute="1" defaultMemberUniqueName="[Tabla_master_rend 1].[Merma_T ppto].[All]" allUniqueName="[Tabla_master_rend 1].[Merma_T ppto].[All]" dimensionUniqueName="[Tabla_master_rend 1]" displayFolder="" count="0" memberValueDatatype="5" unbalanced="0"/>
    <cacheHierarchy uniqueName="[Tabla_master_rend 1].[Merma_T ppto %]" caption="Merma_T ppto %" attribute="1" defaultMemberUniqueName="[Tabla_master_rend 1].[Merma_T ppto %].[All]" allUniqueName="[Tabla_master_rend 1].[Merma_T ppto %].[All]" dimensionUniqueName="[Tabla_master_rend 1]" displayFolder="" count="0" memberValueDatatype="5" unbalanced="0"/>
    <cacheHierarchy uniqueName="[Tabla_master_rend 1].[Merma_T real %]" caption="Merma_T real %" attribute="1" defaultMemberUniqueName="[Tabla_master_rend 1].[Merma_T real %].[All]" allUniqueName="[Tabla_master_rend 1].[Merma_T real %].[All]" dimensionUniqueName="[Tabla_master_rend 1]" displayFolder="" count="0" memberValueDatatype="5" unbalanced="0"/>
    <cacheHierarchy uniqueName="[Tabla_master_rend 1].[DIF R Vs PPTO]" caption="DIF R Vs PPTO" attribute="1" defaultMemberUniqueName="[Tabla_master_rend 1].[DIF R Vs PPTO].[All]" allUniqueName="[Tabla_master_rend 1].[DIF R Vs PPTO].[All]" dimensionUniqueName="[Tabla_master_rend 1]" displayFolder="" count="0" memberValueDatatype="5" unbalanced="0"/>
    <cacheHierarchy uniqueName="[Tabla_master_rend 1].[IMPACTO]" caption="IMPACTO" attribute="1" defaultMemberUniqueName="[Tabla_master_rend 1].[IMPACTO].[All]" allUniqueName="[Tabla_master_rend 1].[IMPACTO].[All]" dimensionUniqueName="[Tabla_master_rend 1]" displayFolder="" count="0" memberValueDatatype="5" unbalanced="0"/>
    <cacheHierarchy uniqueName="[Tabla_master_rend 1].[IMPACTO_vs_PPTO]" caption="IMPACTO_vs_PPTO" attribute="1" defaultMemberUniqueName="[Tabla_master_rend 1].[IMPACTO_vs_PPTO].[All]" allUniqueName="[Tabla_master_rend 1].[IMPACTO_vs_PPTO].[All]" dimensionUniqueName="[Tabla_master_rend 1]" displayFolder="" count="0" memberValueDatatype="5" unbalanced="0"/>
    <cacheHierarchy uniqueName="[Tabla_Precio_Venta].[Fecha]" caption="Fecha" attribute="1" defaultMemberUniqueName="[Tabla_Precio_Venta].[Fecha].[All]" allUniqueName="[Tabla_Precio_Venta].[Fecha].[All]" dimensionUniqueName="[Tabla_Precio_Venta]" displayFolder="" count="0" memberValueDatatype="130" unbalanced="0"/>
    <cacheHierarchy uniqueName="[Tabla_Precio_Venta].[Producto]" caption="Producto" attribute="1" defaultMemberUniqueName="[Tabla_Precio_Venta].[Producto].[All]" allUniqueName="[Tabla_Precio_Venta].[Producto].[All]" dimensionUniqueName="[Tabla_Precio_Venta]" displayFolder="" count="0" memberValueDatatype="130" unbalanced="0"/>
    <cacheHierarchy uniqueName="[Tabla_Precio_Venta].[Ventas (kg)]" caption="Ventas (kg)" attribute="1" defaultMemberUniqueName="[Tabla_Precio_Venta].[Ventas (kg)].[All]" allUniqueName="[Tabla_Precio_Venta].[Ventas (kg)].[All]" dimensionUniqueName="[Tabla_Precio_Venta]" displayFolder="" count="0" memberValueDatatype="20" unbalanced="0"/>
    <cacheHierarchy uniqueName="[Tabla_Precio_Venta].[PV_eur_kg]" caption="PV_eur_kg" attribute="1" defaultMemberUniqueName="[Tabla_Precio_Venta].[PV_eur_kg].[All]" allUniqueName="[Tabla_Precio_Venta].[PV_eur_kg].[All]" dimensionUniqueName="[Tabla_Precio_Venta]" displayFolder="" count="0" memberValueDatatype="5" unbalanced="0"/>
    <cacheHierarchy uniqueName="[tbl_DimFecha].[Fecha]" caption="Fecha" attribute="1" time="1" defaultMemberUniqueName="[tbl_DimFecha].[Fecha].[All]" allUniqueName="[tbl_DimFecha].[Fecha].[All]" dimensionUniqueName="[tbl_DimFecha]" displayFolder="" count="0" memberValueDatatype="7" unbalanced="0"/>
    <cacheHierarchy uniqueName="[tbl_DimFecha].[Año]" caption="Año" attribute="1" defaultMemberUniqueName="[tbl_DimFecha].[Año].[All]" allUniqueName="[tbl_DimFecha].[Año].[All]" dimensionUniqueName="[tbl_DimFecha]" displayFolder="" count="2" memberValueDatatype="20" unbalanced="0">
      <fieldsUsage count="2">
        <fieldUsage x="-1"/>
        <fieldUsage x="6"/>
      </fieldsUsage>
    </cacheHierarchy>
    <cacheHierarchy uniqueName="[tbl_DimFecha].[MesN]" caption="MesN" attribute="1" defaultMemberUniqueName="[tbl_DimFecha].[MesN].[All]" allUniqueName="[tbl_DimFecha].[MesN].[All]" dimensionUniqueName="[tbl_DimFecha]" displayFolder="" count="0" memberValueDatatype="20" unbalanced="0"/>
    <cacheHierarchy uniqueName="[tbl_DimFecha].[Mes]" caption="Mes" attribute="1" defaultMemberUniqueName="[tbl_DimFecha].[Mes].[All]" allUniqueName="[tbl_DimFecha].[Mes].[All]" dimensionUniqueName="[tbl_DimFecha]" displayFolder="" count="0" memberValueDatatype="130" unbalanced="0"/>
    <cacheHierarchy uniqueName="[tbl_DimFecha].[AñoMes]" caption="AñoMes" attribute="1" defaultMemberUniqueName="[tbl_DimFecha].[AñoMes].[All]" allUniqueName="[tbl_DimFecha].[AñoMes].[All]" dimensionUniqueName="[tbl_DimFecha]" displayFolder="" count="2" memberValueDatatype="130" unbalanced="0"/>
    <cacheHierarchy uniqueName="[tbl_DimFecha].[SemanaISO]" caption="SemanaISO" attribute="1" defaultMemberUniqueName="[tbl_DimFecha].[SemanaISO].[All]" allUniqueName="[tbl_DimFecha].[SemanaISO].[All]" dimensionUniqueName="[tbl_DimFecha]" displayFolder="" count="0" memberValueDatatype="20" unbalanced="0"/>
    <cacheHierarchy uniqueName="[tbl_DimFecha].[AñoSemana]" caption="AñoSemana" attribute="1" defaultMemberUniqueName="[tbl_DimFecha].[AñoSemana].[All]" allUniqueName="[tbl_DimFecha].[AñoSemana].[All]" dimensionUniqueName="[tbl_DimFecha]" displayFolder="" count="0" memberValueDatatype="130" unbalanced="0"/>
    <cacheHierarchy uniqueName="[tbl_DimFecha].[DiaSemanaN]" caption="DiaSemanaN" attribute="1" defaultMemberUniqueName="[tbl_DimFecha].[DiaSemanaN].[All]" allUniqueName="[tbl_DimFecha].[DiaSemanaN].[All]" dimensionUniqueName="[tbl_DimFecha]" displayFolder="" count="0" memberValueDatatype="20" unbalanced="0"/>
    <cacheHierarchy uniqueName="[tbl_DimFecha].[DiaSemana]" caption="DiaSemana" attribute="1" defaultMemberUniqueName="[tbl_DimFecha].[DiaSemana].[All]" allUniqueName="[tbl_DimFecha].[DiaSemana].[All]" dimensionUniqueName="[tbl_DimFecha]" displayFolder="" count="0" memberValueDatatype="130" unbalanced="0"/>
    <cacheHierarchy uniqueName="[tbl_DimFecha].[Mes_Orden]" caption="Mes_Orden" attribute="1" defaultMemberUniqueName="[tbl_DimFecha].[Mes_Orden].[All]" allUniqueName="[tbl_DimFecha].[Mes_Orden].[All]" dimensionUniqueName="[tbl_DimFecha]" displayFolder="" count="0" memberValueDatatype="130" unbalanced="0"/>
    <cacheHierarchy uniqueName="[tbl_DimProducto].[Producto]" caption="Producto" attribute="1" defaultMemberUniqueName="[tbl_DimProducto].[Producto].[All]" allUniqueName="[tbl_DimProducto].[Producto].[All]" dimensionUniqueName="[tbl_DimProducto]" displayFolder="" count="0" memberValueDatatype="130" unbalanced="0"/>
    <cacheHierarchy uniqueName="[tbl_DimProducto].[Producto_id]" caption="Producto_id" attribute="1" defaultMemberUniqueName="[tbl_DimProducto].[Producto_id].[All]" allUniqueName="[tbl_DimProducto].[Producto_id].[All]" dimensionUniqueName="[tbl_DimProducto]" displayFolder="" count="0" memberValueDatatype="130" unbalanced="0"/>
    <cacheHierarchy uniqueName="[tbl_DimProducto].[Categoría]" caption="Categoría" attribute="1" defaultMemberUniqueName="[tbl_DimProducto].[Categoría].[All]" allUniqueName="[tbl_DimProducto].[Categoría].[All]" dimensionUniqueName="[tbl_DimProducto]" displayFolder="" count="2" memberValueDatatype="130" unbalanced="0"/>
    <cacheHierarchy uniqueName="[tbl_DimProducto].[PesoBarra_kg]" caption="PesoBarra_kg" attribute="1" defaultMemberUniqueName="[tbl_DimProducto].[PesoBarra_kg].[All]" allUniqueName="[tbl_DimProducto].[PesoBarra_kg].[All]" dimensionUniqueName="[tbl_DimProducto]" displayFolder="" count="0" memberValueDatatype="5" unbalanced="0"/>
    <cacheHierarchy uniqueName="[tbl_PrecioLeche].[Año]" caption="Año" attribute="1" defaultMemberUniqueName="[tbl_PrecioLeche].[Año].[All]" allUniqueName="[tbl_PrecioLeche].[Año].[All]" dimensionUniqueName="[tbl_PrecioLeche]" displayFolder="" count="0" memberValueDatatype="20" unbalanced="0"/>
    <cacheHierarchy uniqueName="[tbl_PrecioLeche].[AñoMes]" caption="AñoMes" attribute="1" defaultMemberUniqueName="[tbl_PrecioLeche].[AñoMes].[All]" allUniqueName="[tbl_PrecioLeche].[AñoMes].[All]" dimensionUniqueName="[tbl_PrecioLeche]" displayFolder="" count="0" memberValueDatatype="130" unbalanced="0"/>
    <cacheHierarchy uniqueName="[tbl_PrecioLeche].[Mes]" caption="Mes" attribute="1" defaultMemberUniqueName="[tbl_PrecioLeche].[Mes].[All]" allUniqueName="[tbl_PrecioLeche].[Mes].[All]" dimensionUniqueName="[tbl_PrecioLeche]" displayFolder="" count="0" memberValueDatatype="130" unbalanced="0"/>
    <cacheHierarchy uniqueName="[tbl_PrecioLeche].[Tipo_Leche]" caption="Tipo_Leche" attribute="1" defaultMemberUniqueName="[tbl_PrecioLeche].[Tipo_Leche].[All]" allUniqueName="[tbl_PrecioLeche].[Tipo_Leche].[All]" dimensionUniqueName="[tbl_PrecioLeche]" displayFolder="" count="0" memberValueDatatype="130" unbalanced="0"/>
    <cacheHierarchy uniqueName="[tbl_PrecioLeche].[Precio_base]" caption="Precio_base" attribute="1" defaultMemberUniqueName="[tbl_PrecioLeche].[Precio_base].[All]" allUniqueName="[tbl_PrecioLeche].[Precio_base].[All]" dimensionUniqueName="[tbl_PrecioLeche]" displayFolder="" count="0" memberValueDatatype="20" unbalanced="0"/>
    <cacheHierarchy uniqueName="[tbl_PrecioLeche].[Calidades]" caption="Calidades" attribute="1" defaultMemberUniqueName="[tbl_PrecioLeche].[Calidades].[All]" allUniqueName="[tbl_PrecioLeche].[Calidades].[All]" dimensionUniqueName="[tbl_PrecioLeche]" displayFolder="" count="0" memberValueDatatype="20" unbalanced="0"/>
    <cacheHierarchy uniqueName="[tbl_PrecioLeche].[Transporte]" caption="Transporte" attribute="1" defaultMemberUniqueName="[tbl_PrecioLeche].[Transporte].[All]" allUniqueName="[tbl_PrecioLeche].[Transporte].[All]" dimensionUniqueName="[tbl_PrecioLeche]" displayFolder="" count="0" memberValueDatatype="20" unbalanced="0"/>
    <cacheHierarchy uniqueName="[tbl_PrecioLeche].[PMV_eur_L]" caption="PMV_eur_L" attribute="1" defaultMemberUniqueName="[tbl_PrecioLeche].[PMV_eur_L].[All]" allUniqueName="[tbl_PrecioLeche].[PMV_eur_L].[All]" dimensionUniqueName="[tbl_PrecioLeche]" displayFolder="" count="0" memberValueDatatype="5" unbalanced="0"/>
    <cacheHierarchy uniqueName="[Tabla_master_rend].[Fecha (índice de meses)]" caption="Fecha (índice de meses)" attribute="1" defaultMemberUniqueName="[Tabla_master_rend].[Fecha (índice de meses)].[All]" allUniqueName="[Tabla_master_rend].[Fecha (índice de meses)].[All]" dimensionUniqueName="[Tabla_master_rend]" displayFolder="" count="0" memberValueDatatype="20" unbalanced="0" hidden="1"/>
    <cacheHierarchy uniqueName="[Measures].[Litros_Leche]" caption="Litros_Leche" measure="1" displayFolder="" measureGroup="Tabla_master_rend" count="0"/>
    <cacheHierarchy uniqueName="[Measures].[kg_Blancos]" caption="kg_Blancos" measure="1" displayFolder="" measureGroup="Tabla_master_rend" count="0"/>
    <cacheHierarchy uniqueName="[Measures].[Kg_secadero]" caption="Kg_secadero" measure="1" displayFolder="" measureGroup="Tabla_master_rend" count="0" oneField="1">
      <fieldsUsage count="1">
        <fieldUsage x="5"/>
      </fieldsUsage>
    </cacheHierarchy>
    <cacheHierarchy uniqueName="[Measures].[Merma_TOT_kg]" caption="Merma_TOT_kg" measure="1" displayFolder="" measureGroup="Tabla_master_rend" count="0"/>
    <cacheHierarchy uniqueName="[Measures].[Merma_env_kg]" caption="Merma_env_kg" measure="1" displayFolder="" measureGroup="Tabla_master_rend" count="0"/>
    <cacheHierarchy uniqueName="[Measures].[Impacto_EUR]" caption="Impacto_EUR" measure="1" displayFolder="" measureGroup="Tabla_master_rend" count="0"/>
    <cacheHierarchy uniqueName="[Measures].[RDTO_Blanco_kg]" caption="RDTO_Blanco_kg" measure="1" displayFolder="" measureGroup="Tabla_master_rend" count="0"/>
    <cacheHierarchy uniqueName="[Measures].[Merma_env_pct]" caption="Merma_env_pct" measure="1" displayFolder="" measureGroup="Tabla_master_rend" count="0"/>
    <cacheHierarchy uniqueName="[Measures].[B_totales_u]" caption="B_totales_u" measure="1" displayFolder="" measureGroup="Tabla_master_rend" count="0"/>
    <cacheHierarchy uniqueName="[Measures].[Feas_pct]" caption="Feas_pct" measure="1" displayFolder="" measureGroup="Tabla_master_rend" count="0"/>
    <cacheHierarchy uniqueName="[Measures].[Bajas_pct]" caption="Bajas_pct" measure="1" displayFolder="" measureGroup="Tabla_master_rend" count="0"/>
    <cacheHierarchy uniqueName="[Measures].[Rotas_pct]" caption="Rotas_pct" measure="1" displayFolder="" measureGroup="Tabla_master_rend" count="0"/>
    <cacheHierarchy uniqueName="[Measures].[Recup_kg_sum]" caption="Recup_kg_sum" measure="1" displayFolder="" measureGroup="Tabla_master_rend" count="0"/>
    <cacheHierarchy uniqueName="[Measures].[Merma_inic_kg]" caption="Merma_inic_kg" measure="1" displayFolder="" measureGroup="Tabla_master_rend" count="0"/>
    <cacheHierarchy uniqueName="[Measures].[Recup_pct]" caption="Recup_pct" measure="1" displayFolder="" measureGroup="Tabla_master_rend" count="0"/>
    <cacheHierarchy uniqueName="[Measures].[Merma_env_corregida_kg]" caption="Merma_env_corregida_kg" measure="1" displayFolder="" measureGroup="Tabla_master_rend" count="0"/>
    <cacheHierarchy uniqueName="[Measures].[Merma_env_corregida_pct]" caption="Merma_env_corregida_pct" measure="1" displayFolder="" measureGroup="Tabla_master_rend" count="0"/>
    <cacheHierarchy uniqueName="[Measures].[Merma_TOT_pct]" caption="Merma_TOT_pct" measure="1" displayFolder="" measureGroup="Tabla_master_rend" count="0"/>
    <cacheHierarchy uniqueName="[Measures].[Labo_pct]" caption="Labo_pct" measure="1" displayFolder="" measureGroup="Tabla_master_rend" count="0"/>
    <cacheHierarchy uniqueName="[Measures].[Recup_MG_pct_pond]" caption="Recup_MG_pct_pond" measure="1" displayFolder="" measureGroup="Tabla_master_rend" count="0"/>
    <cacheHierarchy uniqueName="[Measures].[Recup_PT_pct_pond]" caption="Recup_PT_pct_pond" measure="1" displayFolder="" measureGroup="Tabla_master_rend" count="0"/>
    <cacheHierarchy uniqueName="[Measures].[Suero_vs_Leche]" caption="Suero_vs_Leche" measure="1" displayFolder="" measureGroup="Tabla_master_rend" count="0"/>
    <cacheHierarchy uniqueName="[Measures].[MG_suero_pct_pond]" caption="MG_suero_pct_pond" measure="1" displayFolder="" measureGroup="Tabla_master_rend" count="0"/>
    <cacheHierarchy uniqueName="[Measures].[PT_suero_pct_pond]" caption="PT_suero_pct_pond" measure="1" displayFolder="" measureGroup="Tabla_master_rend" count="0"/>
    <cacheHierarchy uniqueName="[Measures].[Nata_leche_L]" caption="Nata_leche_L" measure="1" displayFolder="" measureGroup="Tabla_master_rend" count="0"/>
    <cacheHierarchy uniqueName="[Measures].[Nata_suero_L]" caption="Nata_suero_L" measure="1" displayFolder="" measureGroup="Tabla_master_rend" count="0"/>
    <cacheHierarchy uniqueName="[Measures].[Nata_suero_pct]" caption="Nata_suero_pct" measure="1" displayFolder="" measureGroup="Tabla_master_rend" count="0"/>
    <cacheHierarchy uniqueName="[Measures].[Valor_Nata_EUR]" caption="Valor_Nata_EUR" measure="1" displayFolder="" measureGroup="Tabla_master_rend" count="0"/>
    <cacheHierarchy uniqueName="[Measures].[Nata_Total_L]" caption="Nata_Total_L" measure="1" displayFolder="" measureGroup="Tabla_master_rend" count="0"/>
    <cacheHierarchy uniqueName="[Measures].[Solidos_leche_kg]" caption="Solidos_leche_kg" measure="1" displayFolder="" measureGroup="Tabla_master_rend" count="0"/>
    <cacheHierarchy uniqueName="[Measures].[Solidos_en_queso_kg]" caption="Solidos_en_queso_kg" measure="1" displayFolder="" measureGroup="Tabla_master_rend" count="0" oneField="1">
      <fieldsUsage count="1">
        <fieldUsage x="0"/>
      </fieldsUsage>
    </cacheHierarchy>
    <cacheHierarchy uniqueName="[Measures].[Recup_solidos_a_queso_pct]" caption="Recup_solidos_a_queso_pct" measure="1" displayFolder="" measureGroup="Tabla_master_rend" count="0" oneField="1">
      <fieldsUsage count="1">
        <fieldUsage x="1"/>
      </fieldsUsage>
    </cacheHierarchy>
    <cacheHierarchy uniqueName="[Measures].[Suero_kg_aprox]" caption="Suero_kg_aprox" measure="1" displayFolder="" measureGroup="Tabla_master_rend" count="0" oneField="1">
      <fieldsUsage count="1">
        <fieldUsage x="2"/>
      </fieldsUsage>
    </cacheHierarchy>
    <cacheHierarchy uniqueName="[Measures].[Solidos_principales_suero_kg]" caption="Solidos_principales_suero_kg" measure="1" displayFolder="" measureGroup="Tabla_master_rend" count="0" oneField="1">
      <fieldsUsage count="1">
        <fieldUsage x="3"/>
      </fieldsUsage>
    </cacheHierarchy>
    <cacheHierarchy uniqueName="[Measures].[Solidos_principales_suero_pct_sobre_leche]" caption="Solidos_principales_suero_pct_sobre_leche" measure="1" displayFolder="" measureGroup="Tabla_master_rend" count="0" oneField="1">
      <fieldsUsage count="1">
        <fieldUsage x="4"/>
      </fieldsUsage>
    </cacheHierarchy>
    <cacheHierarchy uniqueName="[Measures].[Solidos_gap_kg]" caption="Solidos_gap_kg" measure="1" displayFolder="" measureGroup="Tabla_master_rend" count="0"/>
    <cacheHierarchy uniqueName="[Measures].[MG_a_nata_leche_kg]" caption="MG_a_nata_leche_kg" measure="1" displayFolder="" measureGroup="Tabla_master_rend" count="0"/>
    <cacheHierarchy uniqueName="[Measures].[MG_a_nata_leche_pct_sobre_solidos]" caption="MG_a_nata_leche_pct_sobre_solidos" measure="1" displayFolder="" measureGroup="Tabla_master_rend" count="0"/>
    <cacheHierarchy uniqueName="[Measures].[Solidos_leche_FP_kg]" caption="Solidos_leche_FP_kg" measure="1" displayFolder="" measureGroup="Tabla_master_rend" count="0"/>
    <cacheHierarchy uniqueName="[Measures].[Solidos_queso_FP_kg]" caption="Solidos_queso_FP_kg" measure="1" displayFolder="" measureGroup="Tabla_master_rend" count="0"/>
    <cacheHierarchy uniqueName="[Measures].[Solidos_suero_FP_kg]" caption="Solidos_suero_FP_kg" measure="1" displayFolder="" measureGroup="Tabla_master_rend" count="0"/>
    <cacheHierarchy uniqueName="[Measures].[Solidos_GAP_des_pct]" caption="Solidos_GAP_des_pct" measure="1" displayFolder="" measureGroup="Tabla_master_rend" count="0"/>
    <cacheHierarchy uniqueName="[Measures].[RDTO_neto_pond]" caption="RDTO_neto_pond" measure="1" displayFolder="" measureGroup="Tabla_master_rend" count="0"/>
    <cacheHierarchy uniqueName="[Measures].[Recup_FP_queso_pct]" caption="Recup_FP_queso_pct" measure="1" displayFolder="" measureGroup="Tabla_master_rend" count="0"/>
    <cacheHierarchy uniqueName="[Measures].[IMPACTO_VS__PPTO]" caption="IMPACTO_VS__PPTO" measure="1" displayFolder="" measureGroup="Tabla_master_rend" count="0"/>
    <cacheHierarchy uniqueName="[Measures].[€/kg_MP_Queso]" caption="€/kg_MP_Queso" measure="1" displayFolder="" measureGroup="Tabla_master_rend" count="0"/>
    <cacheHierarchy uniqueName="[Measures].[Merma_TOT_%_blanco_a_vendible]" caption="Merma_TOT_%_blanco_a_vendible" measure="1" displayFolder="" measureGroup="Tabla_master_rend" count="0"/>
    <cacheHierarchy uniqueName="[Measures].[Merma_TOT_kg_blanco_a_vendible :]" caption="Merma_TOT_kg_blanco_a_vendible :" measure="1" displayFolder="" measureGroup="Tabla_master_rend" count="0"/>
    <cacheHierarchy uniqueName="[Measures].[Gap_solidos_pct]" caption="Gap_solidos_pct" measure="1" displayFolder="" measureGroup="Tabla_master_rend" count="0"/>
    <cacheHierarchy uniqueName="[Measures].[Kg_saladero_tons]" caption="Kg_saladero_tons" measure="1" displayFolder="" measureGroup="Tabla_master_rend" count="0"/>
    <cacheHierarchy uniqueName="[Measures].[Suero_L]" caption="Suero_L" measure="1" displayFolder="" measureGroup="Tabla_master_rend" count="0"/>
    <cacheHierarchy uniqueName="[Measures].[%_Merma_Finos]" caption="%_Merma_Finos" measure="1" displayFolder="" measureGroup="Tabla_master_rend" count="0"/>
    <cacheHierarchy uniqueName="[Measures].[%_Merma_Llenadora]" caption="%_Merma_Llenadora" measure="1" displayFolder="" measureGroup="Tabla_master_rend" count="0"/>
    <cacheHierarchy uniqueName="[Measures].[%_Merma_Desm]" caption="%_Merma_Desm" measure="1" displayFolder="" measureGroup="Tabla_master_rend" count="0"/>
    <cacheHierarchy uniqueName="[Measures].[%_Merma_oreo]" caption="%_Merma_oreo" measure="1" displayFolder="" measureGroup="Tabla_master_rend" count="0"/>
    <cacheHierarchy uniqueName="[Measures].[__XL_Count tbl_DimProducto]" caption="__XL_Count tbl_DimProducto" measure="1" displayFolder="" measureGroup="tbl_DimProducto" count="0" hidden="1"/>
    <cacheHierarchy uniqueName="[Measures].[__XL_Count tbl_FactRendFecha]" caption="__XL_Count tbl_FactRendFecha" measure="1" displayFolder="" measureGroup="tbl_DimFecha" count="0" hidden="1"/>
    <cacheHierarchy uniqueName="[Measures].[__XL_Count Tabla_master_rend]" caption="__XL_Count Tabla_master_rend" measure="1" displayFolder="" measureGroup="Tabla_master_rend" count="0" hidden="1"/>
    <cacheHierarchy uniqueName="[Measures].[__XL_Count REND_TARGET]" caption="__XL_Count REND_TARGET" measure="1" displayFolder="" measureGroup="REND_TARGET" count="0" hidden="1"/>
    <cacheHierarchy uniqueName="[Measures].[__XL_Count Tabla_master_rend 1]" caption="__XL_Count Tabla_master_rend 1" measure="1" displayFolder="" measureGroup="Tabla_master_rend 1" count="0" hidden="1"/>
    <cacheHierarchy uniqueName="[Measures].[__XL_Count Tabla_Precio_Venta]" caption="__XL_Count Tabla_Precio_Venta" measure="1" displayFolder="" measureGroup="Tabla_Precio_Venta" count="0" hidden="1"/>
    <cacheHierarchy uniqueName="[Measures].[__XL_Count tbl_PrecioLeche]" caption="__XL_Count tbl_PrecioLeche" measure="1" displayFolder="" measureGroup="tbl_PrecioLeche" count="0" hidden="1"/>
    <cacheHierarchy uniqueName="[Measures].[__XL_Count Tabla_Contabilidad]" caption="__XL_Count Tabla_Contabilidad" measure="1" displayFolder="" measureGroup="Tabla_Contabilidad" count="0" hidden="1"/>
    <cacheHierarchy uniqueName="[Measures].[__No measures defined]" caption="__No measures defined" measure="1" displayFolder="" count="0" hidden="1"/>
    <cacheHierarchy uniqueName="[Measures].[Sum of Rend_Ntarget]" caption="Sum of Rend_Ntarget" measure="1" displayFolder="" measureGroup="REND_TARG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imum of Rend_Ntarget]" caption="Maximum of Rend_Ntarget" measure="1" displayFolder="" measureGroup="REND_TARG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REND_TARGET]" caption="Suma de REND_TARGET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Promedio de REND_TARGET]" caption="Promedio de REND_TARGET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RDTO_NETO]" caption="Suma de RDTO_NETO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Kg_Finos]" caption="Suma de Kg_Finos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Kg_Llenadora]" caption="Suma de Kg_Llenadora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Kg_Desmoldeo]" caption="Suma de Kg_Desmoldeo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de Merma_fab]" caption="Suma de Merma_fab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Recuento de L_Agua]" caption="Recuento de L_Agua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de %Merma_env_corr]" caption="Suma de %Merma_env_corr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Promedio de %Merma_env_corr]" caption="Promedio de %Merma_env_corr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a de Gastos Estructura (€∕mes)]" caption="Suma de Gastos Estructura (€∕mes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Gastos Estructura (€∕mes)]" caption="Promedio de Gastos Estructura (€∕mes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BITDA  (M€)]" caption="Suma de EBITDA  (M€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BITDA  (M€)]" caption="Promedio de EBITDA  (M€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9">
    <dimension measure="1" name="Measures" uniqueName="[Measures]" caption="Measures"/>
    <dimension name="REND_TARGET" uniqueName="[REND_TARGET]" caption="REND_TARGET"/>
    <dimension name="Tabla_Contabilidad" uniqueName="[Tabla_Contabilidad]" caption="Tabla_Contabilidad"/>
    <dimension name="Tabla_master_rend" uniqueName="[Tabla_master_rend]" caption="Tabla_master_rend"/>
    <dimension name="Tabla_master_rend 1" uniqueName="[Tabla_master_rend 1]" caption="Tabla_master_rend 1"/>
    <dimension name="Tabla_Precio_Venta" uniqueName="[Tabla_Precio_Venta]" caption="Tabla_Precio_Venta"/>
    <dimension name="tbl_DimFecha" uniqueName="[tbl_DimFecha]" caption="tbl_DimFecha"/>
    <dimension name="tbl_DimProducto" uniqueName="[tbl_DimProducto]" caption="tbl_DimProducto"/>
    <dimension name="tbl_PrecioLeche" uniqueName="[tbl_PrecioLeche]" caption="tbl_PrecioLeche"/>
  </dimensions>
  <measureGroups count="8">
    <measureGroup name="REND_TARGET" caption="REND_TARGET"/>
    <measureGroup name="Tabla_Contabilidad" caption="Tabla_Contabilidad"/>
    <measureGroup name="Tabla_master_rend" caption="Tabla_master_rend"/>
    <measureGroup name="Tabla_master_rend 1" caption="Tabla_master_rend 1"/>
    <measureGroup name="Tabla_Precio_Venta" caption="Tabla_Precio_Venta"/>
    <measureGroup name="tbl_DimFecha" caption="tbl_DimFecha"/>
    <measureGroup name="tbl_DimProducto" caption="tbl_DimProducto"/>
    <measureGroup name="tbl_PrecioLeche" caption="tbl_PrecioLeche"/>
  </measureGroups>
  <maps count="13">
    <map measureGroup="0" dimension="1"/>
    <map measureGroup="0" dimension="7"/>
    <map measureGroup="1" dimension="2"/>
    <map measureGroup="2" dimension="3"/>
    <map measureGroup="2" dimension="6"/>
    <map measureGroup="2" dimension="7"/>
    <map measureGroup="3" dimension="4"/>
    <map measureGroup="4" dimension="5"/>
    <map measureGroup="4" dimension="6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os Colasante" refreshedDate="46134.99670891204" backgroundQuery="1" createdVersion="8" refreshedVersion="8" minRefreshableVersion="3" recordCount="0" supportSubquery="1" supportAdvancedDrill="1" xr:uid="{F5544933-8A8F-4885-8AED-8EBE80D67A8E}">
  <cacheSource type="external" connectionId="4"/>
  <cacheFields count="10">
    <cacheField name="[Measures].[Feas_pct]" caption="Feas_pct" numFmtId="0" hierarchy="217" level="32767"/>
    <cacheField name="[Measures].[Bajas_pct]" caption="Bajas_pct" numFmtId="0" hierarchy="218" level="32767"/>
    <cacheField name="[Measures].[Rotas_pct]" caption="Rotas_pct" numFmtId="0" hierarchy="219" level="32767"/>
    <cacheField name="[Measures].[Labo_pct]" caption="Labo_pct" numFmtId="0" hierarchy="226" level="32767"/>
    <cacheField name="[Measures].[Recup_pct]" caption="Recup_pct" numFmtId="0" hierarchy="222" level="32767"/>
    <cacheField name="[Measures].[Merma_TOT_%_blanco_a_vendible]" caption="Merma_TOT_%_blanco_a_vendible" numFmtId="0" hierarchy="254" level="32767"/>
    <cacheField name="[Measures].[Merma_TOT_pct]" caption="Merma_TOT_pct" numFmtId="0" hierarchy="225" level="32767"/>
    <cacheField name="[Tabla_master_rend].[Producto].[Producto]" caption="Producto" numFmtId="0" hierarchy="17" level="1">
      <sharedItems count="5">
        <s v="CABRA"/>
        <s v="CREMOSO"/>
        <s v="EDAM_F"/>
        <s v="GOUDA_F"/>
        <s v="OVEJA"/>
      </sharedItems>
    </cacheField>
    <cacheField name="[Measures].[Suma de Kg_Finos]" caption="Suma de Kg_Finos" numFmtId="0" hierarchy="277" level="32767"/>
    <cacheField name="[tbl_DimFecha].[Año].[Año]" caption="Año" numFmtId="0" hierarchy="186" level="1">
      <sharedItems containsSemiMixedTypes="0" containsNonDate="0" containsString="0"/>
    </cacheField>
  </cacheFields>
  <cacheHierarchies count="288">
    <cacheHierarchy uniqueName="[REND_TARGET].[Producto]" caption="Producto" attribute="1" defaultMemberUniqueName="[REND_TARGET].[Producto].[All]" allUniqueName="[REND_TARGET].[Producto].[All]" dimensionUniqueName="[REND_TARGET]" displayFolder="" count="0" memberValueDatatype="130" unbalanced="0"/>
    <cacheHierarchy uniqueName="[REND_TARGET].[Rendimiento Blanco]" caption="Rendimiento Blanco" attribute="1" defaultMemberUniqueName="[REND_TARGET].[Rendimiento Blanco].[All]" allUniqueName="[REND_TARGET].[Rendimiento Blanco].[All]" dimensionUniqueName="[REND_TARGET]" displayFolder="" count="0" memberValueDatatype="5" unbalanced="0"/>
    <cacheHierarchy uniqueName="[REND_TARGET].[Merma Fabr]" caption="Merma Fabr" attribute="1" defaultMemberUniqueName="[REND_TARGET].[Merma Fabr].[All]" allUniqueName="[REND_TARGET].[Merma Fabr].[All]" dimensionUniqueName="[REND_TARGET]" displayFolder="" count="0" memberValueDatatype="5" unbalanced="0"/>
    <cacheHierarchy uniqueName="[REND_TARGET].[Merma Oreo]" caption="Merma Oreo" attribute="1" defaultMemberUniqueName="[REND_TARGET].[Merma Oreo].[All]" allUniqueName="[REND_TARGET].[Merma Oreo].[All]" dimensionUniqueName="[REND_TARGET]" displayFolder="" count="0" memberValueDatatype="5" unbalanced="0"/>
    <cacheHierarchy uniqueName="[REND_TARGET].[Merma E/E]" caption="Merma E/E" attribute="1" defaultMemberUniqueName="[REND_TARGET].[Merma E/E].[All]" allUniqueName="[REND_TARGET].[Merma E/E].[All]" dimensionUniqueName="[REND_TARGET]" displayFolder="" count="0" memberValueDatatype="5" unbalanced="0"/>
    <cacheHierarchy uniqueName="[REND_TARGET].[Rend_Ntarget]" caption="Rend_Ntarget" attribute="1" defaultMemberUniqueName="[REND_TARGET].[Rend_Ntarget].[All]" allUniqueName="[REND_TARGET].[Rend_Ntarget].[All]" dimensionUniqueName="[REND_TARGET]" displayFolder="" count="0" memberValueDatatype="5" unbalanced="0"/>
    <cacheHierarchy uniqueName="[Tabla_Contabilidad].[Año]" caption="Año" attribute="1" defaultMemberUniqueName="[Tabla_Contabilidad].[Año].[All]" allUniqueName="[Tabla_Contabilidad].[Año].[All]" dimensionUniqueName="[Tabla_Contabilidad]" displayFolder="" count="0" memberValueDatatype="20" unbalanced="0"/>
    <cacheHierarchy uniqueName="[Tabla_Contabilidad].[AñoMes]" caption="AñoMes" attribute="1" defaultMemberUniqueName="[Tabla_Contabilidad].[AñoMes].[All]" allUniqueName="[Tabla_Contabilidad].[AñoMes].[All]" dimensionUniqueName="[Tabla_Contabilidad]" displayFolder="" count="0" memberValueDatatype="130" unbalanced="0"/>
    <cacheHierarchy uniqueName="[Tabla_Contabilidad].[Mes]" caption="Mes" attribute="1" defaultMemberUniqueName="[Tabla_Contabilidad].[Mes].[All]" allUniqueName="[Tabla_Contabilidad].[Mes].[All]" dimensionUniqueName="[Tabla_Contabilidad]" displayFolder="" count="0" memberValueDatatype="130" unbalanced="0"/>
    <cacheHierarchy uniqueName="[Tabla_Contabilidad].[Gastos Estructura (€∕mes)]" caption="Gastos Estructura (€∕mes)" attribute="1" defaultMemberUniqueName="[Tabla_Contabilidad].[Gastos Estructura (€∕mes)].[All]" allUniqueName="[Tabla_Contabilidad].[Gastos Estructura (€∕mes)].[All]" dimensionUniqueName="[Tabla_Contabilidad]" displayFolder="" count="0" memberValueDatatype="20" unbalanced="0"/>
    <cacheHierarchy uniqueName="[Tabla_Contabilidad].[EBITDA  (M€)]" caption="EBITDA  (M€)" attribute="1" defaultMemberUniqueName="[Tabla_Contabilidad].[EBITDA  (M€)].[All]" allUniqueName="[Tabla_Contabilidad].[EBITDA  (M€)].[All]" dimensionUniqueName="[Tabla_Contabilidad]" displayFolder="" count="0" memberValueDatatype="20" unbalanced="0"/>
    <cacheHierarchy uniqueName="[Tabla_Contabilidad].[EBITDA_PPTO (M€)]" caption="EBITDA_PPTO (M€)" attribute="1" defaultMemberUniqueName="[Tabla_Contabilidad].[EBITDA_PPTO (M€)].[All]" allUniqueName="[Tabla_Contabilidad].[EBITDA_PPTO (M€)].[All]" dimensionUniqueName="[Tabla_Contabilidad]" displayFolder="" count="0" memberValueDatatype="20" unbalanced="0"/>
    <cacheHierarchy uniqueName="[Tabla_master_rend].[Fecha]" caption="Fecha" attribute="1" time="1" defaultMemberUniqueName="[Tabla_master_rend].[Fecha].[All]" allUniqueName="[Tabla_master_rend].[Fecha].[All]" dimensionUniqueName="[Tabla_master_rend]" displayFolder="" count="0" memberValueDatatype="7" unbalanced="0"/>
    <cacheHierarchy uniqueName="[Tabla_master_rend].[mes]" caption="mes" attribute="1" defaultMemberUniqueName="[Tabla_master_rend].[mes].[All]" allUniqueName="[Tabla_master_rend].[mes].[All]" dimensionUniqueName="[Tabla_master_rend]" displayFolder="" count="0" memberValueDatatype="20" unbalanced="0"/>
    <cacheHierarchy uniqueName="[Tabla_master_rend].[Mes_Nom]" caption="Mes_Nom" attribute="1" defaultMemberUniqueName="[Tabla_master_rend].[Mes_Nom].[All]" allUniqueName="[Tabla_master_rend].[Mes_Nom].[All]" dimensionUniqueName="[Tabla_master_rend]" displayFolder="" count="2" memberValueDatatype="130" unbalanced="0"/>
    <cacheHierarchy uniqueName="[Tabla_master_rend].[Día]" caption="Día" attribute="1" defaultMemberUniqueName="[Tabla_master_rend].[Día].[All]" allUniqueName="[Tabla_master_rend].[Día].[All]" dimensionUniqueName="[Tabla_master_rend]" displayFolder="" count="2" memberValueDatatype="130" unbalanced="0"/>
    <cacheHierarchy uniqueName="[Tabla_master_rend].[Lote]" caption="Lote" attribute="1" defaultMemberUniqueName="[Tabla_master_rend].[Lote].[All]" allUniqueName="[Tabla_master_rend].[Lote].[All]" dimensionUniqueName="[Tabla_master_rend]" displayFolder="" count="0" memberValueDatatype="20" unbalanced="0"/>
    <cacheHierarchy uniqueName="[Tabla_master_rend].[Producto]" caption="Producto" attribute="1" defaultMemberUniqueName="[Tabla_master_rend].[Producto].[All]" allUniqueName="[Tabla_master_rend].[Producto].[All]" dimensionUniqueName="[Tabla_master_rend]" displayFolder="" count="2" memberValueDatatype="130" unbalanced="0">
      <fieldsUsage count="2">
        <fieldUsage x="-1"/>
        <fieldUsage x="7"/>
      </fieldsUsage>
    </cacheHierarchy>
    <cacheHierarchy uniqueName="[Tabla_master_rend].[Cubas_prod]" caption="Cubas_prod" attribute="1" defaultMemberUniqueName="[Tabla_master_rend].[Cubas_prod].[All]" allUniqueName="[Tabla_master_rend].[Cubas_prod].[All]" dimensionUniqueName="[Tabla_master_rend]" displayFolder="" count="0" memberValueDatatype="20" unbalanced="0"/>
    <cacheHierarchy uniqueName="[Tabla_master_rend].[Litros_Leche_Total]" caption="Litros_Leche_Total" attribute="1" defaultMemberUniqueName="[Tabla_master_rend].[Litros_Leche_Total].[All]" allUniqueName="[Tabla_master_rend].[Litros_Leche_Total].[All]" dimensionUniqueName="[Tabla_master_rend]" displayFolder="" count="0" memberValueDatatype="20" unbalanced="0"/>
    <cacheHierarchy uniqueName="[Tabla_master_rend].[L_Leche_ent]" caption="L_Leche_ent" attribute="1" defaultMemberUniqueName="[Tabla_master_rend].[L_Leche_ent].[All]" allUniqueName="[Tabla_master_rend].[L_Leche_ent].[All]" dimensionUniqueName="[Tabla_master_rend]" displayFolder="" count="0" memberValueDatatype="20" unbalanced="0"/>
    <cacheHierarchy uniqueName="[Tabla_master_rend].[%MG_Leche]" caption="%MG_Leche" attribute="1" defaultMemberUniqueName="[Tabla_master_rend].[%MG_Leche].[All]" allUniqueName="[Tabla_master_rend].[%MG_Leche].[All]" dimensionUniqueName="[Tabla_master_rend]" displayFolder="" count="0" memberValueDatatype="5" unbalanced="0"/>
    <cacheHierarchy uniqueName="[Tabla_master_rend].[%MP_Leche]" caption="%MP_Leche" attribute="1" defaultMemberUniqueName="[Tabla_master_rend].[%MP_Leche].[All]" allUniqueName="[Tabla_master_rend].[%MP_Leche].[All]" dimensionUniqueName="[Tabla_master_rend]" displayFolder="" count="0" memberValueDatatype="5" unbalanced="0"/>
    <cacheHierarchy uniqueName="[Tabla_master_rend].[EST_%]" caption="EST_%" attribute="1" defaultMemberUniqueName="[Tabla_master_rend].[EST_%].[All]" allUniqueName="[Tabla_master_rend].[EST_%].[All]" dimensionUniqueName="[Tabla_master_rend]" displayFolder="" count="0" memberValueDatatype="5" unbalanced="0"/>
    <cacheHierarchy uniqueName="[Tabla_master_rend].[Desn_en_linea]" caption="Desn_en_linea" attribute="1" defaultMemberUniqueName="[Tabla_master_rend].[Desn_en_linea].[All]" allUniqueName="[Tabla_master_rend].[Desn_en_linea].[All]" dimensionUniqueName="[Tabla_master_rend]" displayFolder="" count="2" memberValueDatatype="130" unbalanced="0"/>
    <cacheHierarchy uniqueName="[Tabla_master_rend].[L_desn_ext]" caption="L_desn_ext" attribute="1" defaultMemberUniqueName="[Tabla_master_rend].[L_desn_ext].[All]" allUniqueName="[Tabla_master_rend].[L_desn_ext].[All]" dimensionUniqueName="[Tabla_master_rend]" displayFolder="" count="0" memberValueDatatype="20" unbalanced="0"/>
    <cacheHierarchy uniqueName="[Tabla_master_rend].[L_cabra]" caption="L_cabra" attribute="1" defaultMemberUniqueName="[Tabla_master_rend].[L_cabra].[All]" allUniqueName="[Tabla_master_rend].[L_cabra].[All]" dimensionUniqueName="[Tabla_master_rend]" displayFolder="" count="0" memberValueDatatype="20" unbalanced="0"/>
    <cacheHierarchy uniqueName="[Tabla_master_rend].[L_oveja]" caption="L_oveja" attribute="1" defaultMemberUniqueName="[Tabla_master_rend].[L_oveja].[All]" allUniqueName="[Tabla_master_rend].[L_oveja].[All]" dimensionUniqueName="[Tabla_master_rend]" displayFolder="" count="0" memberValueDatatype="20" unbalanced="0"/>
    <cacheHierarchy uniqueName="[Tabla_master_rend].[Litros_Nata]" caption="Litros_Nata" attribute="1" defaultMemberUniqueName="[Tabla_master_rend].[Litros_Nata].[All]" allUniqueName="[Tabla_master_rend].[Litros_Nata].[All]" dimensionUniqueName="[Tabla_master_rend]" displayFolder="" count="0" memberValueDatatype="20" unbalanced="0"/>
    <cacheHierarchy uniqueName="[Tabla_master_rend].[L_nata_suero]" caption="L_nata_suero" attribute="1" defaultMemberUniqueName="[Tabla_master_rend].[L_nata_suero].[All]" allUniqueName="[Tabla_master_rend].[L_nata_suero].[All]" dimensionUniqueName="[Tabla_master_rend]" displayFolder="" count="0" memberValueDatatype="20" unbalanced="0"/>
    <cacheHierarchy uniqueName="[Tabla_master_rend].[L_suero Total]" caption="L_suero Total" attribute="1" defaultMemberUniqueName="[Tabla_master_rend].[L_suero Total].[All]" allUniqueName="[Tabla_master_rend].[L_suero Total].[All]" dimensionUniqueName="[Tabla_master_rend]" displayFolder="" count="0" memberValueDatatype="20" unbalanced="0"/>
    <cacheHierarchy uniqueName="[Tabla_master_rend].[%Suero_vs_leche]" caption="%Suero_vs_leche" attribute="1" defaultMemberUniqueName="[Tabla_master_rend].[%Suero_vs_leche].[All]" allUniqueName="[Tabla_master_rend].[%Suero_vs_leche].[All]" dimensionUniqueName="[Tabla_master_rend]" displayFolder="" count="0" memberValueDatatype="5" unbalanced="0"/>
    <cacheHierarchy uniqueName="[Tabla_master_rend].[MG_suero]" caption="MG_suero" attribute="1" defaultMemberUniqueName="[Tabla_master_rend].[MG_suero].[All]" allUniqueName="[Tabla_master_rend].[MG_suero].[All]" dimensionUniqueName="[Tabla_master_rend]" displayFolder="" count="0" memberValueDatatype="5" unbalanced="0"/>
    <cacheHierarchy uniqueName="[Tabla_master_rend].[MP_suero]" caption="MP_suero" attribute="1" defaultMemberUniqueName="[Tabla_master_rend].[MP_suero].[All]" allUniqueName="[Tabla_master_rend].[MP_suero].[All]" dimensionUniqueName="[Tabla_master_rend]" displayFolder="" count="0" memberValueDatatype="5" unbalanced="0"/>
    <cacheHierarchy uniqueName="[Tabla_master_rend].[L_suero para con]" caption="L_suero para con" attribute="1" defaultMemberUniqueName="[Tabla_master_rend].[L_suero para con].[All]" allUniqueName="[Tabla_master_rend].[L_suero para con].[All]" dimensionUniqueName="[Tabla_master_rend]" displayFolder="" count="0" memberValueDatatype="20" unbalanced="0"/>
    <cacheHierarchy uniqueName="[Tabla_master_rend].[L_suero_con]" caption="L_suero_con" attribute="1" defaultMemberUniqueName="[Tabla_master_rend].[L_suero_con].[All]" allUniqueName="[Tabla_master_rend].[L_suero_con].[All]" dimensionUniqueName="[Tabla_master_rend]" displayFolder="" count="0" memberValueDatatype="20" unbalanced="0"/>
    <cacheHierarchy uniqueName="[Tabla_master_rend].[Rartio_sueroC]" caption="Rartio_sueroC" attribute="1" defaultMemberUniqueName="[Tabla_master_rend].[Rartio_sueroC].[All]" allUniqueName="[Tabla_master_rend].[Rartio_sueroC].[All]" dimensionUniqueName="[Tabla_master_rend]" displayFolder="" count="0" memberValueDatatype="5" unbalanced="0"/>
    <cacheHierarchy uniqueName="[Tabla_master_rend].[L_Suero_Sobrante]" caption="L_Suero_Sobrante" attribute="1" defaultMemberUniqueName="[Tabla_master_rend].[L_Suero_Sobrante].[All]" allUniqueName="[Tabla_master_rend].[L_Suero_Sobrante].[All]" dimensionUniqueName="[Tabla_master_rend]" displayFolder="" count="0" memberValueDatatype="20" unbalanced="0"/>
    <cacheHierarchy uniqueName="[Tabla_master_rend].[MG_sueroc]" caption="MG_sueroc" attribute="1" defaultMemberUniqueName="[Tabla_master_rend].[MG_sueroc].[All]" allUniqueName="[Tabla_master_rend].[MG_sueroc].[All]" dimensionUniqueName="[Tabla_master_rend]" displayFolder="" count="0" memberValueDatatype="20" unbalanced="0"/>
    <cacheHierarchy uniqueName="[Tabla_master_rend].[MP_sueroc]" caption="MP_sueroc" attribute="1" defaultMemberUniqueName="[Tabla_master_rend].[MP_sueroc].[All]" allUniqueName="[Tabla_master_rend].[MP_sueroc].[All]" dimensionUniqueName="[Tabla_master_rend]" displayFolder="" count="0" memberValueDatatype="20" unbalanced="0"/>
    <cacheHierarchy uniqueName="[Tabla_master_rend].[L_LPS_Gen]" caption="L_LPS_Gen" attribute="1" defaultMemberUniqueName="[Tabla_master_rend].[L_LPS_Gen].[All]" allUniqueName="[Tabla_master_rend].[L_LPS_Gen].[All]" dimensionUniqueName="[Tabla_master_rend]" displayFolder="" count="0" memberValueDatatype="20" unbalanced="0"/>
    <cacheHierarchy uniqueName="[Tabla_master_rend].[L_LPS_incor]" caption="L_LPS_incor" attribute="1" defaultMemberUniqueName="[Tabla_master_rend].[L_LPS_incor].[All]" allUniqueName="[Tabla_master_rend].[L_LPS_incor].[All]" dimensionUniqueName="[Tabla_master_rend]" displayFolder="" count="0" memberValueDatatype="20" unbalanced="0"/>
    <cacheHierarchy uniqueName="[Tabla_master_rend].[gr_LPS]" caption="gr_LPS" attribute="1" defaultMemberUniqueName="[Tabla_master_rend].[gr_LPS].[All]" allUniqueName="[Tabla_master_rend].[gr_LPS].[All]" dimensionUniqueName="[Tabla_master_rend]" displayFolder="" count="0" memberValueDatatype="20" unbalanced="0"/>
    <cacheHierarchy uniqueName="[Tabla_master_rend].[MG_LPS]" caption="MG_LPS" attribute="1" defaultMemberUniqueName="[Tabla_master_rend].[MG_LPS].[All]" allUniqueName="[Tabla_master_rend].[MG_LPS].[All]" dimensionUniqueName="[Tabla_master_rend]" displayFolder="" count="0" memberValueDatatype="5" unbalanced="0"/>
    <cacheHierarchy uniqueName="[Tabla_master_rend].[MP_LPS]" caption="MP_LPS" attribute="1" defaultMemberUniqueName="[Tabla_master_rend].[MP_LPS].[All]" allUniqueName="[Tabla_master_rend].[MP_LPS].[All]" dimensionUniqueName="[Tabla_master_rend]" displayFolder="" count="0" memberValueDatatype="5" unbalanced="0"/>
    <cacheHierarchy uniqueName="[Tabla_master_rend].[Kg_Queso_Blan]" caption="Kg_Queso_Blan" attribute="1" defaultMemberUniqueName="[Tabla_master_rend].[Kg_Queso_Blan].[All]" allUniqueName="[Tabla_master_rend].[Kg_Queso_Blan].[All]" dimensionUniqueName="[Tabla_master_rend]" displayFolder="" count="0" memberValueDatatype="5" unbalanced="0"/>
    <cacheHierarchy uniqueName="[Tabla_master_rend].[RDTO_Blanco]" caption="RDTO_Blanco" attribute="1" defaultMemberUniqueName="[Tabla_master_rend].[RDTO_Blanco].[All]" allUniqueName="[Tabla_master_rend].[RDTO_Blanco].[All]" dimensionUniqueName="[Tabla_master_rend]" displayFolder="" count="0" memberValueDatatype="5" unbalanced="0"/>
    <cacheHierarchy uniqueName="[Tabla_master_rend].[RDTO_NETO]" caption="RDTO_NETO" attribute="1" defaultMemberUniqueName="[Tabla_master_rend].[RDTO_NETO].[All]" allUniqueName="[Tabla_master_rend].[RDTO_NETO].[All]" dimensionUniqueName="[Tabla_master_rend]" displayFolder="" count="0" memberValueDatatype="5" unbalanced="0"/>
    <cacheHierarchy uniqueName="[Tabla_master_rend].[REND_TARGET]" caption="REND_TARGET" attribute="1" defaultMemberUniqueName="[Tabla_master_rend].[REND_TARGET].[All]" allUniqueName="[Tabla_master_rend].[REND_TARGET].[All]" dimensionUniqueName="[Tabla_master_rend]" displayFolder="" count="0" memberValueDatatype="5" unbalanced="0"/>
    <cacheHierarchy uniqueName="[Tabla_master_rend].[Kg_Solidos_leche]" caption="Kg_Solidos_leche" attribute="1" defaultMemberUniqueName="[Tabla_master_rend].[Kg_Solidos_leche].[All]" allUniqueName="[Tabla_master_rend].[Kg_Solidos_leche].[All]" dimensionUniqueName="[Tabla_master_rend]" displayFolder="" count="0" memberValueDatatype="5" unbalanced="0"/>
    <cacheHierarchy uniqueName="[Tabla_master_rend].[%MG_QUESO]" caption="%MG_QUESO" attribute="1" defaultMemberUniqueName="[Tabla_master_rend].[%MG_QUESO].[All]" allUniqueName="[Tabla_master_rend].[%MG_QUESO].[All]" dimensionUniqueName="[Tabla_master_rend]" displayFolder="" count="0" memberValueDatatype="5" unbalanced="0"/>
    <cacheHierarchy uniqueName="[Tabla_master_rend].[%PT_QUESO]" caption="%PT_QUESO" attribute="1" defaultMemberUniqueName="[Tabla_master_rend].[%PT_QUESO].[All]" allUniqueName="[Tabla_master_rend].[%PT_QUESO].[All]" dimensionUniqueName="[Tabla_master_rend]" displayFolder="" count="0" memberValueDatatype="5" unbalanced="0"/>
    <cacheHierarchy uniqueName="[Tabla_master_rend].[ES_QUESO]" caption="ES_QUESO" attribute="1" defaultMemberUniqueName="[Tabla_master_rend].[ES_QUESO].[All]" allUniqueName="[Tabla_master_rend].[ES_QUESO].[All]" dimensionUniqueName="[Tabla_master_rend]" displayFolder="" count="0" memberValueDatatype="5" unbalanced="0"/>
    <cacheHierarchy uniqueName="[Tabla_master_rend].[Rendimiento_Solidos_%]" caption="Rendimiento_Solidos_%" attribute="1" defaultMemberUniqueName="[Tabla_master_rend].[Rendimiento_Solidos_%].[All]" allUniqueName="[Tabla_master_rend].[Rendimiento_Solidos_%].[All]" dimensionUniqueName="[Tabla_master_rend]" displayFolder="" count="0" memberValueDatatype="5" unbalanced="0"/>
    <cacheHierarchy uniqueName="[Tabla_master_rend].[Kg_MG_Nata]" caption="Kg_MG_Nata" attribute="1" defaultMemberUniqueName="[Tabla_master_rend].[Kg_MG_Nata].[All]" allUniqueName="[Tabla_master_rend].[Kg_MG_Nata].[All]" dimensionUniqueName="[Tabla_master_rend]" displayFolder="" count="0" memberValueDatatype="5" unbalanced="0"/>
    <cacheHierarchy uniqueName="[Tabla_master_rend].[%RECUP_MG]" caption="%RECUP_MG" attribute="1" defaultMemberUniqueName="[Tabla_master_rend].[%RECUP_MG].[All]" allUniqueName="[Tabla_master_rend].[%RECUP_MG].[All]" dimensionUniqueName="[Tabla_master_rend]" displayFolder="" count="0" memberValueDatatype="5" unbalanced="0"/>
    <cacheHierarchy uniqueName="[Tabla_master_rend].[%RECUP_PT]" caption="%RECUP_PT" attribute="1" defaultMemberUniqueName="[Tabla_master_rend].[%RECUP_PT].[All]" allUniqueName="[Tabla_master_rend].[%RECUP_PT].[All]" dimensionUniqueName="[Tabla_master_rend]" displayFolder="" count="0" memberValueDatatype="5" unbalanced="0"/>
    <cacheHierarchy uniqueName="[Tabla_master_rend].[Valor_Nata_€]" caption="Valor_Nata_€" attribute="1" defaultMemberUniqueName="[Tabla_master_rend].[Valor_Nata_€].[All]" allUniqueName="[Tabla_master_rend].[Valor_Nata_€].[All]" dimensionUniqueName="[Tabla_master_rend]" displayFolder="" count="0" memberValueDatatype="5" unbalanced="0"/>
    <cacheHierarchy uniqueName="[Tabla_master_rend].[Kg_Finos]" caption="Kg_Finos" attribute="1" defaultMemberUniqueName="[Tabla_master_rend].[Kg_Finos].[All]" allUniqueName="[Tabla_master_rend].[Kg_Finos].[All]" dimensionUniqueName="[Tabla_master_rend]" displayFolder="" count="0" memberValueDatatype="5" unbalanced="0"/>
    <cacheHierarchy uniqueName="[Tabla_master_rend].[Kg_Llenadora]" caption="Kg_Llenadora" attribute="1" defaultMemberUniqueName="[Tabla_master_rend].[Kg_Llenadora].[All]" allUniqueName="[Tabla_master_rend].[Kg_Llenadora].[All]" dimensionUniqueName="[Tabla_master_rend]" displayFolder="" count="0" memberValueDatatype="5" unbalanced="0"/>
    <cacheHierarchy uniqueName="[Tabla_master_rend].[Kg_Desmoldeo]" caption="Kg_Desmoldeo" attribute="1" defaultMemberUniqueName="[Tabla_master_rend].[Kg_Desmoldeo].[All]" allUniqueName="[Tabla_master_rend].[Kg_Desmoldeo].[All]" dimensionUniqueName="[Tabla_master_rend]" displayFolder="" count="0" memberValueDatatype="5" unbalanced="0"/>
    <cacheHierarchy uniqueName="[Tabla_master_rend].[Merma_fab]" caption="Merma_fab" attribute="1" defaultMemberUniqueName="[Tabla_master_rend].[Merma_fab].[All]" allUniqueName="[Tabla_master_rend].[Merma_fab].[All]" dimensionUniqueName="[Tabla_master_rend]" displayFolder="" count="0" memberValueDatatype="5" unbalanced="0"/>
    <cacheHierarchy uniqueName="[Tabla_master_rend].[% Merma_fab2]" caption="% Merma_fab2" attribute="1" defaultMemberUniqueName="[Tabla_master_rend].[% Merma_fab2].[All]" allUniqueName="[Tabla_master_rend].[% Merma_fab2].[All]" dimensionUniqueName="[Tabla_master_rend]" displayFolder="" count="0" memberValueDatatype="5" unbalanced="0"/>
    <cacheHierarchy uniqueName="[Tabla_master_rend].[L_Agua]" caption="L_Agua" attribute="1" defaultMemberUniqueName="[Tabla_master_rend].[L_Agua].[All]" allUniqueName="[Tabla_master_rend].[L_Agua].[All]" dimensionUniqueName="[Tabla_master_rend]" displayFolder="" count="0" memberValueDatatype="20" unbalanced="0"/>
    <cacheHierarchy uniqueName="[Tabla_master_rend].[% oreo]" caption="% oreo" attribute="1" defaultMemberUniqueName="[Tabla_master_rend].[% oreo].[All]" allUniqueName="[Tabla_master_rend].[% oreo].[All]" dimensionUniqueName="[Tabla_master_rend]" displayFolder="" count="0" memberValueDatatype="5" unbalanced="0"/>
    <cacheHierarchy uniqueName="[Tabla_master_rend].[B_totales]" caption="B_totales" attribute="1" defaultMemberUniqueName="[Tabla_master_rend].[B_totales].[All]" allUniqueName="[Tabla_master_rend].[B_totales].[All]" dimensionUniqueName="[Tabla_master_rend]" displayFolder="" count="0" memberValueDatatype="5" unbalanced="0"/>
    <cacheHierarchy uniqueName="[Tabla_master_rend].[B_OK_uni]" caption="B_OK_uni" attribute="1" defaultMemberUniqueName="[Tabla_master_rend].[B_OK_uni].[All]" allUniqueName="[Tabla_master_rend].[B_OK_uni].[All]" dimensionUniqueName="[Tabla_master_rend]" displayFolder="" count="0" memberValueDatatype="5" unbalanced="0"/>
    <cacheHierarchy uniqueName="[Tabla_master_rend].[B_OK_kg]" caption="B_OK_kg" attribute="1" defaultMemberUniqueName="[Tabla_master_rend].[B_OK_kg].[All]" allUniqueName="[Tabla_master_rend].[B_OK_kg].[All]" dimensionUniqueName="[Tabla_master_rend]" displayFolder="" count="0" memberValueDatatype="5" unbalanced="0"/>
    <cacheHierarchy uniqueName="[Tabla_master_rend].[B_altas]" caption="B_altas" attribute="1" defaultMemberUniqueName="[Tabla_master_rend].[B_altas].[All]" allUniqueName="[Tabla_master_rend].[B_altas].[All]" dimensionUniqueName="[Tabla_master_rend]" displayFolder="" count="0" memberValueDatatype="5" unbalanced="0"/>
    <cacheHierarchy uniqueName="[Tabla_master_rend].[B_bajas]" caption="B_bajas" attribute="1" defaultMemberUniqueName="[Tabla_master_rend].[B_bajas].[All]" allUniqueName="[Tabla_master_rend].[B_bajas].[All]" dimensionUniqueName="[Tabla_master_rend]" displayFolder="" count="0" memberValueDatatype="5" unbalanced="0"/>
    <cacheHierarchy uniqueName="[Tabla_master_rend].[B_rotas]" caption="B_rotas" attribute="1" defaultMemberUniqueName="[Tabla_master_rend].[B_rotas].[All]" allUniqueName="[Tabla_master_rend].[B_rotas].[All]" dimensionUniqueName="[Tabla_master_rend]" displayFolder="" count="0" memberValueDatatype="5" unbalanced="0"/>
    <cacheHierarchy uniqueName="[Tabla_master_rend].[B_feas]" caption="B_feas" attribute="1" defaultMemberUniqueName="[Tabla_master_rend].[B_feas].[All]" allUniqueName="[Tabla_master_rend].[B_feas].[All]" dimensionUniqueName="[Tabla_master_rend]" displayFolder="" count="0" memberValueDatatype="5" unbalanced="0"/>
    <cacheHierarchy uniqueName="[Tabla_master_rend].[B_lab]" caption="B_lab" attribute="1" defaultMemberUniqueName="[Tabla_master_rend].[B_lab].[All]" allUniqueName="[Tabla_master_rend].[B_lab].[All]" dimensionUniqueName="[Tabla_master_rend]" displayFolder="" count="0" memberValueDatatype="5" unbalanced="0"/>
    <cacheHierarchy uniqueName="[Tabla_master_rend].[Kg_SalidaSecadero]" caption="Kg_SalidaSecadero" attribute="1" defaultMemberUniqueName="[Tabla_master_rend].[Kg_SalidaSecadero].[All]" allUniqueName="[Tabla_master_rend].[Kg_SalidaSecadero].[All]" dimensionUniqueName="[Tabla_master_rend]" displayFolder="" count="0" memberValueDatatype="5" unbalanced="0"/>
    <cacheHierarchy uniqueName="[Tabla_master_rend].[Kg_rebaba]" caption="Kg_rebaba" attribute="1" defaultMemberUniqueName="[Tabla_master_rend].[Kg_rebaba].[All]" allUniqueName="[Tabla_master_rend].[Kg_rebaba].[All]" dimensionUniqueName="[Tabla_master_rend]" displayFolder="" count="0" memberValueDatatype="5" unbalanced="0"/>
    <cacheHierarchy uniqueName="[Tabla_master_rend].[Kg_mer_env_real]" caption="Kg_mer_env_real" attribute="1" defaultMemberUniqueName="[Tabla_master_rend].[Kg_mer_env_real].[All]" allUniqueName="[Tabla_master_rend].[Kg_mer_env_real].[All]" dimensionUniqueName="[Tabla_master_rend]" displayFolder="" count="0" memberValueDatatype="5" unbalanced="0"/>
    <cacheHierarchy uniqueName="[Tabla_master_rend].[kg_mer_lab_real]" caption="kg_mer_lab_real" attribute="1" defaultMemberUniqueName="[Tabla_master_rend].[kg_mer_lab_real].[All]" allUniqueName="[Tabla_master_rend].[kg_mer_lab_real].[All]" dimensionUniqueName="[Tabla_master_rend]" displayFolder="" count="0" memberValueDatatype="5" unbalanced="0"/>
    <cacheHierarchy uniqueName="[Tabla_master_rend].[%Merma_env]" caption="%Merma_env" attribute="1" defaultMemberUniqueName="[Tabla_master_rend].[%Merma_env].[All]" allUniqueName="[Tabla_master_rend].[%Merma_env].[All]" dimensionUniqueName="[Tabla_master_rend]" displayFolder="" count="0" memberValueDatatype="5" unbalanced="0"/>
    <cacheHierarchy uniqueName="[Tabla_master_rend].[%Merma_env_corr]" caption="%Merma_env_corr" attribute="1" defaultMemberUniqueName="[Tabla_master_rend].[%Merma_env_corr].[All]" allUniqueName="[Tabla_master_rend].[%Merma_env_corr].[All]" dimensionUniqueName="[Tabla_master_rend]" displayFolder="" count="0" memberValueDatatype="5" unbalanced="0"/>
    <cacheHierarchy uniqueName="[Tabla_master_rend].[% merma TOT]" caption="% merma TOT" attribute="1" defaultMemberUniqueName="[Tabla_master_rend].[% merma TOT].[All]" allUniqueName="[Tabla_master_rend].[% merma TOT].[All]" dimensionUniqueName="[Tabla_master_rend]" displayFolder="" count="0" memberValueDatatype="5" unbalanced="0"/>
    <cacheHierarchy uniqueName="[Tabla_master_rend].[Merma_TOT]" caption="Merma_TOT" attribute="1" defaultMemberUniqueName="[Tabla_master_rend].[Merma_TOT].[All]" allUniqueName="[Tabla_master_rend].[Merma_TOT].[All]" dimensionUniqueName="[Tabla_master_rend]" displayFolder="" count="0" memberValueDatatype="5" unbalanced="0"/>
    <cacheHierarchy uniqueName="[Tabla_master_rend].[Kg_Env_Total]" caption="Kg_Env_Total" attribute="1" defaultMemberUniqueName="[Tabla_master_rend].[Kg_Env_Total].[All]" allUniqueName="[Tabla_master_rend].[Kg_Env_Total].[All]" dimensionUniqueName="[Tabla_master_rend]" displayFolder="" count="0" memberValueDatatype="5" unbalanced="0"/>
    <cacheHierarchy uniqueName="[Tabla_master_rend].[Coste_Leche_€]" caption="Coste_Leche_€" attribute="1" defaultMemberUniqueName="[Tabla_master_rend].[Coste_Leche_€].[All]" allUniqueName="[Tabla_master_rend].[Coste_Leche_€].[All]" dimensionUniqueName="[Tabla_master_rend]" displayFolder="" count="0" memberValueDatatype="5" unbalanced="0"/>
    <cacheHierarchy uniqueName="[Tabla_master_rend].[€/kg_MPQueso]" caption="€/kg_MPQueso" attribute="1" defaultMemberUniqueName="[Tabla_master_rend].[€/kg_MPQueso].[All]" allUniqueName="[Tabla_master_rend].[€/kg_MPQueso].[All]" dimensionUniqueName="[Tabla_master_rend]" displayFolder="" count="0" memberValueDatatype="5" unbalanced="0"/>
    <cacheHierarchy uniqueName="[Tabla_master_rend].[Merma_inic]" caption="Merma_inic" attribute="1" defaultMemberUniqueName="[Tabla_master_rend].[Merma_inic].[All]" allUniqueName="[Tabla_master_rend].[Merma_inic].[All]" dimensionUniqueName="[Tabla_master_rend]" displayFolder="" count="0" memberValueDatatype="5" unbalanced="0"/>
    <cacheHierarchy uniqueName="[Tabla_master_rend].[Recup_kg]" caption="Recup_kg" attribute="1" defaultMemberUniqueName="[Tabla_master_rend].[Recup_kg].[All]" allUniqueName="[Tabla_master_rend].[Recup_kg].[All]" dimensionUniqueName="[Tabla_master_rend]" displayFolder="" count="0" memberValueDatatype="5" unbalanced="0"/>
    <cacheHierarchy uniqueName="[Tabla_master_rend].[Recup_%]" caption="Recup_%" attribute="1" defaultMemberUniqueName="[Tabla_master_rend].[Recup_%].[All]" allUniqueName="[Tabla_master_rend].[Recup_%].[All]" dimensionUniqueName="[Tabla_master_rend]" displayFolder="" count="0" memberValueDatatype="5" unbalanced="0"/>
    <cacheHierarchy uniqueName="[Tabla_master_rend].[Merma_ppto fab]" caption="Merma_ppto fab" attribute="1" defaultMemberUniqueName="[Tabla_master_rend].[Merma_ppto fab].[All]" allUniqueName="[Tabla_master_rend].[Merma_ppto fab].[All]" dimensionUniqueName="[Tabla_master_rend]" displayFolder="" count="0" memberValueDatatype="5" unbalanced="0"/>
    <cacheHierarchy uniqueName="[Tabla_master_rend].[Merma_ppto oreo]" caption="Merma_ppto oreo" attribute="1" defaultMemberUniqueName="[Tabla_master_rend].[Merma_ppto oreo].[All]" allUniqueName="[Tabla_master_rend].[Merma_ppto oreo].[All]" dimensionUniqueName="[Tabla_master_rend]" displayFolder="" count="0" memberValueDatatype="5" unbalanced="0"/>
    <cacheHierarchy uniqueName="[Tabla_master_rend].[Merma_ppto Env/Enc]" caption="Merma_ppto Env/Enc" attribute="1" defaultMemberUniqueName="[Tabla_master_rend].[Merma_ppto Env/Enc].[All]" allUniqueName="[Tabla_master_rend].[Merma_ppto Env/Enc].[All]" dimensionUniqueName="[Tabla_master_rend]" displayFolder="" count="0" memberValueDatatype="5" unbalanced="0"/>
    <cacheHierarchy uniqueName="[Tabla_master_rend].[Merma_T ppto]" caption="Merma_T ppto" attribute="1" defaultMemberUniqueName="[Tabla_master_rend].[Merma_T ppto].[All]" allUniqueName="[Tabla_master_rend].[Merma_T ppto].[All]" dimensionUniqueName="[Tabla_master_rend]" displayFolder="" count="0" memberValueDatatype="5" unbalanced="0"/>
    <cacheHierarchy uniqueName="[Tabla_master_rend].[Merma_T ppto %]" caption="Merma_T ppto %" attribute="1" defaultMemberUniqueName="[Tabla_master_rend].[Merma_T ppto %].[All]" allUniqueName="[Tabla_master_rend].[Merma_T ppto %].[All]" dimensionUniqueName="[Tabla_master_rend]" displayFolder="" count="0" memberValueDatatype="5" unbalanced="0"/>
    <cacheHierarchy uniqueName="[Tabla_master_rend].[Merma_T real %]" caption="Merma_T real %" attribute="1" defaultMemberUniqueName="[Tabla_master_rend].[Merma_T real %].[All]" allUniqueName="[Tabla_master_rend].[Merma_T real %].[All]" dimensionUniqueName="[Tabla_master_rend]" displayFolder="" count="0" memberValueDatatype="5" unbalanced="0"/>
    <cacheHierarchy uniqueName="[Tabla_master_rend].[DIF R Vs PPTO]" caption="DIF R Vs PPTO" attribute="1" defaultMemberUniqueName="[Tabla_master_rend].[DIF R Vs PPTO].[All]" allUniqueName="[Tabla_master_rend].[DIF R Vs PPTO].[All]" dimensionUniqueName="[Tabla_master_rend]" displayFolder="" count="0" memberValueDatatype="5" unbalanced="0"/>
    <cacheHierarchy uniqueName="[Tabla_master_rend].[IMPACTO]" caption="IMPACTO" attribute="1" defaultMemberUniqueName="[Tabla_master_rend].[IMPACTO].[All]" allUniqueName="[Tabla_master_rend].[IMPACTO].[All]" dimensionUniqueName="[Tabla_master_rend]" displayFolder="" count="0" memberValueDatatype="5" unbalanced="0"/>
    <cacheHierarchy uniqueName="[Tabla_master_rend].[IMPACTO_vs_PPTO]" caption="IMPACTO_vs_PPTO" attribute="1" defaultMemberUniqueName="[Tabla_master_rend].[IMPACTO_vs_PPTO].[All]" allUniqueName="[Tabla_master_rend].[IMPACTO_vs_PPTO].[All]" dimensionUniqueName="[Tabla_master_rend]" displayFolder="" count="0" memberValueDatatype="5" unbalanced="0"/>
    <cacheHierarchy uniqueName="[Tabla_master_rend].[Fecha (mes)]" caption="Fecha (mes)" attribute="1" defaultMemberUniqueName="[Tabla_master_rend].[Fecha (mes)].[All]" allUniqueName="[Tabla_master_rend].[Fecha (mes)].[All]" dimensionUniqueName="[Tabla_master_rend]" displayFolder="" count="0" memberValueDatatype="130" unbalanced="0"/>
    <cacheHierarchy uniqueName="[Tabla_master_rend 1].[Fecha]" caption="Fecha" attribute="1" time="1" defaultMemberUniqueName="[Tabla_master_rend 1].[Fecha].[All]" allUniqueName="[Tabla_master_rend 1].[Fecha].[All]" dimensionUniqueName="[Tabla_master_rend 1]" displayFolder="" count="0" memberValueDatatype="7" unbalanced="0"/>
    <cacheHierarchy uniqueName="[Tabla_master_rend 1].[mes]" caption="mes" attribute="1" defaultMemberUniqueName="[Tabla_master_rend 1].[mes].[All]" allUniqueName="[Tabla_master_rend 1].[mes].[All]" dimensionUniqueName="[Tabla_master_rend 1]" displayFolder="" count="0" memberValueDatatype="20" unbalanced="0"/>
    <cacheHierarchy uniqueName="[Tabla_master_rend 1].[Mes_Nom]" caption="Mes_Nom" attribute="1" defaultMemberUniqueName="[Tabla_master_rend 1].[Mes_Nom].[All]" allUniqueName="[Tabla_master_rend 1].[Mes_Nom].[All]" dimensionUniqueName="[Tabla_master_rend 1]" displayFolder="" count="0" memberValueDatatype="130" unbalanced="0"/>
    <cacheHierarchy uniqueName="[Tabla_master_rend 1].[Día]" caption="Día" attribute="1" defaultMemberUniqueName="[Tabla_master_rend 1].[Día].[All]" allUniqueName="[Tabla_master_rend 1].[Día].[All]" dimensionUniqueName="[Tabla_master_rend 1]" displayFolder="" count="0" memberValueDatatype="130" unbalanced="0"/>
    <cacheHierarchy uniqueName="[Tabla_master_rend 1].[Lote]" caption="Lote" attribute="1" defaultMemberUniqueName="[Tabla_master_rend 1].[Lote].[All]" allUniqueName="[Tabla_master_rend 1].[Lote].[All]" dimensionUniqueName="[Tabla_master_rend 1]" displayFolder="" count="0" memberValueDatatype="130" unbalanced="0"/>
    <cacheHierarchy uniqueName="[Tabla_master_rend 1].[Producto]" caption="Producto" attribute="1" defaultMemberUniqueName="[Tabla_master_rend 1].[Producto].[All]" allUniqueName="[Tabla_master_rend 1].[Producto].[All]" dimensionUniqueName="[Tabla_master_rend 1]" displayFolder="" count="0" memberValueDatatype="130" unbalanced="0"/>
    <cacheHierarchy uniqueName="[Tabla_master_rend 1].[Cubas_prod]" caption="Cubas_prod" attribute="1" defaultMemberUniqueName="[Tabla_master_rend 1].[Cubas_prod].[All]" allUniqueName="[Tabla_master_rend 1].[Cubas_prod].[All]" dimensionUniqueName="[Tabla_master_rend 1]" displayFolder="" count="0" memberValueDatatype="20" unbalanced="0"/>
    <cacheHierarchy uniqueName="[Tabla_master_rend 1].[Litros_Leche_Total]" caption="Litros_Leche_Total" attribute="1" defaultMemberUniqueName="[Tabla_master_rend 1].[Litros_Leche_Total].[All]" allUniqueName="[Tabla_master_rend 1].[Litros_Leche_Total].[All]" dimensionUniqueName="[Tabla_master_rend 1]" displayFolder="" count="0" memberValueDatatype="20" unbalanced="0"/>
    <cacheHierarchy uniqueName="[Tabla_master_rend 1].[L_Leche_ent]" caption="L_Leche_ent" attribute="1" defaultMemberUniqueName="[Tabla_master_rend 1].[L_Leche_ent].[All]" allUniqueName="[Tabla_master_rend 1].[L_Leche_ent].[All]" dimensionUniqueName="[Tabla_master_rend 1]" displayFolder="" count="0" memberValueDatatype="20" unbalanced="0"/>
    <cacheHierarchy uniqueName="[Tabla_master_rend 1].[%MG_Leche]" caption="%MG_Leche" attribute="1" defaultMemberUniqueName="[Tabla_master_rend 1].[%MG_Leche].[All]" allUniqueName="[Tabla_master_rend 1].[%MG_Leche].[All]" dimensionUniqueName="[Tabla_master_rend 1]" displayFolder="" count="0" memberValueDatatype="5" unbalanced="0"/>
    <cacheHierarchy uniqueName="[Tabla_master_rend 1].[%MP_Leche]" caption="%MP_Leche" attribute="1" defaultMemberUniqueName="[Tabla_master_rend 1].[%MP_Leche].[All]" allUniqueName="[Tabla_master_rend 1].[%MP_Leche].[All]" dimensionUniqueName="[Tabla_master_rend 1]" displayFolder="" count="0" memberValueDatatype="5" unbalanced="0"/>
    <cacheHierarchy uniqueName="[Tabla_master_rend 1].[EST_%]" caption="EST_%" attribute="1" defaultMemberUniqueName="[Tabla_master_rend 1].[EST_%].[All]" allUniqueName="[Tabla_master_rend 1].[EST_%].[All]" dimensionUniqueName="[Tabla_master_rend 1]" displayFolder="" count="0" memberValueDatatype="5" unbalanced="0"/>
    <cacheHierarchy uniqueName="[Tabla_master_rend 1].[Desn_en_linea]" caption="Desn_en_linea" attribute="1" defaultMemberUniqueName="[Tabla_master_rend 1].[Desn_en_linea].[All]" allUniqueName="[Tabla_master_rend 1].[Desn_en_linea].[All]" dimensionUniqueName="[Tabla_master_rend 1]" displayFolder="" count="0" memberValueDatatype="130" unbalanced="0"/>
    <cacheHierarchy uniqueName="[Tabla_master_rend 1].[L_desn_ext]" caption="L_desn_ext" attribute="1" defaultMemberUniqueName="[Tabla_master_rend 1].[L_desn_ext].[All]" allUniqueName="[Tabla_master_rend 1].[L_desn_ext].[All]" dimensionUniqueName="[Tabla_master_rend 1]" displayFolder="" count="0" memberValueDatatype="20" unbalanced="0"/>
    <cacheHierarchy uniqueName="[Tabla_master_rend 1].[L_cabra]" caption="L_cabra" attribute="1" defaultMemberUniqueName="[Tabla_master_rend 1].[L_cabra].[All]" allUniqueName="[Tabla_master_rend 1].[L_cabra].[All]" dimensionUniqueName="[Tabla_master_rend 1]" displayFolder="" count="0" memberValueDatatype="20" unbalanced="0"/>
    <cacheHierarchy uniqueName="[Tabla_master_rend 1].[L_oveja]" caption="L_oveja" attribute="1" defaultMemberUniqueName="[Tabla_master_rend 1].[L_oveja].[All]" allUniqueName="[Tabla_master_rend 1].[L_oveja].[All]" dimensionUniqueName="[Tabla_master_rend 1]" displayFolder="" count="0" memberValueDatatype="20" unbalanced="0"/>
    <cacheHierarchy uniqueName="[Tabla_master_rend 1].[Litros_Nata]" caption="Litros_Nata" attribute="1" defaultMemberUniqueName="[Tabla_master_rend 1].[Litros_Nata].[All]" allUniqueName="[Tabla_master_rend 1].[Litros_Nata].[All]" dimensionUniqueName="[Tabla_master_rend 1]" displayFolder="" count="0" memberValueDatatype="20" unbalanced="0"/>
    <cacheHierarchy uniqueName="[Tabla_master_rend 1].[L_nata_suero]" caption="L_nata_suero" attribute="1" defaultMemberUniqueName="[Tabla_master_rend 1].[L_nata_suero].[All]" allUniqueName="[Tabla_master_rend 1].[L_nata_suero].[All]" dimensionUniqueName="[Tabla_master_rend 1]" displayFolder="" count="0" memberValueDatatype="20" unbalanced="0"/>
    <cacheHierarchy uniqueName="[Tabla_master_rend 1].[L_suero Total]" caption="L_suero Total" attribute="1" defaultMemberUniqueName="[Tabla_master_rend 1].[L_suero Total].[All]" allUniqueName="[Tabla_master_rend 1].[L_suero Total].[All]" dimensionUniqueName="[Tabla_master_rend 1]" displayFolder="" count="0" memberValueDatatype="20" unbalanced="0"/>
    <cacheHierarchy uniqueName="[Tabla_master_rend 1].[%Suero_vs_leche]" caption="%Suero_vs_leche" attribute="1" defaultMemberUniqueName="[Tabla_master_rend 1].[%Suero_vs_leche].[All]" allUniqueName="[Tabla_master_rend 1].[%Suero_vs_leche].[All]" dimensionUniqueName="[Tabla_master_rend 1]" displayFolder="" count="0" memberValueDatatype="5" unbalanced="0"/>
    <cacheHierarchy uniqueName="[Tabla_master_rend 1].[MG_suero]" caption="MG_suero" attribute="1" defaultMemberUniqueName="[Tabla_master_rend 1].[MG_suero].[All]" allUniqueName="[Tabla_master_rend 1].[MG_suero].[All]" dimensionUniqueName="[Tabla_master_rend 1]" displayFolder="" count="0" memberValueDatatype="5" unbalanced="0"/>
    <cacheHierarchy uniqueName="[Tabla_master_rend 1].[MP_suero]" caption="MP_suero" attribute="1" defaultMemberUniqueName="[Tabla_master_rend 1].[MP_suero].[All]" allUniqueName="[Tabla_master_rend 1].[MP_suero].[All]" dimensionUniqueName="[Tabla_master_rend 1]" displayFolder="" count="0" memberValueDatatype="5" unbalanced="0"/>
    <cacheHierarchy uniqueName="[Tabla_master_rend 1].[L_suero para con]" caption="L_suero para con" attribute="1" defaultMemberUniqueName="[Tabla_master_rend 1].[L_suero para con].[All]" allUniqueName="[Tabla_master_rend 1].[L_suero para con].[All]" dimensionUniqueName="[Tabla_master_rend 1]" displayFolder="" count="0" memberValueDatatype="20" unbalanced="0"/>
    <cacheHierarchy uniqueName="[Tabla_master_rend 1].[L_suero_con]" caption="L_suero_con" attribute="1" defaultMemberUniqueName="[Tabla_master_rend 1].[L_suero_con].[All]" allUniqueName="[Tabla_master_rend 1].[L_suero_con].[All]" dimensionUniqueName="[Tabla_master_rend 1]" displayFolder="" count="0" memberValueDatatype="20" unbalanced="0"/>
    <cacheHierarchy uniqueName="[Tabla_master_rend 1].[Rartio_sueroC]" caption="Rartio_sueroC" attribute="1" defaultMemberUniqueName="[Tabla_master_rend 1].[Rartio_sueroC].[All]" allUniqueName="[Tabla_master_rend 1].[Rartio_sueroC].[All]" dimensionUniqueName="[Tabla_master_rend 1]" displayFolder="" count="0" memberValueDatatype="5" unbalanced="0"/>
    <cacheHierarchy uniqueName="[Tabla_master_rend 1].[L_Suero_Sobrante]" caption="L_Suero_Sobrante" attribute="1" defaultMemberUniqueName="[Tabla_master_rend 1].[L_Suero_Sobrante].[All]" allUniqueName="[Tabla_master_rend 1].[L_Suero_Sobrante].[All]" dimensionUniqueName="[Tabla_master_rend 1]" displayFolder="" count="0" memberValueDatatype="20" unbalanced="0"/>
    <cacheHierarchy uniqueName="[Tabla_master_rend 1].[MG_sueroc]" caption="MG_sueroc" attribute="1" defaultMemberUniqueName="[Tabla_master_rend 1].[MG_sueroc].[All]" allUniqueName="[Tabla_master_rend 1].[MG_sueroc].[All]" dimensionUniqueName="[Tabla_master_rend 1]" displayFolder="" count="0" memberValueDatatype="130" unbalanced="0"/>
    <cacheHierarchy uniqueName="[Tabla_master_rend 1].[MP_sueroc]" caption="MP_sueroc" attribute="1" defaultMemberUniqueName="[Tabla_master_rend 1].[MP_sueroc].[All]" allUniqueName="[Tabla_master_rend 1].[MP_sueroc].[All]" dimensionUniqueName="[Tabla_master_rend 1]" displayFolder="" count="0" memberValueDatatype="130" unbalanced="0"/>
    <cacheHierarchy uniqueName="[Tabla_master_rend 1].[L_LPS_Gen]" caption="L_LPS_Gen" attribute="1" defaultMemberUniqueName="[Tabla_master_rend 1].[L_LPS_Gen].[All]" allUniqueName="[Tabla_master_rend 1].[L_LPS_Gen].[All]" dimensionUniqueName="[Tabla_master_rend 1]" displayFolder="" count="0" memberValueDatatype="20" unbalanced="0"/>
    <cacheHierarchy uniqueName="[Tabla_master_rend 1].[L_LPS_incor]" caption="L_LPS_incor" attribute="1" defaultMemberUniqueName="[Tabla_master_rend 1].[L_LPS_incor].[All]" allUniqueName="[Tabla_master_rend 1].[L_LPS_incor].[All]" dimensionUniqueName="[Tabla_master_rend 1]" displayFolder="" count="0" memberValueDatatype="20" unbalanced="0"/>
    <cacheHierarchy uniqueName="[Tabla_master_rend 1].[gr_LPS]" caption="gr_LPS" attribute="1" defaultMemberUniqueName="[Tabla_master_rend 1].[gr_LPS].[All]" allUniqueName="[Tabla_master_rend 1].[gr_LPS].[All]" dimensionUniqueName="[Tabla_master_rend 1]" displayFolder="" count="0" memberValueDatatype="20" unbalanced="0"/>
    <cacheHierarchy uniqueName="[Tabla_master_rend 1].[MG_LPS]" caption="MG_LPS" attribute="1" defaultMemberUniqueName="[Tabla_master_rend 1].[MG_LPS].[All]" allUniqueName="[Tabla_master_rend 1].[MG_LPS].[All]" dimensionUniqueName="[Tabla_master_rend 1]" displayFolder="" count="0" memberValueDatatype="5" unbalanced="0"/>
    <cacheHierarchy uniqueName="[Tabla_master_rend 1].[MP_LPS]" caption="MP_LPS" attribute="1" defaultMemberUniqueName="[Tabla_master_rend 1].[MP_LPS].[All]" allUniqueName="[Tabla_master_rend 1].[MP_LPS].[All]" dimensionUniqueName="[Tabla_master_rend 1]" displayFolder="" count="0" memberValueDatatype="5" unbalanced="0"/>
    <cacheHierarchy uniqueName="[Tabla_master_rend 1].[Kg_Queso_Blan]" caption="Kg_Queso_Blan" attribute="1" defaultMemberUniqueName="[Tabla_master_rend 1].[Kg_Queso_Blan].[All]" allUniqueName="[Tabla_master_rend 1].[Kg_Queso_Blan].[All]" dimensionUniqueName="[Tabla_master_rend 1]" displayFolder="" count="0" memberValueDatatype="5" unbalanced="0"/>
    <cacheHierarchy uniqueName="[Tabla_master_rend 1].[RDTO_Blanco]" caption="RDTO_Blanco" attribute="1" defaultMemberUniqueName="[Tabla_master_rend 1].[RDTO_Blanco].[All]" allUniqueName="[Tabla_master_rend 1].[RDTO_Blanco].[All]" dimensionUniqueName="[Tabla_master_rend 1]" displayFolder="" count="0" memberValueDatatype="5" unbalanced="0"/>
    <cacheHierarchy uniqueName="[Tabla_master_rend 1].[RDTO_NETO]" caption="RDTO_NETO" attribute="1" defaultMemberUniqueName="[Tabla_master_rend 1].[RDTO_NETO].[All]" allUniqueName="[Tabla_master_rend 1].[RDTO_NETO].[All]" dimensionUniqueName="[Tabla_master_rend 1]" displayFolder="" count="0" memberValueDatatype="5" unbalanced="0"/>
    <cacheHierarchy uniqueName="[Tabla_master_rend 1].[REND_TARGET]" caption="REND_TARGET" attribute="1" defaultMemberUniqueName="[Tabla_master_rend 1].[REND_TARGET].[All]" allUniqueName="[Tabla_master_rend 1].[REND_TARGET].[All]" dimensionUniqueName="[Tabla_master_rend 1]" displayFolder="" count="0" memberValueDatatype="5" unbalanced="0"/>
    <cacheHierarchy uniqueName="[Tabla_master_rend 1].[Kg_Solidos_leche]" caption="Kg_Solidos_leche" attribute="1" defaultMemberUniqueName="[Tabla_master_rend 1].[Kg_Solidos_leche].[All]" allUniqueName="[Tabla_master_rend 1].[Kg_Solidos_leche].[All]" dimensionUniqueName="[Tabla_master_rend 1]" displayFolder="" count="0" memberValueDatatype="5" unbalanced="0"/>
    <cacheHierarchy uniqueName="[Tabla_master_rend 1].[%MG_QUESO]" caption="%MG_QUESO" attribute="1" defaultMemberUniqueName="[Tabla_master_rend 1].[%MG_QUESO].[All]" allUniqueName="[Tabla_master_rend 1].[%MG_QUESO].[All]" dimensionUniqueName="[Tabla_master_rend 1]" displayFolder="" count="0" memberValueDatatype="5" unbalanced="0"/>
    <cacheHierarchy uniqueName="[Tabla_master_rend 1].[%PT_QUESO]" caption="%PT_QUESO" attribute="1" defaultMemberUniqueName="[Tabla_master_rend 1].[%PT_QUESO].[All]" allUniqueName="[Tabla_master_rend 1].[%PT_QUESO].[All]" dimensionUniqueName="[Tabla_master_rend 1]" displayFolder="" count="0" memberValueDatatype="5" unbalanced="0"/>
    <cacheHierarchy uniqueName="[Tabla_master_rend 1].[ES_QUESO]" caption="ES_QUESO" attribute="1" defaultMemberUniqueName="[Tabla_master_rend 1].[ES_QUESO].[All]" allUniqueName="[Tabla_master_rend 1].[ES_QUESO].[All]" dimensionUniqueName="[Tabla_master_rend 1]" displayFolder="" count="0" memberValueDatatype="5" unbalanced="0"/>
    <cacheHierarchy uniqueName="[Tabla_master_rend 1].[Rendimiento_Solidos_%]" caption="Rendimiento_Solidos_%" attribute="1" defaultMemberUniqueName="[Tabla_master_rend 1].[Rendimiento_Solidos_%].[All]" allUniqueName="[Tabla_master_rend 1].[Rendimiento_Solidos_%].[All]" dimensionUniqueName="[Tabla_master_rend 1]" displayFolder="" count="0" memberValueDatatype="5" unbalanced="0"/>
    <cacheHierarchy uniqueName="[Tabla_master_rend 1].[Kg_MG_Nata]" caption="Kg_MG_Nata" attribute="1" defaultMemberUniqueName="[Tabla_master_rend 1].[Kg_MG_Nata].[All]" allUniqueName="[Tabla_master_rend 1].[Kg_MG_Nata].[All]" dimensionUniqueName="[Tabla_master_rend 1]" displayFolder="" count="0" memberValueDatatype="5" unbalanced="0"/>
    <cacheHierarchy uniqueName="[Tabla_master_rend 1].[%RECUP_MG]" caption="%RECUP_MG" attribute="1" defaultMemberUniqueName="[Tabla_master_rend 1].[%RECUP_MG].[All]" allUniqueName="[Tabla_master_rend 1].[%RECUP_MG].[All]" dimensionUniqueName="[Tabla_master_rend 1]" displayFolder="" count="0" memberValueDatatype="5" unbalanced="0"/>
    <cacheHierarchy uniqueName="[Tabla_master_rend 1].[%RECUP_PT]" caption="%RECUP_PT" attribute="1" defaultMemberUniqueName="[Tabla_master_rend 1].[%RECUP_PT].[All]" allUniqueName="[Tabla_master_rend 1].[%RECUP_PT].[All]" dimensionUniqueName="[Tabla_master_rend 1]" displayFolder="" count="0" memberValueDatatype="5" unbalanced="0"/>
    <cacheHierarchy uniqueName="[Tabla_master_rend 1].[Valor_Nata_€]" caption="Valor_Nata_€" attribute="1" defaultMemberUniqueName="[Tabla_master_rend 1].[Valor_Nata_€].[All]" allUniqueName="[Tabla_master_rend 1].[Valor_Nata_€].[All]" dimensionUniqueName="[Tabla_master_rend 1]" displayFolder="" count="0" memberValueDatatype="5" unbalanced="0"/>
    <cacheHierarchy uniqueName="[Tabla_master_rend 1].[Kg_Finos]" caption="Kg_Finos" attribute="1" defaultMemberUniqueName="[Tabla_master_rend 1].[Kg_Finos].[All]" allUniqueName="[Tabla_master_rend 1].[Kg_Finos].[All]" dimensionUniqueName="[Tabla_master_rend 1]" displayFolder="" count="0" memberValueDatatype="5" unbalanced="0"/>
    <cacheHierarchy uniqueName="[Tabla_master_rend 1].[Kg_Llenadora]" caption="Kg_Llenadora" attribute="1" defaultMemberUniqueName="[Tabla_master_rend 1].[Kg_Llenadora].[All]" allUniqueName="[Tabla_master_rend 1].[Kg_Llenadora].[All]" dimensionUniqueName="[Tabla_master_rend 1]" displayFolder="" count="0" memberValueDatatype="5" unbalanced="0"/>
    <cacheHierarchy uniqueName="[Tabla_master_rend 1].[Kg_Desmoldeo]" caption="Kg_Desmoldeo" attribute="1" defaultMemberUniqueName="[Tabla_master_rend 1].[Kg_Desmoldeo].[All]" allUniqueName="[Tabla_master_rend 1].[Kg_Desmoldeo].[All]" dimensionUniqueName="[Tabla_master_rend 1]" displayFolder="" count="0" memberValueDatatype="5" unbalanced="0"/>
    <cacheHierarchy uniqueName="[Tabla_master_rend 1].[Merma_fab]" caption="Merma_fab" attribute="1" defaultMemberUniqueName="[Tabla_master_rend 1].[Merma_fab].[All]" allUniqueName="[Tabla_master_rend 1].[Merma_fab].[All]" dimensionUniqueName="[Tabla_master_rend 1]" displayFolder="" count="0" memberValueDatatype="5" unbalanced="0"/>
    <cacheHierarchy uniqueName="[Tabla_master_rend 1].[% Merma_fab2]" caption="% Merma_fab2" attribute="1" defaultMemberUniqueName="[Tabla_master_rend 1].[% Merma_fab2].[All]" allUniqueName="[Tabla_master_rend 1].[% Merma_fab2].[All]" dimensionUniqueName="[Tabla_master_rend 1]" displayFolder="" count="0" memberValueDatatype="5" unbalanced="0"/>
    <cacheHierarchy uniqueName="[Tabla_master_rend 1].[L_Agua]" caption="L_Agua" attribute="1" defaultMemberUniqueName="[Tabla_master_rend 1].[L_Agua].[All]" allUniqueName="[Tabla_master_rend 1].[L_Agua].[All]" dimensionUniqueName="[Tabla_master_rend 1]" displayFolder="" count="0" memberValueDatatype="20" unbalanced="0"/>
    <cacheHierarchy uniqueName="[Tabla_master_rend 1].[% oreo]" caption="% oreo" attribute="1" defaultMemberUniqueName="[Tabla_master_rend 1].[% oreo].[All]" allUniqueName="[Tabla_master_rend 1].[% oreo].[All]" dimensionUniqueName="[Tabla_master_rend 1]" displayFolder="" count="0" memberValueDatatype="5" unbalanced="0"/>
    <cacheHierarchy uniqueName="[Tabla_master_rend 1].[B_totales]" caption="B_totales" attribute="1" defaultMemberUniqueName="[Tabla_master_rend 1].[B_totales].[All]" allUniqueName="[Tabla_master_rend 1].[B_totales].[All]" dimensionUniqueName="[Tabla_master_rend 1]" displayFolder="" count="0" memberValueDatatype="20" unbalanced="0"/>
    <cacheHierarchy uniqueName="[Tabla_master_rend 1].[B_OK_uni]" caption="B_OK_uni" attribute="1" defaultMemberUniqueName="[Tabla_master_rend 1].[B_OK_uni].[All]" allUniqueName="[Tabla_master_rend 1].[B_OK_uni].[All]" dimensionUniqueName="[Tabla_master_rend 1]" displayFolder="" count="0" memberValueDatatype="20" unbalanced="0"/>
    <cacheHierarchy uniqueName="[Tabla_master_rend 1].[B_OK_kg]" caption="B_OK_kg" attribute="1" defaultMemberUniqueName="[Tabla_master_rend 1].[B_OK_kg].[All]" allUniqueName="[Tabla_master_rend 1].[B_OK_kg].[All]" dimensionUniqueName="[Tabla_master_rend 1]" displayFolder="" count="0" memberValueDatatype="20" unbalanced="0"/>
    <cacheHierarchy uniqueName="[Tabla_master_rend 1].[B_altas]" caption="B_altas" attribute="1" defaultMemberUniqueName="[Tabla_master_rend 1].[B_altas].[All]" allUniqueName="[Tabla_master_rend 1].[B_altas].[All]" dimensionUniqueName="[Tabla_master_rend 1]" displayFolder="" count="0" memberValueDatatype="20" unbalanced="0"/>
    <cacheHierarchy uniqueName="[Tabla_master_rend 1].[B_bajas]" caption="B_bajas" attribute="1" defaultMemberUniqueName="[Tabla_master_rend 1].[B_bajas].[All]" allUniqueName="[Tabla_master_rend 1].[B_bajas].[All]" dimensionUniqueName="[Tabla_master_rend 1]" displayFolder="" count="0" memberValueDatatype="20" unbalanced="0"/>
    <cacheHierarchy uniqueName="[Tabla_master_rend 1].[B_rotas]" caption="B_rotas" attribute="1" defaultMemberUniqueName="[Tabla_master_rend 1].[B_rotas].[All]" allUniqueName="[Tabla_master_rend 1].[B_rotas].[All]" dimensionUniqueName="[Tabla_master_rend 1]" displayFolder="" count="0" memberValueDatatype="20" unbalanced="0"/>
    <cacheHierarchy uniqueName="[Tabla_master_rend 1].[B_feas]" caption="B_feas" attribute="1" defaultMemberUniqueName="[Tabla_master_rend 1].[B_feas].[All]" allUniqueName="[Tabla_master_rend 1].[B_feas].[All]" dimensionUniqueName="[Tabla_master_rend 1]" displayFolder="" count="0" memberValueDatatype="20" unbalanced="0"/>
    <cacheHierarchy uniqueName="[Tabla_master_rend 1].[B_lab]" caption="B_lab" attribute="1" defaultMemberUniqueName="[Tabla_master_rend 1].[B_lab].[All]" allUniqueName="[Tabla_master_rend 1].[B_lab].[All]" dimensionUniqueName="[Tabla_master_rend 1]" displayFolder="" count="0" memberValueDatatype="20" unbalanced="0"/>
    <cacheHierarchy uniqueName="[Tabla_master_rend 1].[Kg_SalidaSecadero]" caption="Kg_SalidaSecadero" attribute="1" defaultMemberUniqueName="[Tabla_master_rend 1].[Kg_SalidaSecadero].[All]" allUniqueName="[Tabla_master_rend 1].[Kg_SalidaSecadero].[All]" dimensionUniqueName="[Tabla_master_rend 1]" displayFolder="" count="0" memberValueDatatype="20" unbalanced="0"/>
    <cacheHierarchy uniqueName="[Tabla_master_rend 1].[Kg_rebaba]" caption="Kg_rebaba" attribute="1" defaultMemberUniqueName="[Tabla_master_rend 1].[Kg_rebaba].[All]" allUniqueName="[Tabla_master_rend 1].[Kg_rebaba].[All]" dimensionUniqueName="[Tabla_master_rend 1]" displayFolder="" count="0" memberValueDatatype="20" unbalanced="0"/>
    <cacheHierarchy uniqueName="[Tabla_master_rend 1].[Kg_mer_env_real]" caption="Kg_mer_env_real" attribute="1" defaultMemberUniqueName="[Tabla_master_rend 1].[Kg_mer_env_real].[All]" allUniqueName="[Tabla_master_rend 1].[Kg_mer_env_real].[All]" dimensionUniqueName="[Tabla_master_rend 1]" displayFolder="" count="0" memberValueDatatype="5" unbalanced="0"/>
    <cacheHierarchy uniqueName="[Tabla_master_rend 1].[kg_mer_lab_real]" caption="kg_mer_lab_real" attribute="1" defaultMemberUniqueName="[Tabla_master_rend 1].[kg_mer_lab_real].[All]" allUniqueName="[Tabla_master_rend 1].[kg_mer_lab_real].[All]" dimensionUniqueName="[Tabla_master_rend 1]" displayFolder="" count="0" memberValueDatatype="5" unbalanced="0"/>
    <cacheHierarchy uniqueName="[Tabla_master_rend 1].[%Merma_env]" caption="%Merma_env" attribute="1" defaultMemberUniqueName="[Tabla_master_rend 1].[%Merma_env].[All]" allUniqueName="[Tabla_master_rend 1].[%Merma_env].[All]" dimensionUniqueName="[Tabla_master_rend 1]" displayFolder="" count="0" memberValueDatatype="5" unbalanced="0"/>
    <cacheHierarchy uniqueName="[Tabla_master_rend 1].[%Merma_env_corr]" caption="%Merma_env_corr" attribute="1" defaultMemberUniqueName="[Tabla_master_rend 1].[%Merma_env_corr].[All]" allUniqueName="[Tabla_master_rend 1].[%Merma_env_corr].[All]" dimensionUniqueName="[Tabla_master_rend 1]" displayFolder="" count="0" memberValueDatatype="5" unbalanced="0"/>
    <cacheHierarchy uniqueName="[Tabla_master_rend 1].[% merma TOT]" caption="% merma TOT" attribute="1" defaultMemberUniqueName="[Tabla_master_rend 1].[% merma TOT].[All]" allUniqueName="[Tabla_master_rend 1].[% merma TOT].[All]" dimensionUniqueName="[Tabla_master_rend 1]" displayFolder="" count="0" memberValueDatatype="5" unbalanced="0"/>
    <cacheHierarchy uniqueName="[Tabla_master_rend 1].[Merma_TOT]" caption="Merma_TOT" attribute="1" defaultMemberUniqueName="[Tabla_master_rend 1].[Merma_TOT].[All]" allUniqueName="[Tabla_master_rend 1].[Merma_TOT].[All]" dimensionUniqueName="[Tabla_master_rend 1]" displayFolder="" count="0" memberValueDatatype="5" unbalanced="0"/>
    <cacheHierarchy uniqueName="[Tabla_master_rend 1].[Kg_Env_Total]" caption="Kg_Env_Total" attribute="1" defaultMemberUniqueName="[Tabla_master_rend 1].[Kg_Env_Total].[All]" allUniqueName="[Tabla_master_rend 1].[Kg_Env_Total].[All]" dimensionUniqueName="[Tabla_master_rend 1]" displayFolder="" count="0" memberValueDatatype="5" unbalanced="0"/>
    <cacheHierarchy uniqueName="[Tabla_master_rend 1].[Coste_Leche_€]" caption="Coste_Leche_€" attribute="1" defaultMemberUniqueName="[Tabla_master_rend 1].[Coste_Leche_€].[All]" allUniqueName="[Tabla_master_rend 1].[Coste_Leche_€].[All]" dimensionUniqueName="[Tabla_master_rend 1]" displayFolder="" count="0" memberValueDatatype="5" unbalanced="0"/>
    <cacheHierarchy uniqueName="[Tabla_master_rend 1].[€/kg_MPQueso]" caption="€/kg_MPQueso" attribute="1" defaultMemberUniqueName="[Tabla_master_rend 1].[€/kg_MPQueso].[All]" allUniqueName="[Tabla_master_rend 1].[€/kg_MPQueso].[All]" dimensionUniqueName="[Tabla_master_rend 1]" displayFolder="" count="0" memberValueDatatype="5" unbalanced="0"/>
    <cacheHierarchy uniqueName="[Tabla_master_rend 1].[Merma_inic]" caption="Merma_inic" attribute="1" defaultMemberUniqueName="[Tabla_master_rend 1].[Merma_inic].[All]" allUniqueName="[Tabla_master_rend 1].[Merma_inic].[All]" dimensionUniqueName="[Tabla_master_rend 1]" displayFolder="" count="0" memberValueDatatype="5" unbalanced="0"/>
    <cacheHierarchy uniqueName="[Tabla_master_rend 1].[Recup_kg]" caption="Recup_kg" attribute="1" defaultMemberUniqueName="[Tabla_master_rend 1].[Recup_kg].[All]" allUniqueName="[Tabla_master_rend 1].[Recup_kg].[All]" dimensionUniqueName="[Tabla_master_rend 1]" displayFolder="" count="0" memberValueDatatype="5" unbalanced="0"/>
    <cacheHierarchy uniqueName="[Tabla_master_rend 1].[Recup_%]" caption="Recup_%" attribute="1" defaultMemberUniqueName="[Tabla_master_rend 1].[Recup_%].[All]" allUniqueName="[Tabla_master_rend 1].[Recup_%].[All]" dimensionUniqueName="[Tabla_master_rend 1]" displayFolder="" count="0" memberValueDatatype="5" unbalanced="0"/>
    <cacheHierarchy uniqueName="[Tabla_master_rend 1].[Merma_ppto fab]" caption="Merma_ppto fab" attribute="1" defaultMemberUniqueName="[Tabla_master_rend 1].[Merma_ppto fab].[All]" allUniqueName="[Tabla_master_rend 1].[Merma_ppto fab].[All]" dimensionUniqueName="[Tabla_master_rend 1]" displayFolder="" count="0" memberValueDatatype="5" unbalanced="0"/>
    <cacheHierarchy uniqueName="[Tabla_master_rend 1].[Merma_ppto oreo]" caption="Merma_ppto oreo" attribute="1" defaultMemberUniqueName="[Tabla_master_rend 1].[Merma_ppto oreo].[All]" allUniqueName="[Tabla_master_rend 1].[Merma_ppto oreo].[All]" dimensionUniqueName="[Tabla_master_rend 1]" displayFolder="" count="0" memberValueDatatype="5" unbalanced="0"/>
    <cacheHierarchy uniqueName="[Tabla_master_rend 1].[Merma_ppto Env/Enc]" caption="Merma_ppto Env/Enc" attribute="1" defaultMemberUniqueName="[Tabla_master_rend 1].[Merma_ppto Env/Enc].[All]" allUniqueName="[Tabla_master_rend 1].[Merma_ppto Env/Enc].[All]" dimensionUniqueName="[Tabla_master_rend 1]" displayFolder="" count="0" memberValueDatatype="5" unbalanced="0"/>
    <cacheHierarchy uniqueName="[Tabla_master_rend 1].[Merma_T ppto]" caption="Merma_T ppto" attribute="1" defaultMemberUniqueName="[Tabla_master_rend 1].[Merma_T ppto].[All]" allUniqueName="[Tabla_master_rend 1].[Merma_T ppto].[All]" dimensionUniqueName="[Tabla_master_rend 1]" displayFolder="" count="0" memberValueDatatype="5" unbalanced="0"/>
    <cacheHierarchy uniqueName="[Tabla_master_rend 1].[Merma_T ppto %]" caption="Merma_T ppto %" attribute="1" defaultMemberUniqueName="[Tabla_master_rend 1].[Merma_T ppto %].[All]" allUniqueName="[Tabla_master_rend 1].[Merma_T ppto %].[All]" dimensionUniqueName="[Tabla_master_rend 1]" displayFolder="" count="0" memberValueDatatype="5" unbalanced="0"/>
    <cacheHierarchy uniqueName="[Tabla_master_rend 1].[Merma_T real %]" caption="Merma_T real %" attribute="1" defaultMemberUniqueName="[Tabla_master_rend 1].[Merma_T real %].[All]" allUniqueName="[Tabla_master_rend 1].[Merma_T real %].[All]" dimensionUniqueName="[Tabla_master_rend 1]" displayFolder="" count="0" memberValueDatatype="5" unbalanced="0"/>
    <cacheHierarchy uniqueName="[Tabla_master_rend 1].[DIF R Vs PPTO]" caption="DIF R Vs PPTO" attribute="1" defaultMemberUniqueName="[Tabla_master_rend 1].[DIF R Vs PPTO].[All]" allUniqueName="[Tabla_master_rend 1].[DIF R Vs PPTO].[All]" dimensionUniqueName="[Tabla_master_rend 1]" displayFolder="" count="0" memberValueDatatype="5" unbalanced="0"/>
    <cacheHierarchy uniqueName="[Tabla_master_rend 1].[IMPACTO]" caption="IMPACTO" attribute="1" defaultMemberUniqueName="[Tabla_master_rend 1].[IMPACTO].[All]" allUniqueName="[Tabla_master_rend 1].[IMPACTO].[All]" dimensionUniqueName="[Tabla_master_rend 1]" displayFolder="" count="0" memberValueDatatype="5" unbalanced="0"/>
    <cacheHierarchy uniqueName="[Tabla_master_rend 1].[IMPACTO_vs_PPTO]" caption="IMPACTO_vs_PPTO" attribute="1" defaultMemberUniqueName="[Tabla_master_rend 1].[IMPACTO_vs_PPTO].[All]" allUniqueName="[Tabla_master_rend 1].[IMPACTO_vs_PPTO].[All]" dimensionUniqueName="[Tabla_master_rend 1]" displayFolder="" count="0" memberValueDatatype="5" unbalanced="0"/>
    <cacheHierarchy uniqueName="[Tabla_Precio_Venta].[Fecha]" caption="Fecha" attribute="1" defaultMemberUniqueName="[Tabla_Precio_Venta].[Fecha].[All]" allUniqueName="[Tabla_Precio_Venta].[Fecha].[All]" dimensionUniqueName="[Tabla_Precio_Venta]" displayFolder="" count="0" memberValueDatatype="130" unbalanced="0"/>
    <cacheHierarchy uniqueName="[Tabla_Precio_Venta].[Producto]" caption="Producto" attribute="1" defaultMemberUniqueName="[Tabla_Precio_Venta].[Producto].[All]" allUniqueName="[Tabla_Precio_Venta].[Producto].[All]" dimensionUniqueName="[Tabla_Precio_Venta]" displayFolder="" count="0" memberValueDatatype="130" unbalanced="0"/>
    <cacheHierarchy uniqueName="[Tabla_Precio_Venta].[Ventas (kg)]" caption="Ventas (kg)" attribute="1" defaultMemberUniqueName="[Tabla_Precio_Venta].[Ventas (kg)].[All]" allUniqueName="[Tabla_Precio_Venta].[Ventas (kg)].[All]" dimensionUniqueName="[Tabla_Precio_Venta]" displayFolder="" count="0" memberValueDatatype="20" unbalanced="0"/>
    <cacheHierarchy uniqueName="[Tabla_Precio_Venta].[PV_eur_kg]" caption="PV_eur_kg" attribute="1" defaultMemberUniqueName="[Tabla_Precio_Venta].[PV_eur_kg].[All]" allUniqueName="[Tabla_Precio_Venta].[PV_eur_kg].[All]" dimensionUniqueName="[Tabla_Precio_Venta]" displayFolder="" count="0" memberValueDatatype="5" unbalanced="0"/>
    <cacheHierarchy uniqueName="[tbl_DimFecha].[Fecha]" caption="Fecha" attribute="1" time="1" defaultMemberUniqueName="[tbl_DimFecha].[Fecha].[All]" allUniqueName="[tbl_DimFecha].[Fecha].[All]" dimensionUniqueName="[tbl_DimFecha]" displayFolder="" count="0" memberValueDatatype="7" unbalanced="0"/>
    <cacheHierarchy uniqueName="[tbl_DimFecha].[Año]" caption="Año" attribute="1" defaultMemberUniqueName="[tbl_DimFecha].[Año].[All]" allUniqueName="[tbl_DimFecha].[Año].[All]" dimensionUniqueName="[tbl_DimFecha]" displayFolder="" count="2" memberValueDatatype="20" unbalanced="0">
      <fieldsUsage count="2">
        <fieldUsage x="-1"/>
        <fieldUsage x="9"/>
      </fieldsUsage>
    </cacheHierarchy>
    <cacheHierarchy uniqueName="[tbl_DimFecha].[MesN]" caption="MesN" attribute="1" defaultMemberUniqueName="[tbl_DimFecha].[MesN].[All]" allUniqueName="[tbl_DimFecha].[MesN].[All]" dimensionUniqueName="[tbl_DimFecha]" displayFolder="" count="0" memberValueDatatype="20" unbalanced="0"/>
    <cacheHierarchy uniqueName="[tbl_DimFecha].[Mes]" caption="Mes" attribute="1" defaultMemberUniqueName="[tbl_DimFecha].[Mes].[All]" allUniqueName="[tbl_DimFecha].[Mes].[All]" dimensionUniqueName="[tbl_DimFecha]" displayFolder="" count="0" memberValueDatatype="130" unbalanced="0"/>
    <cacheHierarchy uniqueName="[tbl_DimFecha].[AñoMes]" caption="AñoMes" attribute="1" defaultMemberUniqueName="[tbl_DimFecha].[AñoMes].[All]" allUniqueName="[tbl_DimFecha].[AñoMes].[All]" dimensionUniqueName="[tbl_DimFecha]" displayFolder="" count="0" memberValueDatatype="130" unbalanced="0"/>
    <cacheHierarchy uniqueName="[tbl_DimFecha].[SemanaISO]" caption="SemanaISO" attribute="1" defaultMemberUniqueName="[tbl_DimFecha].[SemanaISO].[All]" allUniqueName="[tbl_DimFecha].[SemanaISO].[All]" dimensionUniqueName="[tbl_DimFecha]" displayFolder="" count="0" memberValueDatatype="20" unbalanced="0"/>
    <cacheHierarchy uniqueName="[tbl_DimFecha].[AñoSemana]" caption="AñoSemana" attribute="1" defaultMemberUniqueName="[tbl_DimFecha].[AñoSemana].[All]" allUniqueName="[tbl_DimFecha].[AñoSemana].[All]" dimensionUniqueName="[tbl_DimFecha]" displayFolder="" count="0" memberValueDatatype="130" unbalanced="0"/>
    <cacheHierarchy uniqueName="[tbl_DimFecha].[DiaSemanaN]" caption="DiaSemanaN" attribute="1" defaultMemberUniqueName="[tbl_DimFecha].[DiaSemanaN].[All]" allUniqueName="[tbl_DimFecha].[DiaSemanaN].[All]" dimensionUniqueName="[tbl_DimFecha]" displayFolder="" count="0" memberValueDatatype="20" unbalanced="0"/>
    <cacheHierarchy uniqueName="[tbl_DimFecha].[DiaSemana]" caption="DiaSemana" attribute="1" defaultMemberUniqueName="[tbl_DimFecha].[DiaSemana].[All]" allUniqueName="[tbl_DimFecha].[DiaSemana].[All]" dimensionUniqueName="[tbl_DimFecha]" displayFolder="" count="0" memberValueDatatype="130" unbalanced="0"/>
    <cacheHierarchy uniqueName="[tbl_DimFecha].[Mes_Orden]" caption="Mes_Orden" attribute="1" defaultMemberUniqueName="[tbl_DimFecha].[Mes_Orden].[All]" allUniqueName="[tbl_DimFecha].[Mes_Orden].[All]" dimensionUniqueName="[tbl_DimFecha]" displayFolder="" count="0" memberValueDatatype="130" unbalanced="0"/>
    <cacheHierarchy uniqueName="[tbl_DimProducto].[Producto]" caption="Producto" attribute="1" defaultMemberUniqueName="[tbl_DimProducto].[Producto].[All]" allUniqueName="[tbl_DimProducto].[Producto].[All]" dimensionUniqueName="[tbl_DimProducto]" displayFolder="" count="0" memberValueDatatype="130" unbalanced="0"/>
    <cacheHierarchy uniqueName="[tbl_DimProducto].[Producto_id]" caption="Producto_id" attribute="1" defaultMemberUniqueName="[tbl_DimProducto].[Producto_id].[All]" allUniqueName="[tbl_DimProducto].[Producto_id].[All]" dimensionUniqueName="[tbl_DimProducto]" displayFolder="" count="0" memberValueDatatype="130" unbalanced="0"/>
    <cacheHierarchy uniqueName="[tbl_DimProducto].[Categoría]" caption="Categoría" attribute="1" defaultMemberUniqueName="[tbl_DimProducto].[Categoría].[All]" allUniqueName="[tbl_DimProducto].[Categoría].[All]" dimensionUniqueName="[tbl_DimProducto]" displayFolder="" count="2" memberValueDatatype="130" unbalanced="0"/>
    <cacheHierarchy uniqueName="[tbl_DimProducto].[PesoBarra_kg]" caption="PesoBarra_kg" attribute="1" defaultMemberUniqueName="[tbl_DimProducto].[PesoBarra_kg].[All]" allUniqueName="[tbl_DimProducto].[PesoBarra_kg].[All]" dimensionUniqueName="[tbl_DimProducto]" displayFolder="" count="0" memberValueDatatype="5" unbalanced="0"/>
    <cacheHierarchy uniqueName="[tbl_PrecioLeche].[Año]" caption="Año" attribute="1" defaultMemberUniqueName="[tbl_PrecioLeche].[Año].[All]" allUniqueName="[tbl_PrecioLeche].[Año].[All]" dimensionUniqueName="[tbl_PrecioLeche]" displayFolder="" count="0" memberValueDatatype="20" unbalanced="0"/>
    <cacheHierarchy uniqueName="[tbl_PrecioLeche].[AñoMes]" caption="AñoMes" attribute="1" defaultMemberUniqueName="[tbl_PrecioLeche].[AñoMes].[All]" allUniqueName="[tbl_PrecioLeche].[AñoMes].[All]" dimensionUniqueName="[tbl_PrecioLeche]" displayFolder="" count="0" memberValueDatatype="130" unbalanced="0"/>
    <cacheHierarchy uniqueName="[tbl_PrecioLeche].[Mes]" caption="Mes" attribute="1" defaultMemberUniqueName="[tbl_PrecioLeche].[Mes].[All]" allUniqueName="[tbl_PrecioLeche].[Mes].[All]" dimensionUniqueName="[tbl_PrecioLeche]" displayFolder="" count="0" memberValueDatatype="130" unbalanced="0"/>
    <cacheHierarchy uniqueName="[tbl_PrecioLeche].[Tipo_Leche]" caption="Tipo_Leche" attribute="1" defaultMemberUniqueName="[tbl_PrecioLeche].[Tipo_Leche].[All]" allUniqueName="[tbl_PrecioLeche].[Tipo_Leche].[All]" dimensionUniqueName="[tbl_PrecioLeche]" displayFolder="" count="0" memberValueDatatype="130" unbalanced="0"/>
    <cacheHierarchy uniqueName="[tbl_PrecioLeche].[Precio_base]" caption="Precio_base" attribute="1" defaultMemberUniqueName="[tbl_PrecioLeche].[Precio_base].[All]" allUniqueName="[tbl_PrecioLeche].[Precio_base].[All]" dimensionUniqueName="[tbl_PrecioLeche]" displayFolder="" count="0" memberValueDatatype="20" unbalanced="0"/>
    <cacheHierarchy uniqueName="[tbl_PrecioLeche].[Calidades]" caption="Calidades" attribute="1" defaultMemberUniqueName="[tbl_PrecioLeche].[Calidades].[All]" allUniqueName="[tbl_PrecioLeche].[Calidades].[All]" dimensionUniqueName="[tbl_PrecioLeche]" displayFolder="" count="0" memberValueDatatype="20" unbalanced="0"/>
    <cacheHierarchy uniqueName="[tbl_PrecioLeche].[Transporte]" caption="Transporte" attribute="1" defaultMemberUniqueName="[tbl_PrecioLeche].[Transporte].[All]" allUniqueName="[tbl_PrecioLeche].[Transporte].[All]" dimensionUniqueName="[tbl_PrecioLeche]" displayFolder="" count="0" memberValueDatatype="20" unbalanced="0"/>
    <cacheHierarchy uniqueName="[tbl_PrecioLeche].[PMV_eur_L]" caption="PMV_eur_L" attribute="1" defaultMemberUniqueName="[tbl_PrecioLeche].[PMV_eur_L].[All]" allUniqueName="[tbl_PrecioLeche].[PMV_eur_L].[All]" dimensionUniqueName="[tbl_PrecioLeche]" displayFolder="" count="0" memberValueDatatype="5" unbalanced="0"/>
    <cacheHierarchy uniqueName="[Tabla_master_rend].[Fecha (índice de meses)]" caption="Fecha (índice de meses)" attribute="1" defaultMemberUniqueName="[Tabla_master_rend].[Fecha (índice de meses)].[All]" allUniqueName="[Tabla_master_rend].[Fecha (índice de meses)].[All]" dimensionUniqueName="[Tabla_master_rend]" displayFolder="" count="0" memberValueDatatype="20" unbalanced="0" hidden="1"/>
    <cacheHierarchy uniqueName="[Measures].[Litros_Leche]" caption="Litros_Leche" measure="1" displayFolder="" measureGroup="Tabla_master_rend" count="0"/>
    <cacheHierarchy uniqueName="[Measures].[kg_Blancos]" caption="kg_Blancos" measure="1" displayFolder="" measureGroup="Tabla_master_rend" count="0"/>
    <cacheHierarchy uniqueName="[Measures].[Kg_secadero]" caption="Kg_secadero" measure="1" displayFolder="" measureGroup="Tabla_master_rend" count="0"/>
    <cacheHierarchy uniqueName="[Measures].[Merma_TOT_kg]" caption="Merma_TOT_kg" measure="1" displayFolder="" measureGroup="Tabla_master_rend" count="0"/>
    <cacheHierarchy uniqueName="[Measures].[Merma_env_kg]" caption="Merma_env_kg" measure="1" displayFolder="" measureGroup="Tabla_master_rend" count="0"/>
    <cacheHierarchy uniqueName="[Measures].[Impacto_EUR]" caption="Impacto_EUR" measure="1" displayFolder="" measureGroup="Tabla_master_rend" count="0"/>
    <cacheHierarchy uniqueName="[Measures].[RDTO_Blanco_kg]" caption="RDTO_Blanco_kg" measure="1" displayFolder="" measureGroup="Tabla_master_rend" count="0"/>
    <cacheHierarchy uniqueName="[Measures].[Merma_env_pct]" caption="Merma_env_pct" measure="1" displayFolder="" measureGroup="Tabla_master_rend" count="0"/>
    <cacheHierarchy uniqueName="[Measures].[B_totales_u]" caption="B_totales_u" measure="1" displayFolder="" measureGroup="Tabla_master_rend" count="0"/>
    <cacheHierarchy uniqueName="[Measures].[Feas_pct]" caption="Feas_pct" measure="1" displayFolder="" measureGroup="Tabla_master_rend" count="0" oneField="1">
      <fieldsUsage count="1">
        <fieldUsage x="0"/>
      </fieldsUsage>
    </cacheHierarchy>
    <cacheHierarchy uniqueName="[Measures].[Bajas_pct]" caption="Bajas_pct" measure="1" displayFolder="" measureGroup="Tabla_master_rend" count="0" oneField="1">
      <fieldsUsage count="1">
        <fieldUsage x="1"/>
      </fieldsUsage>
    </cacheHierarchy>
    <cacheHierarchy uniqueName="[Measures].[Rotas_pct]" caption="Rotas_pct" measure="1" displayFolder="" measureGroup="Tabla_master_rend" count="0" oneField="1">
      <fieldsUsage count="1">
        <fieldUsage x="2"/>
      </fieldsUsage>
    </cacheHierarchy>
    <cacheHierarchy uniqueName="[Measures].[Recup_kg_sum]" caption="Recup_kg_sum" measure="1" displayFolder="" measureGroup="Tabla_master_rend" count="0"/>
    <cacheHierarchy uniqueName="[Measures].[Merma_inic_kg]" caption="Merma_inic_kg" measure="1" displayFolder="" measureGroup="Tabla_master_rend" count="0"/>
    <cacheHierarchy uniqueName="[Measures].[Recup_pct]" caption="Recup_pct" measure="1" displayFolder="" measureGroup="Tabla_master_rend" count="0" oneField="1">
      <fieldsUsage count="1">
        <fieldUsage x="4"/>
      </fieldsUsage>
    </cacheHierarchy>
    <cacheHierarchy uniqueName="[Measures].[Merma_env_corregida_kg]" caption="Merma_env_corregida_kg" measure="1" displayFolder="" measureGroup="Tabla_master_rend" count="0"/>
    <cacheHierarchy uniqueName="[Measures].[Merma_env_corregida_pct]" caption="Merma_env_corregida_pct" measure="1" displayFolder="" measureGroup="Tabla_master_rend" count="0"/>
    <cacheHierarchy uniqueName="[Measures].[Merma_TOT_pct]" caption="Merma_TOT_pct" measure="1" displayFolder="" measureGroup="Tabla_master_rend" count="0" oneField="1">
      <fieldsUsage count="1">
        <fieldUsage x="6"/>
      </fieldsUsage>
    </cacheHierarchy>
    <cacheHierarchy uniqueName="[Measures].[Labo_pct]" caption="Labo_pct" measure="1" displayFolder="" measureGroup="Tabla_master_rend" count="0" oneField="1">
      <fieldsUsage count="1">
        <fieldUsage x="3"/>
      </fieldsUsage>
    </cacheHierarchy>
    <cacheHierarchy uniqueName="[Measures].[Recup_MG_pct_pond]" caption="Recup_MG_pct_pond" measure="1" displayFolder="" measureGroup="Tabla_master_rend" count="0"/>
    <cacheHierarchy uniqueName="[Measures].[Recup_PT_pct_pond]" caption="Recup_PT_pct_pond" measure="1" displayFolder="" measureGroup="Tabla_master_rend" count="0"/>
    <cacheHierarchy uniqueName="[Measures].[Suero_vs_Leche]" caption="Suero_vs_Leche" measure="1" displayFolder="" measureGroup="Tabla_master_rend" count="0"/>
    <cacheHierarchy uniqueName="[Measures].[MG_suero_pct_pond]" caption="MG_suero_pct_pond" measure="1" displayFolder="" measureGroup="Tabla_master_rend" count="0"/>
    <cacheHierarchy uniqueName="[Measures].[PT_suero_pct_pond]" caption="PT_suero_pct_pond" measure="1" displayFolder="" measureGroup="Tabla_master_rend" count="0"/>
    <cacheHierarchy uniqueName="[Measures].[Nata_leche_L]" caption="Nata_leche_L" measure="1" displayFolder="" measureGroup="Tabla_master_rend" count="0"/>
    <cacheHierarchy uniqueName="[Measures].[Nata_suero_L]" caption="Nata_suero_L" measure="1" displayFolder="" measureGroup="Tabla_master_rend" count="0"/>
    <cacheHierarchy uniqueName="[Measures].[Nata_suero_pct]" caption="Nata_suero_pct" measure="1" displayFolder="" measureGroup="Tabla_master_rend" count="0"/>
    <cacheHierarchy uniqueName="[Measures].[Valor_Nata_EUR]" caption="Valor_Nata_EUR" measure="1" displayFolder="" measureGroup="Tabla_master_rend" count="0"/>
    <cacheHierarchy uniqueName="[Measures].[Nata_Total_L]" caption="Nata_Total_L" measure="1" displayFolder="" measureGroup="Tabla_master_rend" count="0"/>
    <cacheHierarchy uniqueName="[Measures].[Solidos_leche_kg]" caption="Solidos_leche_kg" measure="1" displayFolder="" measureGroup="Tabla_master_rend" count="0"/>
    <cacheHierarchy uniqueName="[Measures].[Solidos_en_queso_kg]" caption="Solidos_en_queso_kg" measure="1" displayFolder="" measureGroup="Tabla_master_rend" count="0"/>
    <cacheHierarchy uniqueName="[Measures].[Recup_solidos_a_queso_pct]" caption="Recup_solidos_a_queso_pct" measure="1" displayFolder="" measureGroup="Tabla_master_rend" count="0"/>
    <cacheHierarchy uniqueName="[Measures].[Suero_kg_aprox]" caption="Suero_kg_aprox" measure="1" displayFolder="" measureGroup="Tabla_master_rend" count="0"/>
    <cacheHierarchy uniqueName="[Measures].[Solidos_principales_suero_kg]" caption="Solidos_principales_suero_kg" measure="1" displayFolder="" measureGroup="Tabla_master_rend" count="0"/>
    <cacheHierarchy uniqueName="[Measures].[Solidos_principales_suero_pct_sobre_leche]" caption="Solidos_principales_suero_pct_sobre_leche" measure="1" displayFolder="" measureGroup="Tabla_master_rend" count="0"/>
    <cacheHierarchy uniqueName="[Measures].[Solidos_gap_kg]" caption="Solidos_gap_kg" measure="1" displayFolder="" measureGroup="Tabla_master_rend" count="0"/>
    <cacheHierarchy uniqueName="[Measures].[MG_a_nata_leche_kg]" caption="MG_a_nata_leche_kg" measure="1" displayFolder="" measureGroup="Tabla_master_rend" count="0"/>
    <cacheHierarchy uniqueName="[Measures].[MG_a_nata_leche_pct_sobre_solidos]" caption="MG_a_nata_leche_pct_sobre_solidos" measure="1" displayFolder="" measureGroup="Tabla_master_rend" count="0"/>
    <cacheHierarchy uniqueName="[Measures].[Solidos_leche_FP_kg]" caption="Solidos_leche_FP_kg" measure="1" displayFolder="" measureGroup="Tabla_master_rend" count="0"/>
    <cacheHierarchy uniqueName="[Measures].[Solidos_queso_FP_kg]" caption="Solidos_queso_FP_kg" measure="1" displayFolder="" measureGroup="Tabla_master_rend" count="0"/>
    <cacheHierarchy uniqueName="[Measures].[Solidos_suero_FP_kg]" caption="Solidos_suero_FP_kg" measure="1" displayFolder="" measureGroup="Tabla_master_rend" count="0"/>
    <cacheHierarchy uniqueName="[Measures].[Solidos_GAP_des_pct]" caption="Solidos_GAP_des_pct" measure="1" displayFolder="" measureGroup="Tabla_master_rend" count="0"/>
    <cacheHierarchy uniqueName="[Measures].[RDTO_neto_pond]" caption="RDTO_neto_pond" measure="1" displayFolder="" measureGroup="Tabla_master_rend" count="0"/>
    <cacheHierarchy uniqueName="[Measures].[Recup_FP_queso_pct]" caption="Recup_FP_queso_pct" measure="1" displayFolder="" measureGroup="Tabla_master_rend" count="0"/>
    <cacheHierarchy uniqueName="[Measures].[IMPACTO_VS__PPTO]" caption="IMPACTO_VS__PPTO" measure="1" displayFolder="" measureGroup="Tabla_master_rend" count="0"/>
    <cacheHierarchy uniqueName="[Measures].[€/kg_MP_Queso]" caption="€/kg_MP_Queso" measure="1" displayFolder="" measureGroup="Tabla_master_rend" count="0"/>
    <cacheHierarchy uniqueName="[Measures].[Merma_TOT_%_blanco_a_vendible]" caption="Merma_TOT_%_blanco_a_vendible" measure="1" displayFolder="" measureGroup="Tabla_master_rend" count="0" oneField="1">
      <fieldsUsage count="1">
        <fieldUsage x="5"/>
      </fieldsUsage>
    </cacheHierarchy>
    <cacheHierarchy uniqueName="[Measures].[Merma_TOT_kg_blanco_a_vendible :]" caption="Merma_TOT_kg_blanco_a_vendible :" measure="1" displayFolder="" measureGroup="Tabla_master_rend" count="0"/>
    <cacheHierarchy uniqueName="[Measures].[Gap_solidos_pct]" caption="Gap_solidos_pct" measure="1" displayFolder="" measureGroup="Tabla_master_rend" count="0"/>
    <cacheHierarchy uniqueName="[Measures].[Kg_saladero_tons]" caption="Kg_saladero_tons" measure="1" displayFolder="" measureGroup="Tabla_master_rend" count="0"/>
    <cacheHierarchy uniqueName="[Measures].[Suero_L]" caption="Suero_L" measure="1" displayFolder="" measureGroup="Tabla_master_rend" count="0"/>
    <cacheHierarchy uniqueName="[Measures].[%_Merma_Finos]" caption="%_Merma_Finos" measure="1" displayFolder="" measureGroup="Tabla_master_rend" count="0"/>
    <cacheHierarchy uniqueName="[Measures].[%_Merma_Llenadora]" caption="%_Merma_Llenadora" measure="1" displayFolder="" measureGroup="Tabla_master_rend" count="0"/>
    <cacheHierarchy uniqueName="[Measures].[%_Merma_Desm]" caption="%_Merma_Desm" measure="1" displayFolder="" measureGroup="Tabla_master_rend" count="0"/>
    <cacheHierarchy uniqueName="[Measures].[%_Merma_oreo]" caption="%_Merma_oreo" measure="1" displayFolder="" measureGroup="Tabla_master_rend" count="0"/>
    <cacheHierarchy uniqueName="[Measures].[__XL_Count tbl_DimProducto]" caption="__XL_Count tbl_DimProducto" measure="1" displayFolder="" measureGroup="tbl_DimProducto" count="0" hidden="1"/>
    <cacheHierarchy uniqueName="[Measures].[__XL_Count tbl_FactRendFecha]" caption="__XL_Count tbl_FactRendFecha" measure="1" displayFolder="" measureGroup="tbl_DimFecha" count="0" hidden="1"/>
    <cacheHierarchy uniqueName="[Measures].[__XL_Count Tabla_master_rend]" caption="__XL_Count Tabla_master_rend" measure="1" displayFolder="" measureGroup="Tabla_master_rend" count="0" hidden="1"/>
    <cacheHierarchy uniqueName="[Measures].[__XL_Count REND_TARGET]" caption="__XL_Count REND_TARGET" measure="1" displayFolder="" measureGroup="REND_TARGET" count="0" hidden="1"/>
    <cacheHierarchy uniqueName="[Measures].[__XL_Count Tabla_master_rend 1]" caption="__XL_Count Tabla_master_rend 1" measure="1" displayFolder="" measureGroup="Tabla_master_rend 1" count="0" hidden="1"/>
    <cacheHierarchy uniqueName="[Measures].[__XL_Count Tabla_Precio_Venta]" caption="__XL_Count Tabla_Precio_Venta" measure="1" displayFolder="" measureGroup="Tabla_Precio_Venta" count="0" hidden="1"/>
    <cacheHierarchy uniqueName="[Measures].[__XL_Count tbl_PrecioLeche]" caption="__XL_Count tbl_PrecioLeche" measure="1" displayFolder="" measureGroup="tbl_PrecioLeche" count="0" hidden="1"/>
    <cacheHierarchy uniqueName="[Measures].[__XL_Count Tabla_Contabilidad]" caption="__XL_Count Tabla_Contabilidad" measure="1" displayFolder="" measureGroup="Tabla_Contabilidad" count="0" hidden="1"/>
    <cacheHierarchy uniqueName="[Measures].[__No measures defined]" caption="__No measures defined" measure="1" displayFolder="" count="0" hidden="1"/>
    <cacheHierarchy uniqueName="[Measures].[Sum of Rend_Ntarget]" caption="Sum of Rend_Ntarget" measure="1" displayFolder="" measureGroup="REND_TARG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imum of Rend_Ntarget]" caption="Maximum of Rend_Ntarget" measure="1" displayFolder="" measureGroup="REND_TARG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REND_TARGET]" caption="Suma de REND_TARGET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Promedio de REND_TARGET]" caption="Promedio de REND_TARGET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RDTO_NETO]" caption="Suma de RDTO_NETO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Kg_Finos]" caption="Suma de Kg_Finos" measure="1" displayFolder="" measureGroup="Tabla_master_rend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Kg_Llenadora]" caption="Suma de Kg_Llenadora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Kg_Desmoldeo]" caption="Suma de Kg_Desmoldeo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de Merma_fab]" caption="Suma de Merma_fab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Recuento de L_Agua]" caption="Recuento de L_Agua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de %Merma_env_corr]" caption="Suma de %Merma_env_corr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Promedio de %Merma_env_corr]" caption="Promedio de %Merma_env_corr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a de Gastos Estructura (€∕mes)]" caption="Suma de Gastos Estructura (€∕mes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Gastos Estructura (€∕mes)]" caption="Promedio de Gastos Estructura (€∕mes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BITDA  (M€)]" caption="Suma de EBITDA  (M€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BITDA  (M€)]" caption="Promedio de EBITDA  (M€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9">
    <dimension measure="1" name="Measures" uniqueName="[Measures]" caption="Measures"/>
    <dimension name="REND_TARGET" uniqueName="[REND_TARGET]" caption="REND_TARGET"/>
    <dimension name="Tabla_Contabilidad" uniqueName="[Tabla_Contabilidad]" caption="Tabla_Contabilidad"/>
    <dimension name="Tabla_master_rend" uniqueName="[Tabla_master_rend]" caption="Tabla_master_rend"/>
    <dimension name="Tabla_master_rend 1" uniqueName="[Tabla_master_rend 1]" caption="Tabla_master_rend 1"/>
    <dimension name="Tabla_Precio_Venta" uniqueName="[Tabla_Precio_Venta]" caption="Tabla_Precio_Venta"/>
    <dimension name="tbl_DimFecha" uniqueName="[tbl_DimFecha]" caption="tbl_DimFecha"/>
    <dimension name="tbl_DimProducto" uniqueName="[tbl_DimProducto]" caption="tbl_DimProducto"/>
    <dimension name="tbl_PrecioLeche" uniqueName="[tbl_PrecioLeche]" caption="tbl_PrecioLeche"/>
  </dimensions>
  <measureGroups count="8">
    <measureGroup name="REND_TARGET" caption="REND_TARGET"/>
    <measureGroup name="Tabla_Contabilidad" caption="Tabla_Contabilidad"/>
    <measureGroup name="Tabla_master_rend" caption="Tabla_master_rend"/>
    <measureGroup name="Tabla_master_rend 1" caption="Tabla_master_rend 1"/>
    <measureGroup name="Tabla_Precio_Venta" caption="Tabla_Precio_Venta"/>
    <measureGroup name="tbl_DimFecha" caption="tbl_DimFecha"/>
    <measureGroup name="tbl_DimProducto" caption="tbl_DimProducto"/>
    <measureGroup name="tbl_PrecioLeche" caption="tbl_PrecioLeche"/>
  </measureGroups>
  <maps count="13">
    <map measureGroup="0" dimension="1"/>
    <map measureGroup="0" dimension="7"/>
    <map measureGroup="1" dimension="2"/>
    <map measureGroup="2" dimension="3"/>
    <map measureGroup="2" dimension="6"/>
    <map measureGroup="2" dimension="7"/>
    <map measureGroup="3" dimension="4"/>
    <map measureGroup="4" dimension="5"/>
    <map measureGroup="4" dimension="6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os Colasante" refreshedDate="46134.996710185187" backgroundQuery="1" createdVersion="8" refreshedVersion="8" minRefreshableVersion="3" recordCount="0" supportSubquery="1" supportAdvancedDrill="1" xr:uid="{63254F8E-1221-4EDF-8FDA-84C4D3B144F3}">
  <cacheSource type="external" connectionId="4"/>
  <cacheFields count="7">
    <cacheField name="[tbl_DimFecha].[AñoMes].[AñoMes]" caption="AñoMes" numFmtId="0" hierarchy="189" level="1">
      <sharedItems count="3">
        <s v="2026-01"/>
        <s v="2026-02"/>
        <s v="2026-03"/>
      </sharedItems>
    </cacheField>
    <cacheField name="[Measures].[Impacto_EUR]" caption="Impacto_EUR" numFmtId="0" hierarchy="213" level="32767"/>
    <cacheField name="[Measures].[Merma_TOT_kg]" caption="Merma_TOT_kg" numFmtId="0" hierarchy="211" level="32767"/>
    <cacheField name="[Measures].[RDTO_Blanco_kg]" caption="RDTO_Blanco_kg" numFmtId="0" hierarchy="214" level="32767"/>
    <cacheField name="[Measures].[Litros_Leche]" caption="Litros_Leche" numFmtId="0" hierarchy="208" level="32767"/>
    <cacheField name="[Measures].[Kg_secadero]" caption="Kg_secadero" numFmtId="0" hierarchy="210" level="32767"/>
    <cacheField name="[tbl_DimFecha].[Año].[Año]" caption="Año" numFmtId="0" hierarchy="186" level="1">
      <sharedItems containsSemiMixedTypes="0" containsNonDate="0" containsString="0"/>
    </cacheField>
  </cacheFields>
  <cacheHierarchies count="288">
    <cacheHierarchy uniqueName="[REND_TARGET].[Producto]" caption="Producto" attribute="1" defaultMemberUniqueName="[REND_TARGET].[Producto].[All]" allUniqueName="[REND_TARGET].[Producto].[All]" dimensionUniqueName="[REND_TARGET]" displayFolder="" count="0" memberValueDatatype="130" unbalanced="0"/>
    <cacheHierarchy uniqueName="[REND_TARGET].[Rendimiento Blanco]" caption="Rendimiento Blanco" attribute="1" defaultMemberUniqueName="[REND_TARGET].[Rendimiento Blanco].[All]" allUniqueName="[REND_TARGET].[Rendimiento Blanco].[All]" dimensionUniqueName="[REND_TARGET]" displayFolder="" count="0" memberValueDatatype="5" unbalanced="0"/>
    <cacheHierarchy uniqueName="[REND_TARGET].[Merma Fabr]" caption="Merma Fabr" attribute="1" defaultMemberUniqueName="[REND_TARGET].[Merma Fabr].[All]" allUniqueName="[REND_TARGET].[Merma Fabr].[All]" dimensionUniqueName="[REND_TARGET]" displayFolder="" count="0" memberValueDatatype="5" unbalanced="0"/>
    <cacheHierarchy uniqueName="[REND_TARGET].[Merma Oreo]" caption="Merma Oreo" attribute="1" defaultMemberUniqueName="[REND_TARGET].[Merma Oreo].[All]" allUniqueName="[REND_TARGET].[Merma Oreo].[All]" dimensionUniqueName="[REND_TARGET]" displayFolder="" count="0" memberValueDatatype="5" unbalanced="0"/>
    <cacheHierarchy uniqueName="[REND_TARGET].[Merma E/E]" caption="Merma E/E" attribute="1" defaultMemberUniqueName="[REND_TARGET].[Merma E/E].[All]" allUniqueName="[REND_TARGET].[Merma E/E].[All]" dimensionUniqueName="[REND_TARGET]" displayFolder="" count="0" memberValueDatatype="5" unbalanced="0"/>
    <cacheHierarchy uniqueName="[REND_TARGET].[Rend_Ntarget]" caption="Rend_Ntarget" attribute="1" defaultMemberUniqueName="[REND_TARGET].[Rend_Ntarget].[All]" allUniqueName="[REND_TARGET].[Rend_Ntarget].[All]" dimensionUniqueName="[REND_TARGET]" displayFolder="" count="0" memberValueDatatype="5" unbalanced="0"/>
    <cacheHierarchy uniqueName="[Tabla_Contabilidad].[Año]" caption="Año" attribute="1" defaultMemberUniqueName="[Tabla_Contabilidad].[Año].[All]" allUniqueName="[Tabla_Contabilidad].[Año].[All]" dimensionUniqueName="[Tabla_Contabilidad]" displayFolder="" count="0" memberValueDatatype="20" unbalanced="0"/>
    <cacheHierarchy uniqueName="[Tabla_Contabilidad].[AñoMes]" caption="AñoMes" attribute="1" defaultMemberUniqueName="[Tabla_Contabilidad].[AñoMes].[All]" allUniqueName="[Tabla_Contabilidad].[AñoMes].[All]" dimensionUniqueName="[Tabla_Contabilidad]" displayFolder="" count="0" memberValueDatatype="130" unbalanced="0"/>
    <cacheHierarchy uniqueName="[Tabla_Contabilidad].[Mes]" caption="Mes" attribute="1" defaultMemberUniqueName="[Tabla_Contabilidad].[Mes].[All]" allUniqueName="[Tabla_Contabilidad].[Mes].[All]" dimensionUniqueName="[Tabla_Contabilidad]" displayFolder="" count="0" memberValueDatatype="130" unbalanced="0"/>
    <cacheHierarchy uniqueName="[Tabla_Contabilidad].[Gastos Estructura (€∕mes)]" caption="Gastos Estructura (€∕mes)" attribute="1" defaultMemberUniqueName="[Tabla_Contabilidad].[Gastos Estructura (€∕mes)].[All]" allUniqueName="[Tabla_Contabilidad].[Gastos Estructura (€∕mes)].[All]" dimensionUniqueName="[Tabla_Contabilidad]" displayFolder="" count="0" memberValueDatatype="20" unbalanced="0"/>
    <cacheHierarchy uniqueName="[Tabla_Contabilidad].[EBITDA  (M€)]" caption="EBITDA  (M€)" attribute="1" defaultMemberUniqueName="[Tabla_Contabilidad].[EBITDA  (M€)].[All]" allUniqueName="[Tabla_Contabilidad].[EBITDA  (M€)].[All]" dimensionUniqueName="[Tabla_Contabilidad]" displayFolder="" count="0" memberValueDatatype="20" unbalanced="0"/>
    <cacheHierarchy uniqueName="[Tabla_Contabilidad].[EBITDA_PPTO (M€)]" caption="EBITDA_PPTO (M€)" attribute="1" defaultMemberUniqueName="[Tabla_Contabilidad].[EBITDA_PPTO (M€)].[All]" allUniqueName="[Tabla_Contabilidad].[EBITDA_PPTO (M€)].[All]" dimensionUniqueName="[Tabla_Contabilidad]" displayFolder="" count="0" memberValueDatatype="20" unbalanced="0"/>
    <cacheHierarchy uniqueName="[Tabla_master_rend].[Fecha]" caption="Fecha" attribute="1" time="1" defaultMemberUniqueName="[Tabla_master_rend].[Fecha].[All]" allUniqueName="[Tabla_master_rend].[Fecha].[All]" dimensionUniqueName="[Tabla_master_rend]" displayFolder="" count="0" memberValueDatatype="7" unbalanced="0"/>
    <cacheHierarchy uniqueName="[Tabla_master_rend].[mes]" caption="mes" attribute="1" defaultMemberUniqueName="[Tabla_master_rend].[mes].[All]" allUniqueName="[Tabla_master_rend].[mes].[All]" dimensionUniqueName="[Tabla_master_rend]" displayFolder="" count="0" memberValueDatatype="20" unbalanced="0"/>
    <cacheHierarchy uniqueName="[Tabla_master_rend].[Mes_Nom]" caption="Mes_Nom" attribute="1" defaultMemberUniqueName="[Tabla_master_rend].[Mes_Nom].[All]" allUniqueName="[Tabla_master_rend].[Mes_Nom].[All]" dimensionUniqueName="[Tabla_master_rend]" displayFolder="" count="2" memberValueDatatype="130" unbalanced="0"/>
    <cacheHierarchy uniqueName="[Tabla_master_rend].[Día]" caption="Día" attribute="1" defaultMemberUniqueName="[Tabla_master_rend].[Día].[All]" allUniqueName="[Tabla_master_rend].[Día].[All]" dimensionUniqueName="[Tabla_master_rend]" displayFolder="" count="2" memberValueDatatype="130" unbalanced="0"/>
    <cacheHierarchy uniqueName="[Tabla_master_rend].[Lote]" caption="Lote" attribute="1" defaultMemberUniqueName="[Tabla_master_rend].[Lote].[All]" allUniqueName="[Tabla_master_rend].[Lote].[All]" dimensionUniqueName="[Tabla_master_rend]" displayFolder="" count="0" memberValueDatatype="20" unbalanced="0"/>
    <cacheHierarchy uniqueName="[Tabla_master_rend].[Producto]" caption="Producto" attribute="1" defaultMemberUniqueName="[Tabla_master_rend].[Producto].[All]" allUniqueName="[Tabla_master_rend].[Producto].[All]" dimensionUniqueName="[Tabla_master_rend]" displayFolder="" count="2" memberValueDatatype="130" unbalanced="0"/>
    <cacheHierarchy uniqueName="[Tabla_master_rend].[Cubas_prod]" caption="Cubas_prod" attribute="1" defaultMemberUniqueName="[Tabla_master_rend].[Cubas_prod].[All]" allUniqueName="[Tabla_master_rend].[Cubas_prod].[All]" dimensionUniqueName="[Tabla_master_rend]" displayFolder="" count="0" memberValueDatatype="20" unbalanced="0"/>
    <cacheHierarchy uniqueName="[Tabla_master_rend].[Litros_Leche_Total]" caption="Litros_Leche_Total" attribute="1" defaultMemberUniqueName="[Tabla_master_rend].[Litros_Leche_Total].[All]" allUniqueName="[Tabla_master_rend].[Litros_Leche_Total].[All]" dimensionUniqueName="[Tabla_master_rend]" displayFolder="" count="0" memberValueDatatype="20" unbalanced="0"/>
    <cacheHierarchy uniqueName="[Tabla_master_rend].[L_Leche_ent]" caption="L_Leche_ent" attribute="1" defaultMemberUniqueName="[Tabla_master_rend].[L_Leche_ent].[All]" allUniqueName="[Tabla_master_rend].[L_Leche_ent].[All]" dimensionUniqueName="[Tabla_master_rend]" displayFolder="" count="0" memberValueDatatype="20" unbalanced="0"/>
    <cacheHierarchy uniqueName="[Tabla_master_rend].[%MG_Leche]" caption="%MG_Leche" attribute="1" defaultMemberUniqueName="[Tabla_master_rend].[%MG_Leche].[All]" allUniqueName="[Tabla_master_rend].[%MG_Leche].[All]" dimensionUniqueName="[Tabla_master_rend]" displayFolder="" count="0" memberValueDatatype="5" unbalanced="0"/>
    <cacheHierarchy uniqueName="[Tabla_master_rend].[%MP_Leche]" caption="%MP_Leche" attribute="1" defaultMemberUniqueName="[Tabla_master_rend].[%MP_Leche].[All]" allUniqueName="[Tabla_master_rend].[%MP_Leche].[All]" dimensionUniqueName="[Tabla_master_rend]" displayFolder="" count="0" memberValueDatatype="5" unbalanced="0"/>
    <cacheHierarchy uniqueName="[Tabla_master_rend].[EST_%]" caption="EST_%" attribute="1" defaultMemberUniqueName="[Tabla_master_rend].[EST_%].[All]" allUniqueName="[Tabla_master_rend].[EST_%].[All]" dimensionUniqueName="[Tabla_master_rend]" displayFolder="" count="0" memberValueDatatype="5" unbalanced="0"/>
    <cacheHierarchy uniqueName="[Tabla_master_rend].[Desn_en_linea]" caption="Desn_en_linea" attribute="1" defaultMemberUniqueName="[Tabla_master_rend].[Desn_en_linea].[All]" allUniqueName="[Tabla_master_rend].[Desn_en_linea].[All]" dimensionUniqueName="[Tabla_master_rend]" displayFolder="" count="2" memberValueDatatype="130" unbalanced="0"/>
    <cacheHierarchy uniqueName="[Tabla_master_rend].[L_desn_ext]" caption="L_desn_ext" attribute="1" defaultMemberUniqueName="[Tabla_master_rend].[L_desn_ext].[All]" allUniqueName="[Tabla_master_rend].[L_desn_ext].[All]" dimensionUniqueName="[Tabla_master_rend]" displayFolder="" count="0" memberValueDatatype="20" unbalanced="0"/>
    <cacheHierarchy uniqueName="[Tabla_master_rend].[L_cabra]" caption="L_cabra" attribute="1" defaultMemberUniqueName="[Tabla_master_rend].[L_cabra].[All]" allUniqueName="[Tabla_master_rend].[L_cabra].[All]" dimensionUniqueName="[Tabla_master_rend]" displayFolder="" count="0" memberValueDatatype="20" unbalanced="0"/>
    <cacheHierarchy uniqueName="[Tabla_master_rend].[L_oveja]" caption="L_oveja" attribute="1" defaultMemberUniqueName="[Tabla_master_rend].[L_oveja].[All]" allUniqueName="[Tabla_master_rend].[L_oveja].[All]" dimensionUniqueName="[Tabla_master_rend]" displayFolder="" count="0" memberValueDatatype="20" unbalanced="0"/>
    <cacheHierarchy uniqueName="[Tabla_master_rend].[Litros_Nata]" caption="Litros_Nata" attribute="1" defaultMemberUniqueName="[Tabla_master_rend].[Litros_Nata].[All]" allUniqueName="[Tabla_master_rend].[Litros_Nata].[All]" dimensionUniqueName="[Tabla_master_rend]" displayFolder="" count="0" memberValueDatatype="20" unbalanced="0"/>
    <cacheHierarchy uniqueName="[Tabla_master_rend].[L_nata_suero]" caption="L_nata_suero" attribute="1" defaultMemberUniqueName="[Tabla_master_rend].[L_nata_suero].[All]" allUniqueName="[Tabla_master_rend].[L_nata_suero].[All]" dimensionUniqueName="[Tabla_master_rend]" displayFolder="" count="0" memberValueDatatype="20" unbalanced="0"/>
    <cacheHierarchy uniqueName="[Tabla_master_rend].[L_suero Total]" caption="L_suero Total" attribute="1" defaultMemberUniqueName="[Tabla_master_rend].[L_suero Total].[All]" allUniqueName="[Tabla_master_rend].[L_suero Total].[All]" dimensionUniqueName="[Tabla_master_rend]" displayFolder="" count="0" memberValueDatatype="20" unbalanced="0"/>
    <cacheHierarchy uniqueName="[Tabla_master_rend].[%Suero_vs_leche]" caption="%Suero_vs_leche" attribute="1" defaultMemberUniqueName="[Tabla_master_rend].[%Suero_vs_leche].[All]" allUniqueName="[Tabla_master_rend].[%Suero_vs_leche].[All]" dimensionUniqueName="[Tabla_master_rend]" displayFolder="" count="0" memberValueDatatype="5" unbalanced="0"/>
    <cacheHierarchy uniqueName="[Tabla_master_rend].[MG_suero]" caption="MG_suero" attribute="1" defaultMemberUniqueName="[Tabla_master_rend].[MG_suero].[All]" allUniqueName="[Tabla_master_rend].[MG_suero].[All]" dimensionUniqueName="[Tabla_master_rend]" displayFolder="" count="0" memberValueDatatype="5" unbalanced="0"/>
    <cacheHierarchy uniqueName="[Tabla_master_rend].[MP_suero]" caption="MP_suero" attribute="1" defaultMemberUniqueName="[Tabla_master_rend].[MP_suero].[All]" allUniqueName="[Tabla_master_rend].[MP_suero].[All]" dimensionUniqueName="[Tabla_master_rend]" displayFolder="" count="0" memberValueDatatype="5" unbalanced="0"/>
    <cacheHierarchy uniqueName="[Tabla_master_rend].[L_suero para con]" caption="L_suero para con" attribute="1" defaultMemberUniqueName="[Tabla_master_rend].[L_suero para con].[All]" allUniqueName="[Tabla_master_rend].[L_suero para con].[All]" dimensionUniqueName="[Tabla_master_rend]" displayFolder="" count="0" memberValueDatatype="20" unbalanced="0"/>
    <cacheHierarchy uniqueName="[Tabla_master_rend].[L_suero_con]" caption="L_suero_con" attribute="1" defaultMemberUniqueName="[Tabla_master_rend].[L_suero_con].[All]" allUniqueName="[Tabla_master_rend].[L_suero_con].[All]" dimensionUniqueName="[Tabla_master_rend]" displayFolder="" count="0" memberValueDatatype="20" unbalanced="0"/>
    <cacheHierarchy uniqueName="[Tabla_master_rend].[Rartio_sueroC]" caption="Rartio_sueroC" attribute="1" defaultMemberUniqueName="[Tabla_master_rend].[Rartio_sueroC].[All]" allUniqueName="[Tabla_master_rend].[Rartio_sueroC].[All]" dimensionUniqueName="[Tabla_master_rend]" displayFolder="" count="0" memberValueDatatype="5" unbalanced="0"/>
    <cacheHierarchy uniqueName="[Tabla_master_rend].[L_Suero_Sobrante]" caption="L_Suero_Sobrante" attribute="1" defaultMemberUniqueName="[Tabla_master_rend].[L_Suero_Sobrante].[All]" allUniqueName="[Tabla_master_rend].[L_Suero_Sobrante].[All]" dimensionUniqueName="[Tabla_master_rend]" displayFolder="" count="0" memberValueDatatype="20" unbalanced="0"/>
    <cacheHierarchy uniqueName="[Tabla_master_rend].[MG_sueroc]" caption="MG_sueroc" attribute="1" defaultMemberUniqueName="[Tabla_master_rend].[MG_sueroc].[All]" allUniqueName="[Tabla_master_rend].[MG_sueroc].[All]" dimensionUniqueName="[Tabla_master_rend]" displayFolder="" count="0" memberValueDatatype="20" unbalanced="0"/>
    <cacheHierarchy uniqueName="[Tabla_master_rend].[MP_sueroc]" caption="MP_sueroc" attribute="1" defaultMemberUniqueName="[Tabla_master_rend].[MP_sueroc].[All]" allUniqueName="[Tabla_master_rend].[MP_sueroc].[All]" dimensionUniqueName="[Tabla_master_rend]" displayFolder="" count="0" memberValueDatatype="20" unbalanced="0"/>
    <cacheHierarchy uniqueName="[Tabla_master_rend].[L_LPS_Gen]" caption="L_LPS_Gen" attribute="1" defaultMemberUniqueName="[Tabla_master_rend].[L_LPS_Gen].[All]" allUniqueName="[Tabla_master_rend].[L_LPS_Gen].[All]" dimensionUniqueName="[Tabla_master_rend]" displayFolder="" count="0" memberValueDatatype="20" unbalanced="0"/>
    <cacheHierarchy uniqueName="[Tabla_master_rend].[L_LPS_incor]" caption="L_LPS_incor" attribute="1" defaultMemberUniqueName="[Tabla_master_rend].[L_LPS_incor].[All]" allUniqueName="[Tabla_master_rend].[L_LPS_incor].[All]" dimensionUniqueName="[Tabla_master_rend]" displayFolder="" count="0" memberValueDatatype="20" unbalanced="0"/>
    <cacheHierarchy uniqueName="[Tabla_master_rend].[gr_LPS]" caption="gr_LPS" attribute="1" defaultMemberUniqueName="[Tabla_master_rend].[gr_LPS].[All]" allUniqueName="[Tabla_master_rend].[gr_LPS].[All]" dimensionUniqueName="[Tabla_master_rend]" displayFolder="" count="0" memberValueDatatype="20" unbalanced="0"/>
    <cacheHierarchy uniqueName="[Tabla_master_rend].[MG_LPS]" caption="MG_LPS" attribute="1" defaultMemberUniqueName="[Tabla_master_rend].[MG_LPS].[All]" allUniqueName="[Tabla_master_rend].[MG_LPS].[All]" dimensionUniqueName="[Tabla_master_rend]" displayFolder="" count="0" memberValueDatatype="5" unbalanced="0"/>
    <cacheHierarchy uniqueName="[Tabla_master_rend].[MP_LPS]" caption="MP_LPS" attribute="1" defaultMemberUniqueName="[Tabla_master_rend].[MP_LPS].[All]" allUniqueName="[Tabla_master_rend].[MP_LPS].[All]" dimensionUniqueName="[Tabla_master_rend]" displayFolder="" count="0" memberValueDatatype="5" unbalanced="0"/>
    <cacheHierarchy uniqueName="[Tabla_master_rend].[Kg_Queso_Blan]" caption="Kg_Queso_Blan" attribute="1" defaultMemberUniqueName="[Tabla_master_rend].[Kg_Queso_Blan].[All]" allUniqueName="[Tabla_master_rend].[Kg_Queso_Blan].[All]" dimensionUniqueName="[Tabla_master_rend]" displayFolder="" count="0" memberValueDatatype="5" unbalanced="0"/>
    <cacheHierarchy uniqueName="[Tabla_master_rend].[RDTO_Blanco]" caption="RDTO_Blanco" attribute="1" defaultMemberUniqueName="[Tabla_master_rend].[RDTO_Blanco].[All]" allUniqueName="[Tabla_master_rend].[RDTO_Blanco].[All]" dimensionUniqueName="[Tabla_master_rend]" displayFolder="" count="0" memberValueDatatype="5" unbalanced="0"/>
    <cacheHierarchy uniqueName="[Tabla_master_rend].[RDTO_NETO]" caption="RDTO_NETO" attribute="1" defaultMemberUniqueName="[Tabla_master_rend].[RDTO_NETO].[All]" allUniqueName="[Tabla_master_rend].[RDTO_NETO].[All]" dimensionUniqueName="[Tabla_master_rend]" displayFolder="" count="0" memberValueDatatype="5" unbalanced="0"/>
    <cacheHierarchy uniqueName="[Tabla_master_rend].[REND_TARGET]" caption="REND_TARGET" attribute="1" defaultMemberUniqueName="[Tabla_master_rend].[REND_TARGET].[All]" allUniqueName="[Tabla_master_rend].[REND_TARGET].[All]" dimensionUniqueName="[Tabla_master_rend]" displayFolder="" count="0" memberValueDatatype="5" unbalanced="0"/>
    <cacheHierarchy uniqueName="[Tabla_master_rend].[Kg_Solidos_leche]" caption="Kg_Solidos_leche" attribute="1" defaultMemberUniqueName="[Tabla_master_rend].[Kg_Solidos_leche].[All]" allUniqueName="[Tabla_master_rend].[Kg_Solidos_leche].[All]" dimensionUniqueName="[Tabla_master_rend]" displayFolder="" count="0" memberValueDatatype="5" unbalanced="0"/>
    <cacheHierarchy uniqueName="[Tabla_master_rend].[%MG_QUESO]" caption="%MG_QUESO" attribute="1" defaultMemberUniqueName="[Tabla_master_rend].[%MG_QUESO].[All]" allUniqueName="[Tabla_master_rend].[%MG_QUESO].[All]" dimensionUniqueName="[Tabla_master_rend]" displayFolder="" count="0" memberValueDatatype="5" unbalanced="0"/>
    <cacheHierarchy uniqueName="[Tabla_master_rend].[%PT_QUESO]" caption="%PT_QUESO" attribute="1" defaultMemberUniqueName="[Tabla_master_rend].[%PT_QUESO].[All]" allUniqueName="[Tabla_master_rend].[%PT_QUESO].[All]" dimensionUniqueName="[Tabla_master_rend]" displayFolder="" count="0" memberValueDatatype="5" unbalanced="0"/>
    <cacheHierarchy uniqueName="[Tabla_master_rend].[ES_QUESO]" caption="ES_QUESO" attribute="1" defaultMemberUniqueName="[Tabla_master_rend].[ES_QUESO].[All]" allUniqueName="[Tabla_master_rend].[ES_QUESO].[All]" dimensionUniqueName="[Tabla_master_rend]" displayFolder="" count="0" memberValueDatatype="5" unbalanced="0"/>
    <cacheHierarchy uniqueName="[Tabla_master_rend].[Rendimiento_Solidos_%]" caption="Rendimiento_Solidos_%" attribute="1" defaultMemberUniqueName="[Tabla_master_rend].[Rendimiento_Solidos_%].[All]" allUniqueName="[Tabla_master_rend].[Rendimiento_Solidos_%].[All]" dimensionUniqueName="[Tabla_master_rend]" displayFolder="" count="0" memberValueDatatype="5" unbalanced="0"/>
    <cacheHierarchy uniqueName="[Tabla_master_rend].[Kg_MG_Nata]" caption="Kg_MG_Nata" attribute="1" defaultMemberUniqueName="[Tabla_master_rend].[Kg_MG_Nata].[All]" allUniqueName="[Tabla_master_rend].[Kg_MG_Nata].[All]" dimensionUniqueName="[Tabla_master_rend]" displayFolder="" count="0" memberValueDatatype="5" unbalanced="0"/>
    <cacheHierarchy uniqueName="[Tabla_master_rend].[%RECUP_MG]" caption="%RECUP_MG" attribute="1" defaultMemberUniqueName="[Tabla_master_rend].[%RECUP_MG].[All]" allUniqueName="[Tabla_master_rend].[%RECUP_MG].[All]" dimensionUniqueName="[Tabla_master_rend]" displayFolder="" count="0" memberValueDatatype="5" unbalanced="0"/>
    <cacheHierarchy uniqueName="[Tabla_master_rend].[%RECUP_PT]" caption="%RECUP_PT" attribute="1" defaultMemberUniqueName="[Tabla_master_rend].[%RECUP_PT].[All]" allUniqueName="[Tabla_master_rend].[%RECUP_PT].[All]" dimensionUniqueName="[Tabla_master_rend]" displayFolder="" count="0" memberValueDatatype="5" unbalanced="0"/>
    <cacheHierarchy uniqueName="[Tabla_master_rend].[Valor_Nata_€]" caption="Valor_Nata_€" attribute="1" defaultMemberUniqueName="[Tabla_master_rend].[Valor_Nata_€].[All]" allUniqueName="[Tabla_master_rend].[Valor_Nata_€].[All]" dimensionUniqueName="[Tabla_master_rend]" displayFolder="" count="0" memberValueDatatype="5" unbalanced="0"/>
    <cacheHierarchy uniqueName="[Tabla_master_rend].[Kg_Finos]" caption="Kg_Finos" attribute="1" defaultMemberUniqueName="[Tabla_master_rend].[Kg_Finos].[All]" allUniqueName="[Tabla_master_rend].[Kg_Finos].[All]" dimensionUniqueName="[Tabla_master_rend]" displayFolder="" count="0" memberValueDatatype="5" unbalanced="0"/>
    <cacheHierarchy uniqueName="[Tabla_master_rend].[Kg_Llenadora]" caption="Kg_Llenadora" attribute="1" defaultMemberUniqueName="[Tabla_master_rend].[Kg_Llenadora].[All]" allUniqueName="[Tabla_master_rend].[Kg_Llenadora].[All]" dimensionUniqueName="[Tabla_master_rend]" displayFolder="" count="0" memberValueDatatype="5" unbalanced="0"/>
    <cacheHierarchy uniqueName="[Tabla_master_rend].[Kg_Desmoldeo]" caption="Kg_Desmoldeo" attribute="1" defaultMemberUniqueName="[Tabla_master_rend].[Kg_Desmoldeo].[All]" allUniqueName="[Tabla_master_rend].[Kg_Desmoldeo].[All]" dimensionUniqueName="[Tabla_master_rend]" displayFolder="" count="0" memberValueDatatype="5" unbalanced="0"/>
    <cacheHierarchy uniqueName="[Tabla_master_rend].[Merma_fab]" caption="Merma_fab" attribute="1" defaultMemberUniqueName="[Tabla_master_rend].[Merma_fab].[All]" allUniqueName="[Tabla_master_rend].[Merma_fab].[All]" dimensionUniqueName="[Tabla_master_rend]" displayFolder="" count="0" memberValueDatatype="5" unbalanced="0"/>
    <cacheHierarchy uniqueName="[Tabla_master_rend].[% Merma_fab2]" caption="% Merma_fab2" attribute="1" defaultMemberUniqueName="[Tabla_master_rend].[% Merma_fab2].[All]" allUniqueName="[Tabla_master_rend].[% Merma_fab2].[All]" dimensionUniqueName="[Tabla_master_rend]" displayFolder="" count="0" memberValueDatatype="5" unbalanced="0"/>
    <cacheHierarchy uniqueName="[Tabla_master_rend].[L_Agua]" caption="L_Agua" attribute="1" defaultMemberUniqueName="[Tabla_master_rend].[L_Agua].[All]" allUniqueName="[Tabla_master_rend].[L_Agua].[All]" dimensionUniqueName="[Tabla_master_rend]" displayFolder="" count="0" memberValueDatatype="20" unbalanced="0"/>
    <cacheHierarchy uniqueName="[Tabla_master_rend].[% oreo]" caption="% oreo" attribute="1" defaultMemberUniqueName="[Tabla_master_rend].[% oreo].[All]" allUniqueName="[Tabla_master_rend].[% oreo].[All]" dimensionUniqueName="[Tabla_master_rend]" displayFolder="" count="0" memberValueDatatype="5" unbalanced="0"/>
    <cacheHierarchy uniqueName="[Tabla_master_rend].[B_totales]" caption="B_totales" attribute="1" defaultMemberUniqueName="[Tabla_master_rend].[B_totales].[All]" allUniqueName="[Tabla_master_rend].[B_totales].[All]" dimensionUniqueName="[Tabla_master_rend]" displayFolder="" count="0" memberValueDatatype="5" unbalanced="0"/>
    <cacheHierarchy uniqueName="[Tabla_master_rend].[B_OK_uni]" caption="B_OK_uni" attribute="1" defaultMemberUniqueName="[Tabla_master_rend].[B_OK_uni].[All]" allUniqueName="[Tabla_master_rend].[B_OK_uni].[All]" dimensionUniqueName="[Tabla_master_rend]" displayFolder="" count="0" memberValueDatatype="5" unbalanced="0"/>
    <cacheHierarchy uniqueName="[Tabla_master_rend].[B_OK_kg]" caption="B_OK_kg" attribute="1" defaultMemberUniqueName="[Tabla_master_rend].[B_OK_kg].[All]" allUniqueName="[Tabla_master_rend].[B_OK_kg].[All]" dimensionUniqueName="[Tabla_master_rend]" displayFolder="" count="0" memberValueDatatype="5" unbalanced="0"/>
    <cacheHierarchy uniqueName="[Tabla_master_rend].[B_altas]" caption="B_altas" attribute="1" defaultMemberUniqueName="[Tabla_master_rend].[B_altas].[All]" allUniqueName="[Tabla_master_rend].[B_altas].[All]" dimensionUniqueName="[Tabla_master_rend]" displayFolder="" count="0" memberValueDatatype="5" unbalanced="0"/>
    <cacheHierarchy uniqueName="[Tabla_master_rend].[B_bajas]" caption="B_bajas" attribute="1" defaultMemberUniqueName="[Tabla_master_rend].[B_bajas].[All]" allUniqueName="[Tabla_master_rend].[B_bajas].[All]" dimensionUniqueName="[Tabla_master_rend]" displayFolder="" count="0" memberValueDatatype="5" unbalanced="0"/>
    <cacheHierarchy uniqueName="[Tabla_master_rend].[B_rotas]" caption="B_rotas" attribute="1" defaultMemberUniqueName="[Tabla_master_rend].[B_rotas].[All]" allUniqueName="[Tabla_master_rend].[B_rotas].[All]" dimensionUniqueName="[Tabla_master_rend]" displayFolder="" count="0" memberValueDatatype="5" unbalanced="0"/>
    <cacheHierarchy uniqueName="[Tabla_master_rend].[B_feas]" caption="B_feas" attribute="1" defaultMemberUniqueName="[Tabla_master_rend].[B_feas].[All]" allUniqueName="[Tabla_master_rend].[B_feas].[All]" dimensionUniqueName="[Tabla_master_rend]" displayFolder="" count="0" memberValueDatatype="5" unbalanced="0"/>
    <cacheHierarchy uniqueName="[Tabla_master_rend].[B_lab]" caption="B_lab" attribute="1" defaultMemberUniqueName="[Tabla_master_rend].[B_lab].[All]" allUniqueName="[Tabla_master_rend].[B_lab].[All]" dimensionUniqueName="[Tabla_master_rend]" displayFolder="" count="0" memberValueDatatype="5" unbalanced="0"/>
    <cacheHierarchy uniqueName="[Tabla_master_rend].[Kg_SalidaSecadero]" caption="Kg_SalidaSecadero" attribute="1" defaultMemberUniqueName="[Tabla_master_rend].[Kg_SalidaSecadero].[All]" allUniqueName="[Tabla_master_rend].[Kg_SalidaSecadero].[All]" dimensionUniqueName="[Tabla_master_rend]" displayFolder="" count="0" memberValueDatatype="5" unbalanced="0"/>
    <cacheHierarchy uniqueName="[Tabla_master_rend].[Kg_rebaba]" caption="Kg_rebaba" attribute="1" defaultMemberUniqueName="[Tabla_master_rend].[Kg_rebaba].[All]" allUniqueName="[Tabla_master_rend].[Kg_rebaba].[All]" dimensionUniqueName="[Tabla_master_rend]" displayFolder="" count="0" memberValueDatatype="5" unbalanced="0"/>
    <cacheHierarchy uniqueName="[Tabla_master_rend].[Kg_mer_env_real]" caption="Kg_mer_env_real" attribute="1" defaultMemberUniqueName="[Tabla_master_rend].[Kg_mer_env_real].[All]" allUniqueName="[Tabla_master_rend].[Kg_mer_env_real].[All]" dimensionUniqueName="[Tabla_master_rend]" displayFolder="" count="0" memberValueDatatype="5" unbalanced="0"/>
    <cacheHierarchy uniqueName="[Tabla_master_rend].[kg_mer_lab_real]" caption="kg_mer_lab_real" attribute="1" defaultMemberUniqueName="[Tabla_master_rend].[kg_mer_lab_real].[All]" allUniqueName="[Tabla_master_rend].[kg_mer_lab_real].[All]" dimensionUniqueName="[Tabla_master_rend]" displayFolder="" count="0" memberValueDatatype="5" unbalanced="0"/>
    <cacheHierarchy uniqueName="[Tabla_master_rend].[%Merma_env]" caption="%Merma_env" attribute="1" defaultMemberUniqueName="[Tabla_master_rend].[%Merma_env].[All]" allUniqueName="[Tabla_master_rend].[%Merma_env].[All]" dimensionUniqueName="[Tabla_master_rend]" displayFolder="" count="0" memberValueDatatype="5" unbalanced="0"/>
    <cacheHierarchy uniqueName="[Tabla_master_rend].[%Merma_env_corr]" caption="%Merma_env_corr" attribute="1" defaultMemberUniqueName="[Tabla_master_rend].[%Merma_env_corr].[All]" allUniqueName="[Tabla_master_rend].[%Merma_env_corr].[All]" dimensionUniqueName="[Tabla_master_rend]" displayFolder="" count="0" memberValueDatatype="5" unbalanced="0"/>
    <cacheHierarchy uniqueName="[Tabla_master_rend].[% merma TOT]" caption="% merma TOT" attribute="1" defaultMemberUniqueName="[Tabla_master_rend].[% merma TOT].[All]" allUniqueName="[Tabla_master_rend].[% merma TOT].[All]" dimensionUniqueName="[Tabla_master_rend]" displayFolder="" count="0" memberValueDatatype="5" unbalanced="0"/>
    <cacheHierarchy uniqueName="[Tabla_master_rend].[Merma_TOT]" caption="Merma_TOT" attribute="1" defaultMemberUniqueName="[Tabla_master_rend].[Merma_TOT].[All]" allUniqueName="[Tabla_master_rend].[Merma_TOT].[All]" dimensionUniqueName="[Tabla_master_rend]" displayFolder="" count="0" memberValueDatatype="5" unbalanced="0"/>
    <cacheHierarchy uniqueName="[Tabla_master_rend].[Kg_Env_Total]" caption="Kg_Env_Total" attribute="1" defaultMemberUniqueName="[Tabla_master_rend].[Kg_Env_Total].[All]" allUniqueName="[Tabla_master_rend].[Kg_Env_Total].[All]" dimensionUniqueName="[Tabla_master_rend]" displayFolder="" count="0" memberValueDatatype="5" unbalanced="0"/>
    <cacheHierarchy uniqueName="[Tabla_master_rend].[Coste_Leche_€]" caption="Coste_Leche_€" attribute="1" defaultMemberUniqueName="[Tabla_master_rend].[Coste_Leche_€].[All]" allUniqueName="[Tabla_master_rend].[Coste_Leche_€].[All]" dimensionUniqueName="[Tabla_master_rend]" displayFolder="" count="0" memberValueDatatype="5" unbalanced="0"/>
    <cacheHierarchy uniqueName="[Tabla_master_rend].[€/kg_MPQueso]" caption="€/kg_MPQueso" attribute="1" defaultMemberUniqueName="[Tabla_master_rend].[€/kg_MPQueso].[All]" allUniqueName="[Tabla_master_rend].[€/kg_MPQueso].[All]" dimensionUniqueName="[Tabla_master_rend]" displayFolder="" count="0" memberValueDatatype="5" unbalanced="0"/>
    <cacheHierarchy uniqueName="[Tabla_master_rend].[Merma_inic]" caption="Merma_inic" attribute="1" defaultMemberUniqueName="[Tabla_master_rend].[Merma_inic].[All]" allUniqueName="[Tabla_master_rend].[Merma_inic].[All]" dimensionUniqueName="[Tabla_master_rend]" displayFolder="" count="0" memberValueDatatype="5" unbalanced="0"/>
    <cacheHierarchy uniqueName="[Tabla_master_rend].[Recup_kg]" caption="Recup_kg" attribute="1" defaultMemberUniqueName="[Tabla_master_rend].[Recup_kg].[All]" allUniqueName="[Tabla_master_rend].[Recup_kg].[All]" dimensionUniqueName="[Tabla_master_rend]" displayFolder="" count="0" memberValueDatatype="5" unbalanced="0"/>
    <cacheHierarchy uniqueName="[Tabla_master_rend].[Recup_%]" caption="Recup_%" attribute="1" defaultMemberUniqueName="[Tabla_master_rend].[Recup_%].[All]" allUniqueName="[Tabla_master_rend].[Recup_%].[All]" dimensionUniqueName="[Tabla_master_rend]" displayFolder="" count="0" memberValueDatatype="5" unbalanced="0"/>
    <cacheHierarchy uniqueName="[Tabla_master_rend].[Merma_ppto fab]" caption="Merma_ppto fab" attribute="1" defaultMemberUniqueName="[Tabla_master_rend].[Merma_ppto fab].[All]" allUniqueName="[Tabla_master_rend].[Merma_ppto fab].[All]" dimensionUniqueName="[Tabla_master_rend]" displayFolder="" count="0" memberValueDatatype="5" unbalanced="0"/>
    <cacheHierarchy uniqueName="[Tabla_master_rend].[Merma_ppto oreo]" caption="Merma_ppto oreo" attribute="1" defaultMemberUniqueName="[Tabla_master_rend].[Merma_ppto oreo].[All]" allUniqueName="[Tabla_master_rend].[Merma_ppto oreo].[All]" dimensionUniqueName="[Tabla_master_rend]" displayFolder="" count="0" memberValueDatatype="5" unbalanced="0"/>
    <cacheHierarchy uniqueName="[Tabla_master_rend].[Merma_ppto Env/Enc]" caption="Merma_ppto Env/Enc" attribute="1" defaultMemberUniqueName="[Tabla_master_rend].[Merma_ppto Env/Enc].[All]" allUniqueName="[Tabla_master_rend].[Merma_ppto Env/Enc].[All]" dimensionUniqueName="[Tabla_master_rend]" displayFolder="" count="0" memberValueDatatype="5" unbalanced="0"/>
    <cacheHierarchy uniqueName="[Tabla_master_rend].[Merma_T ppto]" caption="Merma_T ppto" attribute="1" defaultMemberUniqueName="[Tabla_master_rend].[Merma_T ppto].[All]" allUniqueName="[Tabla_master_rend].[Merma_T ppto].[All]" dimensionUniqueName="[Tabla_master_rend]" displayFolder="" count="0" memberValueDatatype="5" unbalanced="0"/>
    <cacheHierarchy uniqueName="[Tabla_master_rend].[Merma_T ppto %]" caption="Merma_T ppto %" attribute="1" defaultMemberUniqueName="[Tabla_master_rend].[Merma_T ppto %].[All]" allUniqueName="[Tabla_master_rend].[Merma_T ppto %].[All]" dimensionUniqueName="[Tabla_master_rend]" displayFolder="" count="0" memberValueDatatype="5" unbalanced="0"/>
    <cacheHierarchy uniqueName="[Tabla_master_rend].[Merma_T real %]" caption="Merma_T real %" attribute="1" defaultMemberUniqueName="[Tabla_master_rend].[Merma_T real %].[All]" allUniqueName="[Tabla_master_rend].[Merma_T real %].[All]" dimensionUniqueName="[Tabla_master_rend]" displayFolder="" count="0" memberValueDatatype="5" unbalanced="0"/>
    <cacheHierarchy uniqueName="[Tabla_master_rend].[DIF R Vs PPTO]" caption="DIF R Vs PPTO" attribute="1" defaultMemberUniqueName="[Tabla_master_rend].[DIF R Vs PPTO].[All]" allUniqueName="[Tabla_master_rend].[DIF R Vs PPTO].[All]" dimensionUniqueName="[Tabla_master_rend]" displayFolder="" count="0" memberValueDatatype="5" unbalanced="0"/>
    <cacheHierarchy uniqueName="[Tabla_master_rend].[IMPACTO]" caption="IMPACTO" attribute="1" defaultMemberUniqueName="[Tabla_master_rend].[IMPACTO].[All]" allUniqueName="[Tabla_master_rend].[IMPACTO].[All]" dimensionUniqueName="[Tabla_master_rend]" displayFolder="" count="0" memberValueDatatype="5" unbalanced="0"/>
    <cacheHierarchy uniqueName="[Tabla_master_rend].[IMPACTO_vs_PPTO]" caption="IMPACTO_vs_PPTO" attribute="1" defaultMemberUniqueName="[Tabla_master_rend].[IMPACTO_vs_PPTO].[All]" allUniqueName="[Tabla_master_rend].[IMPACTO_vs_PPTO].[All]" dimensionUniqueName="[Tabla_master_rend]" displayFolder="" count="0" memberValueDatatype="5" unbalanced="0"/>
    <cacheHierarchy uniqueName="[Tabla_master_rend].[Fecha (mes)]" caption="Fecha (mes)" attribute="1" defaultMemberUniqueName="[Tabla_master_rend].[Fecha (mes)].[All]" allUniqueName="[Tabla_master_rend].[Fecha (mes)].[All]" dimensionUniqueName="[Tabla_master_rend]" displayFolder="" count="0" memberValueDatatype="130" unbalanced="0"/>
    <cacheHierarchy uniqueName="[Tabla_master_rend 1].[Fecha]" caption="Fecha" attribute="1" time="1" defaultMemberUniqueName="[Tabla_master_rend 1].[Fecha].[All]" allUniqueName="[Tabla_master_rend 1].[Fecha].[All]" dimensionUniqueName="[Tabla_master_rend 1]" displayFolder="" count="0" memberValueDatatype="7" unbalanced="0"/>
    <cacheHierarchy uniqueName="[Tabla_master_rend 1].[mes]" caption="mes" attribute="1" defaultMemberUniqueName="[Tabla_master_rend 1].[mes].[All]" allUniqueName="[Tabla_master_rend 1].[mes].[All]" dimensionUniqueName="[Tabla_master_rend 1]" displayFolder="" count="0" memberValueDatatype="20" unbalanced="0"/>
    <cacheHierarchy uniqueName="[Tabla_master_rend 1].[Mes_Nom]" caption="Mes_Nom" attribute="1" defaultMemberUniqueName="[Tabla_master_rend 1].[Mes_Nom].[All]" allUniqueName="[Tabla_master_rend 1].[Mes_Nom].[All]" dimensionUniqueName="[Tabla_master_rend 1]" displayFolder="" count="0" memberValueDatatype="130" unbalanced="0"/>
    <cacheHierarchy uniqueName="[Tabla_master_rend 1].[Día]" caption="Día" attribute="1" defaultMemberUniqueName="[Tabla_master_rend 1].[Día].[All]" allUniqueName="[Tabla_master_rend 1].[Día].[All]" dimensionUniqueName="[Tabla_master_rend 1]" displayFolder="" count="0" memberValueDatatype="130" unbalanced="0"/>
    <cacheHierarchy uniqueName="[Tabla_master_rend 1].[Lote]" caption="Lote" attribute="1" defaultMemberUniqueName="[Tabla_master_rend 1].[Lote].[All]" allUniqueName="[Tabla_master_rend 1].[Lote].[All]" dimensionUniqueName="[Tabla_master_rend 1]" displayFolder="" count="0" memberValueDatatype="130" unbalanced="0"/>
    <cacheHierarchy uniqueName="[Tabla_master_rend 1].[Producto]" caption="Producto" attribute="1" defaultMemberUniqueName="[Tabla_master_rend 1].[Producto].[All]" allUniqueName="[Tabla_master_rend 1].[Producto].[All]" dimensionUniqueName="[Tabla_master_rend 1]" displayFolder="" count="0" memberValueDatatype="130" unbalanced="0"/>
    <cacheHierarchy uniqueName="[Tabla_master_rend 1].[Cubas_prod]" caption="Cubas_prod" attribute="1" defaultMemberUniqueName="[Tabla_master_rend 1].[Cubas_prod].[All]" allUniqueName="[Tabla_master_rend 1].[Cubas_prod].[All]" dimensionUniqueName="[Tabla_master_rend 1]" displayFolder="" count="0" memberValueDatatype="20" unbalanced="0"/>
    <cacheHierarchy uniqueName="[Tabla_master_rend 1].[Litros_Leche_Total]" caption="Litros_Leche_Total" attribute="1" defaultMemberUniqueName="[Tabla_master_rend 1].[Litros_Leche_Total].[All]" allUniqueName="[Tabla_master_rend 1].[Litros_Leche_Total].[All]" dimensionUniqueName="[Tabla_master_rend 1]" displayFolder="" count="0" memberValueDatatype="20" unbalanced="0"/>
    <cacheHierarchy uniqueName="[Tabla_master_rend 1].[L_Leche_ent]" caption="L_Leche_ent" attribute="1" defaultMemberUniqueName="[Tabla_master_rend 1].[L_Leche_ent].[All]" allUniqueName="[Tabla_master_rend 1].[L_Leche_ent].[All]" dimensionUniqueName="[Tabla_master_rend 1]" displayFolder="" count="0" memberValueDatatype="20" unbalanced="0"/>
    <cacheHierarchy uniqueName="[Tabla_master_rend 1].[%MG_Leche]" caption="%MG_Leche" attribute="1" defaultMemberUniqueName="[Tabla_master_rend 1].[%MG_Leche].[All]" allUniqueName="[Tabla_master_rend 1].[%MG_Leche].[All]" dimensionUniqueName="[Tabla_master_rend 1]" displayFolder="" count="0" memberValueDatatype="5" unbalanced="0"/>
    <cacheHierarchy uniqueName="[Tabla_master_rend 1].[%MP_Leche]" caption="%MP_Leche" attribute="1" defaultMemberUniqueName="[Tabla_master_rend 1].[%MP_Leche].[All]" allUniqueName="[Tabla_master_rend 1].[%MP_Leche].[All]" dimensionUniqueName="[Tabla_master_rend 1]" displayFolder="" count="0" memberValueDatatype="5" unbalanced="0"/>
    <cacheHierarchy uniqueName="[Tabla_master_rend 1].[EST_%]" caption="EST_%" attribute="1" defaultMemberUniqueName="[Tabla_master_rend 1].[EST_%].[All]" allUniqueName="[Tabla_master_rend 1].[EST_%].[All]" dimensionUniqueName="[Tabla_master_rend 1]" displayFolder="" count="0" memberValueDatatype="5" unbalanced="0"/>
    <cacheHierarchy uniqueName="[Tabla_master_rend 1].[Desn_en_linea]" caption="Desn_en_linea" attribute="1" defaultMemberUniqueName="[Tabla_master_rend 1].[Desn_en_linea].[All]" allUniqueName="[Tabla_master_rend 1].[Desn_en_linea].[All]" dimensionUniqueName="[Tabla_master_rend 1]" displayFolder="" count="0" memberValueDatatype="130" unbalanced="0"/>
    <cacheHierarchy uniqueName="[Tabla_master_rend 1].[L_desn_ext]" caption="L_desn_ext" attribute="1" defaultMemberUniqueName="[Tabla_master_rend 1].[L_desn_ext].[All]" allUniqueName="[Tabla_master_rend 1].[L_desn_ext].[All]" dimensionUniqueName="[Tabla_master_rend 1]" displayFolder="" count="0" memberValueDatatype="20" unbalanced="0"/>
    <cacheHierarchy uniqueName="[Tabla_master_rend 1].[L_cabra]" caption="L_cabra" attribute="1" defaultMemberUniqueName="[Tabla_master_rend 1].[L_cabra].[All]" allUniqueName="[Tabla_master_rend 1].[L_cabra].[All]" dimensionUniqueName="[Tabla_master_rend 1]" displayFolder="" count="0" memberValueDatatype="20" unbalanced="0"/>
    <cacheHierarchy uniqueName="[Tabla_master_rend 1].[L_oveja]" caption="L_oveja" attribute="1" defaultMemberUniqueName="[Tabla_master_rend 1].[L_oveja].[All]" allUniqueName="[Tabla_master_rend 1].[L_oveja].[All]" dimensionUniqueName="[Tabla_master_rend 1]" displayFolder="" count="0" memberValueDatatype="20" unbalanced="0"/>
    <cacheHierarchy uniqueName="[Tabla_master_rend 1].[Litros_Nata]" caption="Litros_Nata" attribute="1" defaultMemberUniqueName="[Tabla_master_rend 1].[Litros_Nata].[All]" allUniqueName="[Tabla_master_rend 1].[Litros_Nata].[All]" dimensionUniqueName="[Tabla_master_rend 1]" displayFolder="" count="0" memberValueDatatype="20" unbalanced="0"/>
    <cacheHierarchy uniqueName="[Tabla_master_rend 1].[L_nata_suero]" caption="L_nata_suero" attribute="1" defaultMemberUniqueName="[Tabla_master_rend 1].[L_nata_suero].[All]" allUniqueName="[Tabla_master_rend 1].[L_nata_suero].[All]" dimensionUniqueName="[Tabla_master_rend 1]" displayFolder="" count="0" memberValueDatatype="20" unbalanced="0"/>
    <cacheHierarchy uniqueName="[Tabla_master_rend 1].[L_suero Total]" caption="L_suero Total" attribute="1" defaultMemberUniqueName="[Tabla_master_rend 1].[L_suero Total].[All]" allUniqueName="[Tabla_master_rend 1].[L_suero Total].[All]" dimensionUniqueName="[Tabla_master_rend 1]" displayFolder="" count="0" memberValueDatatype="20" unbalanced="0"/>
    <cacheHierarchy uniqueName="[Tabla_master_rend 1].[%Suero_vs_leche]" caption="%Suero_vs_leche" attribute="1" defaultMemberUniqueName="[Tabla_master_rend 1].[%Suero_vs_leche].[All]" allUniqueName="[Tabla_master_rend 1].[%Suero_vs_leche].[All]" dimensionUniqueName="[Tabla_master_rend 1]" displayFolder="" count="0" memberValueDatatype="5" unbalanced="0"/>
    <cacheHierarchy uniqueName="[Tabla_master_rend 1].[MG_suero]" caption="MG_suero" attribute="1" defaultMemberUniqueName="[Tabla_master_rend 1].[MG_suero].[All]" allUniqueName="[Tabla_master_rend 1].[MG_suero].[All]" dimensionUniqueName="[Tabla_master_rend 1]" displayFolder="" count="0" memberValueDatatype="5" unbalanced="0"/>
    <cacheHierarchy uniqueName="[Tabla_master_rend 1].[MP_suero]" caption="MP_suero" attribute="1" defaultMemberUniqueName="[Tabla_master_rend 1].[MP_suero].[All]" allUniqueName="[Tabla_master_rend 1].[MP_suero].[All]" dimensionUniqueName="[Tabla_master_rend 1]" displayFolder="" count="0" memberValueDatatype="5" unbalanced="0"/>
    <cacheHierarchy uniqueName="[Tabla_master_rend 1].[L_suero para con]" caption="L_suero para con" attribute="1" defaultMemberUniqueName="[Tabla_master_rend 1].[L_suero para con].[All]" allUniqueName="[Tabla_master_rend 1].[L_suero para con].[All]" dimensionUniqueName="[Tabla_master_rend 1]" displayFolder="" count="0" memberValueDatatype="20" unbalanced="0"/>
    <cacheHierarchy uniqueName="[Tabla_master_rend 1].[L_suero_con]" caption="L_suero_con" attribute="1" defaultMemberUniqueName="[Tabla_master_rend 1].[L_suero_con].[All]" allUniqueName="[Tabla_master_rend 1].[L_suero_con].[All]" dimensionUniqueName="[Tabla_master_rend 1]" displayFolder="" count="0" memberValueDatatype="20" unbalanced="0"/>
    <cacheHierarchy uniqueName="[Tabla_master_rend 1].[Rartio_sueroC]" caption="Rartio_sueroC" attribute="1" defaultMemberUniqueName="[Tabla_master_rend 1].[Rartio_sueroC].[All]" allUniqueName="[Tabla_master_rend 1].[Rartio_sueroC].[All]" dimensionUniqueName="[Tabla_master_rend 1]" displayFolder="" count="0" memberValueDatatype="5" unbalanced="0"/>
    <cacheHierarchy uniqueName="[Tabla_master_rend 1].[L_Suero_Sobrante]" caption="L_Suero_Sobrante" attribute="1" defaultMemberUniqueName="[Tabla_master_rend 1].[L_Suero_Sobrante].[All]" allUniqueName="[Tabla_master_rend 1].[L_Suero_Sobrante].[All]" dimensionUniqueName="[Tabla_master_rend 1]" displayFolder="" count="0" memberValueDatatype="20" unbalanced="0"/>
    <cacheHierarchy uniqueName="[Tabla_master_rend 1].[MG_sueroc]" caption="MG_sueroc" attribute="1" defaultMemberUniqueName="[Tabla_master_rend 1].[MG_sueroc].[All]" allUniqueName="[Tabla_master_rend 1].[MG_sueroc].[All]" dimensionUniqueName="[Tabla_master_rend 1]" displayFolder="" count="0" memberValueDatatype="130" unbalanced="0"/>
    <cacheHierarchy uniqueName="[Tabla_master_rend 1].[MP_sueroc]" caption="MP_sueroc" attribute="1" defaultMemberUniqueName="[Tabla_master_rend 1].[MP_sueroc].[All]" allUniqueName="[Tabla_master_rend 1].[MP_sueroc].[All]" dimensionUniqueName="[Tabla_master_rend 1]" displayFolder="" count="0" memberValueDatatype="130" unbalanced="0"/>
    <cacheHierarchy uniqueName="[Tabla_master_rend 1].[L_LPS_Gen]" caption="L_LPS_Gen" attribute="1" defaultMemberUniqueName="[Tabla_master_rend 1].[L_LPS_Gen].[All]" allUniqueName="[Tabla_master_rend 1].[L_LPS_Gen].[All]" dimensionUniqueName="[Tabla_master_rend 1]" displayFolder="" count="0" memberValueDatatype="20" unbalanced="0"/>
    <cacheHierarchy uniqueName="[Tabla_master_rend 1].[L_LPS_incor]" caption="L_LPS_incor" attribute="1" defaultMemberUniqueName="[Tabla_master_rend 1].[L_LPS_incor].[All]" allUniqueName="[Tabla_master_rend 1].[L_LPS_incor].[All]" dimensionUniqueName="[Tabla_master_rend 1]" displayFolder="" count="0" memberValueDatatype="20" unbalanced="0"/>
    <cacheHierarchy uniqueName="[Tabla_master_rend 1].[gr_LPS]" caption="gr_LPS" attribute="1" defaultMemberUniqueName="[Tabla_master_rend 1].[gr_LPS].[All]" allUniqueName="[Tabla_master_rend 1].[gr_LPS].[All]" dimensionUniqueName="[Tabla_master_rend 1]" displayFolder="" count="0" memberValueDatatype="20" unbalanced="0"/>
    <cacheHierarchy uniqueName="[Tabla_master_rend 1].[MG_LPS]" caption="MG_LPS" attribute="1" defaultMemberUniqueName="[Tabla_master_rend 1].[MG_LPS].[All]" allUniqueName="[Tabla_master_rend 1].[MG_LPS].[All]" dimensionUniqueName="[Tabla_master_rend 1]" displayFolder="" count="0" memberValueDatatype="5" unbalanced="0"/>
    <cacheHierarchy uniqueName="[Tabla_master_rend 1].[MP_LPS]" caption="MP_LPS" attribute="1" defaultMemberUniqueName="[Tabla_master_rend 1].[MP_LPS].[All]" allUniqueName="[Tabla_master_rend 1].[MP_LPS].[All]" dimensionUniqueName="[Tabla_master_rend 1]" displayFolder="" count="0" memberValueDatatype="5" unbalanced="0"/>
    <cacheHierarchy uniqueName="[Tabla_master_rend 1].[Kg_Queso_Blan]" caption="Kg_Queso_Blan" attribute="1" defaultMemberUniqueName="[Tabla_master_rend 1].[Kg_Queso_Blan].[All]" allUniqueName="[Tabla_master_rend 1].[Kg_Queso_Blan].[All]" dimensionUniqueName="[Tabla_master_rend 1]" displayFolder="" count="0" memberValueDatatype="5" unbalanced="0"/>
    <cacheHierarchy uniqueName="[Tabla_master_rend 1].[RDTO_Blanco]" caption="RDTO_Blanco" attribute="1" defaultMemberUniqueName="[Tabla_master_rend 1].[RDTO_Blanco].[All]" allUniqueName="[Tabla_master_rend 1].[RDTO_Blanco].[All]" dimensionUniqueName="[Tabla_master_rend 1]" displayFolder="" count="0" memberValueDatatype="5" unbalanced="0"/>
    <cacheHierarchy uniqueName="[Tabla_master_rend 1].[RDTO_NETO]" caption="RDTO_NETO" attribute="1" defaultMemberUniqueName="[Tabla_master_rend 1].[RDTO_NETO].[All]" allUniqueName="[Tabla_master_rend 1].[RDTO_NETO].[All]" dimensionUniqueName="[Tabla_master_rend 1]" displayFolder="" count="0" memberValueDatatype="5" unbalanced="0"/>
    <cacheHierarchy uniqueName="[Tabla_master_rend 1].[REND_TARGET]" caption="REND_TARGET" attribute="1" defaultMemberUniqueName="[Tabla_master_rend 1].[REND_TARGET].[All]" allUniqueName="[Tabla_master_rend 1].[REND_TARGET].[All]" dimensionUniqueName="[Tabla_master_rend 1]" displayFolder="" count="0" memberValueDatatype="5" unbalanced="0"/>
    <cacheHierarchy uniqueName="[Tabla_master_rend 1].[Kg_Solidos_leche]" caption="Kg_Solidos_leche" attribute="1" defaultMemberUniqueName="[Tabla_master_rend 1].[Kg_Solidos_leche].[All]" allUniqueName="[Tabla_master_rend 1].[Kg_Solidos_leche].[All]" dimensionUniqueName="[Tabla_master_rend 1]" displayFolder="" count="0" memberValueDatatype="5" unbalanced="0"/>
    <cacheHierarchy uniqueName="[Tabla_master_rend 1].[%MG_QUESO]" caption="%MG_QUESO" attribute="1" defaultMemberUniqueName="[Tabla_master_rend 1].[%MG_QUESO].[All]" allUniqueName="[Tabla_master_rend 1].[%MG_QUESO].[All]" dimensionUniqueName="[Tabla_master_rend 1]" displayFolder="" count="0" memberValueDatatype="5" unbalanced="0"/>
    <cacheHierarchy uniqueName="[Tabla_master_rend 1].[%PT_QUESO]" caption="%PT_QUESO" attribute="1" defaultMemberUniqueName="[Tabla_master_rend 1].[%PT_QUESO].[All]" allUniqueName="[Tabla_master_rend 1].[%PT_QUESO].[All]" dimensionUniqueName="[Tabla_master_rend 1]" displayFolder="" count="0" memberValueDatatype="5" unbalanced="0"/>
    <cacheHierarchy uniqueName="[Tabla_master_rend 1].[ES_QUESO]" caption="ES_QUESO" attribute="1" defaultMemberUniqueName="[Tabla_master_rend 1].[ES_QUESO].[All]" allUniqueName="[Tabla_master_rend 1].[ES_QUESO].[All]" dimensionUniqueName="[Tabla_master_rend 1]" displayFolder="" count="0" memberValueDatatype="5" unbalanced="0"/>
    <cacheHierarchy uniqueName="[Tabla_master_rend 1].[Rendimiento_Solidos_%]" caption="Rendimiento_Solidos_%" attribute="1" defaultMemberUniqueName="[Tabla_master_rend 1].[Rendimiento_Solidos_%].[All]" allUniqueName="[Tabla_master_rend 1].[Rendimiento_Solidos_%].[All]" dimensionUniqueName="[Tabla_master_rend 1]" displayFolder="" count="0" memberValueDatatype="5" unbalanced="0"/>
    <cacheHierarchy uniqueName="[Tabla_master_rend 1].[Kg_MG_Nata]" caption="Kg_MG_Nata" attribute="1" defaultMemberUniqueName="[Tabla_master_rend 1].[Kg_MG_Nata].[All]" allUniqueName="[Tabla_master_rend 1].[Kg_MG_Nata].[All]" dimensionUniqueName="[Tabla_master_rend 1]" displayFolder="" count="0" memberValueDatatype="5" unbalanced="0"/>
    <cacheHierarchy uniqueName="[Tabla_master_rend 1].[%RECUP_MG]" caption="%RECUP_MG" attribute="1" defaultMemberUniqueName="[Tabla_master_rend 1].[%RECUP_MG].[All]" allUniqueName="[Tabla_master_rend 1].[%RECUP_MG].[All]" dimensionUniqueName="[Tabla_master_rend 1]" displayFolder="" count="0" memberValueDatatype="5" unbalanced="0"/>
    <cacheHierarchy uniqueName="[Tabla_master_rend 1].[%RECUP_PT]" caption="%RECUP_PT" attribute="1" defaultMemberUniqueName="[Tabla_master_rend 1].[%RECUP_PT].[All]" allUniqueName="[Tabla_master_rend 1].[%RECUP_PT].[All]" dimensionUniqueName="[Tabla_master_rend 1]" displayFolder="" count="0" memberValueDatatype="5" unbalanced="0"/>
    <cacheHierarchy uniqueName="[Tabla_master_rend 1].[Valor_Nata_€]" caption="Valor_Nata_€" attribute="1" defaultMemberUniqueName="[Tabla_master_rend 1].[Valor_Nata_€].[All]" allUniqueName="[Tabla_master_rend 1].[Valor_Nata_€].[All]" dimensionUniqueName="[Tabla_master_rend 1]" displayFolder="" count="0" memberValueDatatype="5" unbalanced="0"/>
    <cacheHierarchy uniqueName="[Tabla_master_rend 1].[Kg_Finos]" caption="Kg_Finos" attribute="1" defaultMemberUniqueName="[Tabla_master_rend 1].[Kg_Finos].[All]" allUniqueName="[Tabla_master_rend 1].[Kg_Finos].[All]" dimensionUniqueName="[Tabla_master_rend 1]" displayFolder="" count="0" memberValueDatatype="5" unbalanced="0"/>
    <cacheHierarchy uniqueName="[Tabla_master_rend 1].[Kg_Llenadora]" caption="Kg_Llenadora" attribute="1" defaultMemberUniqueName="[Tabla_master_rend 1].[Kg_Llenadora].[All]" allUniqueName="[Tabla_master_rend 1].[Kg_Llenadora].[All]" dimensionUniqueName="[Tabla_master_rend 1]" displayFolder="" count="0" memberValueDatatype="5" unbalanced="0"/>
    <cacheHierarchy uniqueName="[Tabla_master_rend 1].[Kg_Desmoldeo]" caption="Kg_Desmoldeo" attribute="1" defaultMemberUniqueName="[Tabla_master_rend 1].[Kg_Desmoldeo].[All]" allUniqueName="[Tabla_master_rend 1].[Kg_Desmoldeo].[All]" dimensionUniqueName="[Tabla_master_rend 1]" displayFolder="" count="0" memberValueDatatype="5" unbalanced="0"/>
    <cacheHierarchy uniqueName="[Tabla_master_rend 1].[Merma_fab]" caption="Merma_fab" attribute="1" defaultMemberUniqueName="[Tabla_master_rend 1].[Merma_fab].[All]" allUniqueName="[Tabla_master_rend 1].[Merma_fab].[All]" dimensionUniqueName="[Tabla_master_rend 1]" displayFolder="" count="0" memberValueDatatype="5" unbalanced="0"/>
    <cacheHierarchy uniqueName="[Tabla_master_rend 1].[% Merma_fab2]" caption="% Merma_fab2" attribute="1" defaultMemberUniqueName="[Tabla_master_rend 1].[% Merma_fab2].[All]" allUniqueName="[Tabla_master_rend 1].[% Merma_fab2].[All]" dimensionUniqueName="[Tabla_master_rend 1]" displayFolder="" count="0" memberValueDatatype="5" unbalanced="0"/>
    <cacheHierarchy uniqueName="[Tabla_master_rend 1].[L_Agua]" caption="L_Agua" attribute="1" defaultMemberUniqueName="[Tabla_master_rend 1].[L_Agua].[All]" allUniqueName="[Tabla_master_rend 1].[L_Agua].[All]" dimensionUniqueName="[Tabla_master_rend 1]" displayFolder="" count="0" memberValueDatatype="20" unbalanced="0"/>
    <cacheHierarchy uniqueName="[Tabla_master_rend 1].[% oreo]" caption="% oreo" attribute="1" defaultMemberUniqueName="[Tabla_master_rend 1].[% oreo].[All]" allUniqueName="[Tabla_master_rend 1].[% oreo].[All]" dimensionUniqueName="[Tabla_master_rend 1]" displayFolder="" count="0" memberValueDatatype="5" unbalanced="0"/>
    <cacheHierarchy uniqueName="[Tabla_master_rend 1].[B_totales]" caption="B_totales" attribute="1" defaultMemberUniqueName="[Tabla_master_rend 1].[B_totales].[All]" allUniqueName="[Tabla_master_rend 1].[B_totales].[All]" dimensionUniqueName="[Tabla_master_rend 1]" displayFolder="" count="0" memberValueDatatype="20" unbalanced="0"/>
    <cacheHierarchy uniqueName="[Tabla_master_rend 1].[B_OK_uni]" caption="B_OK_uni" attribute="1" defaultMemberUniqueName="[Tabla_master_rend 1].[B_OK_uni].[All]" allUniqueName="[Tabla_master_rend 1].[B_OK_uni].[All]" dimensionUniqueName="[Tabla_master_rend 1]" displayFolder="" count="0" memberValueDatatype="20" unbalanced="0"/>
    <cacheHierarchy uniqueName="[Tabla_master_rend 1].[B_OK_kg]" caption="B_OK_kg" attribute="1" defaultMemberUniqueName="[Tabla_master_rend 1].[B_OK_kg].[All]" allUniqueName="[Tabla_master_rend 1].[B_OK_kg].[All]" dimensionUniqueName="[Tabla_master_rend 1]" displayFolder="" count="0" memberValueDatatype="20" unbalanced="0"/>
    <cacheHierarchy uniqueName="[Tabla_master_rend 1].[B_altas]" caption="B_altas" attribute="1" defaultMemberUniqueName="[Tabla_master_rend 1].[B_altas].[All]" allUniqueName="[Tabla_master_rend 1].[B_altas].[All]" dimensionUniqueName="[Tabla_master_rend 1]" displayFolder="" count="0" memberValueDatatype="20" unbalanced="0"/>
    <cacheHierarchy uniqueName="[Tabla_master_rend 1].[B_bajas]" caption="B_bajas" attribute="1" defaultMemberUniqueName="[Tabla_master_rend 1].[B_bajas].[All]" allUniqueName="[Tabla_master_rend 1].[B_bajas].[All]" dimensionUniqueName="[Tabla_master_rend 1]" displayFolder="" count="0" memberValueDatatype="20" unbalanced="0"/>
    <cacheHierarchy uniqueName="[Tabla_master_rend 1].[B_rotas]" caption="B_rotas" attribute="1" defaultMemberUniqueName="[Tabla_master_rend 1].[B_rotas].[All]" allUniqueName="[Tabla_master_rend 1].[B_rotas].[All]" dimensionUniqueName="[Tabla_master_rend 1]" displayFolder="" count="0" memberValueDatatype="20" unbalanced="0"/>
    <cacheHierarchy uniqueName="[Tabla_master_rend 1].[B_feas]" caption="B_feas" attribute="1" defaultMemberUniqueName="[Tabla_master_rend 1].[B_feas].[All]" allUniqueName="[Tabla_master_rend 1].[B_feas].[All]" dimensionUniqueName="[Tabla_master_rend 1]" displayFolder="" count="0" memberValueDatatype="20" unbalanced="0"/>
    <cacheHierarchy uniqueName="[Tabla_master_rend 1].[B_lab]" caption="B_lab" attribute="1" defaultMemberUniqueName="[Tabla_master_rend 1].[B_lab].[All]" allUniqueName="[Tabla_master_rend 1].[B_lab].[All]" dimensionUniqueName="[Tabla_master_rend 1]" displayFolder="" count="0" memberValueDatatype="20" unbalanced="0"/>
    <cacheHierarchy uniqueName="[Tabla_master_rend 1].[Kg_SalidaSecadero]" caption="Kg_SalidaSecadero" attribute="1" defaultMemberUniqueName="[Tabla_master_rend 1].[Kg_SalidaSecadero].[All]" allUniqueName="[Tabla_master_rend 1].[Kg_SalidaSecadero].[All]" dimensionUniqueName="[Tabla_master_rend 1]" displayFolder="" count="0" memberValueDatatype="20" unbalanced="0"/>
    <cacheHierarchy uniqueName="[Tabla_master_rend 1].[Kg_rebaba]" caption="Kg_rebaba" attribute="1" defaultMemberUniqueName="[Tabla_master_rend 1].[Kg_rebaba].[All]" allUniqueName="[Tabla_master_rend 1].[Kg_rebaba].[All]" dimensionUniqueName="[Tabla_master_rend 1]" displayFolder="" count="0" memberValueDatatype="20" unbalanced="0"/>
    <cacheHierarchy uniqueName="[Tabla_master_rend 1].[Kg_mer_env_real]" caption="Kg_mer_env_real" attribute="1" defaultMemberUniqueName="[Tabla_master_rend 1].[Kg_mer_env_real].[All]" allUniqueName="[Tabla_master_rend 1].[Kg_mer_env_real].[All]" dimensionUniqueName="[Tabla_master_rend 1]" displayFolder="" count="0" memberValueDatatype="5" unbalanced="0"/>
    <cacheHierarchy uniqueName="[Tabla_master_rend 1].[kg_mer_lab_real]" caption="kg_mer_lab_real" attribute="1" defaultMemberUniqueName="[Tabla_master_rend 1].[kg_mer_lab_real].[All]" allUniqueName="[Tabla_master_rend 1].[kg_mer_lab_real].[All]" dimensionUniqueName="[Tabla_master_rend 1]" displayFolder="" count="0" memberValueDatatype="5" unbalanced="0"/>
    <cacheHierarchy uniqueName="[Tabla_master_rend 1].[%Merma_env]" caption="%Merma_env" attribute="1" defaultMemberUniqueName="[Tabla_master_rend 1].[%Merma_env].[All]" allUniqueName="[Tabla_master_rend 1].[%Merma_env].[All]" dimensionUniqueName="[Tabla_master_rend 1]" displayFolder="" count="0" memberValueDatatype="5" unbalanced="0"/>
    <cacheHierarchy uniqueName="[Tabla_master_rend 1].[%Merma_env_corr]" caption="%Merma_env_corr" attribute="1" defaultMemberUniqueName="[Tabla_master_rend 1].[%Merma_env_corr].[All]" allUniqueName="[Tabla_master_rend 1].[%Merma_env_corr].[All]" dimensionUniqueName="[Tabla_master_rend 1]" displayFolder="" count="0" memberValueDatatype="5" unbalanced="0"/>
    <cacheHierarchy uniqueName="[Tabla_master_rend 1].[% merma TOT]" caption="% merma TOT" attribute="1" defaultMemberUniqueName="[Tabla_master_rend 1].[% merma TOT].[All]" allUniqueName="[Tabla_master_rend 1].[% merma TOT].[All]" dimensionUniqueName="[Tabla_master_rend 1]" displayFolder="" count="0" memberValueDatatype="5" unbalanced="0"/>
    <cacheHierarchy uniqueName="[Tabla_master_rend 1].[Merma_TOT]" caption="Merma_TOT" attribute="1" defaultMemberUniqueName="[Tabla_master_rend 1].[Merma_TOT].[All]" allUniqueName="[Tabla_master_rend 1].[Merma_TOT].[All]" dimensionUniqueName="[Tabla_master_rend 1]" displayFolder="" count="0" memberValueDatatype="5" unbalanced="0"/>
    <cacheHierarchy uniqueName="[Tabla_master_rend 1].[Kg_Env_Total]" caption="Kg_Env_Total" attribute="1" defaultMemberUniqueName="[Tabla_master_rend 1].[Kg_Env_Total].[All]" allUniqueName="[Tabla_master_rend 1].[Kg_Env_Total].[All]" dimensionUniqueName="[Tabla_master_rend 1]" displayFolder="" count="0" memberValueDatatype="5" unbalanced="0"/>
    <cacheHierarchy uniqueName="[Tabla_master_rend 1].[Coste_Leche_€]" caption="Coste_Leche_€" attribute="1" defaultMemberUniqueName="[Tabla_master_rend 1].[Coste_Leche_€].[All]" allUniqueName="[Tabla_master_rend 1].[Coste_Leche_€].[All]" dimensionUniqueName="[Tabla_master_rend 1]" displayFolder="" count="0" memberValueDatatype="5" unbalanced="0"/>
    <cacheHierarchy uniqueName="[Tabla_master_rend 1].[€/kg_MPQueso]" caption="€/kg_MPQueso" attribute="1" defaultMemberUniqueName="[Tabla_master_rend 1].[€/kg_MPQueso].[All]" allUniqueName="[Tabla_master_rend 1].[€/kg_MPQueso].[All]" dimensionUniqueName="[Tabla_master_rend 1]" displayFolder="" count="0" memberValueDatatype="5" unbalanced="0"/>
    <cacheHierarchy uniqueName="[Tabla_master_rend 1].[Merma_inic]" caption="Merma_inic" attribute="1" defaultMemberUniqueName="[Tabla_master_rend 1].[Merma_inic].[All]" allUniqueName="[Tabla_master_rend 1].[Merma_inic].[All]" dimensionUniqueName="[Tabla_master_rend 1]" displayFolder="" count="0" memberValueDatatype="5" unbalanced="0"/>
    <cacheHierarchy uniqueName="[Tabla_master_rend 1].[Recup_kg]" caption="Recup_kg" attribute="1" defaultMemberUniqueName="[Tabla_master_rend 1].[Recup_kg].[All]" allUniqueName="[Tabla_master_rend 1].[Recup_kg].[All]" dimensionUniqueName="[Tabla_master_rend 1]" displayFolder="" count="0" memberValueDatatype="5" unbalanced="0"/>
    <cacheHierarchy uniqueName="[Tabla_master_rend 1].[Recup_%]" caption="Recup_%" attribute="1" defaultMemberUniqueName="[Tabla_master_rend 1].[Recup_%].[All]" allUniqueName="[Tabla_master_rend 1].[Recup_%].[All]" dimensionUniqueName="[Tabla_master_rend 1]" displayFolder="" count="0" memberValueDatatype="5" unbalanced="0"/>
    <cacheHierarchy uniqueName="[Tabla_master_rend 1].[Merma_ppto fab]" caption="Merma_ppto fab" attribute="1" defaultMemberUniqueName="[Tabla_master_rend 1].[Merma_ppto fab].[All]" allUniqueName="[Tabla_master_rend 1].[Merma_ppto fab].[All]" dimensionUniqueName="[Tabla_master_rend 1]" displayFolder="" count="0" memberValueDatatype="5" unbalanced="0"/>
    <cacheHierarchy uniqueName="[Tabla_master_rend 1].[Merma_ppto oreo]" caption="Merma_ppto oreo" attribute="1" defaultMemberUniqueName="[Tabla_master_rend 1].[Merma_ppto oreo].[All]" allUniqueName="[Tabla_master_rend 1].[Merma_ppto oreo].[All]" dimensionUniqueName="[Tabla_master_rend 1]" displayFolder="" count="0" memberValueDatatype="5" unbalanced="0"/>
    <cacheHierarchy uniqueName="[Tabla_master_rend 1].[Merma_ppto Env/Enc]" caption="Merma_ppto Env/Enc" attribute="1" defaultMemberUniqueName="[Tabla_master_rend 1].[Merma_ppto Env/Enc].[All]" allUniqueName="[Tabla_master_rend 1].[Merma_ppto Env/Enc].[All]" dimensionUniqueName="[Tabla_master_rend 1]" displayFolder="" count="0" memberValueDatatype="5" unbalanced="0"/>
    <cacheHierarchy uniqueName="[Tabla_master_rend 1].[Merma_T ppto]" caption="Merma_T ppto" attribute="1" defaultMemberUniqueName="[Tabla_master_rend 1].[Merma_T ppto].[All]" allUniqueName="[Tabla_master_rend 1].[Merma_T ppto].[All]" dimensionUniqueName="[Tabla_master_rend 1]" displayFolder="" count="0" memberValueDatatype="5" unbalanced="0"/>
    <cacheHierarchy uniqueName="[Tabla_master_rend 1].[Merma_T ppto %]" caption="Merma_T ppto %" attribute="1" defaultMemberUniqueName="[Tabla_master_rend 1].[Merma_T ppto %].[All]" allUniqueName="[Tabla_master_rend 1].[Merma_T ppto %].[All]" dimensionUniqueName="[Tabla_master_rend 1]" displayFolder="" count="0" memberValueDatatype="5" unbalanced="0"/>
    <cacheHierarchy uniqueName="[Tabla_master_rend 1].[Merma_T real %]" caption="Merma_T real %" attribute="1" defaultMemberUniqueName="[Tabla_master_rend 1].[Merma_T real %].[All]" allUniqueName="[Tabla_master_rend 1].[Merma_T real %].[All]" dimensionUniqueName="[Tabla_master_rend 1]" displayFolder="" count="0" memberValueDatatype="5" unbalanced="0"/>
    <cacheHierarchy uniqueName="[Tabla_master_rend 1].[DIF R Vs PPTO]" caption="DIF R Vs PPTO" attribute="1" defaultMemberUniqueName="[Tabla_master_rend 1].[DIF R Vs PPTO].[All]" allUniqueName="[Tabla_master_rend 1].[DIF R Vs PPTO].[All]" dimensionUniqueName="[Tabla_master_rend 1]" displayFolder="" count="0" memberValueDatatype="5" unbalanced="0"/>
    <cacheHierarchy uniqueName="[Tabla_master_rend 1].[IMPACTO]" caption="IMPACTO" attribute="1" defaultMemberUniqueName="[Tabla_master_rend 1].[IMPACTO].[All]" allUniqueName="[Tabla_master_rend 1].[IMPACTO].[All]" dimensionUniqueName="[Tabla_master_rend 1]" displayFolder="" count="0" memberValueDatatype="5" unbalanced="0"/>
    <cacheHierarchy uniqueName="[Tabla_master_rend 1].[IMPACTO_vs_PPTO]" caption="IMPACTO_vs_PPTO" attribute="1" defaultMemberUniqueName="[Tabla_master_rend 1].[IMPACTO_vs_PPTO].[All]" allUniqueName="[Tabla_master_rend 1].[IMPACTO_vs_PPTO].[All]" dimensionUniqueName="[Tabla_master_rend 1]" displayFolder="" count="0" memberValueDatatype="5" unbalanced="0"/>
    <cacheHierarchy uniqueName="[Tabla_Precio_Venta].[Fecha]" caption="Fecha" attribute="1" defaultMemberUniqueName="[Tabla_Precio_Venta].[Fecha].[All]" allUniqueName="[Tabla_Precio_Venta].[Fecha].[All]" dimensionUniqueName="[Tabla_Precio_Venta]" displayFolder="" count="0" memberValueDatatype="130" unbalanced="0"/>
    <cacheHierarchy uniqueName="[Tabla_Precio_Venta].[Producto]" caption="Producto" attribute="1" defaultMemberUniqueName="[Tabla_Precio_Venta].[Producto].[All]" allUniqueName="[Tabla_Precio_Venta].[Producto].[All]" dimensionUniqueName="[Tabla_Precio_Venta]" displayFolder="" count="0" memberValueDatatype="130" unbalanced="0"/>
    <cacheHierarchy uniqueName="[Tabla_Precio_Venta].[Ventas (kg)]" caption="Ventas (kg)" attribute="1" defaultMemberUniqueName="[Tabla_Precio_Venta].[Ventas (kg)].[All]" allUniqueName="[Tabla_Precio_Venta].[Ventas (kg)].[All]" dimensionUniqueName="[Tabla_Precio_Venta]" displayFolder="" count="0" memberValueDatatype="20" unbalanced="0"/>
    <cacheHierarchy uniqueName="[Tabla_Precio_Venta].[PV_eur_kg]" caption="PV_eur_kg" attribute="1" defaultMemberUniqueName="[Tabla_Precio_Venta].[PV_eur_kg].[All]" allUniqueName="[Tabla_Precio_Venta].[PV_eur_kg].[All]" dimensionUniqueName="[Tabla_Precio_Venta]" displayFolder="" count="0" memberValueDatatype="5" unbalanced="0"/>
    <cacheHierarchy uniqueName="[tbl_DimFecha].[Fecha]" caption="Fecha" attribute="1" time="1" defaultMemberUniqueName="[tbl_DimFecha].[Fecha].[All]" allUniqueName="[tbl_DimFecha].[Fecha].[All]" dimensionUniqueName="[tbl_DimFecha]" displayFolder="" count="0" memberValueDatatype="7" unbalanced="0"/>
    <cacheHierarchy uniqueName="[tbl_DimFecha].[Año]" caption="Año" attribute="1" defaultMemberUniqueName="[tbl_DimFecha].[Año].[All]" allUniqueName="[tbl_DimFecha].[Año].[All]" dimensionUniqueName="[tbl_DimFecha]" displayFolder="" count="2" memberValueDatatype="20" unbalanced="0">
      <fieldsUsage count="2">
        <fieldUsage x="-1"/>
        <fieldUsage x="6"/>
      </fieldsUsage>
    </cacheHierarchy>
    <cacheHierarchy uniqueName="[tbl_DimFecha].[MesN]" caption="MesN" attribute="1" defaultMemberUniqueName="[tbl_DimFecha].[MesN].[All]" allUniqueName="[tbl_DimFecha].[MesN].[All]" dimensionUniqueName="[tbl_DimFecha]" displayFolder="" count="0" memberValueDatatype="20" unbalanced="0"/>
    <cacheHierarchy uniqueName="[tbl_DimFecha].[Mes]" caption="Mes" attribute="1" defaultMemberUniqueName="[tbl_DimFecha].[Mes].[All]" allUniqueName="[tbl_DimFecha].[Mes].[All]" dimensionUniqueName="[tbl_DimFecha]" displayFolder="" count="0" memberValueDatatype="130" unbalanced="0"/>
    <cacheHierarchy uniqueName="[tbl_DimFecha].[AñoMes]" caption="AñoMes" attribute="1" defaultMemberUniqueName="[tbl_DimFecha].[AñoMes].[All]" allUniqueName="[tbl_DimFecha].[AñoMes].[All]" dimensionUniqueName="[tbl_DimFecha]" displayFolder="" count="2" memberValueDatatype="130" unbalanced="0">
      <fieldsUsage count="2">
        <fieldUsage x="-1"/>
        <fieldUsage x="0"/>
      </fieldsUsage>
    </cacheHierarchy>
    <cacheHierarchy uniqueName="[tbl_DimFecha].[SemanaISO]" caption="SemanaISO" attribute="1" defaultMemberUniqueName="[tbl_DimFecha].[SemanaISO].[All]" allUniqueName="[tbl_DimFecha].[SemanaISO].[All]" dimensionUniqueName="[tbl_DimFecha]" displayFolder="" count="0" memberValueDatatype="20" unbalanced="0"/>
    <cacheHierarchy uniqueName="[tbl_DimFecha].[AñoSemana]" caption="AñoSemana" attribute="1" defaultMemberUniqueName="[tbl_DimFecha].[AñoSemana].[All]" allUniqueName="[tbl_DimFecha].[AñoSemana].[All]" dimensionUniqueName="[tbl_DimFecha]" displayFolder="" count="0" memberValueDatatype="130" unbalanced="0"/>
    <cacheHierarchy uniqueName="[tbl_DimFecha].[DiaSemanaN]" caption="DiaSemanaN" attribute="1" defaultMemberUniqueName="[tbl_DimFecha].[DiaSemanaN].[All]" allUniqueName="[tbl_DimFecha].[DiaSemanaN].[All]" dimensionUniqueName="[tbl_DimFecha]" displayFolder="" count="0" memberValueDatatype="20" unbalanced="0"/>
    <cacheHierarchy uniqueName="[tbl_DimFecha].[DiaSemana]" caption="DiaSemana" attribute="1" defaultMemberUniqueName="[tbl_DimFecha].[DiaSemana].[All]" allUniqueName="[tbl_DimFecha].[DiaSemana].[All]" dimensionUniqueName="[tbl_DimFecha]" displayFolder="" count="0" memberValueDatatype="130" unbalanced="0"/>
    <cacheHierarchy uniqueName="[tbl_DimFecha].[Mes_Orden]" caption="Mes_Orden" attribute="1" defaultMemberUniqueName="[tbl_DimFecha].[Mes_Orden].[All]" allUniqueName="[tbl_DimFecha].[Mes_Orden].[All]" dimensionUniqueName="[tbl_DimFecha]" displayFolder="" count="0" memberValueDatatype="130" unbalanced="0"/>
    <cacheHierarchy uniqueName="[tbl_DimProducto].[Producto]" caption="Producto" attribute="1" defaultMemberUniqueName="[tbl_DimProducto].[Producto].[All]" allUniqueName="[tbl_DimProducto].[Producto].[All]" dimensionUniqueName="[tbl_DimProducto]" displayFolder="" count="0" memberValueDatatype="130" unbalanced="0"/>
    <cacheHierarchy uniqueName="[tbl_DimProducto].[Producto_id]" caption="Producto_id" attribute="1" defaultMemberUniqueName="[tbl_DimProducto].[Producto_id].[All]" allUniqueName="[tbl_DimProducto].[Producto_id].[All]" dimensionUniqueName="[tbl_DimProducto]" displayFolder="" count="0" memberValueDatatype="130" unbalanced="0"/>
    <cacheHierarchy uniqueName="[tbl_DimProducto].[Categoría]" caption="Categoría" attribute="1" defaultMemberUniqueName="[tbl_DimProducto].[Categoría].[All]" allUniqueName="[tbl_DimProducto].[Categoría].[All]" dimensionUniqueName="[tbl_DimProducto]" displayFolder="" count="2" memberValueDatatype="130" unbalanced="0"/>
    <cacheHierarchy uniqueName="[tbl_DimProducto].[PesoBarra_kg]" caption="PesoBarra_kg" attribute="1" defaultMemberUniqueName="[tbl_DimProducto].[PesoBarra_kg].[All]" allUniqueName="[tbl_DimProducto].[PesoBarra_kg].[All]" dimensionUniqueName="[tbl_DimProducto]" displayFolder="" count="0" memberValueDatatype="5" unbalanced="0"/>
    <cacheHierarchy uniqueName="[tbl_PrecioLeche].[Año]" caption="Año" attribute="1" defaultMemberUniqueName="[tbl_PrecioLeche].[Año].[All]" allUniqueName="[tbl_PrecioLeche].[Año].[All]" dimensionUniqueName="[tbl_PrecioLeche]" displayFolder="" count="0" memberValueDatatype="20" unbalanced="0"/>
    <cacheHierarchy uniqueName="[tbl_PrecioLeche].[AñoMes]" caption="AñoMes" attribute="1" defaultMemberUniqueName="[tbl_PrecioLeche].[AñoMes].[All]" allUniqueName="[tbl_PrecioLeche].[AñoMes].[All]" dimensionUniqueName="[tbl_PrecioLeche]" displayFolder="" count="0" memberValueDatatype="130" unbalanced="0"/>
    <cacheHierarchy uniqueName="[tbl_PrecioLeche].[Mes]" caption="Mes" attribute="1" defaultMemberUniqueName="[tbl_PrecioLeche].[Mes].[All]" allUniqueName="[tbl_PrecioLeche].[Mes].[All]" dimensionUniqueName="[tbl_PrecioLeche]" displayFolder="" count="0" memberValueDatatype="130" unbalanced="0"/>
    <cacheHierarchy uniqueName="[tbl_PrecioLeche].[Tipo_Leche]" caption="Tipo_Leche" attribute="1" defaultMemberUniqueName="[tbl_PrecioLeche].[Tipo_Leche].[All]" allUniqueName="[tbl_PrecioLeche].[Tipo_Leche].[All]" dimensionUniqueName="[tbl_PrecioLeche]" displayFolder="" count="0" memberValueDatatype="130" unbalanced="0"/>
    <cacheHierarchy uniqueName="[tbl_PrecioLeche].[Precio_base]" caption="Precio_base" attribute="1" defaultMemberUniqueName="[tbl_PrecioLeche].[Precio_base].[All]" allUniqueName="[tbl_PrecioLeche].[Precio_base].[All]" dimensionUniqueName="[tbl_PrecioLeche]" displayFolder="" count="0" memberValueDatatype="20" unbalanced="0"/>
    <cacheHierarchy uniqueName="[tbl_PrecioLeche].[Calidades]" caption="Calidades" attribute="1" defaultMemberUniqueName="[tbl_PrecioLeche].[Calidades].[All]" allUniqueName="[tbl_PrecioLeche].[Calidades].[All]" dimensionUniqueName="[tbl_PrecioLeche]" displayFolder="" count="0" memberValueDatatype="20" unbalanced="0"/>
    <cacheHierarchy uniqueName="[tbl_PrecioLeche].[Transporte]" caption="Transporte" attribute="1" defaultMemberUniqueName="[tbl_PrecioLeche].[Transporte].[All]" allUniqueName="[tbl_PrecioLeche].[Transporte].[All]" dimensionUniqueName="[tbl_PrecioLeche]" displayFolder="" count="0" memberValueDatatype="20" unbalanced="0"/>
    <cacheHierarchy uniqueName="[tbl_PrecioLeche].[PMV_eur_L]" caption="PMV_eur_L" attribute="1" defaultMemberUniqueName="[tbl_PrecioLeche].[PMV_eur_L].[All]" allUniqueName="[tbl_PrecioLeche].[PMV_eur_L].[All]" dimensionUniqueName="[tbl_PrecioLeche]" displayFolder="" count="0" memberValueDatatype="5" unbalanced="0"/>
    <cacheHierarchy uniqueName="[Tabla_master_rend].[Fecha (índice de meses)]" caption="Fecha (índice de meses)" attribute="1" defaultMemberUniqueName="[Tabla_master_rend].[Fecha (índice de meses)].[All]" allUniqueName="[Tabla_master_rend].[Fecha (índice de meses)].[All]" dimensionUniqueName="[Tabla_master_rend]" displayFolder="" count="0" memberValueDatatype="20" unbalanced="0" hidden="1"/>
    <cacheHierarchy uniqueName="[Measures].[Litros_Leche]" caption="Litros_Leche" measure="1" displayFolder="" measureGroup="Tabla_master_rend" count="0" oneField="1">
      <fieldsUsage count="1">
        <fieldUsage x="4"/>
      </fieldsUsage>
    </cacheHierarchy>
    <cacheHierarchy uniqueName="[Measures].[kg_Blancos]" caption="kg_Blancos" measure="1" displayFolder="" measureGroup="Tabla_master_rend" count="0"/>
    <cacheHierarchy uniqueName="[Measures].[Kg_secadero]" caption="Kg_secadero" measure="1" displayFolder="" measureGroup="Tabla_master_rend" count="0" oneField="1">
      <fieldsUsage count="1">
        <fieldUsage x="5"/>
      </fieldsUsage>
    </cacheHierarchy>
    <cacheHierarchy uniqueName="[Measures].[Merma_TOT_kg]" caption="Merma_TOT_kg" measure="1" displayFolder="" measureGroup="Tabla_master_rend" count="0" oneField="1">
      <fieldsUsage count="1">
        <fieldUsage x="2"/>
      </fieldsUsage>
    </cacheHierarchy>
    <cacheHierarchy uniqueName="[Measures].[Merma_env_kg]" caption="Merma_env_kg" measure="1" displayFolder="" measureGroup="Tabla_master_rend" count="0"/>
    <cacheHierarchy uniqueName="[Measures].[Impacto_EUR]" caption="Impacto_EUR" measure="1" displayFolder="" measureGroup="Tabla_master_rend" count="0" oneField="1">
      <fieldsUsage count="1">
        <fieldUsage x="1"/>
      </fieldsUsage>
    </cacheHierarchy>
    <cacheHierarchy uniqueName="[Measures].[RDTO_Blanco_kg]" caption="RDTO_Blanco_kg" measure="1" displayFolder="" measureGroup="Tabla_master_rend" count="0" oneField="1">
      <fieldsUsage count="1">
        <fieldUsage x="3"/>
      </fieldsUsage>
    </cacheHierarchy>
    <cacheHierarchy uniqueName="[Measures].[Merma_env_pct]" caption="Merma_env_pct" measure="1" displayFolder="" measureGroup="Tabla_master_rend" count="0"/>
    <cacheHierarchy uniqueName="[Measures].[B_totales_u]" caption="B_totales_u" measure="1" displayFolder="" measureGroup="Tabla_master_rend" count="0"/>
    <cacheHierarchy uniqueName="[Measures].[Feas_pct]" caption="Feas_pct" measure="1" displayFolder="" measureGroup="Tabla_master_rend" count="0"/>
    <cacheHierarchy uniqueName="[Measures].[Bajas_pct]" caption="Bajas_pct" measure="1" displayFolder="" measureGroup="Tabla_master_rend" count="0"/>
    <cacheHierarchy uniqueName="[Measures].[Rotas_pct]" caption="Rotas_pct" measure="1" displayFolder="" measureGroup="Tabla_master_rend" count="0"/>
    <cacheHierarchy uniqueName="[Measures].[Recup_kg_sum]" caption="Recup_kg_sum" measure="1" displayFolder="" measureGroup="Tabla_master_rend" count="0"/>
    <cacheHierarchy uniqueName="[Measures].[Merma_inic_kg]" caption="Merma_inic_kg" measure="1" displayFolder="" measureGroup="Tabla_master_rend" count="0"/>
    <cacheHierarchy uniqueName="[Measures].[Recup_pct]" caption="Recup_pct" measure="1" displayFolder="" measureGroup="Tabla_master_rend" count="0"/>
    <cacheHierarchy uniqueName="[Measures].[Merma_env_corregida_kg]" caption="Merma_env_corregida_kg" measure="1" displayFolder="" measureGroup="Tabla_master_rend" count="0"/>
    <cacheHierarchy uniqueName="[Measures].[Merma_env_corregida_pct]" caption="Merma_env_corregida_pct" measure="1" displayFolder="" measureGroup="Tabla_master_rend" count="0"/>
    <cacheHierarchy uniqueName="[Measures].[Merma_TOT_pct]" caption="Merma_TOT_pct" measure="1" displayFolder="" measureGroup="Tabla_master_rend" count="0"/>
    <cacheHierarchy uniqueName="[Measures].[Labo_pct]" caption="Labo_pct" measure="1" displayFolder="" measureGroup="Tabla_master_rend" count="0"/>
    <cacheHierarchy uniqueName="[Measures].[Recup_MG_pct_pond]" caption="Recup_MG_pct_pond" measure="1" displayFolder="" measureGroup="Tabla_master_rend" count="0"/>
    <cacheHierarchy uniqueName="[Measures].[Recup_PT_pct_pond]" caption="Recup_PT_pct_pond" measure="1" displayFolder="" measureGroup="Tabla_master_rend" count="0"/>
    <cacheHierarchy uniqueName="[Measures].[Suero_vs_Leche]" caption="Suero_vs_Leche" measure="1" displayFolder="" measureGroup="Tabla_master_rend" count="0"/>
    <cacheHierarchy uniqueName="[Measures].[MG_suero_pct_pond]" caption="MG_suero_pct_pond" measure="1" displayFolder="" measureGroup="Tabla_master_rend" count="0"/>
    <cacheHierarchy uniqueName="[Measures].[PT_suero_pct_pond]" caption="PT_suero_pct_pond" measure="1" displayFolder="" measureGroup="Tabla_master_rend" count="0"/>
    <cacheHierarchy uniqueName="[Measures].[Nata_leche_L]" caption="Nata_leche_L" measure="1" displayFolder="" measureGroup="Tabla_master_rend" count="0"/>
    <cacheHierarchy uniqueName="[Measures].[Nata_suero_L]" caption="Nata_suero_L" measure="1" displayFolder="" measureGroup="Tabla_master_rend" count="0"/>
    <cacheHierarchy uniqueName="[Measures].[Nata_suero_pct]" caption="Nata_suero_pct" measure="1" displayFolder="" measureGroup="Tabla_master_rend" count="0"/>
    <cacheHierarchy uniqueName="[Measures].[Valor_Nata_EUR]" caption="Valor_Nata_EUR" measure="1" displayFolder="" measureGroup="Tabla_master_rend" count="0"/>
    <cacheHierarchy uniqueName="[Measures].[Nata_Total_L]" caption="Nata_Total_L" measure="1" displayFolder="" measureGroup="Tabla_master_rend" count="0"/>
    <cacheHierarchy uniqueName="[Measures].[Solidos_leche_kg]" caption="Solidos_leche_kg" measure="1" displayFolder="" measureGroup="Tabla_master_rend" count="0"/>
    <cacheHierarchy uniqueName="[Measures].[Solidos_en_queso_kg]" caption="Solidos_en_queso_kg" measure="1" displayFolder="" measureGroup="Tabla_master_rend" count="0"/>
    <cacheHierarchy uniqueName="[Measures].[Recup_solidos_a_queso_pct]" caption="Recup_solidos_a_queso_pct" measure="1" displayFolder="" measureGroup="Tabla_master_rend" count="0"/>
    <cacheHierarchy uniqueName="[Measures].[Suero_kg_aprox]" caption="Suero_kg_aprox" measure="1" displayFolder="" measureGroup="Tabla_master_rend" count="0"/>
    <cacheHierarchy uniqueName="[Measures].[Solidos_principales_suero_kg]" caption="Solidos_principales_suero_kg" measure="1" displayFolder="" measureGroup="Tabla_master_rend" count="0"/>
    <cacheHierarchy uniqueName="[Measures].[Solidos_principales_suero_pct_sobre_leche]" caption="Solidos_principales_suero_pct_sobre_leche" measure="1" displayFolder="" measureGroup="Tabla_master_rend" count="0"/>
    <cacheHierarchy uniqueName="[Measures].[Solidos_gap_kg]" caption="Solidos_gap_kg" measure="1" displayFolder="" measureGroup="Tabla_master_rend" count="0"/>
    <cacheHierarchy uniqueName="[Measures].[MG_a_nata_leche_kg]" caption="MG_a_nata_leche_kg" measure="1" displayFolder="" measureGroup="Tabla_master_rend" count="0"/>
    <cacheHierarchy uniqueName="[Measures].[MG_a_nata_leche_pct_sobre_solidos]" caption="MG_a_nata_leche_pct_sobre_solidos" measure="1" displayFolder="" measureGroup="Tabla_master_rend" count="0"/>
    <cacheHierarchy uniqueName="[Measures].[Solidos_leche_FP_kg]" caption="Solidos_leche_FP_kg" measure="1" displayFolder="" measureGroup="Tabla_master_rend" count="0"/>
    <cacheHierarchy uniqueName="[Measures].[Solidos_queso_FP_kg]" caption="Solidos_queso_FP_kg" measure="1" displayFolder="" measureGroup="Tabla_master_rend" count="0"/>
    <cacheHierarchy uniqueName="[Measures].[Solidos_suero_FP_kg]" caption="Solidos_suero_FP_kg" measure="1" displayFolder="" measureGroup="Tabla_master_rend" count="0"/>
    <cacheHierarchy uniqueName="[Measures].[Solidos_GAP_des_pct]" caption="Solidos_GAP_des_pct" measure="1" displayFolder="" measureGroup="Tabla_master_rend" count="0"/>
    <cacheHierarchy uniqueName="[Measures].[RDTO_neto_pond]" caption="RDTO_neto_pond" measure="1" displayFolder="" measureGroup="Tabla_master_rend" count="0"/>
    <cacheHierarchy uniqueName="[Measures].[Recup_FP_queso_pct]" caption="Recup_FP_queso_pct" measure="1" displayFolder="" measureGroup="Tabla_master_rend" count="0"/>
    <cacheHierarchy uniqueName="[Measures].[IMPACTO_VS__PPTO]" caption="IMPACTO_VS__PPTO" measure="1" displayFolder="" measureGroup="Tabla_master_rend" count="0"/>
    <cacheHierarchy uniqueName="[Measures].[€/kg_MP_Queso]" caption="€/kg_MP_Queso" measure="1" displayFolder="" measureGroup="Tabla_master_rend" count="0"/>
    <cacheHierarchy uniqueName="[Measures].[Merma_TOT_%_blanco_a_vendible]" caption="Merma_TOT_%_blanco_a_vendible" measure="1" displayFolder="" measureGroup="Tabla_master_rend" count="0"/>
    <cacheHierarchy uniqueName="[Measures].[Merma_TOT_kg_blanco_a_vendible :]" caption="Merma_TOT_kg_blanco_a_vendible :" measure="1" displayFolder="" measureGroup="Tabla_master_rend" count="0"/>
    <cacheHierarchy uniqueName="[Measures].[Gap_solidos_pct]" caption="Gap_solidos_pct" measure="1" displayFolder="" measureGroup="Tabla_master_rend" count="0"/>
    <cacheHierarchy uniqueName="[Measures].[Kg_saladero_tons]" caption="Kg_saladero_tons" measure="1" displayFolder="" measureGroup="Tabla_master_rend" count="0"/>
    <cacheHierarchy uniqueName="[Measures].[Suero_L]" caption="Suero_L" measure="1" displayFolder="" measureGroup="Tabla_master_rend" count="0"/>
    <cacheHierarchy uniqueName="[Measures].[%_Merma_Finos]" caption="%_Merma_Finos" measure="1" displayFolder="" measureGroup="Tabla_master_rend" count="0"/>
    <cacheHierarchy uniqueName="[Measures].[%_Merma_Llenadora]" caption="%_Merma_Llenadora" measure="1" displayFolder="" measureGroup="Tabla_master_rend" count="0"/>
    <cacheHierarchy uniqueName="[Measures].[%_Merma_Desm]" caption="%_Merma_Desm" measure="1" displayFolder="" measureGroup="Tabla_master_rend" count="0"/>
    <cacheHierarchy uniqueName="[Measures].[%_Merma_oreo]" caption="%_Merma_oreo" measure="1" displayFolder="" measureGroup="Tabla_master_rend" count="0"/>
    <cacheHierarchy uniqueName="[Measures].[__XL_Count tbl_DimProducto]" caption="__XL_Count tbl_DimProducto" measure="1" displayFolder="" measureGroup="tbl_DimProducto" count="0" hidden="1"/>
    <cacheHierarchy uniqueName="[Measures].[__XL_Count tbl_FactRendFecha]" caption="__XL_Count tbl_FactRendFecha" measure="1" displayFolder="" measureGroup="tbl_DimFecha" count="0" hidden="1"/>
    <cacheHierarchy uniqueName="[Measures].[__XL_Count Tabla_master_rend]" caption="__XL_Count Tabla_master_rend" measure="1" displayFolder="" measureGroup="Tabla_master_rend" count="0" hidden="1"/>
    <cacheHierarchy uniqueName="[Measures].[__XL_Count REND_TARGET]" caption="__XL_Count REND_TARGET" measure="1" displayFolder="" measureGroup="REND_TARGET" count="0" hidden="1"/>
    <cacheHierarchy uniqueName="[Measures].[__XL_Count Tabla_master_rend 1]" caption="__XL_Count Tabla_master_rend 1" measure="1" displayFolder="" measureGroup="Tabla_master_rend 1" count="0" hidden="1"/>
    <cacheHierarchy uniqueName="[Measures].[__XL_Count Tabla_Precio_Venta]" caption="__XL_Count Tabla_Precio_Venta" measure="1" displayFolder="" measureGroup="Tabla_Precio_Venta" count="0" hidden="1"/>
    <cacheHierarchy uniqueName="[Measures].[__XL_Count tbl_PrecioLeche]" caption="__XL_Count tbl_PrecioLeche" measure="1" displayFolder="" measureGroup="tbl_PrecioLeche" count="0" hidden="1"/>
    <cacheHierarchy uniqueName="[Measures].[__XL_Count Tabla_Contabilidad]" caption="__XL_Count Tabla_Contabilidad" measure="1" displayFolder="" measureGroup="Tabla_Contabilidad" count="0" hidden="1"/>
    <cacheHierarchy uniqueName="[Measures].[__No measures defined]" caption="__No measures defined" measure="1" displayFolder="" count="0" hidden="1"/>
    <cacheHierarchy uniqueName="[Measures].[Sum of Rend_Ntarget]" caption="Sum of Rend_Ntarget" measure="1" displayFolder="" measureGroup="REND_TARG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imum of Rend_Ntarget]" caption="Maximum of Rend_Ntarget" measure="1" displayFolder="" measureGroup="REND_TARG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REND_TARGET]" caption="Suma de REND_TARGET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Promedio de REND_TARGET]" caption="Promedio de REND_TARGET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RDTO_NETO]" caption="Suma de RDTO_NETO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Kg_Finos]" caption="Suma de Kg_Finos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Kg_Llenadora]" caption="Suma de Kg_Llenadora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Kg_Desmoldeo]" caption="Suma de Kg_Desmoldeo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de Merma_fab]" caption="Suma de Merma_fab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Recuento de L_Agua]" caption="Recuento de L_Agua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de %Merma_env_corr]" caption="Suma de %Merma_env_corr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Promedio de %Merma_env_corr]" caption="Promedio de %Merma_env_corr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a de Gastos Estructura (€∕mes)]" caption="Suma de Gastos Estructura (€∕mes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Gastos Estructura (€∕mes)]" caption="Promedio de Gastos Estructura (€∕mes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BITDA  (M€)]" caption="Suma de EBITDA  (M€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BITDA  (M€)]" caption="Promedio de EBITDA  (M€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9">
    <dimension measure="1" name="Measures" uniqueName="[Measures]" caption="Measures"/>
    <dimension name="REND_TARGET" uniqueName="[REND_TARGET]" caption="REND_TARGET"/>
    <dimension name="Tabla_Contabilidad" uniqueName="[Tabla_Contabilidad]" caption="Tabla_Contabilidad"/>
    <dimension name="Tabla_master_rend" uniqueName="[Tabla_master_rend]" caption="Tabla_master_rend"/>
    <dimension name="Tabla_master_rend 1" uniqueName="[Tabla_master_rend 1]" caption="Tabla_master_rend 1"/>
    <dimension name="Tabla_Precio_Venta" uniqueName="[Tabla_Precio_Venta]" caption="Tabla_Precio_Venta"/>
    <dimension name="tbl_DimFecha" uniqueName="[tbl_DimFecha]" caption="tbl_DimFecha"/>
    <dimension name="tbl_DimProducto" uniqueName="[tbl_DimProducto]" caption="tbl_DimProducto"/>
    <dimension name="tbl_PrecioLeche" uniqueName="[tbl_PrecioLeche]" caption="tbl_PrecioLeche"/>
  </dimensions>
  <measureGroups count="8">
    <measureGroup name="REND_TARGET" caption="REND_TARGET"/>
    <measureGroup name="Tabla_Contabilidad" caption="Tabla_Contabilidad"/>
    <measureGroup name="Tabla_master_rend" caption="Tabla_master_rend"/>
    <measureGroup name="Tabla_master_rend 1" caption="Tabla_master_rend 1"/>
    <measureGroup name="Tabla_Precio_Venta" caption="Tabla_Precio_Venta"/>
    <measureGroup name="tbl_DimFecha" caption="tbl_DimFecha"/>
    <measureGroup name="tbl_DimProducto" caption="tbl_DimProducto"/>
    <measureGroup name="tbl_PrecioLeche" caption="tbl_PrecioLeche"/>
  </measureGroups>
  <maps count="13">
    <map measureGroup="0" dimension="1"/>
    <map measureGroup="0" dimension="7"/>
    <map measureGroup="1" dimension="2"/>
    <map measureGroup="2" dimension="3"/>
    <map measureGroup="2" dimension="6"/>
    <map measureGroup="2" dimension="7"/>
    <map measureGroup="3" dimension="4"/>
    <map measureGroup="4" dimension="5"/>
    <map measureGroup="4" dimension="6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os Colasante" refreshedDate="46134.996712499997" backgroundQuery="1" createdVersion="8" refreshedVersion="8" minRefreshableVersion="3" recordCount="0" supportSubquery="1" supportAdvancedDrill="1" xr:uid="{CDA86D04-8460-4B60-A628-BAD7FD0702A0}">
  <cacheSource type="external" connectionId="4"/>
  <cacheFields count="4">
    <cacheField name="[Measures].[RDTO_neto_pond]" caption="RDTO_neto_pond" numFmtId="0" hierarchy="250" level="32767"/>
    <cacheField name="[Tabla_master_rend].[Producto].[Producto]" caption="Producto" numFmtId="0" hierarchy="17" level="1">
      <sharedItems count="5">
        <s v="CABRA"/>
        <s v="CREMOSO"/>
        <s v="EDAM_F"/>
        <s v="GOUDA_F"/>
        <s v="OVEJA"/>
      </sharedItems>
    </cacheField>
    <cacheField name="[Measures].[Promedio de REND_TARGET]" caption="Promedio de REND_TARGET" numFmtId="0" hierarchy="275" level="32767"/>
    <cacheField name="[tbl_DimFecha].[Año].[Año]" caption="Año" numFmtId="0" hierarchy="186" level="1">
      <sharedItems containsSemiMixedTypes="0" containsNonDate="0" containsString="0"/>
    </cacheField>
  </cacheFields>
  <cacheHierarchies count="288">
    <cacheHierarchy uniqueName="[REND_TARGET].[Producto]" caption="Producto" attribute="1" defaultMemberUniqueName="[REND_TARGET].[Producto].[All]" allUniqueName="[REND_TARGET].[Producto].[All]" dimensionUniqueName="[REND_TARGET]" displayFolder="" count="0" memberValueDatatype="130" unbalanced="0"/>
    <cacheHierarchy uniqueName="[REND_TARGET].[Rendimiento Blanco]" caption="Rendimiento Blanco" attribute="1" defaultMemberUniqueName="[REND_TARGET].[Rendimiento Blanco].[All]" allUniqueName="[REND_TARGET].[Rendimiento Blanco].[All]" dimensionUniqueName="[REND_TARGET]" displayFolder="" count="0" memberValueDatatype="5" unbalanced="0"/>
    <cacheHierarchy uniqueName="[REND_TARGET].[Merma Fabr]" caption="Merma Fabr" attribute="1" defaultMemberUniqueName="[REND_TARGET].[Merma Fabr].[All]" allUniqueName="[REND_TARGET].[Merma Fabr].[All]" dimensionUniqueName="[REND_TARGET]" displayFolder="" count="0" memberValueDatatype="5" unbalanced="0"/>
    <cacheHierarchy uniqueName="[REND_TARGET].[Merma Oreo]" caption="Merma Oreo" attribute="1" defaultMemberUniqueName="[REND_TARGET].[Merma Oreo].[All]" allUniqueName="[REND_TARGET].[Merma Oreo].[All]" dimensionUniqueName="[REND_TARGET]" displayFolder="" count="0" memberValueDatatype="5" unbalanced="0"/>
    <cacheHierarchy uniqueName="[REND_TARGET].[Merma E/E]" caption="Merma E/E" attribute="1" defaultMemberUniqueName="[REND_TARGET].[Merma E/E].[All]" allUniqueName="[REND_TARGET].[Merma E/E].[All]" dimensionUniqueName="[REND_TARGET]" displayFolder="" count="0" memberValueDatatype="5" unbalanced="0"/>
    <cacheHierarchy uniqueName="[REND_TARGET].[Rend_Ntarget]" caption="Rend_Ntarget" attribute="1" defaultMemberUniqueName="[REND_TARGET].[Rend_Ntarget].[All]" allUniqueName="[REND_TARGET].[Rend_Ntarget].[All]" dimensionUniqueName="[REND_TARGET]" displayFolder="" count="0" memberValueDatatype="5" unbalanced="0"/>
    <cacheHierarchy uniqueName="[Tabla_Contabilidad].[Año]" caption="Año" attribute="1" defaultMemberUniqueName="[Tabla_Contabilidad].[Año].[All]" allUniqueName="[Tabla_Contabilidad].[Año].[All]" dimensionUniqueName="[Tabla_Contabilidad]" displayFolder="" count="0" memberValueDatatype="20" unbalanced="0"/>
    <cacheHierarchy uniqueName="[Tabla_Contabilidad].[AñoMes]" caption="AñoMes" attribute="1" defaultMemberUniqueName="[Tabla_Contabilidad].[AñoMes].[All]" allUniqueName="[Tabla_Contabilidad].[AñoMes].[All]" dimensionUniqueName="[Tabla_Contabilidad]" displayFolder="" count="0" memberValueDatatype="130" unbalanced="0"/>
    <cacheHierarchy uniqueName="[Tabla_Contabilidad].[Mes]" caption="Mes" attribute="1" defaultMemberUniqueName="[Tabla_Contabilidad].[Mes].[All]" allUniqueName="[Tabla_Contabilidad].[Mes].[All]" dimensionUniqueName="[Tabla_Contabilidad]" displayFolder="" count="0" memberValueDatatype="130" unbalanced="0"/>
    <cacheHierarchy uniqueName="[Tabla_Contabilidad].[Gastos Estructura (€∕mes)]" caption="Gastos Estructura (€∕mes)" attribute="1" defaultMemberUniqueName="[Tabla_Contabilidad].[Gastos Estructura (€∕mes)].[All]" allUniqueName="[Tabla_Contabilidad].[Gastos Estructura (€∕mes)].[All]" dimensionUniqueName="[Tabla_Contabilidad]" displayFolder="" count="0" memberValueDatatype="20" unbalanced="0"/>
    <cacheHierarchy uniqueName="[Tabla_Contabilidad].[EBITDA  (M€)]" caption="EBITDA  (M€)" attribute="1" defaultMemberUniqueName="[Tabla_Contabilidad].[EBITDA  (M€)].[All]" allUniqueName="[Tabla_Contabilidad].[EBITDA  (M€)].[All]" dimensionUniqueName="[Tabla_Contabilidad]" displayFolder="" count="0" memberValueDatatype="20" unbalanced="0"/>
    <cacheHierarchy uniqueName="[Tabla_Contabilidad].[EBITDA_PPTO (M€)]" caption="EBITDA_PPTO (M€)" attribute="1" defaultMemberUniqueName="[Tabla_Contabilidad].[EBITDA_PPTO (M€)].[All]" allUniqueName="[Tabla_Contabilidad].[EBITDA_PPTO (M€)].[All]" dimensionUniqueName="[Tabla_Contabilidad]" displayFolder="" count="0" memberValueDatatype="20" unbalanced="0"/>
    <cacheHierarchy uniqueName="[Tabla_master_rend].[Fecha]" caption="Fecha" attribute="1" time="1" defaultMemberUniqueName="[Tabla_master_rend].[Fecha].[All]" allUniqueName="[Tabla_master_rend].[Fecha].[All]" dimensionUniqueName="[Tabla_master_rend]" displayFolder="" count="0" memberValueDatatype="7" unbalanced="0"/>
    <cacheHierarchy uniqueName="[Tabla_master_rend].[mes]" caption="mes" attribute="1" defaultMemberUniqueName="[Tabla_master_rend].[mes].[All]" allUniqueName="[Tabla_master_rend].[mes].[All]" dimensionUniqueName="[Tabla_master_rend]" displayFolder="" count="0" memberValueDatatype="20" unbalanced="0"/>
    <cacheHierarchy uniqueName="[Tabla_master_rend].[Mes_Nom]" caption="Mes_Nom" attribute="1" defaultMemberUniqueName="[Tabla_master_rend].[Mes_Nom].[All]" allUniqueName="[Tabla_master_rend].[Mes_Nom].[All]" dimensionUniqueName="[Tabla_master_rend]" displayFolder="" count="2" memberValueDatatype="130" unbalanced="0"/>
    <cacheHierarchy uniqueName="[Tabla_master_rend].[Día]" caption="Día" attribute="1" defaultMemberUniqueName="[Tabla_master_rend].[Día].[All]" allUniqueName="[Tabla_master_rend].[Día].[All]" dimensionUniqueName="[Tabla_master_rend]" displayFolder="" count="2" memberValueDatatype="130" unbalanced="0"/>
    <cacheHierarchy uniqueName="[Tabla_master_rend].[Lote]" caption="Lote" attribute="1" defaultMemberUniqueName="[Tabla_master_rend].[Lote].[All]" allUniqueName="[Tabla_master_rend].[Lote].[All]" dimensionUniqueName="[Tabla_master_rend]" displayFolder="" count="0" memberValueDatatype="20" unbalanced="0"/>
    <cacheHierarchy uniqueName="[Tabla_master_rend].[Producto]" caption="Producto" attribute="1" defaultMemberUniqueName="[Tabla_master_rend].[Producto].[All]" allUniqueName="[Tabla_master_rend].[Producto].[All]" dimensionUniqueName="[Tabla_master_rend]" displayFolder="" count="2" memberValueDatatype="130" unbalanced="0">
      <fieldsUsage count="2">
        <fieldUsage x="-1"/>
        <fieldUsage x="1"/>
      </fieldsUsage>
    </cacheHierarchy>
    <cacheHierarchy uniqueName="[Tabla_master_rend].[Cubas_prod]" caption="Cubas_prod" attribute="1" defaultMemberUniqueName="[Tabla_master_rend].[Cubas_prod].[All]" allUniqueName="[Tabla_master_rend].[Cubas_prod].[All]" dimensionUniqueName="[Tabla_master_rend]" displayFolder="" count="0" memberValueDatatype="20" unbalanced="0"/>
    <cacheHierarchy uniqueName="[Tabla_master_rend].[Litros_Leche_Total]" caption="Litros_Leche_Total" attribute="1" defaultMemberUniqueName="[Tabla_master_rend].[Litros_Leche_Total].[All]" allUniqueName="[Tabla_master_rend].[Litros_Leche_Total].[All]" dimensionUniqueName="[Tabla_master_rend]" displayFolder="" count="0" memberValueDatatype="20" unbalanced="0"/>
    <cacheHierarchy uniqueName="[Tabla_master_rend].[L_Leche_ent]" caption="L_Leche_ent" attribute="1" defaultMemberUniqueName="[Tabla_master_rend].[L_Leche_ent].[All]" allUniqueName="[Tabla_master_rend].[L_Leche_ent].[All]" dimensionUniqueName="[Tabla_master_rend]" displayFolder="" count="0" memberValueDatatype="20" unbalanced="0"/>
    <cacheHierarchy uniqueName="[Tabla_master_rend].[%MG_Leche]" caption="%MG_Leche" attribute="1" defaultMemberUniqueName="[Tabla_master_rend].[%MG_Leche].[All]" allUniqueName="[Tabla_master_rend].[%MG_Leche].[All]" dimensionUniqueName="[Tabla_master_rend]" displayFolder="" count="0" memberValueDatatype="5" unbalanced="0"/>
    <cacheHierarchy uniqueName="[Tabla_master_rend].[%MP_Leche]" caption="%MP_Leche" attribute="1" defaultMemberUniqueName="[Tabla_master_rend].[%MP_Leche].[All]" allUniqueName="[Tabla_master_rend].[%MP_Leche].[All]" dimensionUniqueName="[Tabla_master_rend]" displayFolder="" count="0" memberValueDatatype="5" unbalanced="0"/>
    <cacheHierarchy uniqueName="[Tabla_master_rend].[EST_%]" caption="EST_%" attribute="1" defaultMemberUniqueName="[Tabla_master_rend].[EST_%].[All]" allUniqueName="[Tabla_master_rend].[EST_%].[All]" dimensionUniqueName="[Tabla_master_rend]" displayFolder="" count="0" memberValueDatatype="5" unbalanced="0"/>
    <cacheHierarchy uniqueName="[Tabla_master_rend].[Desn_en_linea]" caption="Desn_en_linea" attribute="1" defaultMemberUniqueName="[Tabla_master_rend].[Desn_en_linea].[All]" allUniqueName="[Tabla_master_rend].[Desn_en_linea].[All]" dimensionUniqueName="[Tabla_master_rend]" displayFolder="" count="2" memberValueDatatype="130" unbalanced="0"/>
    <cacheHierarchy uniqueName="[Tabla_master_rend].[L_desn_ext]" caption="L_desn_ext" attribute="1" defaultMemberUniqueName="[Tabla_master_rend].[L_desn_ext].[All]" allUniqueName="[Tabla_master_rend].[L_desn_ext].[All]" dimensionUniqueName="[Tabla_master_rend]" displayFolder="" count="0" memberValueDatatype="20" unbalanced="0"/>
    <cacheHierarchy uniqueName="[Tabla_master_rend].[L_cabra]" caption="L_cabra" attribute="1" defaultMemberUniqueName="[Tabla_master_rend].[L_cabra].[All]" allUniqueName="[Tabla_master_rend].[L_cabra].[All]" dimensionUniqueName="[Tabla_master_rend]" displayFolder="" count="0" memberValueDatatype="20" unbalanced="0"/>
    <cacheHierarchy uniqueName="[Tabla_master_rend].[L_oveja]" caption="L_oveja" attribute="1" defaultMemberUniqueName="[Tabla_master_rend].[L_oveja].[All]" allUniqueName="[Tabla_master_rend].[L_oveja].[All]" dimensionUniqueName="[Tabla_master_rend]" displayFolder="" count="0" memberValueDatatype="20" unbalanced="0"/>
    <cacheHierarchy uniqueName="[Tabla_master_rend].[Litros_Nata]" caption="Litros_Nata" attribute="1" defaultMemberUniqueName="[Tabla_master_rend].[Litros_Nata].[All]" allUniqueName="[Tabla_master_rend].[Litros_Nata].[All]" dimensionUniqueName="[Tabla_master_rend]" displayFolder="" count="0" memberValueDatatype="20" unbalanced="0"/>
    <cacheHierarchy uniqueName="[Tabla_master_rend].[L_nata_suero]" caption="L_nata_suero" attribute="1" defaultMemberUniqueName="[Tabla_master_rend].[L_nata_suero].[All]" allUniqueName="[Tabla_master_rend].[L_nata_suero].[All]" dimensionUniqueName="[Tabla_master_rend]" displayFolder="" count="0" memberValueDatatype="20" unbalanced="0"/>
    <cacheHierarchy uniqueName="[Tabla_master_rend].[L_suero Total]" caption="L_suero Total" attribute="1" defaultMemberUniqueName="[Tabla_master_rend].[L_suero Total].[All]" allUniqueName="[Tabla_master_rend].[L_suero Total].[All]" dimensionUniqueName="[Tabla_master_rend]" displayFolder="" count="0" memberValueDatatype="20" unbalanced="0"/>
    <cacheHierarchy uniqueName="[Tabla_master_rend].[%Suero_vs_leche]" caption="%Suero_vs_leche" attribute="1" defaultMemberUniqueName="[Tabla_master_rend].[%Suero_vs_leche].[All]" allUniqueName="[Tabla_master_rend].[%Suero_vs_leche].[All]" dimensionUniqueName="[Tabla_master_rend]" displayFolder="" count="0" memberValueDatatype="5" unbalanced="0"/>
    <cacheHierarchy uniqueName="[Tabla_master_rend].[MG_suero]" caption="MG_suero" attribute="1" defaultMemberUniqueName="[Tabla_master_rend].[MG_suero].[All]" allUniqueName="[Tabla_master_rend].[MG_suero].[All]" dimensionUniqueName="[Tabla_master_rend]" displayFolder="" count="0" memberValueDatatype="5" unbalanced="0"/>
    <cacheHierarchy uniqueName="[Tabla_master_rend].[MP_suero]" caption="MP_suero" attribute="1" defaultMemberUniqueName="[Tabla_master_rend].[MP_suero].[All]" allUniqueName="[Tabla_master_rend].[MP_suero].[All]" dimensionUniqueName="[Tabla_master_rend]" displayFolder="" count="0" memberValueDatatype="5" unbalanced="0"/>
    <cacheHierarchy uniqueName="[Tabla_master_rend].[L_suero para con]" caption="L_suero para con" attribute="1" defaultMemberUniqueName="[Tabla_master_rend].[L_suero para con].[All]" allUniqueName="[Tabla_master_rend].[L_suero para con].[All]" dimensionUniqueName="[Tabla_master_rend]" displayFolder="" count="0" memberValueDatatype="20" unbalanced="0"/>
    <cacheHierarchy uniqueName="[Tabla_master_rend].[L_suero_con]" caption="L_suero_con" attribute="1" defaultMemberUniqueName="[Tabla_master_rend].[L_suero_con].[All]" allUniqueName="[Tabla_master_rend].[L_suero_con].[All]" dimensionUniqueName="[Tabla_master_rend]" displayFolder="" count="0" memberValueDatatype="20" unbalanced="0"/>
    <cacheHierarchy uniqueName="[Tabla_master_rend].[Rartio_sueroC]" caption="Rartio_sueroC" attribute="1" defaultMemberUniqueName="[Tabla_master_rend].[Rartio_sueroC].[All]" allUniqueName="[Tabla_master_rend].[Rartio_sueroC].[All]" dimensionUniqueName="[Tabla_master_rend]" displayFolder="" count="0" memberValueDatatype="5" unbalanced="0"/>
    <cacheHierarchy uniqueName="[Tabla_master_rend].[L_Suero_Sobrante]" caption="L_Suero_Sobrante" attribute="1" defaultMemberUniqueName="[Tabla_master_rend].[L_Suero_Sobrante].[All]" allUniqueName="[Tabla_master_rend].[L_Suero_Sobrante].[All]" dimensionUniqueName="[Tabla_master_rend]" displayFolder="" count="0" memberValueDatatype="20" unbalanced="0"/>
    <cacheHierarchy uniqueName="[Tabla_master_rend].[MG_sueroc]" caption="MG_sueroc" attribute="1" defaultMemberUniqueName="[Tabla_master_rend].[MG_sueroc].[All]" allUniqueName="[Tabla_master_rend].[MG_sueroc].[All]" dimensionUniqueName="[Tabla_master_rend]" displayFolder="" count="0" memberValueDatatype="20" unbalanced="0"/>
    <cacheHierarchy uniqueName="[Tabla_master_rend].[MP_sueroc]" caption="MP_sueroc" attribute="1" defaultMemberUniqueName="[Tabla_master_rend].[MP_sueroc].[All]" allUniqueName="[Tabla_master_rend].[MP_sueroc].[All]" dimensionUniqueName="[Tabla_master_rend]" displayFolder="" count="0" memberValueDatatype="20" unbalanced="0"/>
    <cacheHierarchy uniqueName="[Tabla_master_rend].[L_LPS_Gen]" caption="L_LPS_Gen" attribute="1" defaultMemberUniqueName="[Tabla_master_rend].[L_LPS_Gen].[All]" allUniqueName="[Tabla_master_rend].[L_LPS_Gen].[All]" dimensionUniqueName="[Tabla_master_rend]" displayFolder="" count="0" memberValueDatatype="20" unbalanced="0"/>
    <cacheHierarchy uniqueName="[Tabla_master_rend].[L_LPS_incor]" caption="L_LPS_incor" attribute="1" defaultMemberUniqueName="[Tabla_master_rend].[L_LPS_incor].[All]" allUniqueName="[Tabla_master_rend].[L_LPS_incor].[All]" dimensionUniqueName="[Tabla_master_rend]" displayFolder="" count="0" memberValueDatatype="20" unbalanced="0"/>
    <cacheHierarchy uniqueName="[Tabla_master_rend].[gr_LPS]" caption="gr_LPS" attribute="1" defaultMemberUniqueName="[Tabla_master_rend].[gr_LPS].[All]" allUniqueName="[Tabla_master_rend].[gr_LPS].[All]" dimensionUniqueName="[Tabla_master_rend]" displayFolder="" count="0" memberValueDatatype="20" unbalanced="0"/>
    <cacheHierarchy uniqueName="[Tabla_master_rend].[MG_LPS]" caption="MG_LPS" attribute="1" defaultMemberUniqueName="[Tabla_master_rend].[MG_LPS].[All]" allUniqueName="[Tabla_master_rend].[MG_LPS].[All]" dimensionUniqueName="[Tabla_master_rend]" displayFolder="" count="0" memberValueDatatype="5" unbalanced="0"/>
    <cacheHierarchy uniqueName="[Tabla_master_rend].[MP_LPS]" caption="MP_LPS" attribute="1" defaultMemberUniqueName="[Tabla_master_rend].[MP_LPS].[All]" allUniqueName="[Tabla_master_rend].[MP_LPS].[All]" dimensionUniqueName="[Tabla_master_rend]" displayFolder="" count="0" memberValueDatatype="5" unbalanced="0"/>
    <cacheHierarchy uniqueName="[Tabla_master_rend].[Kg_Queso_Blan]" caption="Kg_Queso_Blan" attribute="1" defaultMemberUniqueName="[Tabla_master_rend].[Kg_Queso_Blan].[All]" allUniqueName="[Tabla_master_rend].[Kg_Queso_Blan].[All]" dimensionUniqueName="[Tabla_master_rend]" displayFolder="" count="0" memberValueDatatype="5" unbalanced="0"/>
    <cacheHierarchy uniqueName="[Tabla_master_rend].[RDTO_Blanco]" caption="RDTO_Blanco" attribute="1" defaultMemberUniqueName="[Tabla_master_rend].[RDTO_Blanco].[All]" allUniqueName="[Tabla_master_rend].[RDTO_Blanco].[All]" dimensionUniqueName="[Tabla_master_rend]" displayFolder="" count="0" memberValueDatatype="5" unbalanced="0"/>
    <cacheHierarchy uniqueName="[Tabla_master_rend].[RDTO_NETO]" caption="RDTO_NETO" attribute="1" defaultMemberUniqueName="[Tabla_master_rend].[RDTO_NETO].[All]" allUniqueName="[Tabla_master_rend].[RDTO_NETO].[All]" dimensionUniqueName="[Tabla_master_rend]" displayFolder="" count="0" memberValueDatatype="5" unbalanced="0"/>
    <cacheHierarchy uniqueName="[Tabla_master_rend].[REND_TARGET]" caption="REND_TARGET" attribute="1" defaultMemberUniqueName="[Tabla_master_rend].[REND_TARGET].[All]" allUniqueName="[Tabla_master_rend].[REND_TARGET].[All]" dimensionUniqueName="[Tabla_master_rend]" displayFolder="" count="0" memberValueDatatype="5" unbalanced="0"/>
    <cacheHierarchy uniqueName="[Tabla_master_rend].[Kg_Solidos_leche]" caption="Kg_Solidos_leche" attribute="1" defaultMemberUniqueName="[Tabla_master_rend].[Kg_Solidos_leche].[All]" allUniqueName="[Tabla_master_rend].[Kg_Solidos_leche].[All]" dimensionUniqueName="[Tabla_master_rend]" displayFolder="" count="0" memberValueDatatype="5" unbalanced="0"/>
    <cacheHierarchy uniqueName="[Tabla_master_rend].[%MG_QUESO]" caption="%MG_QUESO" attribute="1" defaultMemberUniqueName="[Tabla_master_rend].[%MG_QUESO].[All]" allUniqueName="[Tabla_master_rend].[%MG_QUESO].[All]" dimensionUniqueName="[Tabla_master_rend]" displayFolder="" count="0" memberValueDatatype="5" unbalanced="0"/>
    <cacheHierarchy uniqueName="[Tabla_master_rend].[%PT_QUESO]" caption="%PT_QUESO" attribute="1" defaultMemberUniqueName="[Tabla_master_rend].[%PT_QUESO].[All]" allUniqueName="[Tabla_master_rend].[%PT_QUESO].[All]" dimensionUniqueName="[Tabla_master_rend]" displayFolder="" count="0" memberValueDatatype="5" unbalanced="0"/>
    <cacheHierarchy uniqueName="[Tabla_master_rend].[ES_QUESO]" caption="ES_QUESO" attribute="1" defaultMemberUniqueName="[Tabla_master_rend].[ES_QUESO].[All]" allUniqueName="[Tabla_master_rend].[ES_QUESO].[All]" dimensionUniqueName="[Tabla_master_rend]" displayFolder="" count="0" memberValueDatatype="5" unbalanced="0"/>
    <cacheHierarchy uniqueName="[Tabla_master_rend].[Rendimiento_Solidos_%]" caption="Rendimiento_Solidos_%" attribute="1" defaultMemberUniqueName="[Tabla_master_rend].[Rendimiento_Solidos_%].[All]" allUniqueName="[Tabla_master_rend].[Rendimiento_Solidos_%].[All]" dimensionUniqueName="[Tabla_master_rend]" displayFolder="" count="0" memberValueDatatype="5" unbalanced="0"/>
    <cacheHierarchy uniqueName="[Tabla_master_rend].[Kg_MG_Nata]" caption="Kg_MG_Nata" attribute="1" defaultMemberUniqueName="[Tabla_master_rend].[Kg_MG_Nata].[All]" allUniqueName="[Tabla_master_rend].[Kg_MG_Nata].[All]" dimensionUniqueName="[Tabla_master_rend]" displayFolder="" count="0" memberValueDatatype="5" unbalanced="0"/>
    <cacheHierarchy uniqueName="[Tabla_master_rend].[%RECUP_MG]" caption="%RECUP_MG" attribute="1" defaultMemberUniqueName="[Tabla_master_rend].[%RECUP_MG].[All]" allUniqueName="[Tabla_master_rend].[%RECUP_MG].[All]" dimensionUniqueName="[Tabla_master_rend]" displayFolder="" count="0" memberValueDatatype="5" unbalanced="0"/>
    <cacheHierarchy uniqueName="[Tabla_master_rend].[%RECUP_PT]" caption="%RECUP_PT" attribute="1" defaultMemberUniqueName="[Tabla_master_rend].[%RECUP_PT].[All]" allUniqueName="[Tabla_master_rend].[%RECUP_PT].[All]" dimensionUniqueName="[Tabla_master_rend]" displayFolder="" count="0" memberValueDatatype="5" unbalanced="0"/>
    <cacheHierarchy uniqueName="[Tabla_master_rend].[Valor_Nata_€]" caption="Valor_Nata_€" attribute="1" defaultMemberUniqueName="[Tabla_master_rend].[Valor_Nata_€].[All]" allUniqueName="[Tabla_master_rend].[Valor_Nata_€].[All]" dimensionUniqueName="[Tabla_master_rend]" displayFolder="" count="0" memberValueDatatype="5" unbalanced="0"/>
    <cacheHierarchy uniqueName="[Tabla_master_rend].[Kg_Finos]" caption="Kg_Finos" attribute="1" defaultMemberUniqueName="[Tabla_master_rend].[Kg_Finos].[All]" allUniqueName="[Tabla_master_rend].[Kg_Finos].[All]" dimensionUniqueName="[Tabla_master_rend]" displayFolder="" count="0" memberValueDatatype="5" unbalanced="0"/>
    <cacheHierarchy uniqueName="[Tabla_master_rend].[Kg_Llenadora]" caption="Kg_Llenadora" attribute="1" defaultMemberUniqueName="[Tabla_master_rend].[Kg_Llenadora].[All]" allUniqueName="[Tabla_master_rend].[Kg_Llenadora].[All]" dimensionUniqueName="[Tabla_master_rend]" displayFolder="" count="0" memberValueDatatype="5" unbalanced="0"/>
    <cacheHierarchy uniqueName="[Tabla_master_rend].[Kg_Desmoldeo]" caption="Kg_Desmoldeo" attribute="1" defaultMemberUniqueName="[Tabla_master_rend].[Kg_Desmoldeo].[All]" allUniqueName="[Tabla_master_rend].[Kg_Desmoldeo].[All]" dimensionUniqueName="[Tabla_master_rend]" displayFolder="" count="0" memberValueDatatype="5" unbalanced="0"/>
    <cacheHierarchy uniqueName="[Tabla_master_rend].[Merma_fab]" caption="Merma_fab" attribute="1" defaultMemberUniqueName="[Tabla_master_rend].[Merma_fab].[All]" allUniqueName="[Tabla_master_rend].[Merma_fab].[All]" dimensionUniqueName="[Tabla_master_rend]" displayFolder="" count="0" memberValueDatatype="5" unbalanced="0"/>
    <cacheHierarchy uniqueName="[Tabla_master_rend].[% Merma_fab2]" caption="% Merma_fab2" attribute="1" defaultMemberUniqueName="[Tabla_master_rend].[% Merma_fab2].[All]" allUniqueName="[Tabla_master_rend].[% Merma_fab2].[All]" dimensionUniqueName="[Tabla_master_rend]" displayFolder="" count="0" memberValueDatatype="5" unbalanced="0"/>
    <cacheHierarchy uniqueName="[Tabla_master_rend].[L_Agua]" caption="L_Agua" attribute="1" defaultMemberUniqueName="[Tabla_master_rend].[L_Agua].[All]" allUniqueName="[Tabla_master_rend].[L_Agua].[All]" dimensionUniqueName="[Tabla_master_rend]" displayFolder="" count="0" memberValueDatatype="20" unbalanced="0"/>
    <cacheHierarchy uniqueName="[Tabla_master_rend].[% oreo]" caption="% oreo" attribute="1" defaultMemberUniqueName="[Tabla_master_rend].[% oreo].[All]" allUniqueName="[Tabla_master_rend].[% oreo].[All]" dimensionUniqueName="[Tabla_master_rend]" displayFolder="" count="0" memberValueDatatype="5" unbalanced="0"/>
    <cacheHierarchy uniqueName="[Tabla_master_rend].[B_totales]" caption="B_totales" attribute="1" defaultMemberUniqueName="[Tabla_master_rend].[B_totales].[All]" allUniqueName="[Tabla_master_rend].[B_totales].[All]" dimensionUniqueName="[Tabla_master_rend]" displayFolder="" count="0" memberValueDatatype="5" unbalanced="0"/>
    <cacheHierarchy uniqueName="[Tabla_master_rend].[B_OK_uni]" caption="B_OK_uni" attribute="1" defaultMemberUniqueName="[Tabla_master_rend].[B_OK_uni].[All]" allUniqueName="[Tabla_master_rend].[B_OK_uni].[All]" dimensionUniqueName="[Tabla_master_rend]" displayFolder="" count="0" memberValueDatatype="5" unbalanced="0"/>
    <cacheHierarchy uniqueName="[Tabla_master_rend].[B_OK_kg]" caption="B_OK_kg" attribute="1" defaultMemberUniqueName="[Tabla_master_rend].[B_OK_kg].[All]" allUniqueName="[Tabla_master_rend].[B_OK_kg].[All]" dimensionUniqueName="[Tabla_master_rend]" displayFolder="" count="0" memberValueDatatype="5" unbalanced="0"/>
    <cacheHierarchy uniqueName="[Tabla_master_rend].[B_altas]" caption="B_altas" attribute="1" defaultMemberUniqueName="[Tabla_master_rend].[B_altas].[All]" allUniqueName="[Tabla_master_rend].[B_altas].[All]" dimensionUniqueName="[Tabla_master_rend]" displayFolder="" count="0" memberValueDatatype="5" unbalanced="0"/>
    <cacheHierarchy uniqueName="[Tabla_master_rend].[B_bajas]" caption="B_bajas" attribute="1" defaultMemberUniqueName="[Tabla_master_rend].[B_bajas].[All]" allUniqueName="[Tabla_master_rend].[B_bajas].[All]" dimensionUniqueName="[Tabla_master_rend]" displayFolder="" count="0" memberValueDatatype="5" unbalanced="0"/>
    <cacheHierarchy uniqueName="[Tabla_master_rend].[B_rotas]" caption="B_rotas" attribute="1" defaultMemberUniqueName="[Tabla_master_rend].[B_rotas].[All]" allUniqueName="[Tabla_master_rend].[B_rotas].[All]" dimensionUniqueName="[Tabla_master_rend]" displayFolder="" count="0" memberValueDatatype="5" unbalanced="0"/>
    <cacheHierarchy uniqueName="[Tabla_master_rend].[B_feas]" caption="B_feas" attribute="1" defaultMemberUniqueName="[Tabla_master_rend].[B_feas].[All]" allUniqueName="[Tabla_master_rend].[B_feas].[All]" dimensionUniqueName="[Tabla_master_rend]" displayFolder="" count="0" memberValueDatatype="5" unbalanced="0"/>
    <cacheHierarchy uniqueName="[Tabla_master_rend].[B_lab]" caption="B_lab" attribute="1" defaultMemberUniqueName="[Tabla_master_rend].[B_lab].[All]" allUniqueName="[Tabla_master_rend].[B_lab].[All]" dimensionUniqueName="[Tabla_master_rend]" displayFolder="" count="0" memberValueDatatype="5" unbalanced="0"/>
    <cacheHierarchy uniqueName="[Tabla_master_rend].[Kg_SalidaSecadero]" caption="Kg_SalidaSecadero" attribute="1" defaultMemberUniqueName="[Tabla_master_rend].[Kg_SalidaSecadero].[All]" allUniqueName="[Tabla_master_rend].[Kg_SalidaSecadero].[All]" dimensionUniqueName="[Tabla_master_rend]" displayFolder="" count="0" memberValueDatatype="5" unbalanced="0"/>
    <cacheHierarchy uniqueName="[Tabla_master_rend].[Kg_rebaba]" caption="Kg_rebaba" attribute="1" defaultMemberUniqueName="[Tabla_master_rend].[Kg_rebaba].[All]" allUniqueName="[Tabla_master_rend].[Kg_rebaba].[All]" dimensionUniqueName="[Tabla_master_rend]" displayFolder="" count="0" memberValueDatatype="5" unbalanced="0"/>
    <cacheHierarchy uniqueName="[Tabla_master_rend].[Kg_mer_env_real]" caption="Kg_mer_env_real" attribute="1" defaultMemberUniqueName="[Tabla_master_rend].[Kg_mer_env_real].[All]" allUniqueName="[Tabla_master_rend].[Kg_mer_env_real].[All]" dimensionUniqueName="[Tabla_master_rend]" displayFolder="" count="0" memberValueDatatype="5" unbalanced="0"/>
    <cacheHierarchy uniqueName="[Tabla_master_rend].[kg_mer_lab_real]" caption="kg_mer_lab_real" attribute="1" defaultMemberUniqueName="[Tabla_master_rend].[kg_mer_lab_real].[All]" allUniqueName="[Tabla_master_rend].[kg_mer_lab_real].[All]" dimensionUniqueName="[Tabla_master_rend]" displayFolder="" count="0" memberValueDatatype="5" unbalanced="0"/>
    <cacheHierarchy uniqueName="[Tabla_master_rend].[%Merma_env]" caption="%Merma_env" attribute="1" defaultMemberUniqueName="[Tabla_master_rend].[%Merma_env].[All]" allUniqueName="[Tabla_master_rend].[%Merma_env].[All]" dimensionUniqueName="[Tabla_master_rend]" displayFolder="" count="0" memberValueDatatype="5" unbalanced="0"/>
    <cacheHierarchy uniqueName="[Tabla_master_rend].[%Merma_env_corr]" caption="%Merma_env_corr" attribute="1" defaultMemberUniqueName="[Tabla_master_rend].[%Merma_env_corr].[All]" allUniqueName="[Tabla_master_rend].[%Merma_env_corr].[All]" dimensionUniqueName="[Tabla_master_rend]" displayFolder="" count="0" memberValueDatatype="5" unbalanced="0"/>
    <cacheHierarchy uniqueName="[Tabla_master_rend].[% merma TOT]" caption="% merma TOT" attribute="1" defaultMemberUniqueName="[Tabla_master_rend].[% merma TOT].[All]" allUniqueName="[Tabla_master_rend].[% merma TOT].[All]" dimensionUniqueName="[Tabla_master_rend]" displayFolder="" count="0" memberValueDatatype="5" unbalanced="0"/>
    <cacheHierarchy uniqueName="[Tabla_master_rend].[Merma_TOT]" caption="Merma_TOT" attribute="1" defaultMemberUniqueName="[Tabla_master_rend].[Merma_TOT].[All]" allUniqueName="[Tabla_master_rend].[Merma_TOT].[All]" dimensionUniqueName="[Tabla_master_rend]" displayFolder="" count="0" memberValueDatatype="5" unbalanced="0"/>
    <cacheHierarchy uniqueName="[Tabla_master_rend].[Kg_Env_Total]" caption="Kg_Env_Total" attribute="1" defaultMemberUniqueName="[Tabla_master_rend].[Kg_Env_Total].[All]" allUniqueName="[Tabla_master_rend].[Kg_Env_Total].[All]" dimensionUniqueName="[Tabla_master_rend]" displayFolder="" count="0" memberValueDatatype="5" unbalanced="0"/>
    <cacheHierarchy uniqueName="[Tabla_master_rend].[Coste_Leche_€]" caption="Coste_Leche_€" attribute="1" defaultMemberUniqueName="[Tabla_master_rend].[Coste_Leche_€].[All]" allUniqueName="[Tabla_master_rend].[Coste_Leche_€].[All]" dimensionUniqueName="[Tabla_master_rend]" displayFolder="" count="0" memberValueDatatype="5" unbalanced="0"/>
    <cacheHierarchy uniqueName="[Tabla_master_rend].[€/kg_MPQueso]" caption="€/kg_MPQueso" attribute="1" defaultMemberUniqueName="[Tabla_master_rend].[€/kg_MPQueso].[All]" allUniqueName="[Tabla_master_rend].[€/kg_MPQueso].[All]" dimensionUniqueName="[Tabla_master_rend]" displayFolder="" count="0" memberValueDatatype="5" unbalanced="0"/>
    <cacheHierarchy uniqueName="[Tabla_master_rend].[Merma_inic]" caption="Merma_inic" attribute="1" defaultMemberUniqueName="[Tabla_master_rend].[Merma_inic].[All]" allUniqueName="[Tabla_master_rend].[Merma_inic].[All]" dimensionUniqueName="[Tabla_master_rend]" displayFolder="" count="0" memberValueDatatype="5" unbalanced="0"/>
    <cacheHierarchy uniqueName="[Tabla_master_rend].[Recup_kg]" caption="Recup_kg" attribute="1" defaultMemberUniqueName="[Tabla_master_rend].[Recup_kg].[All]" allUniqueName="[Tabla_master_rend].[Recup_kg].[All]" dimensionUniqueName="[Tabla_master_rend]" displayFolder="" count="0" memberValueDatatype="5" unbalanced="0"/>
    <cacheHierarchy uniqueName="[Tabla_master_rend].[Recup_%]" caption="Recup_%" attribute="1" defaultMemberUniqueName="[Tabla_master_rend].[Recup_%].[All]" allUniqueName="[Tabla_master_rend].[Recup_%].[All]" dimensionUniqueName="[Tabla_master_rend]" displayFolder="" count="0" memberValueDatatype="5" unbalanced="0"/>
    <cacheHierarchy uniqueName="[Tabla_master_rend].[Merma_ppto fab]" caption="Merma_ppto fab" attribute="1" defaultMemberUniqueName="[Tabla_master_rend].[Merma_ppto fab].[All]" allUniqueName="[Tabla_master_rend].[Merma_ppto fab].[All]" dimensionUniqueName="[Tabla_master_rend]" displayFolder="" count="0" memberValueDatatype="5" unbalanced="0"/>
    <cacheHierarchy uniqueName="[Tabla_master_rend].[Merma_ppto oreo]" caption="Merma_ppto oreo" attribute="1" defaultMemberUniqueName="[Tabla_master_rend].[Merma_ppto oreo].[All]" allUniqueName="[Tabla_master_rend].[Merma_ppto oreo].[All]" dimensionUniqueName="[Tabla_master_rend]" displayFolder="" count="0" memberValueDatatype="5" unbalanced="0"/>
    <cacheHierarchy uniqueName="[Tabla_master_rend].[Merma_ppto Env/Enc]" caption="Merma_ppto Env/Enc" attribute="1" defaultMemberUniqueName="[Tabla_master_rend].[Merma_ppto Env/Enc].[All]" allUniqueName="[Tabla_master_rend].[Merma_ppto Env/Enc].[All]" dimensionUniqueName="[Tabla_master_rend]" displayFolder="" count="0" memberValueDatatype="5" unbalanced="0"/>
    <cacheHierarchy uniqueName="[Tabla_master_rend].[Merma_T ppto]" caption="Merma_T ppto" attribute="1" defaultMemberUniqueName="[Tabla_master_rend].[Merma_T ppto].[All]" allUniqueName="[Tabla_master_rend].[Merma_T ppto].[All]" dimensionUniqueName="[Tabla_master_rend]" displayFolder="" count="0" memberValueDatatype="5" unbalanced="0"/>
    <cacheHierarchy uniqueName="[Tabla_master_rend].[Merma_T ppto %]" caption="Merma_T ppto %" attribute="1" defaultMemberUniqueName="[Tabla_master_rend].[Merma_T ppto %].[All]" allUniqueName="[Tabla_master_rend].[Merma_T ppto %].[All]" dimensionUniqueName="[Tabla_master_rend]" displayFolder="" count="0" memberValueDatatype="5" unbalanced="0"/>
    <cacheHierarchy uniqueName="[Tabla_master_rend].[Merma_T real %]" caption="Merma_T real %" attribute="1" defaultMemberUniqueName="[Tabla_master_rend].[Merma_T real %].[All]" allUniqueName="[Tabla_master_rend].[Merma_T real %].[All]" dimensionUniqueName="[Tabla_master_rend]" displayFolder="" count="0" memberValueDatatype="5" unbalanced="0"/>
    <cacheHierarchy uniqueName="[Tabla_master_rend].[DIF R Vs PPTO]" caption="DIF R Vs PPTO" attribute="1" defaultMemberUniqueName="[Tabla_master_rend].[DIF R Vs PPTO].[All]" allUniqueName="[Tabla_master_rend].[DIF R Vs PPTO].[All]" dimensionUniqueName="[Tabla_master_rend]" displayFolder="" count="0" memberValueDatatype="5" unbalanced="0"/>
    <cacheHierarchy uniqueName="[Tabla_master_rend].[IMPACTO]" caption="IMPACTO" attribute="1" defaultMemberUniqueName="[Tabla_master_rend].[IMPACTO].[All]" allUniqueName="[Tabla_master_rend].[IMPACTO].[All]" dimensionUniqueName="[Tabla_master_rend]" displayFolder="" count="0" memberValueDatatype="5" unbalanced="0"/>
    <cacheHierarchy uniqueName="[Tabla_master_rend].[IMPACTO_vs_PPTO]" caption="IMPACTO_vs_PPTO" attribute="1" defaultMemberUniqueName="[Tabla_master_rend].[IMPACTO_vs_PPTO].[All]" allUniqueName="[Tabla_master_rend].[IMPACTO_vs_PPTO].[All]" dimensionUniqueName="[Tabla_master_rend]" displayFolder="" count="0" memberValueDatatype="5" unbalanced="0"/>
    <cacheHierarchy uniqueName="[Tabla_master_rend].[Fecha (mes)]" caption="Fecha (mes)" attribute="1" defaultMemberUniqueName="[Tabla_master_rend].[Fecha (mes)].[All]" allUniqueName="[Tabla_master_rend].[Fecha (mes)].[All]" dimensionUniqueName="[Tabla_master_rend]" displayFolder="" count="0" memberValueDatatype="130" unbalanced="0"/>
    <cacheHierarchy uniqueName="[Tabla_master_rend 1].[Fecha]" caption="Fecha" attribute="1" time="1" defaultMemberUniqueName="[Tabla_master_rend 1].[Fecha].[All]" allUniqueName="[Tabla_master_rend 1].[Fecha].[All]" dimensionUniqueName="[Tabla_master_rend 1]" displayFolder="" count="0" memberValueDatatype="7" unbalanced="0"/>
    <cacheHierarchy uniqueName="[Tabla_master_rend 1].[mes]" caption="mes" attribute="1" defaultMemberUniqueName="[Tabla_master_rend 1].[mes].[All]" allUniqueName="[Tabla_master_rend 1].[mes].[All]" dimensionUniqueName="[Tabla_master_rend 1]" displayFolder="" count="0" memberValueDatatype="20" unbalanced="0"/>
    <cacheHierarchy uniqueName="[Tabla_master_rend 1].[Mes_Nom]" caption="Mes_Nom" attribute="1" defaultMemberUniqueName="[Tabla_master_rend 1].[Mes_Nom].[All]" allUniqueName="[Tabla_master_rend 1].[Mes_Nom].[All]" dimensionUniqueName="[Tabla_master_rend 1]" displayFolder="" count="0" memberValueDatatype="130" unbalanced="0"/>
    <cacheHierarchy uniqueName="[Tabla_master_rend 1].[Día]" caption="Día" attribute="1" defaultMemberUniqueName="[Tabla_master_rend 1].[Día].[All]" allUniqueName="[Tabla_master_rend 1].[Día].[All]" dimensionUniqueName="[Tabla_master_rend 1]" displayFolder="" count="0" memberValueDatatype="130" unbalanced="0"/>
    <cacheHierarchy uniqueName="[Tabla_master_rend 1].[Lote]" caption="Lote" attribute="1" defaultMemberUniqueName="[Tabla_master_rend 1].[Lote].[All]" allUniqueName="[Tabla_master_rend 1].[Lote].[All]" dimensionUniqueName="[Tabla_master_rend 1]" displayFolder="" count="0" memberValueDatatype="130" unbalanced="0"/>
    <cacheHierarchy uniqueName="[Tabla_master_rend 1].[Producto]" caption="Producto" attribute="1" defaultMemberUniqueName="[Tabla_master_rend 1].[Producto].[All]" allUniqueName="[Tabla_master_rend 1].[Producto].[All]" dimensionUniqueName="[Tabla_master_rend 1]" displayFolder="" count="0" memberValueDatatype="130" unbalanced="0"/>
    <cacheHierarchy uniqueName="[Tabla_master_rend 1].[Cubas_prod]" caption="Cubas_prod" attribute="1" defaultMemberUniqueName="[Tabla_master_rend 1].[Cubas_prod].[All]" allUniqueName="[Tabla_master_rend 1].[Cubas_prod].[All]" dimensionUniqueName="[Tabla_master_rend 1]" displayFolder="" count="0" memberValueDatatype="20" unbalanced="0"/>
    <cacheHierarchy uniqueName="[Tabla_master_rend 1].[Litros_Leche_Total]" caption="Litros_Leche_Total" attribute="1" defaultMemberUniqueName="[Tabla_master_rend 1].[Litros_Leche_Total].[All]" allUniqueName="[Tabla_master_rend 1].[Litros_Leche_Total].[All]" dimensionUniqueName="[Tabla_master_rend 1]" displayFolder="" count="0" memberValueDatatype="20" unbalanced="0"/>
    <cacheHierarchy uniqueName="[Tabla_master_rend 1].[L_Leche_ent]" caption="L_Leche_ent" attribute="1" defaultMemberUniqueName="[Tabla_master_rend 1].[L_Leche_ent].[All]" allUniqueName="[Tabla_master_rend 1].[L_Leche_ent].[All]" dimensionUniqueName="[Tabla_master_rend 1]" displayFolder="" count="0" memberValueDatatype="20" unbalanced="0"/>
    <cacheHierarchy uniqueName="[Tabla_master_rend 1].[%MG_Leche]" caption="%MG_Leche" attribute="1" defaultMemberUniqueName="[Tabla_master_rend 1].[%MG_Leche].[All]" allUniqueName="[Tabla_master_rend 1].[%MG_Leche].[All]" dimensionUniqueName="[Tabla_master_rend 1]" displayFolder="" count="0" memberValueDatatype="5" unbalanced="0"/>
    <cacheHierarchy uniqueName="[Tabla_master_rend 1].[%MP_Leche]" caption="%MP_Leche" attribute="1" defaultMemberUniqueName="[Tabla_master_rend 1].[%MP_Leche].[All]" allUniqueName="[Tabla_master_rend 1].[%MP_Leche].[All]" dimensionUniqueName="[Tabla_master_rend 1]" displayFolder="" count="0" memberValueDatatype="5" unbalanced="0"/>
    <cacheHierarchy uniqueName="[Tabla_master_rend 1].[EST_%]" caption="EST_%" attribute="1" defaultMemberUniqueName="[Tabla_master_rend 1].[EST_%].[All]" allUniqueName="[Tabla_master_rend 1].[EST_%].[All]" dimensionUniqueName="[Tabla_master_rend 1]" displayFolder="" count="0" memberValueDatatype="5" unbalanced="0"/>
    <cacheHierarchy uniqueName="[Tabla_master_rend 1].[Desn_en_linea]" caption="Desn_en_linea" attribute="1" defaultMemberUniqueName="[Tabla_master_rend 1].[Desn_en_linea].[All]" allUniqueName="[Tabla_master_rend 1].[Desn_en_linea].[All]" dimensionUniqueName="[Tabla_master_rend 1]" displayFolder="" count="0" memberValueDatatype="130" unbalanced="0"/>
    <cacheHierarchy uniqueName="[Tabla_master_rend 1].[L_desn_ext]" caption="L_desn_ext" attribute="1" defaultMemberUniqueName="[Tabla_master_rend 1].[L_desn_ext].[All]" allUniqueName="[Tabla_master_rend 1].[L_desn_ext].[All]" dimensionUniqueName="[Tabla_master_rend 1]" displayFolder="" count="0" memberValueDatatype="20" unbalanced="0"/>
    <cacheHierarchy uniqueName="[Tabla_master_rend 1].[L_cabra]" caption="L_cabra" attribute="1" defaultMemberUniqueName="[Tabla_master_rend 1].[L_cabra].[All]" allUniqueName="[Tabla_master_rend 1].[L_cabra].[All]" dimensionUniqueName="[Tabla_master_rend 1]" displayFolder="" count="0" memberValueDatatype="20" unbalanced="0"/>
    <cacheHierarchy uniqueName="[Tabla_master_rend 1].[L_oveja]" caption="L_oveja" attribute="1" defaultMemberUniqueName="[Tabla_master_rend 1].[L_oveja].[All]" allUniqueName="[Tabla_master_rend 1].[L_oveja].[All]" dimensionUniqueName="[Tabla_master_rend 1]" displayFolder="" count="0" memberValueDatatype="20" unbalanced="0"/>
    <cacheHierarchy uniqueName="[Tabla_master_rend 1].[Litros_Nata]" caption="Litros_Nata" attribute="1" defaultMemberUniqueName="[Tabla_master_rend 1].[Litros_Nata].[All]" allUniqueName="[Tabla_master_rend 1].[Litros_Nata].[All]" dimensionUniqueName="[Tabla_master_rend 1]" displayFolder="" count="0" memberValueDatatype="20" unbalanced="0"/>
    <cacheHierarchy uniqueName="[Tabla_master_rend 1].[L_nata_suero]" caption="L_nata_suero" attribute="1" defaultMemberUniqueName="[Tabla_master_rend 1].[L_nata_suero].[All]" allUniqueName="[Tabla_master_rend 1].[L_nata_suero].[All]" dimensionUniqueName="[Tabla_master_rend 1]" displayFolder="" count="0" memberValueDatatype="20" unbalanced="0"/>
    <cacheHierarchy uniqueName="[Tabla_master_rend 1].[L_suero Total]" caption="L_suero Total" attribute="1" defaultMemberUniqueName="[Tabla_master_rend 1].[L_suero Total].[All]" allUniqueName="[Tabla_master_rend 1].[L_suero Total].[All]" dimensionUniqueName="[Tabla_master_rend 1]" displayFolder="" count="0" memberValueDatatype="20" unbalanced="0"/>
    <cacheHierarchy uniqueName="[Tabla_master_rend 1].[%Suero_vs_leche]" caption="%Suero_vs_leche" attribute="1" defaultMemberUniqueName="[Tabla_master_rend 1].[%Suero_vs_leche].[All]" allUniqueName="[Tabla_master_rend 1].[%Suero_vs_leche].[All]" dimensionUniqueName="[Tabla_master_rend 1]" displayFolder="" count="0" memberValueDatatype="5" unbalanced="0"/>
    <cacheHierarchy uniqueName="[Tabla_master_rend 1].[MG_suero]" caption="MG_suero" attribute="1" defaultMemberUniqueName="[Tabla_master_rend 1].[MG_suero].[All]" allUniqueName="[Tabla_master_rend 1].[MG_suero].[All]" dimensionUniqueName="[Tabla_master_rend 1]" displayFolder="" count="0" memberValueDatatype="5" unbalanced="0"/>
    <cacheHierarchy uniqueName="[Tabla_master_rend 1].[MP_suero]" caption="MP_suero" attribute="1" defaultMemberUniqueName="[Tabla_master_rend 1].[MP_suero].[All]" allUniqueName="[Tabla_master_rend 1].[MP_suero].[All]" dimensionUniqueName="[Tabla_master_rend 1]" displayFolder="" count="0" memberValueDatatype="5" unbalanced="0"/>
    <cacheHierarchy uniqueName="[Tabla_master_rend 1].[L_suero para con]" caption="L_suero para con" attribute="1" defaultMemberUniqueName="[Tabla_master_rend 1].[L_suero para con].[All]" allUniqueName="[Tabla_master_rend 1].[L_suero para con].[All]" dimensionUniqueName="[Tabla_master_rend 1]" displayFolder="" count="0" memberValueDatatype="20" unbalanced="0"/>
    <cacheHierarchy uniqueName="[Tabla_master_rend 1].[L_suero_con]" caption="L_suero_con" attribute="1" defaultMemberUniqueName="[Tabla_master_rend 1].[L_suero_con].[All]" allUniqueName="[Tabla_master_rend 1].[L_suero_con].[All]" dimensionUniqueName="[Tabla_master_rend 1]" displayFolder="" count="0" memberValueDatatype="20" unbalanced="0"/>
    <cacheHierarchy uniqueName="[Tabla_master_rend 1].[Rartio_sueroC]" caption="Rartio_sueroC" attribute="1" defaultMemberUniqueName="[Tabla_master_rend 1].[Rartio_sueroC].[All]" allUniqueName="[Tabla_master_rend 1].[Rartio_sueroC].[All]" dimensionUniqueName="[Tabla_master_rend 1]" displayFolder="" count="0" memberValueDatatype="5" unbalanced="0"/>
    <cacheHierarchy uniqueName="[Tabla_master_rend 1].[L_Suero_Sobrante]" caption="L_Suero_Sobrante" attribute="1" defaultMemberUniqueName="[Tabla_master_rend 1].[L_Suero_Sobrante].[All]" allUniqueName="[Tabla_master_rend 1].[L_Suero_Sobrante].[All]" dimensionUniqueName="[Tabla_master_rend 1]" displayFolder="" count="0" memberValueDatatype="20" unbalanced="0"/>
    <cacheHierarchy uniqueName="[Tabla_master_rend 1].[MG_sueroc]" caption="MG_sueroc" attribute="1" defaultMemberUniqueName="[Tabla_master_rend 1].[MG_sueroc].[All]" allUniqueName="[Tabla_master_rend 1].[MG_sueroc].[All]" dimensionUniqueName="[Tabla_master_rend 1]" displayFolder="" count="0" memberValueDatatype="130" unbalanced="0"/>
    <cacheHierarchy uniqueName="[Tabla_master_rend 1].[MP_sueroc]" caption="MP_sueroc" attribute="1" defaultMemberUniqueName="[Tabla_master_rend 1].[MP_sueroc].[All]" allUniqueName="[Tabla_master_rend 1].[MP_sueroc].[All]" dimensionUniqueName="[Tabla_master_rend 1]" displayFolder="" count="0" memberValueDatatype="130" unbalanced="0"/>
    <cacheHierarchy uniqueName="[Tabla_master_rend 1].[L_LPS_Gen]" caption="L_LPS_Gen" attribute="1" defaultMemberUniqueName="[Tabla_master_rend 1].[L_LPS_Gen].[All]" allUniqueName="[Tabla_master_rend 1].[L_LPS_Gen].[All]" dimensionUniqueName="[Tabla_master_rend 1]" displayFolder="" count="0" memberValueDatatype="20" unbalanced="0"/>
    <cacheHierarchy uniqueName="[Tabla_master_rend 1].[L_LPS_incor]" caption="L_LPS_incor" attribute="1" defaultMemberUniqueName="[Tabla_master_rend 1].[L_LPS_incor].[All]" allUniqueName="[Tabla_master_rend 1].[L_LPS_incor].[All]" dimensionUniqueName="[Tabla_master_rend 1]" displayFolder="" count="0" memberValueDatatype="20" unbalanced="0"/>
    <cacheHierarchy uniqueName="[Tabla_master_rend 1].[gr_LPS]" caption="gr_LPS" attribute="1" defaultMemberUniqueName="[Tabla_master_rend 1].[gr_LPS].[All]" allUniqueName="[Tabla_master_rend 1].[gr_LPS].[All]" dimensionUniqueName="[Tabla_master_rend 1]" displayFolder="" count="0" memberValueDatatype="20" unbalanced="0"/>
    <cacheHierarchy uniqueName="[Tabla_master_rend 1].[MG_LPS]" caption="MG_LPS" attribute="1" defaultMemberUniqueName="[Tabla_master_rend 1].[MG_LPS].[All]" allUniqueName="[Tabla_master_rend 1].[MG_LPS].[All]" dimensionUniqueName="[Tabla_master_rend 1]" displayFolder="" count="0" memberValueDatatype="5" unbalanced="0"/>
    <cacheHierarchy uniqueName="[Tabla_master_rend 1].[MP_LPS]" caption="MP_LPS" attribute="1" defaultMemberUniqueName="[Tabla_master_rend 1].[MP_LPS].[All]" allUniqueName="[Tabla_master_rend 1].[MP_LPS].[All]" dimensionUniqueName="[Tabla_master_rend 1]" displayFolder="" count="0" memberValueDatatype="5" unbalanced="0"/>
    <cacheHierarchy uniqueName="[Tabla_master_rend 1].[Kg_Queso_Blan]" caption="Kg_Queso_Blan" attribute="1" defaultMemberUniqueName="[Tabla_master_rend 1].[Kg_Queso_Blan].[All]" allUniqueName="[Tabla_master_rend 1].[Kg_Queso_Blan].[All]" dimensionUniqueName="[Tabla_master_rend 1]" displayFolder="" count="0" memberValueDatatype="5" unbalanced="0"/>
    <cacheHierarchy uniqueName="[Tabla_master_rend 1].[RDTO_Blanco]" caption="RDTO_Blanco" attribute="1" defaultMemberUniqueName="[Tabla_master_rend 1].[RDTO_Blanco].[All]" allUniqueName="[Tabla_master_rend 1].[RDTO_Blanco].[All]" dimensionUniqueName="[Tabla_master_rend 1]" displayFolder="" count="0" memberValueDatatype="5" unbalanced="0"/>
    <cacheHierarchy uniqueName="[Tabla_master_rend 1].[RDTO_NETO]" caption="RDTO_NETO" attribute="1" defaultMemberUniqueName="[Tabla_master_rend 1].[RDTO_NETO].[All]" allUniqueName="[Tabla_master_rend 1].[RDTO_NETO].[All]" dimensionUniqueName="[Tabla_master_rend 1]" displayFolder="" count="0" memberValueDatatype="5" unbalanced="0"/>
    <cacheHierarchy uniqueName="[Tabla_master_rend 1].[REND_TARGET]" caption="REND_TARGET" attribute="1" defaultMemberUniqueName="[Tabla_master_rend 1].[REND_TARGET].[All]" allUniqueName="[Tabla_master_rend 1].[REND_TARGET].[All]" dimensionUniqueName="[Tabla_master_rend 1]" displayFolder="" count="0" memberValueDatatype="5" unbalanced="0"/>
    <cacheHierarchy uniqueName="[Tabla_master_rend 1].[Kg_Solidos_leche]" caption="Kg_Solidos_leche" attribute="1" defaultMemberUniqueName="[Tabla_master_rend 1].[Kg_Solidos_leche].[All]" allUniqueName="[Tabla_master_rend 1].[Kg_Solidos_leche].[All]" dimensionUniqueName="[Tabla_master_rend 1]" displayFolder="" count="0" memberValueDatatype="5" unbalanced="0"/>
    <cacheHierarchy uniqueName="[Tabla_master_rend 1].[%MG_QUESO]" caption="%MG_QUESO" attribute="1" defaultMemberUniqueName="[Tabla_master_rend 1].[%MG_QUESO].[All]" allUniqueName="[Tabla_master_rend 1].[%MG_QUESO].[All]" dimensionUniqueName="[Tabla_master_rend 1]" displayFolder="" count="0" memberValueDatatype="5" unbalanced="0"/>
    <cacheHierarchy uniqueName="[Tabla_master_rend 1].[%PT_QUESO]" caption="%PT_QUESO" attribute="1" defaultMemberUniqueName="[Tabla_master_rend 1].[%PT_QUESO].[All]" allUniqueName="[Tabla_master_rend 1].[%PT_QUESO].[All]" dimensionUniqueName="[Tabla_master_rend 1]" displayFolder="" count="0" memberValueDatatype="5" unbalanced="0"/>
    <cacheHierarchy uniqueName="[Tabla_master_rend 1].[ES_QUESO]" caption="ES_QUESO" attribute="1" defaultMemberUniqueName="[Tabla_master_rend 1].[ES_QUESO].[All]" allUniqueName="[Tabla_master_rend 1].[ES_QUESO].[All]" dimensionUniqueName="[Tabla_master_rend 1]" displayFolder="" count="0" memberValueDatatype="5" unbalanced="0"/>
    <cacheHierarchy uniqueName="[Tabla_master_rend 1].[Rendimiento_Solidos_%]" caption="Rendimiento_Solidos_%" attribute="1" defaultMemberUniqueName="[Tabla_master_rend 1].[Rendimiento_Solidos_%].[All]" allUniqueName="[Tabla_master_rend 1].[Rendimiento_Solidos_%].[All]" dimensionUniqueName="[Tabla_master_rend 1]" displayFolder="" count="0" memberValueDatatype="5" unbalanced="0"/>
    <cacheHierarchy uniqueName="[Tabla_master_rend 1].[Kg_MG_Nata]" caption="Kg_MG_Nata" attribute="1" defaultMemberUniqueName="[Tabla_master_rend 1].[Kg_MG_Nata].[All]" allUniqueName="[Tabla_master_rend 1].[Kg_MG_Nata].[All]" dimensionUniqueName="[Tabla_master_rend 1]" displayFolder="" count="0" memberValueDatatype="5" unbalanced="0"/>
    <cacheHierarchy uniqueName="[Tabla_master_rend 1].[%RECUP_MG]" caption="%RECUP_MG" attribute="1" defaultMemberUniqueName="[Tabla_master_rend 1].[%RECUP_MG].[All]" allUniqueName="[Tabla_master_rend 1].[%RECUP_MG].[All]" dimensionUniqueName="[Tabla_master_rend 1]" displayFolder="" count="0" memberValueDatatype="5" unbalanced="0"/>
    <cacheHierarchy uniqueName="[Tabla_master_rend 1].[%RECUP_PT]" caption="%RECUP_PT" attribute="1" defaultMemberUniqueName="[Tabla_master_rend 1].[%RECUP_PT].[All]" allUniqueName="[Tabla_master_rend 1].[%RECUP_PT].[All]" dimensionUniqueName="[Tabla_master_rend 1]" displayFolder="" count="0" memberValueDatatype="5" unbalanced="0"/>
    <cacheHierarchy uniqueName="[Tabla_master_rend 1].[Valor_Nata_€]" caption="Valor_Nata_€" attribute="1" defaultMemberUniqueName="[Tabla_master_rend 1].[Valor_Nata_€].[All]" allUniqueName="[Tabla_master_rend 1].[Valor_Nata_€].[All]" dimensionUniqueName="[Tabla_master_rend 1]" displayFolder="" count="0" memberValueDatatype="5" unbalanced="0"/>
    <cacheHierarchy uniqueName="[Tabla_master_rend 1].[Kg_Finos]" caption="Kg_Finos" attribute="1" defaultMemberUniqueName="[Tabla_master_rend 1].[Kg_Finos].[All]" allUniqueName="[Tabla_master_rend 1].[Kg_Finos].[All]" dimensionUniqueName="[Tabla_master_rend 1]" displayFolder="" count="0" memberValueDatatype="5" unbalanced="0"/>
    <cacheHierarchy uniqueName="[Tabla_master_rend 1].[Kg_Llenadora]" caption="Kg_Llenadora" attribute="1" defaultMemberUniqueName="[Tabla_master_rend 1].[Kg_Llenadora].[All]" allUniqueName="[Tabla_master_rend 1].[Kg_Llenadora].[All]" dimensionUniqueName="[Tabla_master_rend 1]" displayFolder="" count="0" memberValueDatatype="5" unbalanced="0"/>
    <cacheHierarchy uniqueName="[Tabla_master_rend 1].[Kg_Desmoldeo]" caption="Kg_Desmoldeo" attribute="1" defaultMemberUniqueName="[Tabla_master_rend 1].[Kg_Desmoldeo].[All]" allUniqueName="[Tabla_master_rend 1].[Kg_Desmoldeo].[All]" dimensionUniqueName="[Tabla_master_rend 1]" displayFolder="" count="0" memberValueDatatype="5" unbalanced="0"/>
    <cacheHierarchy uniqueName="[Tabla_master_rend 1].[Merma_fab]" caption="Merma_fab" attribute="1" defaultMemberUniqueName="[Tabla_master_rend 1].[Merma_fab].[All]" allUniqueName="[Tabla_master_rend 1].[Merma_fab].[All]" dimensionUniqueName="[Tabla_master_rend 1]" displayFolder="" count="0" memberValueDatatype="5" unbalanced="0"/>
    <cacheHierarchy uniqueName="[Tabla_master_rend 1].[% Merma_fab2]" caption="% Merma_fab2" attribute="1" defaultMemberUniqueName="[Tabla_master_rend 1].[% Merma_fab2].[All]" allUniqueName="[Tabla_master_rend 1].[% Merma_fab2].[All]" dimensionUniqueName="[Tabla_master_rend 1]" displayFolder="" count="0" memberValueDatatype="5" unbalanced="0"/>
    <cacheHierarchy uniqueName="[Tabla_master_rend 1].[L_Agua]" caption="L_Agua" attribute="1" defaultMemberUniqueName="[Tabla_master_rend 1].[L_Agua].[All]" allUniqueName="[Tabla_master_rend 1].[L_Agua].[All]" dimensionUniqueName="[Tabla_master_rend 1]" displayFolder="" count="0" memberValueDatatype="20" unbalanced="0"/>
    <cacheHierarchy uniqueName="[Tabla_master_rend 1].[% oreo]" caption="% oreo" attribute="1" defaultMemberUniqueName="[Tabla_master_rend 1].[% oreo].[All]" allUniqueName="[Tabla_master_rend 1].[% oreo].[All]" dimensionUniqueName="[Tabla_master_rend 1]" displayFolder="" count="0" memberValueDatatype="5" unbalanced="0"/>
    <cacheHierarchy uniqueName="[Tabla_master_rend 1].[B_totales]" caption="B_totales" attribute="1" defaultMemberUniqueName="[Tabla_master_rend 1].[B_totales].[All]" allUniqueName="[Tabla_master_rend 1].[B_totales].[All]" dimensionUniqueName="[Tabla_master_rend 1]" displayFolder="" count="0" memberValueDatatype="20" unbalanced="0"/>
    <cacheHierarchy uniqueName="[Tabla_master_rend 1].[B_OK_uni]" caption="B_OK_uni" attribute="1" defaultMemberUniqueName="[Tabla_master_rend 1].[B_OK_uni].[All]" allUniqueName="[Tabla_master_rend 1].[B_OK_uni].[All]" dimensionUniqueName="[Tabla_master_rend 1]" displayFolder="" count="0" memberValueDatatype="20" unbalanced="0"/>
    <cacheHierarchy uniqueName="[Tabla_master_rend 1].[B_OK_kg]" caption="B_OK_kg" attribute="1" defaultMemberUniqueName="[Tabla_master_rend 1].[B_OK_kg].[All]" allUniqueName="[Tabla_master_rend 1].[B_OK_kg].[All]" dimensionUniqueName="[Tabla_master_rend 1]" displayFolder="" count="0" memberValueDatatype="20" unbalanced="0"/>
    <cacheHierarchy uniqueName="[Tabla_master_rend 1].[B_altas]" caption="B_altas" attribute="1" defaultMemberUniqueName="[Tabla_master_rend 1].[B_altas].[All]" allUniqueName="[Tabla_master_rend 1].[B_altas].[All]" dimensionUniqueName="[Tabla_master_rend 1]" displayFolder="" count="0" memberValueDatatype="20" unbalanced="0"/>
    <cacheHierarchy uniqueName="[Tabla_master_rend 1].[B_bajas]" caption="B_bajas" attribute="1" defaultMemberUniqueName="[Tabla_master_rend 1].[B_bajas].[All]" allUniqueName="[Tabla_master_rend 1].[B_bajas].[All]" dimensionUniqueName="[Tabla_master_rend 1]" displayFolder="" count="0" memberValueDatatype="20" unbalanced="0"/>
    <cacheHierarchy uniqueName="[Tabla_master_rend 1].[B_rotas]" caption="B_rotas" attribute="1" defaultMemberUniqueName="[Tabla_master_rend 1].[B_rotas].[All]" allUniqueName="[Tabla_master_rend 1].[B_rotas].[All]" dimensionUniqueName="[Tabla_master_rend 1]" displayFolder="" count="0" memberValueDatatype="20" unbalanced="0"/>
    <cacheHierarchy uniqueName="[Tabla_master_rend 1].[B_feas]" caption="B_feas" attribute="1" defaultMemberUniqueName="[Tabla_master_rend 1].[B_feas].[All]" allUniqueName="[Tabla_master_rend 1].[B_feas].[All]" dimensionUniqueName="[Tabla_master_rend 1]" displayFolder="" count="0" memberValueDatatype="20" unbalanced="0"/>
    <cacheHierarchy uniqueName="[Tabla_master_rend 1].[B_lab]" caption="B_lab" attribute="1" defaultMemberUniqueName="[Tabla_master_rend 1].[B_lab].[All]" allUniqueName="[Tabla_master_rend 1].[B_lab].[All]" dimensionUniqueName="[Tabla_master_rend 1]" displayFolder="" count="0" memberValueDatatype="20" unbalanced="0"/>
    <cacheHierarchy uniqueName="[Tabla_master_rend 1].[Kg_SalidaSecadero]" caption="Kg_SalidaSecadero" attribute="1" defaultMemberUniqueName="[Tabla_master_rend 1].[Kg_SalidaSecadero].[All]" allUniqueName="[Tabla_master_rend 1].[Kg_SalidaSecadero].[All]" dimensionUniqueName="[Tabla_master_rend 1]" displayFolder="" count="0" memberValueDatatype="20" unbalanced="0"/>
    <cacheHierarchy uniqueName="[Tabla_master_rend 1].[Kg_rebaba]" caption="Kg_rebaba" attribute="1" defaultMemberUniqueName="[Tabla_master_rend 1].[Kg_rebaba].[All]" allUniqueName="[Tabla_master_rend 1].[Kg_rebaba].[All]" dimensionUniqueName="[Tabla_master_rend 1]" displayFolder="" count="0" memberValueDatatype="20" unbalanced="0"/>
    <cacheHierarchy uniqueName="[Tabla_master_rend 1].[Kg_mer_env_real]" caption="Kg_mer_env_real" attribute="1" defaultMemberUniqueName="[Tabla_master_rend 1].[Kg_mer_env_real].[All]" allUniqueName="[Tabla_master_rend 1].[Kg_mer_env_real].[All]" dimensionUniqueName="[Tabla_master_rend 1]" displayFolder="" count="0" memberValueDatatype="5" unbalanced="0"/>
    <cacheHierarchy uniqueName="[Tabla_master_rend 1].[kg_mer_lab_real]" caption="kg_mer_lab_real" attribute="1" defaultMemberUniqueName="[Tabla_master_rend 1].[kg_mer_lab_real].[All]" allUniqueName="[Tabla_master_rend 1].[kg_mer_lab_real].[All]" dimensionUniqueName="[Tabla_master_rend 1]" displayFolder="" count="0" memberValueDatatype="5" unbalanced="0"/>
    <cacheHierarchy uniqueName="[Tabla_master_rend 1].[%Merma_env]" caption="%Merma_env" attribute="1" defaultMemberUniqueName="[Tabla_master_rend 1].[%Merma_env].[All]" allUniqueName="[Tabla_master_rend 1].[%Merma_env].[All]" dimensionUniqueName="[Tabla_master_rend 1]" displayFolder="" count="0" memberValueDatatype="5" unbalanced="0"/>
    <cacheHierarchy uniqueName="[Tabla_master_rend 1].[%Merma_env_corr]" caption="%Merma_env_corr" attribute="1" defaultMemberUniqueName="[Tabla_master_rend 1].[%Merma_env_corr].[All]" allUniqueName="[Tabla_master_rend 1].[%Merma_env_corr].[All]" dimensionUniqueName="[Tabla_master_rend 1]" displayFolder="" count="0" memberValueDatatype="5" unbalanced="0"/>
    <cacheHierarchy uniqueName="[Tabla_master_rend 1].[% merma TOT]" caption="% merma TOT" attribute="1" defaultMemberUniqueName="[Tabla_master_rend 1].[% merma TOT].[All]" allUniqueName="[Tabla_master_rend 1].[% merma TOT].[All]" dimensionUniqueName="[Tabla_master_rend 1]" displayFolder="" count="0" memberValueDatatype="5" unbalanced="0"/>
    <cacheHierarchy uniqueName="[Tabla_master_rend 1].[Merma_TOT]" caption="Merma_TOT" attribute="1" defaultMemberUniqueName="[Tabla_master_rend 1].[Merma_TOT].[All]" allUniqueName="[Tabla_master_rend 1].[Merma_TOT].[All]" dimensionUniqueName="[Tabla_master_rend 1]" displayFolder="" count="0" memberValueDatatype="5" unbalanced="0"/>
    <cacheHierarchy uniqueName="[Tabla_master_rend 1].[Kg_Env_Total]" caption="Kg_Env_Total" attribute="1" defaultMemberUniqueName="[Tabla_master_rend 1].[Kg_Env_Total].[All]" allUniqueName="[Tabla_master_rend 1].[Kg_Env_Total].[All]" dimensionUniqueName="[Tabla_master_rend 1]" displayFolder="" count="0" memberValueDatatype="5" unbalanced="0"/>
    <cacheHierarchy uniqueName="[Tabla_master_rend 1].[Coste_Leche_€]" caption="Coste_Leche_€" attribute="1" defaultMemberUniqueName="[Tabla_master_rend 1].[Coste_Leche_€].[All]" allUniqueName="[Tabla_master_rend 1].[Coste_Leche_€].[All]" dimensionUniqueName="[Tabla_master_rend 1]" displayFolder="" count="0" memberValueDatatype="5" unbalanced="0"/>
    <cacheHierarchy uniqueName="[Tabla_master_rend 1].[€/kg_MPQueso]" caption="€/kg_MPQueso" attribute="1" defaultMemberUniqueName="[Tabla_master_rend 1].[€/kg_MPQueso].[All]" allUniqueName="[Tabla_master_rend 1].[€/kg_MPQueso].[All]" dimensionUniqueName="[Tabla_master_rend 1]" displayFolder="" count="0" memberValueDatatype="5" unbalanced="0"/>
    <cacheHierarchy uniqueName="[Tabla_master_rend 1].[Merma_inic]" caption="Merma_inic" attribute="1" defaultMemberUniqueName="[Tabla_master_rend 1].[Merma_inic].[All]" allUniqueName="[Tabla_master_rend 1].[Merma_inic].[All]" dimensionUniqueName="[Tabla_master_rend 1]" displayFolder="" count="0" memberValueDatatype="5" unbalanced="0"/>
    <cacheHierarchy uniqueName="[Tabla_master_rend 1].[Recup_kg]" caption="Recup_kg" attribute="1" defaultMemberUniqueName="[Tabla_master_rend 1].[Recup_kg].[All]" allUniqueName="[Tabla_master_rend 1].[Recup_kg].[All]" dimensionUniqueName="[Tabla_master_rend 1]" displayFolder="" count="0" memberValueDatatype="5" unbalanced="0"/>
    <cacheHierarchy uniqueName="[Tabla_master_rend 1].[Recup_%]" caption="Recup_%" attribute="1" defaultMemberUniqueName="[Tabla_master_rend 1].[Recup_%].[All]" allUniqueName="[Tabla_master_rend 1].[Recup_%].[All]" dimensionUniqueName="[Tabla_master_rend 1]" displayFolder="" count="0" memberValueDatatype="5" unbalanced="0"/>
    <cacheHierarchy uniqueName="[Tabla_master_rend 1].[Merma_ppto fab]" caption="Merma_ppto fab" attribute="1" defaultMemberUniqueName="[Tabla_master_rend 1].[Merma_ppto fab].[All]" allUniqueName="[Tabla_master_rend 1].[Merma_ppto fab].[All]" dimensionUniqueName="[Tabla_master_rend 1]" displayFolder="" count="0" memberValueDatatype="5" unbalanced="0"/>
    <cacheHierarchy uniqueName="[Tabla_master_rend 1].[Merma_ppto oreo]" caption="Merma_ppto oreo" attribute="1" defaultMemberUniqueName="[Tabla_master_rend 1].[Merma_ppto oreo].[All]" allUniqueName="[Tabla_master_rend 1].[Merma_ppto oreo].[All]" dimensionUniqueName="[Tabla_master_rend 1]" displayFolder="" count="0" memberValueDatatype="5" unbalanced="0"/>
    <cacheHierarchy uniqueName="[Tabla_master_rend 1].[Merma_ppto Env/Enc]" caption="Merma_ppto Env/Enc" attribute="1" defaultMemberUniqueName="[Tabla_master_rend 1].[Merma_ppto Env/Enc].[All]" allUniqueName="[Tabla_master_rend 1].[Merma_ppto Env/Enc].[All]" dimensionUniqueName="[Tabla_master_rend 1]" displayFolder="" count="0" memberValueDatatype="5" unbalanced="0"/>
    <cacheHierarchy uniqueName="[Tabla_master_rend 1].[Merma_T ppto]" caption="Merma_T ppto" attribute="1" defaultMemberUniqueName="[Tabla_master_rend 1].[Merma_T ppto].[All]" allUniqueName="[Tabla_master_rend 1].[Merma_T ppto].[All]" dimensionUniqueName="[Tabla_master_rend 1]" displayFolder="" count="0" memberValueDatatype="5" unbalanced="0"/>
    <cacheHierarchy uniqueName="[Tabla_master_rend 1].[Merma_T ppto %]" caption="Merma_T ppto %" attribute="1" defaultMemberUniqueName="[Tabla_master_rend 1].[Merma_T ppto %].[All]" allUniqueName="[Tabla_master_rend 1].[Merma_T ppto %].[All]" dimensionUniqueName="[Tabla_master_rend 1]" displayFolder="" count="0" memberValueDatatype="5" unbalanced="0"/>
    <cacheHierarchy uniqueName="[Tabla_master_rend 1].[Merma_T real %]" caption="Merma_T real %" attribute="1" defaultMemberUniqueName="[Tabla_master_rend 1].[Merma_T real %].[All]" allUniqueName="[Tabla_master_rend 1].[Merma_T real %].[All]" dimensionUniqueName="[Tabla_master_rend 1]" displayFolder="" count="0" memberValueDatatype="5" unbalanced="0"/>
    <cacheHierarchy uniqueName="[Tabla_master_rend 1].[DIF R Vs PPTO]" caption="DIF R Vs PPTO" attribute="1" defaultMemberUniqueName="[Tabla_master_rend 1].[DIF R Vs PPTO].[All]" allUniqueName="[Tabla_master_rend 1].[DIF R Vs PPTO].[All]" dimensionUniqueName="[Tabla_master_rend 1]" displayFolder="" count="0" memberValueDatatype="5" unbalanced="0"/>
    <cacheHierarchy uniqueName="[Tabla_master_rend 1].[IMPACTO]" caption="IMPACTO" attribute="1" defaultMemberUniqueName="[Tabla_master_rend 1].[IMPACTO].[All]" allUniqueName="[Tabla_master_rend 1].[IMPACTO].[All]" dimensionUniqueName="[Tabla_master_rend 1]" displayFolder="" count="0" memberValueDatatype="5" unbalanced="0"/>
    <cacheHierarchy uniqueName="[Tabla_master_rend 1].[IMPACTO_vs_PPTO]" caption="IMPACTO_vs_PPTO" attribute="1" defaultMemberUniqueName="[Tabla_master_rend 1].[IMPACTO_vs_PPTO].[All]" allUniqueName="[Tabla_master_rend 1].[IMPACTO_vs_PPTO].[All]" dimensionUniqueName="[Tabla_master_rend 1]" displayFolder="" count="0" memberValueDatatype="5" unbalanced="0"/>
    <cacheHierarchy uniqueName="[Tabla_Precio_Venta].[Fecha]" caption="Fecha" attribute="1" defaultMemberUniqueName="[Tabla_Precio_Venta].[Fecha].[All]" allUniqueName="[Tabla_Precio_Venta].[Fecha].[All]" dimensionUniqueName="[Tabla_Precio_Venta]" displayFolder="" count="0" memberValueDatatype="130" unbalanced="0"/>
    <cacheHierarchy uniqueName="[Tabla_Precio_Venta].[Producto]" caption="Producto" attribute="1" defaultMemberUniqueName="[Tabla_Precio_Venta].[Producto].[All]" allUniqueName="[Tabla_Precio_Venta].[Producto].[All]" dimensionUniqueName="[Tabla_Precio_Venta]" displayFolder="" count="0" memberValueDatatype="130" unbalanced="0"/>
    <cacheHierarchy uniqueName="[Tabla_Precio_Venta].[Ventas (kg)]" caption="Ventas (kg)" attribute="1" defaultMemberUniqueName="[Tabla_Precio_Venta].[Ventas (kg)].[All]" allUniqueName="[Tabla_Precio_Venta].[Ventas (kg)].[All]" dimensionUniqueName="[Tabla_Precio_Venta]" displayFolder="" count="0" memberValueDatatype="20" unbalanced="0"/>
    <cacheHierarchy uniqueName="[Tabla_Precio_Venta].[PV_eur_kg]" caption="PV_eur_kg" attribute="1" defaultMemberUniqueName="[Tabla_Precio_Venta].[PV_eur_kg].[All]" allUniqueName="[Tabla_Precio_Venta].[PV_eur_kg].[All]" dimensionUniqueName="[Tabla_Precio_Venta]" displayFolder="" count="0" memberValueDatatype="5" unbalanced="0"/>
    <cacheHierarchy uniqueName="[tbl_DimFecha].[Fecha]" caption="Fecha" attribute="1" time="1" defaultMemberUniqueName="[tbl_DimFecha].[Fecha].[All]" allUniqueName="[tbl_DimFecha].[Fecha].[All]" dimensionUniqueName="[tbl_DimFecha]" displayFolder="" count="0" memberValueDatatype="7" unbalanced="0"/>
    <cacheHierarchy uniqueName="[tbl_DimFecha].[Año]" caption="Año" attribute="1" defaultMemberUniqueName="[tbl_DimFecha].[Año].[All]" allUniqueName="[tbl_DimFecha].[Año].[All]" dimensionUniqueName="[tbl_DimFecha]" displayFolder="" count="2" memberValueDatatype="20" unbalanced="0">
      <fieldsUsage count="2">
        <fieldUsage x="-1"/>
        <fieldUsage x="3"/>
      </fieldsUsage>
    </cacheHierarchy>
    <cacheHierarchy uniqueName="[tbl_DimFecha].[MesN]" caption="MesN" attribute="1" defaultMemberUniqueName="[tbl_DimFecha].[MesN].[All]" allUniqueName="[tbl_DimFecha].[MesN].[All]" dimensionUniqueName="[tbl_DimFecha]" displayFolder="" count="0" memberValueDatatype="20" unbalanced="0"/>
    <cacheHierarchy uniqueName="[tbl_DimFecha].[Mes]" caption="Mes" attribute="1" defaultMemberUniqueName="[tbl_DimFecha].[Mes].[All]" allUniqueName="[tbl_DimFecha].[Mes].[All]" dimensionUniqueName="[tbl_DimFecha]" displayFolder="" count="0" memberValueDatatype="130" unbalanced="0"/>
    <cacheHierarchy uniqueName="[tbl_DimFecha].[AñoMes]" caption="AñoMes" attribute="1" defaultMemberUniqueName="[tbl_DimFecha].[AñoMes].[All]" allUniqueName="[tbl_DimFecha].[AñoMes].[All]" dimensionUniqueName="[tbl_DimFecha]" displayFolder="" count="0" memberValueDatatype="130" unbalanced="0"/>
    <cacheHierarchy uniqueName="[tbl_DimFecha].[SemanaISO]" caption="SemanaISO" attribute="1" defaultMemberUniqueName="[tbl_DimFecha].[SemanaISO].[All]" allUniqueName="[tbl_DimFecha].[SemanaISO].[All]" dimensionUniqueName="[tbl_DimFecha]" displayFolder="" count="0" memberValueDatatype="20" unbalanced="0"/>
    <cacheHierarchy uniqueName="[tbl_DimFecha].[AñoSemana]" caption="AñoSemana" attribute="1" defaultMemberUniqueName="[tbl_DimFecha].[AñoSemana].[All]" allUniqueName="[tbl_DimFecha].[AñoSemana].[All]" dimensionUniqueName="[tbl_DimFecha]" displayFolder="" count="0" memberValueDatatype="130" unbalanced="0"/>
    <cacheHierarchy uniqueName="[tbl_DimFecha].[DiaSemanaN]" caption="DiaSemanaN" attribute="1" defaultMemberUniqueName="[tbl_DimFecha].[DiaSemanaN].[All]" allUniqueName="[tbl_DimFecha].[DiaSemanaN].[All]" dimensionUniqueName="[tbl_DimFecha]" displayFolder="" count="0" memberValueDatatype="20" unbalanced="0"/>
    <cacheHierarchy uniqueName="[tbl_DimFecha].[DiaSemana]" caption="DiaSemana" attribute="1" defaultMemberUniqueName="[tbl_DimFecha].[DiaSemana].[All]" allUniqueName="[tbl_DimFecha].[DiaSemana].[All]" dimensionUniqueName="[tbl_DimFecha]" displayFolder="" count="0" memberValueDatatype="130" unbalanced="0"/>
    <cacheHierarchy uniqueName="[tbl_DimFecha].[Mes_Orden]" caption="Mes_Orden" attribute="1" defaultMemberUniqueName="[tbl_DimFecha].[Mes_Orden].[All]" allUniqueName="[tbl_DimFecha].[Mes_Orden].[All]" dimensionUniqueName="[tbl_DimFecha]" displayFolder="" count="0" memberValueDatatype="130" unbalanced="0"/>
    <cacheHierarchy uniqueName="[tbl_DimProducto].[Producto]" caption="Producto" attribute="1" defaultMemberUniqueName="[tbl_DimProducto].[Producto].[All]" allUniqueName="[tbl_DimProducto].[Producto].[All]" dimensionUniqueName="[tbl_DimProducto]" displayFolder="" count="0" memberValueDatatype="130" unbalanced="0"/>
    <cacheHierarchy uniqueName="[tbl_DimProducto].[Producto_id]" caption="Producto_id" attribute="1" defaultMemberUniqueName="[tbl_DimProducto].[Producto_id].[All]" allUniqueName="[tbl_DimProducto].[Producto_id].[All]" dimensionUniqueName="[tbl_DimProducto]" displayFolder="" count="0" memberValueDatatype="130" unbalanced="0"/>
    <cacheHierarchy uniqueName="[tbl_DimProducto].[Categoría]" caption="Categoría" attribute="1" defaultMemberUniqueName="[tbl_DimProducto].[Categoría].[All]" allUniqueName="[tbl_DimProducto].[Categoría].[All]" dimensionUniqueName="[tbl_DimProducto]" displayFolder="" count="0" memberValueDatatype="130" unbalanced="0"/>
    <cacheHierarchy uniqueName="[tbl_DimProducto].[PesoBarra_kg]" caption="PesoBarra_kg" attribute="1" defaultMemberUniqueName="[tbl_DimProducto].[PesoBarra_kg].[All]" allUniqueName="[tbl_DimProducto].[PesoBarra_kg].[All]" dimensionUniqueName="[tbl_DimProducto]" displayFolder="" count="0" memberValueDatatype="5" unbalanced="0"/>
    <cacheHierarchy uniqueName="[tbl_PrecioLeche].[Año]" caption="Año" attribute="1" defaultMemberUniqueName="[tbl_PrecioLeche].[Año].[All]" allUniqueName="[tbl_PrecioLeche].[Año].[All]" dimensionUniqueName="[tbl_PrecioLeche]" displayFolder="" count="0" memberValueDatatype="20" unbalanced="0"/>
    <cacheHierarchy uniqueName="[tbl_PrecioLeche].[AñoMes]" caption="AñoMes" attribute="1" defaultMemberUniqueName="[tbl_PrecioLeche].[AñoMes].[All]" allUniqueName="[tbl_PrecioLeche].[AñoMes].[All]" dimensionUniqueName="[tbl_PrecioLeche]" displayFolder="" count="0" memberValueDatatype="130" unbalanced="0"/>
    <cacheHierarchy uniqueName="[tbl_PrecioLeche].[Mes]" caption="Mes" attribute="1" defaultMemberUniqueName="[tbl_PrecioLeche].[Mes].[All]" allUniqueName="[tbl_PrecioLeche].[Mes].[All]" dimensionUniqueName="[tbl_PrecioLeche]" displayFolder="" count="0" memberValueDatatype="130" unbalanced="0"/>
    <cacheHierarchy uniqueName="[tbl_PrecioLeche].[Tipo_Leche]" caption="Tipo_Leche" attribute="1" defaultMemberUniqueName="[tbl_PrecioLeche].[Tipo_Leche].[All]" allUniqueName="[tbl_PrecioLeche].[Tipo_Leche].[All]" dimensionUniqueName="[tbl_PrecioLeche]" displayFolder="" count="0" memberValueDatatype="130" unbalanced="0"/>
    <cacheHierarchy uniqueName="[tbl_PrecioLeche].[Precio_base]" caption="Precio_base" attribute="1" defaultMemberUniqueName="[tbl_PrecioLeche].[Precio_base].[All]" allUniqueName="[tbl_PrecioLeche].[Precio_base].[All]" dimensionUniqueName="[tbl_PrecioLeche]" displayFolder="" count="0" memberValueDatatype="20" unbalanced="0"/>
    <cacheHierarchy uniqueName="[tbl_PrecioLeche].[Calidades]" caption="Calidades" attribute="1" defaultMemberUniqueName="[tbl_PrecioLeche].[Calidades].[All]" allUniqueName="[tbl_PrecioLeche].[Calidades].[All]" dimensionUniqueName="[tbl_PrecioLeche]" displayFolder="" count="0" memberValueDatatype="20" unbalanced="0"/>
    <cacheHierarchy uniqueName="[tbl_PrecioLeche].[Transporte]" caption="Transporte" attribute="1" defaultMemberUniqueName="[tbl_PrecioLeche].[Transporte].[All]" allUniqueName="[tbl_PrecioLeche].[Transporte].[All]" dimensionUniqueName="[tbl_PrecioLeche]" displayFolder="" count="0" memberValueDatatype="20" unbalanced="0"/>
    <cacheHierarchy uniqueName="[tbl_PrecioLeche].[PMV_eur_L]" caption="PMV_eur_L" attribute="1" defaultMemberUniqueName="[tbl_PrecioLeche].[PMV_eur_L].[All]" allUniqueName="[tbl_PrecioLeche].[PMV_eur_L].[All]" dimensionUniqueName="[tbl_PrecioLeche]" displayFolder="" count="0" memberValueDatatype="5" unbalanced="0"/>
    <cacheHierarchy uniqueName="[Tabla_master_rend].[Fecha (índice de meses)]" caption="Fecha (índice de meses)" attribute="1" defaultMemberUniqueName="[Tabla_master_rend].[Fecha (índice de meses)].[All]" allUniqueName="[Tabla_master_rend].[Fecha (índice de meses)].[All]" dimensionUniqueName="[Tabla_master_rend]" displayFolder="" count="0" memberValueDatatype="20" unbalanced="0" hidden="1"/>
    <cacheHierarchy uniqueName="[Measures].[Litros_Leche]" caption="Litros_Leche" measure="1" displayFolder="" measureGroup="Tabla_master_rend" count="0"/>
    <cacheHierarchy uniqueName="[Measures].[kg_Blancos]" caption="kg_Blancos" measure="1" displayFolder="" measureGroup="Tabla_master_rend" count="0"/>
    <cacheHierarchy uniqueName="[Measures].[Kg_secadero]" caption="Kg_secadero" measure="1" displayFolder="" measureGroup="Tabla_master_rend" count="0"/>
    <cacheHierarchy uniqueName="[Measures].[Merma_TOT_kg]" caption="Merma_TOT_kg" measure="1" displayFolder="" measureGroup="Tabla_master_rend" count="0"/>
    <cacheHierarchy uniqueName="[Measures].[Merma_env_kg]" caption="Merma_env_kg" measure="1" displayFolder="" measureGroup="Tabla_master_rend" count="0"/>
    <cacheHierarchy uniqueName="[Measures].[Impacto_EUR]" caption="Impacto_EUR" measure="1" displayFolder="" measureGroup="Tabla_master_rend" count="0"/>
    <cacheHierarchy uniqueName="[Measures].[RDTO_Blanco_kg]" caption="RDTO_Blanco_kg" measure="1" displayFolder="" measureGroup="Tabla_master_rend" count="0"/>
    <cacheHierarchy uniqueName="[Measures].[Merma_env_pct]" caption="Merma_env_pct" measure="1" displayFolder="" measureGroup="Tabla_master_rend" count="0"/>
    <cacheHierarchy uniqueName="[Measures].[B_totales_u]" caption="B_totales_u" measure="1" displayFolder="" measureGroup="Tabla_master_rend" count="0"/>
    <cacheHierarchy uniqueName="[Measures].[Feas_pct]" caption="Feas_pct" measure="1" displayFolder="" measureGroup="Tabla_master_rend" count="0"/>
    <cacheHierarchy uniqueName="[Measures].[Bajas_pct]" caption="Bajas_pct" measure="1" displayFolder="" measureGroup="Tabla_master_rend" count="0"/>
    <cacheHierarchy uniqueName="[Measures].[Rotas_pct]" caption="Rotas_pct" measure="1" displayFolder="" measureGroup="Tabla_master_rend" count="0"/>
    <cacheHierarchy uniqueName="[Measures].[Recup_kg_sum]" caption="Recup_kg_sum" measure="1" displayFolder="" measureGroup="Tabla_master_rend" count="0"/>
    <cacheHierarchy uniqueName="[Measures].[Merma_inic_kg]" caption="Merma_inic_kg" measure="1" displayFolder="" measureGroup="Tabla_master_rend" count="0"/>
    <cacheHierarchy uniqueName="[Measures].[Recup_pct]" caption="Recup_pct" measure="1" displayFolder="" measureGroup="Tabla_master_rend" count="0"/>
    <cacheHierarchy uniqueName="[Measures].[Merma_env_corregida_kg]" caption="Merma_env_corregida_kg" measure="1" displayFolder="" measureGroup="Tabla_master_rend" count="0"/>
    <cacheHierarchy uniqueName="[Measures].[Merma_env_corregida_pct]" caption="Merma_env_corregida_pct" measure="1" displayFolder="" measureGroup="Tabla_master_rend" count="0"/>
    <cacheHierarchy uniqueName="[Measures].[Merma_TOT_pct]" caption="Merma_TOT_pct" measure="1" displayFolder="" measureGroup="Tabla_master_rend" count="0"/>
    <cacheHierarchy uniqueName="[Measures].[Labo_pct]" caption="Labo_pct" measure="1" displayFolder="" measureGroup="Tabla_master_rend" count="0"/>
    <cacheHierarchy uniqueName="[Measures].[Recup_MG_pct_pond]" caption="Recup_MG_pct_pond" measure="1" displayFolder="" measureGroup="Tabla_master_rend" count="0"/>
    <cacheHierarchy uniqueName="[Measures].[Recup_PT_pct_pond]" caption="Recup_PT_pct_pond" measure="1" displayFolder="" measureGroup="Tabla_master_rend" count="0"/>
    <cacheHierarchy uniqueName="[Measures].[Suero_vs_Leche]" caption="Suero_vs_Leche" measure="1" displayFolder="" measureGroup="Tabla_master_rend" count="0"/>
    <cacheHierarchy uniqueName="[Measures].[MG_suero_pct_pond]" caption="MG_suero_pct_pond" measure="1" displayFolder="" measureGroup="Tabla_master_rend" count="0"/>
    <cacheHierarchy uniqueName="[Measures].[PT_suero_pct_pond]" caption="PT_suero_pct_pond" measure="1" displayFolder="" measureGroup="Tabla_master_rend" count="0"/>
    <cacheHierarchy uniqueName="[Measures].[Nata_leche_L]" caption="Nata_leche_L" measure="1" displayFolder="" measureGroup="Tabla_master_rend" count="0"/>
    <cacheHierarchy uniqueName="[Measures].[Nata_suero_L]" caption="Nata_suero_L" measure="1" displayFolder="" measureGroup="Tabla_master_rend" count="0"/>
    <cacheHierarchy uniqueName="[Measures].[Nata_suero_pct]" caption="Nata_suero_pct" measure="1" displayFolder="" measureGroup="Tabla_master_rend" count="0"/>
    <cacheHierarchy uniqueName="[Measures].[Valor_Nata_EUR]" caption="Valor_Nata_EUR" measure="1" displayFolder="" measureGroup="Tabla_master_rend" count="0"/>
    <cacheHierarchy uniqueName="[Measures].[Nata_Total_L]" caption="Nata_Total_L" measure="1" displayFolder="" measureGroup="Tabla_master_rend" count="0"/>
    <cacheHierarchy uniqueName="[Measures].[Solidos_leche_kg]" caption="Solidos_leche_kg" measure="1" displayFolder="" measureGroup="Tabla_master_rend" count="0"/>
    <cacheHierarchy uniqueName="[Measures].[Solidos_en_queso_kg]" caption="Solidos_en_queso_kg" measure="1" displayFolder="" measureGroup="Tabla_master_rend" count="0"/>
    <cacheHierarchy uniqueName="[Measures].[Recup_solidos_a_queso_pct]" caption="Recup_solidos_a_queso_pct" measure="1" displayFolder="" measureGroup="Tabla_master_rend" count="0"/>
    <cacheHierarchy uniqueName="[Measures].[Suero_kg_aprox]" caption="Suero_kg_aprox" measure="1" displayFolder="" measureGroup="Tabla_master_rend" count="0"/>
    <cacheHierarchy uniqueName="[Measures].[Solidos_principales_suero_kg]" caption="Solidos_principales_suero_kg" measure="1" displayFolder="" measureGroup="Tabla_master_rend" count="0"/>
    <cacheHierarchy uniqueName="[Measures].[Solidos_principales_suero_pct_sobre_leche]" caption="Solidos_principales_suero_pct_sobre_leche" measure="1" displayFolder="" measureGroup="Tabla_master_rend" count="0"/>
    <cacheHierarchy uniqueName="[Measures].[Solidos_gap_kg]" caption="Solidos_gap_kg" measure="1" displayFolder="" measureGroup="Tabla_master_rend" count="0"/>
    <cacheHierarchy uniqueName="[Measures].[MG_a_nata_leche_kg]" caption="MG_a_nata_leche_kg" measure="1" displayFolder="" measureGroup="Tabla_master_rend" count="0"/>
    <cacheHierarchy uniqueName="[Measures].[MG_a_nata_leche_pct_sobre_solidos]" caption="MG_a_nata_leche_pct_sobre_solidos" measure="1" displayFolder="" measureGroup="Tabla_master_rend" count="0"/>
    <cacheHierarchy uniqueName="[Measures].[Solidos_leche_FP_kg]" caption="Solidos_leche_FP_kg" measure="1" displayFolder="" measureGroup="Tabla_master_rend" count="0"/>
    <cacheHierarchy uniqueName="[Measures].[Solidos_queso_FP_kg]" caption="Solidos_queso_FP_kg" measure="1" displayFolder="" measureGroup="Tabla_master_rend" count="0"/>
    <cacheHierarchy uniqueName="[Measures].[Solidos_suero_FP_kg]" caption="Solidos_suero_FP_kg" measure="1" displayFolder="" measureGroup="Tabla_master_rend" count="0"/>
    <cacheHierarchy uniqueName="[Measures].[Solidos_GAP_des_pct]" caption="Solidos_GAP_des_pct" measure="1" displayFolder="" measureGroup="Tabla_master_rend" count="0"/>
    <cacheHierarchy uniqueName="[Measures].[RDTO_neto_pond]" caption="RDTO_neto_pond" measure="1" displayFolder="" measureGroup="Tabla_master_rend" count="0" oneField="1">
      <fieldsUsage count="1">
        <fieldUsage x="0"/>
      </fieldsUsage>
    </cacheHierarchy>
    <cacheHierarchy uniqueName="[Measures].[Recup_FP_queso_pct]" caption="Recup_FP_queso_pct" measure="1" displayFolder="" measureGroup="Tabla_master_rend" count="0"/>
    <cacheHierarchy uniqueName="[Measures].[IMPACTO_VS__PPTO]" caption="IMPACTO_VS__PPTO" measure="1" displayFolder="" measureGroup="Tabla_master_rend" count="0"/>
    <cacheHierarchy uniqueName="[Measures].[€/kg_MP_Queso]" caption="€/kg_MP_Queso" measure="1" displayFolder="" measureGroup="Tabla_master_rend" count="0"/>
    <cacheHierarchy uniqueName="[Measures].[Merma_TOT_%_blanco_a_vendible]" caption="Merma_TOT_%_blanco_a_vendible" measure="1" displayFolder="" measureGroup="Tabla_master_rend" count="0"/>
    <cacheHierarchy uniqueName="[Measures].[Merma_TOT_kg_blanco_a_vendible :]" caption="Merma_TOT_kg_blanco_a_vendible :" measure="1" displayFolder="" measureGroup="Tabla_master_rend" count="0"/>
    <cacheHierarchy uniqueName="[Measures].[Gap_solidos_pct]" caption="Gap_solidos_pct" measure="1" displayFolder="" measureGroup="Tabla_master_rend" count="0"/>
    <cacheHierarchy uniqueName="[Measures].[Kg_saladero_tons]" caption="Kg_saladero_tons" measure="1" displayFolder="" measureGroup="Tabla_master_rend" count="0"/>
    <cacheHierarchy uniqueName="[Measures].[Suero_L]" caption="Suero_L" measure="1" displayFolder="" measureGroup="Tabla_master_rend" count="0"/>
    <cacheHierarchy uniqueName="[Measures].[%_Merma_Finos]" caption="%_Merma_Finos" measure="1" displayFolder="" measureGroup="Tabla_master_rend" count="0"/>
    <cacheHierarchy uniqueName="[Measures].[%_Merma_Llenadora]" caption="%_Merma_Llenadora" measure="1" displayFolder="" measureGroup="Tabla_master_rend" count="0"/>
    <cacheHierarchy uniqueName="[Measures].[%_Merma_Desm]" caption="%_Merma_Desm" measure="1" displayFolder="" measureGroup="Tabla_master_rend" count="0"/>
    <cacheHierarchy uniqueName="[Measures].[%_Merma_oreo]" caption="%_Merma_oreo" measure="1" displayFolder="" measureGroup="Tabla_master_rend" count="0"/>
    <cacheHierarchy uniqueName="[Measures].[__XL_Count tbl_DimProducto]" caption="__XL_Count tbl_DimProducto" measure="1" displayFolder="" measureGroup="tbl_DimProducto" count="0" hidden="1"/>
    <cacheHierarchy uniqueName="[Measures].[__XL_Count tbl_FactRendFecha]" caption="__XL_Count tbl_FactRendFecha" measure="1" displayFolder="" measureGroup="tbl_DimFecha" count="0" hidden="1"/>
    <cacheHierarchy uniqueName="[Measures].[__XL_Count Tabla_master_rend]" caption="__XL_Count Tabla_master_rend" measure="1" displayFolder="" measureGroup="Tabla_master_rend" count="0" hidden="1"/>
    <cacheHierarchy uniqueName="[Measures].[__XL_Count REND_TARGET]" caption="__XL_Count REND_TARGET" measure="1" displayFolder="" measureGroup="REND_TARGET" count="0" hidden="1"/>
    <cacheHierarchy uniqueName="[Measures].[__XL_Count Tabla_master_rend 1]" caption="__XL_Count Tabla_master_rend 1" measure="1" displayFolder="" measureGroup="Tabla_master_rend 1" count="0" hidden="1"/>
    <cacheHierarchy uniqueName="[Measures].[__XL_Count Tabla_Precio_Venta]" caption="__XL_Count Tabla_Precio_Venta" measure="1" displayFolder="" measureGroup="Tabla_Precio_Venta" count="0" hidden="1"/>
    <cacheHierarchy uniqueName="[Measures].[__XL_Count tbl_PrecioLeche]" caption="__XL_Count tbl_PrecioLeche" measure="1" displayFolder="" measureGroup="tbl_PrecioLeche" count="0" hidden="1"/>
    <cacheHierarchy uniqueName="[Measures].[__XL_Count Tabla_Contabilidad]" caption="__XL_Count Tabla_Contabilidad" measure="1" displayFolder="" measureGroup="Tabla_Contabilidad" count="0" hidden="1"/>
    <cacheHierarchy uniqueName="[Measures].[__No measures defined]" caption="__No measures defined" measure="1" displayFolder="" count="0" hidden="1"/>
    <cacheHierarchy uniqueName="[Measures].[Sum of Rend_Ntarget]" caption="Sum of Rend_Ntarget" measure="1" displayFolder="" measureGroup="REND_TARG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imum of Rend_Ntarget]" caption="Maximum of Rend_Ntarget" measure="1" displayFolder="" measureGroup="REND_TARG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REND_TARGET]" caption="Suma de REND_TARGET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Promedio de REND_TARGET]" caption="Promedio de REND_TARGET" measure="1" displayFolder="" measureGroup="Tabla_master_ren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RDTO_NETO]" caption="Suma de RDTO_NETO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Kg_Finos]" caption="Suma de Kg_Finos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Kg_Llenadora]" caption="Suma de Kg_Llenadora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Kg_Desmoldeo]" caption="Suma de Kg_Desmoldeo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de Merma_fab]" caption="Suma de Merma_fab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Recuento de L_Agua]" caption="Recuento de L_Agua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de %Merma_env_corr]" caption="Suma de %Merma_env_corr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Promedio de %Merma_env_corr]" caption="Promedio de %Merma_env_corr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a de Gastos Estructura (€∕mes)]" caption="Suma de Gastos Estructura (€∕mes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Gastos Estructura (€∕mes)]" caption="Promedio de Gastos Estructura (€∕mes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BITDA  (M€)]" caption="Suma de EBITDA  (M€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BITDA  (M€)]" caption="Promedio de EBITDA  (M€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9">
    <dimension measure="1" name="Measures" uniqueName="[Measures]" caption="Measures"/>
    <dimension name="REND_TARGET" uniqueName="[REND_TARGET]" caption="REND_TARGET"/>
    <dimension name="Tabla_Contabilidad" uniqueName="[Tabla_Contabilidad]" caption="Tabla_Contabilidad"/>
    <dimension name="Tabla_master_rend" uniqueName="[Tabla_master_rend]" caption="Tabla_master_rend"/>
    <dimension name="Tabla_master_rend 1" uniqueName="[Tabla_master_rend 1]" caption="Tabla_master_rend 1"/>
    <dimension name="Tabla_Precio_Venta" uniqueName="[Tabla_Precio_Venta]" caption="Tabla_Precio_Venta"/>
    <dimension name="tbl_DimFecha" uniqueName="[tbl_DimFecha]" caption="tbl_DimFecha"/>
    <dimension name="tbl_DimProducto" uniqueName="[tbl_DimProducto]" caption="tbl_DimProducto"/>
    <dimension name="tbl_PrecioLeche" uniqueName="[tbl_PrecioLeche]" caption="tbl_PrecioLeche"/>
  </dimensions>
  <measureGroups count="8">
    <measureGroup name="REND_TARGET" caption="REND_TARGET"/>
    <measureGroup name="Tabla_Contabilidad" caption="Tabla_Contabilidad"/>
    <measureGroup name="Tabla_master_rend" caption="Tabla_master_rend"/>
    <measureGroup name="Tabla_master_rend 1" caption="Tabla_master_rend 1"/>
    <measureGroup name="Tabla_Precio_Venta" caption="Tabla_Precio_Venta"/>
    <measureGroup name="tbl_DimFecha" caption="tbl_DimFecha"/>
    <measureGroup name="tbl_DimProducto" caption="tbl_DimProducto"/>
    <measureGroup name="tbl_PrecioLeche" caption="tbl_PrecioLeche"/>
  </measureGroups>
  <maps count="13">
    <map measureGroup="0" dimension="1"/>
    <map measureGroup="0" dimension="7"/>
    <map measureGroup="1" dimension="2"/>
    <map measureGroup="2" dimension="3"/>
    <map measureGroup="2" dimension="6"/>
    <map measureGroup="2" dimension="7"/>
    <map measureGroup="3" dimension="4"/>
    <map measureGroup="4" dimension="5"/>
    <map measureGroup="4" dimension="6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os Colasante" refreshedDate="46134.996717361108" backgroundQuery="1" createdVersion="8" refreshedVersion="8" minRefreshableVersion="3" recordCount="0" supportSubquery="1" supportAdvancedDrill="1" xr:uid="{C694D4AF-FE0F-448F-90C7-CDAA1146347C}">
  <cacheSource type="external" connectionId="4"/>
  <cacheFields count="4">
    <cacheField name="[Tabla_master_rend].[Fecha].[Fecha]" caption="Fecha" numFmtId="0" hierarchy="12" level="1">
      <sharedItems containsSemiMixedTypes="0" containsNonDate="0" containsDate="1" containsString="0" minDate="2026-01-05T00:00:00" maxDate="2026-03-06T00:00:00" count="13">
        <d v="2026-01-05T00:00:00"/>
        <d v="2026-01-07T00:00:00"/>
        <d v="2026-01-09T00:00:00"/>
        <d v="2026-01-12T00:00:00"/>
        <d v="2026-01-14T00:00:00"/>
        <d v="2026-01-15T00:00:00"/>
        <d v="2026-01-19T00:00:00"/>
        <d v="2026-01-21T00:00:00"/>
        <d v="2026-01-22T00:00:00"/>
        <d v="2026-02-03T00:00:00"/>
        <d v="2026-02-04T00:00:00"/>
        <d v="2026-02-05T00:00:00"/>
        <d v="2026-03-05T00:00:00"/>
      </sharedItems>
    </cacheField>
    <cacheField name="[Measures].[RDTO_neto_pond]" caption="RDTO_neto_pond" numFmtId="0" hierarchy="250" level="32767"/>
    <cacheField name="[Tabla_master_rend].[Mes_Nom].[Mes_Nom]" caption="Mes_Nom" numFmtId="0" hierarchy="14" level="1">
      <sharedItems containsSemiMixedTypes="0" containsNonDate="0" containsString="0"/>
    </cacheField>
    <cacheField name="[tbl_DimFecha].[Año].[Año]" caption="Año" numFmtId="0" hierarchy="186" level="1">
      <sharedItems containsSemiMixedTypes="0" containsNonDate="0" containsString="0"/>
    </cacheField>
  </cacheFields>
  <cacheHierarchies count="288">
    <cacheHierarchy uniqueName="[REND_TARGET].[Producto]" caption="Producto" attribute="1" defaultMemberUniqueName="[REND_TARGET].[Producto].[All]" allUniqueName="[REND_TARGET].[Producto].[All]" dimensionUniqueName="[REND_TARGET]" displayFolder="" count="0" memberValueDatatype="130" unbalanced="0"/>
    <cacheHierarchy uniqueName="[REND_TARGET].[Rendimiento Blanco]" caption="Rendimiento Blanco" attribute="1" defaultMemberUniqueName="[REND_TARGET].[Rendimiento Blanco].[All]" allUniqueName="[REND_TARGET].[Rendimiento Blanco].[All]" dimensionUniqueName="[REND_TARGET]" displayFolder="" count="0" memberValueDatatype="5" unbalanced="0"/>
    <cacheHierarchy uniqueName="[REND_TARGET].[Merma Fabr]" caption="Merma Fabr" attribute="1" defaultMemberUniqueName="[REND_TARGET].[Merma Fabr].[All]" allUniqueName="[REND_TARGET].[Merma Fabr].[All]" dimensionUniqueName="[REND_TARGET]" displayFolder="" count="0" memberValueDatatype="5" unbalanced="0"/>
    <cacheHierarchy uniqueName="[REND_TARGET].[Merma Oreo]" caption="Merma Oreo" attribute="1" defaultMemberUniqueName="[REND_TARGET].[Merma Oreo].[All]" allUniqueName="[REND_TARGET].[Merma Oreo].[All]" dimensionUniqueName="[REND_TARGET]" displayFolder="" count="0" memberValueDatatype="5" unbalanced="0"/>
    <cacheHierarchy uniqueName="[REND_TARGET].[Merma E/E]" caption="Merma E/E" attribute="1" defaultMemberUniqueName="[REND_TARGET].[Merma E/E].[All]" allUniqueName="[REND_TARGET].[Merma E/E].[All]" dimensionUniqueName="[REND_TARGET]" displayFolder="" count="0" memberValueDatatype="5" unbalanced="0"/>
    <cacheHierarchy uniqueName="[REND_TARGET].[Rend_Ntarget]" caption="Rend_Ntarget" attribute="1" defaultMemberUniqueName="[REND_TARGET].[Rend_Ntarget].[All]" allUniqueName="[REND_TARGET].[Rend_Ntarget].[All]" dimensionUniqueName="[REND_TARGET]" displayFolder="" count="0" memberValueDatatype="5" unbalanced="0"/>
    <cacheHierarchy uniqueName="[Tabla_Contabilidad].[Año]" caption="Año" attribute="1" defaultMemberUniqueName="[Tabla_Contabilidad].[Año].[All]" allUniqueName="[Tabla_Contabilidad].[Año].[All]" dimensionUniqueName="[Tabla_Contabilidad]" displayFolder="" count="0" memberValueDatatype="20" unbalanced="0"/>
    <cacheHierarchy uniqueName="[Tabla_Contabilidad].[AñoMes]" caption="AñoMes" attribute="1" defaultMemberUniqueName="[Tabla_Contabilidad].[AñoMes].[All]" allUniqueName="[Tabla_Contabilidad].[AñoMes].[All]" dimensionUniqueName="[Tabla_Contabilidad]" displayFolder="" count="0" memberValueDatatype="130" unbalanced="0"/>
    <cacheHierarchy uniqueName="[Tabla_Contabilidad].[Mes]" caption="Mes" attribute="1" defaultMemberUniqueName="[Tabla_Contabilidad].[Mes].[All]" allUniqueName="[Tabla_Contabilidad].[Mes].[All]" dimensionUniqueName="[Tabla_Contabilidad]" displayFolder="" count="0" memberValueDatatype="130" unbalanced="0"/>
    <cacheHierarchy uniqueName="[Tabla_Contabilidad].[Gastos Estructura (€∕mes)]" caption="Gastos Estructura (€∕mes)" attribute="1" defaultMemberUniqueName="[Tabla_Contabilidad].[Gastos Estructura (€∕mes)].[All]" allUniqueName="[Tabla_Contabilidad].[Gastos Estructura (€∕mes)].[All]" dimensionUniqueName="[Tabla_Contabilidad]" displayFolder="" count="0" memberValueDatatype="20" unbalanced="0"/>
    <cacheHierarchy uniqueName="[Tabla_Contabilidad].[EBITDA  (M€)]" caption="EBITDA  (M€)" attribute="1" defaultMemberUniqueName="[Tabla_Contabilidad].[EBITDA  (M€)].[All]" allUniqueName="[Tabla_Contabilidad].[EBITDA  (M€)].[All]" dimensionUniqueName="[Tabla_Contabilidad]" displayFolder="" count="0" memberValueDatatype="20" unbalanced="0"/>
    <cacheHierarchy uniqueName="[Tabla_Contabilidad].[EBITDA_PPTO (M€)]" caption="EBITDA_PPTO (M€)" attribute="1" defaultMemberUniqueName="[Tabla_Contabilidad].[EBITDA_PPTO (M€)].[All]" allUniqueName="[Tabla_Contabilidad].[EBITDA_PPTO (M€)].[All]" dimensionUniqueName="[Tabla_Contabilidad]" displayFolder="" count="0" memberValueDatatype="20" unbalanced="0"/>
    <cacheHierarchy uniqueName="[Tabla_master_rend].[Fecha]" caption="Fecha" attribute="1" time="1" defaultMemberUniqueName="[Tabla_master_rend].[Fecha].[All]" allUniqueName="[Tabla_master_rend].[Fecha].[All]" dimensionUniqueName="[Tabla_master_rend]" displayFolder="" count="2" memberValueDatatype="7" unbalanced="0">
      <fieldsUsage count="2">
        <fieldUsage x="-1"/>
        <fieldUsage x="0"/>
      </fieldsUsage>
    </cacheHierarchy>
    <cacheHierarchy uniqueName="[Tabla_master_rend].[mes]" caption="mes" attribute="1" defaultMemberUniqueName="[Tabla_master_rend].[mes].[All]" allUniqueName="[Tabla_master_rend].[mes].[All]" dimensionUniqueName="[Tabla_master_rend]" displayFolder="" count="0" memberValueDatatype="20" unbalanced="0"/>
    <cacheHierarchy uniqueName="[Tabla_master_rend].[Mes_Nom]" caption="Mes_Nom" attribute="1" defaultMemberUniqueName="[Tabla_master_rend].[Mes_Nom].[All]" allUniqueName="[Tabla_master_rend].[Mes_Nom].[All]" dimensionUniqueName="[Tabla_master_rend]" displayFolder="" count="2" memberValueDatatype="130" unbalanced="0">
      <fieldsUsage count="2">
        <fieldUsage x="-1"/>
        <fieldUsage x="2"/>
      </fieldsUsage>
    </cacheHierarchy>
    <cacheHierarchy uniqueName="[Tabla_master_rend].[Día]" caption="Día" attribute="1" defaultMemberUniqueName="[Tabla_master_rend].[Día].[All]" allUniqueName="[Tabla_master_rend].[Día].[All]" dimensionUniqueName="[Tabla_master_rend]" displayFolder="" count="2" memberValueDatatype="130" unbalanced="0"/>
    <cacheHierarchy uniqueName="[Tabla_master_rend].[Lote]" caption="Lote" attribute="1" defaultMemberUniqueName="[Tabla_master_rend].[Lote].[All]" allUniqueName="[Tabla_master_rend].[Lote].[All]" dimensionUniqueName="[Tabla_master_rend]" displayFolder="" count="0" memberValueDatatype="20" unbalanced="0"/>
    <cacheHierarchy uniqueName="[Tabla_master_rend].[Producto]" caption="Producto" attribute="1" defaultMemberUniqueName="[Tabla_master_rend].[Producto].[All]" allUniqueName="[Tabla_master_rend].[Producto].[All]" dimensionUniqueName="[Tabla_master_rend]" displayFolder="" count="2" memberValueDatatype="130" unbalanced="0"/>
    <cacheHierarchy uniqueName="[Tabla_master_rend].[Cubas_prod]" caption="Cubas_prod" attribute="1" defaultMemberUniqueName="[Tabla_master_rend].[Cubas_prod].[All]" allUniqueName="[Tabla_master_rend].[Cubas_prod].[All]" dimensionUniqueName="[Tabla_master_rend]" displayFolder="" count="0" memberValueDatatype="20" unbalanced="0"/>
    <cacheHierarchy uniqueName="[Tabla_master_rend].[Litros_Leche_Total]" caption="Litros_Leche_Total" attribute="1" defaultMemberUniqueName="[Tabla_master_rend].[Litros_Leche_Total].[All]" allUniqueName="[Tabla_master_rend].[Litros_Leche_Total].[All]" dimensionUniqueName="[Tabla_master_rend]" displayFolder="" count="0" memberValueDatatype="20" unbalanced="0"/>
    <cacheHierarchy uniqueName="[Tabla_master_rend].[L_Leche_ent]" caption="L_Leche_ent" attribute="1" defaultMemberUniqueName="[Tabla_master_rend].[L_Leche_ent].[All]" allUniqueName="[Tabla_master_rend].[L_Leche_ent].[All]" dimensionUniqueName="[Tabla_master_rend]" displayFolder="" count="0" memberValueDatatype="20" unbalanced="0"/>
    <cacheHierarchy uniqueName="[Tabla_master_rend].[%MG_Leche]" caption="%MG_Leche" attribute="1" defaultMemberUniqueName="[Tabla_master_rend].[%MG_Leche].[All]" allUniqueName="[Tabla_master_rend].[%MG_Leche].[All]" dimensionUniqueName="[Tabla_master_rend]" displayFolder="" count="0" memberValueDatatype="5" unbalanced="0"/>
    <cacheHierarchy uniqueName="[Tabla_master_rend].[%MP_Leche]" caption="%MP_Leche" attribute="1" defaultMemberUniqueName="[Tabla_master_rend].[%MP_Leche].[All]" allUniqueName="[Tabla_master_rend].[%MP_Leche].[All]" dimensionUniqueName="[Tabla_master_rend]" displayFolder="" count="0" memberValueDatatype="5" unbalanced="0"/>
    <cacheHierarchy uniqueName="[Tabla_master_rend].[EST_%]" caption="EST_%" attribute="1" defaultMemberUniqueName="[Tabla_master_rend].[EST_%].[All]" allUniqueName="[Tabla_master_rend].[EST_%].[All]" dimensionUniqueName="[Tabla_master_rend]" displayFolder="" count="0" memberValueDatatype="5" unbalanced="0"/>
    <cacheHierarchy uniqueName="[Tabla_master_rend].[Desn_en_linea]" caption="Desn_en_linea" attribute="1" defaultMemberUniqueName="[Tabla_master_rend].[Desn_en_linea].[All]" allUniqueName="[Tabla_master_rend].[Desn_en_linea].[All]" dimensionUniqueName="[Tabla_master_rend]" displayFolder="" count="2" memberValueDatatype="130" unbalanced="0"/>
    <cacheHierarchy uniqueName="[Tabla_master_rend].[L_desn_ext]" caption="L_desn_ext" attribute="1" defaultMemberUniqueName="[Tabla_master_rend].[L_desn_ext].[All]" allUniqueName="[Tabla_master_rend].[L_desn_ext].[All]" dimensionUniqueName="[Tabla_master_rend]" displayFolder="" count="0" memberValueDatatype="20" unbalanced="0"/>
    <cacheHierarchy uniqueName="[Tabla_master_rend].[L_cabra]" caption="L_cabra" attribute="1" defaultMemberUniqueName="[Tabla_master_rend].[L_cabra].[All]" allUniqueName="[Tabla_master_rend].[L_cabra].[All]" dimensionUniqueName="[Tabla_master_rend]" displayFolder="" count="0" memberValueDatatype="20" unbalanced="0"/>
    <cacheHierarchy uniqueName="[Tabla_master_rend].[L_oveja]" caption="L_oveja" attribute="1" defaultMemberUniqueName="[Tabla_master_rend].[L_oveja].[All]" allUniqueName="[Tabla_master_rend].[L_oveja].[All]" dimensionUniqueName="[Tabla_master_rend]" displayFolder="" count="0" memberValueDatatype="20" unbalanced="0"/>
    <cacheHierarchy uniqueName="[Tabla_master_rend].[Litros_Nata]" caption="Litros_Nata" attribute="1" defaultMemberUniqueName="[Tabla_master_rend].[Litros_Nata].[All]" allUniqueName="[Tabla_master_rend].[Litros_Nata].[All]" dimensionUniqueName="[Tabla_master_rend]" displayFolder="" count="0" memberValueDatatype="20" unbalanced="0"/>
    <cacheHierarchy uniqueName="[Tabla_master_rend].[L_nata_suero]" caption="L_nata_suero" attribute="1" defaultMemberUniqueName="[Tabla_master_rend].[L_nata_suero].[All]" allUniqueName="[Tabla_master_rend].[L_nata_suero].[All]" dimensionUniqueName="[Tabla_master_rend]" displayFolder="" count="0" memberValueDatatype="20" unbalanced="0"/>
    <cacheHierarchy uniqueName="[Tabla_master_rend].[L_suero Total]" caption="L_suero Total" attribute="1" defaultMemberUniqueName="[Tabla_master_rend].[L_suero Total].[All]" allUniqueName="[Tabla_master_rend].[L_suero Total].[All]" dimensionUniqueName="[Tabla_master_rend]" displayFolder="" count="0" memberValueDatatype="20" unbalanced="0"/>
    <cacheHierarchy uniqueName="[Tabla_master_rend].[%Suero_vs_leche]" caption="%Suero_vs_leche" attribute="1" defaultMemberUniqueName="[Tabla_master_rend].[%Suero_vs_leche].[All]" allUniqueName="[Tabla_master_rend].[%Suero_vs_leche].[All]" dimensionUniqueName="[Tabla_master_rend]" displayFolder="" count="0" memberValueDatatype="5" unbalanced="0"/>
    <cacheHierarchy uniqueName="[Tabla_master_rend].[MG_suero]" caption="MG_suero" attribute="1" defaultMemberUniqueName="[Tabla_master_rend].[MG_suero].[All]" allUniqueName="[Tabla_master_rend].[MG_suero].[All]" dimensionUniqueName="[Tabla_master_rend]" displayFolder="" count="0" memberValueDatatype="5" unbalanced="0"/>
    <cacheHierarchy uniqueName="[Tabla_master_rend].[MP_suero]" caption="MP_suero" attribute="1" defaultMemberUniqueName="[Tabla_master_rend].[MP_suero].[All]" allUniqueName="[Tabla_master_rend].[MP_suero].[All]" dimensionUniqueName="[Tabla_master_rend]" displayFolder="" count="0" memberValueDatatype="5" unbalanced="0"/>
    <cacheHierarchy uniqueName="[Tabla_master_rend].[L_suero para con]" caption="L_suero para con" attribute="1" defaultMemberUniqueName="[Tabla_master_rend].[L_suero para con].[All]" allUniqueName="[Tabla_master_rend].[L_suero para con].[All]" dimensionUniqueName="[Tabla_master_rend]" displayFolder="" count="0" memberValueDatatype="20" unbalanced="0"/>
    <cacheHierarchy uniqueName="[Tabla_master_rend].[L_suero_con]" caption="L_suero_con" attribute="1" defaultMemberUniqueName="[Tabla_master_rend].[L_suero_con].[All]" allUniqueName="[Tabla_master_rend].[L_suero_con].[All]" dimensionUniqueName="[Tabla_master_rend]" displayFolder="" count="0" memberValueDatatype="20" unbalanced="0"/>
    <cacheHierarchy uniqueName="[Tabla_master_rend].[Rartio_sueroC]" caption="Rartio_sueroC" attribute="1" defaultMemberUniqueName="[Tabla_master_rend].[Rartio_sueroC].[All]" allUniqueName="[Tabla_master_rend].[Rartio_sueroC].[All]" dimensionUniqueName="[Tabla_master_rend]" displayFolder="" count="0" memberValueDatatype="5" unbalanced="0"/>
    <cacheHierarchy uniqueName="[Tabla_master_rend].[L_Suero_Sobrante]" caption="L_Suero_Sobrante" attribute="1" defaultMemberUniqueName="[Tabla_master_rend].[L_Suero_Sobrante].[All]" allUniqueName="[Tabla_master_rend].[L_Suero_Sobrante].[All]" dimensionUniqueName="[Tabla_master_rend]" displayFolder="" count="0" memberValueDatatype="20" unbalanced="0"/>
    <cacheHierarchy uniqueName="[Tabla_master_rend].[MG_sueroc]" caption="MG_sueroc" attribute="1" defaultMemberUniqueName="[Tabla_master_rend].[MG_sueroc].[All]" allUniqueName="[Tabla_master_rend].[MG_sueroc].[All]" dimensionUniqueName="[Tabla_master_rend]" displayFolder="" count="0" memberValueDatatype="20" unbalanced="0"/>
    <cacheHierarchy uniqueName="[Tabla_master_rend].[MP_sueroc]" caption="MP_sueroc" attribute="1" defaultMemberUniqueName="[Tabla_master_rend].[MP_sueroc].[All]" allUniqueName="[Tabla_master_rend].[MP_sueroc].[All]" dimensionUniqueName="[Tabla_master_rend]" displayFolder="" count="0" memberValueDatatype="20" unbalanced="0"/>
    <cacheHierarchy uniqueName="[Tabla_master_rend].[L_LPS_Gen]" caption="L_LPS_Gen" attribute="1" defaultMemberUniqueName="[Tabla_master_rend].[L_LPS_Gen].[All]" allUniqueName="[Tabla_master_rend].[L_LPS_Gen].[All]" dimensionUniqueName="[Tabla_master_rend]" displayFolder="" count="0" memberValueDatatype="20" unbalanced="0"/>
    <cacheHierarchy uniqueName="[Tabla_master_rend].[L_LPS_incor]" caption="L_LPS_incor" attribute="1" defaultMemberUniqueName="[Tabla_master_rend].[L_LPS_incor].[All]" allUniqueName="[Tabla_master_rend].[L_LPS_incor].[All]" dimensionUniqueName="[Tabla_master_rend]" displayFolder="" count="0" memberValueDatatype="20" unbalanced="0"/>
    <cacheHierarchy uniqueName="[Tabla_master_rend].[gr_LPS]" caption="gr_LPS" attribute="1" defaultMemberUniqueName="[Tabla_master_rend].[gr_LPS].[All]" allUniqueName="[Tabla_master_rend].[gr_LPS].[All]" dimensionUniqueName="[Tabla_master_rend]" displayFolder="" count="0" memberValueDatatype="20" unbalanced="0"/>
    <cacheHierarchy uniqueName="[Tabla_master_rend].[MG_LPS]" caption="MG_LPS" attribute="1" defaultMemberUniqueName="[Tabla_master_rend].[MG_LPS].[All]" allUniqueName="[Tabla_master_rend].[MG_LPS].[All]" dimensionUniqueName="[Tabla_master_rend]" displayFolder="" count="0" memberValueDatatype="5" unbalanced="0"/>
    <cacheHierarchy uniqueName="[Tabla_master_rend].[MP_LPS]" caption="MP_LPS" attribute="1" defaultMemberUniqueName="[Tabla_master_rend].[MP_LPS].[All]" allUniqueName="[Tabla_master_rend].[MP_LPS].[All]" dimensionUniqueName="[Tabla_master_rend]" displayFolder="" count="0" memberValueDatatype="5" unbalanced="0"/>
    <cacheHierarchy uniqueName="[Tabla_master_rend].[Kg_Queso_Blan]" caption="Kg_Queso_Blan" attribute="1" defaultMemberUniqueName="[Tabla_master_rend].[Kg_Queso_Blan].[All]" allUniqueName="[Tabla_master_rend].[Kg_Queso_Blan].[All]" dimensionUniqueName="[Tabla_master_rend]" displayFolder="" count="0" memberValueDatatype="5" unbalanced="0"/>
    <cacheHierarchy uniqueName="[Tabla_master_rend].[RDTO_Blanco]" caption="RDTO_Blanco" attribute="1" defaultMemberUniqueName="[Tabla_master_rend].[RDTO_Blanco].[All]" allUniqueName="[Tabla_master_rend].[RDTO_Blanco].[All]" dimensionUniqueName="[Tabla_master_rend]" displayFolder="" count="0" memberValueDatatype="5" unbalanced="0"/>
    <cacheHierarchy uniqueName="[Tabla_master_rend].[RDTO_NETO]" caption="RDTO_NETO" attribute="1" defaultMemberUniqueName="[Tabla_master_rend].[RDTO_NETO].[All]" allUniqueName="[Tabla_master_rend].[RDTO_NETO].[All]" dimensionUniqueName="[Tabla_master_rend]" displayFolder="" count="0" memberValueDatatype="5" unbalanced="0"/>
    <cacheHierarchy uniqueName="[Tabla_master_rend].[REND_TARGET]" caption="REND_TARGET" attribute="1" defaultMemberUniqueName="[Tabla_master_rend].[REND_TARGET].[All]" allUniqueName="[Tabla_master_rend].[REND_TARGET].[All]" dimensionUniqueName="[Tabla_master_rend]" displayFolder="" count="0" memberValueDatatype="5" unbalanced="0"/>
    <cacheHierarchy uniqueName="[Tabla_master_rend].[Kg_Solidos_leche]" caption="Kg_Solidos_leche" attribute="1" defaultMemberUniqueName="[Tabla_master_rend].[Kg_Solidos_leche].[All]" allUniqueName="[Tabla_master_rend].[Kg_Solidos_leche].[All]" dimensionUniqueName="[Tabla_master_rend]" displayFolder="" count="0" memberValueDatatype="5" unbalanced="0"/>
    <cacheHierarchy uniqueName="[Tabla_master_rend].[%MG_QUESO]" caption="%MG_QUESO" attribute="1" defaultMemberUniqueName="[Tabla_master_rend].[%MG_QUESO].[All]" allUniqueName="[Tabla_master_rend].[%MG_QUESO].[All]" dimensionUniqueName="[Tabla_master_rend]" displayFolder="" count="0" memberValueDatatype="5" unbalanced="0"/>
    <cacheHierarchy uniqueName="[Tabla_master_rend].[%PT_QUESO]" caption="%PT_QUESO" attribute="1" defaultMemberUniqueName="[Tabla_master_rend].[%PT_QUESO].[All]" allUniqueName="[Tabla_master_rend].[%PT_QUESO].[All]" dimensionUniqueName="[Tabla_master_rend]" displayFolder="" count="0" memberValueDatatype="5" unbalanced="0"/>
    <cacheHierarchy uniqueName="[Tabla_master_rend].[ES_QUESO]" caption="ES_QUESO" attribute="1" defaultMemberUniqueName="[Tabla_master_rend].[ES_QUESO].[All]" allUniqueName="[Tabla_master_rend].[ES_QUESO].[All]" dimensionUniqueName="[Tabla_master_rend]" displayFolder="" count="0" memberValueDatatype="5" unbalanced="0"/>
    <cacheHierarchy uniqueName="[Tabla_master_rend].[Rendimiento_Solidos_%]" caption="Rendimiento_Solidos_%" attribute="1" defaultMemberUniqueName="[Tabla_master_rend].[Rendimiento_Solidos_%].[All]" allUniqueName="[Tabla_master_rend].[Rendimiento_Solidos_%].[All]" dimensionUniqueName="[Tabla_master_rend]" displayFolder="" count="0" memberValueDatatype="5" unbalanced="0"/>
    <cacheHierarchy uniqueName="[Tabla_master_rend].[Kg_MG_Nata]" caption="Kg_MG_Nata" attribute="1" defaultMemberUniqueName="[Tabla_master_rend].[Kg_MG_Nata].[All]" allUniqueName="[Tabla_master_rend].[Kg_MG_Nata].[All]" dimensionUniqueName="[Tabla_master_rend]" displayFolder="" count="0" memberValueDatatype="5" unbalanced="0"/>
    <cacheHierarchy uniqueName="[Tabla_master_rend].[%RECUP_MG]" caption="%RECUP_MG" attribute="1" defaultMemberUniqueName="[Tabla_master_rend].[%RECUP_MG].[All]" allUniqueName="[Tabla_master_rend].[%RECUP_MG].[All]" dimensionUniqueName="[Tabla_master_rend]" displayFolder="" count="0" memberValueDatatype="5" unbalanced="0"/>
    <cacheHierarchy uniqueName="[Tabla_master_rend].[%RECUP_PT]" caption="%RECUP_PT" attribute="1" defaultMemberUniqueName="[Tabla_master_rend].[%RECUP_PT].[All]" allUniqueName="[Tabla_master_rend].[%RECUP_PT].[All]" dimensionUniqueName="[Tabla_master_rend]" displayFolder="" count="0" memberValueDatatype="5" unbalanced="0"/>
    <cacheHierarchy uniqueName="[Tabla_master_rend].[Valor_Nata_€]" caption="Valor_Nata_€" attribute="1" defaultMemberUniqueName="[Tabla_master_rend].[Valor_Nata_€].[All]" allUniqueName="[Tabla_master_rend].[Valor_Nata_€].[All]" dimensionUniqueName="[Tabla_master_rend]" displayFolder="" count="0" memberValueDatatype="5" unbalanced="0"/>
    <cacheHierarchy uniqueName="[Tabla_master_rend].[Kg_Finos]" caption="Kg_Finos" attribute="1" defaultMemberUniqueName="[Tabla_master_rend].[Kg_Finos].[All]" allUniqueName="[Tabla_master_rend].[Kg_Finos].[All]" dimensionUniqueName="[Tabla_master_rend]" displayFolder="" count="0" memberValueDatatype="5" unbalanced="0"/>
    <cacheHierarchy uniqueName="[Tabla_master_rend].[Kg_Llenadora]" caption="Kg_Llenadora" attribute="1" defaultMemberUniqueName="[Tabla_master_rend].[Kg_Llenadora].[All]" allUniqueName="[Tabla_master_rend].[Kg_Llenadora].[All]" dimensionUniqueName="[Tabla_master_rend]" displayFolder="" count="0" memberValueDatatype="5" unbalanced="0"/>
    <cacheHierarchy uniqueName="[Tabla_master_rend].[Kg_Desmoldeo]" caption="Kg_Desmoldeo" attribute="1" defaultMemberUniqueName="[Tabla_master_rend].[Kg_Desmoldeo].[All]" allUniqueName="[Tabla_master_rend].[Kg_Desmoldeo].[All]" dimensionUniqueName="[Tabla_master_rend]" displayFolder="" count="0" memberValueDatatype="5" unbalanced="0"/>
    <cacheHierarchy uniqueName="[Tabla_master_rend].[Merma_fab]" caption="Merma_fab" attribute="1" defaultMemberUniqueName="[Tabla_master_rend].[Merma_fab].[All]" allUniqueName="[Tabla_master_rend].[Merma_fab].[All]" dimensionUniqueName="[Tabla_master_rend]" displayFolder="" count="0" memberValueDatatype="5" unbalanced="0"/>
    <cacheHierarchy uniqueName="[Tabla_master_rend].[% Merma_fab2]" caption="% Merma_fab2" attribute="1" defaultMemberUniqueName="[Tabla_master_rend].[% Merma_fab2].[All]" allUniqueName="[Tabla_master_rend].[% Merma_fab2].[All]" dimensionUniqueName="[Tabla_master_rend]" displayFolder="" count="0" memberValueDatatype="5" unbalanced="0"/>
    <cacheHierarchy uniqueName="[Tabla_master_rend].[L_Agua]" caption="L_Agua" attribute="1" defaultMemberUniqueName="[Tabla_master_rend].[L_Agua].[All]" allUniqueName="[Tabla_master_rend].[L_Agua].[All]" dimensionUniqueName="[Tabla_master_rend]" displayFolder="" count="0" memberValueDatatype="20" unbalanced="0"/>
    <cacheHierarchy uniqueName="[Tabla_master_rend].[% oreo]" caption="% oreo" attribute="1" defaultMemberUniqueName="[Tabla_master_rend].[% oreo].[All]" allUniqueName="[Tabla_master_rend].[% oreo].[All]" dimensionUniqueName="[Tabla_master_rend]" displayFolder="" count="0" memberValueDatatype="5" unbalanced="0"/>
    <cacheHierarchy uniqueName="[Tabla_master_rend].[B_totales]" caption="B_totales" attribute="1" defaultMemberUniqueName="[Tabla_master_rend].[B_totales].[All]" allUniqueName="[Tabla_master_rend].[B_totales].[All]" dimensionUniqueName="[Tabla_master_rend]" displayFolder="" count="0" memberValueDatatype="5" unbalanced="0"/>
    <cacheHierarchy uniqueName="[Tabla_master_rend].[B_OK_uni]" caption="B_OK_uni" attribute="1" defaultMemberUniqueName="[Tabla_master_rend].[B_OK_uni].[All]" allUniqueName="[Tabla_master_rend].[B_OK_uni].[All]" dimensionUniqueName="[Tabla_master_rend]" displayFolder="" count="0" memberValueDatatype="5" unbalanced="0"/>
    <cacheHierarchy uniqueName="[Tabla_master_rend].[B_OK_kg]" caption="B_OK_kg" attribute="1" defaultMemberUniqueName="[Tabla_master_rend].[B_OK_kg].[All]" allUniqueName="[Tabla_master_rend].[B_OK_kg].[All]" dimensionUniqueName="[Tabla_master_rend]" displayFolder="" count="0" memberValueDatatype="5" unbalanced="0"/>
    <cacheHierarchy uniqueName="[Tabla_master_rend].[B_altas]" caption="B_altas" attribute="1" defaultMemberUniqueName="[Tabla_master_rend].[B_altas].[All]" allUniqueName="[Tabla_master_rend].[B_altas].[All]" dimensionUniqueName="[Tabla_master_rend]" displayFolder="" count="0" memberValueDatatype="5" unbalanced="0"/>
    <cacheHierarchy uniqueName="[Tabla_master_rend].[B_bajas]" caption="B_bajas" attribute="1" defaultMemberUniqueName="[Tabla_master_rend].[B_bajas].[All]" allUniqueName="[Tabla_master_rend].[B_bajas].[All]" dimensionUniqueName="[Tabla_master_rend]" displayFolder="" count="0" memberValueDatatype="5" unbalanced="0"/>
    <cacheHierarchy uniqueName="[Tabla_master_rend].[B_rotas]" caption="B_rotas" attribute="1" defaultMemberUniqueName="[Tabla_master_rend].[B_rotas].[All]" allUniqueName="[Tabla_master_rend].[B_rotas].[All]" dimensionUniqueName="[Tabla_master_rend]" displayFolder="" count="0" memberValueDatatype="5" unbalanced="0"/>
    <cacheHierarchy uniqueName="[Tabla_master_rend].[B_feas]" caption="B_feas" attribute="1" defaultMemberUniqueName="[Tabla_master_rend].[B_feas].[All]" allUniqueName="[Tabla_master_rend].[B_feas].[All]" dimensionUniqueName="[Tabla_master_rend]" displayFolder="" count="0" memberValueDatatype="5" unbalanced="0"/>
    <cacheHierarchy uniqueName="[Tabla_master_rend].[B_lab]" caption="B_lab" attribute="1" defaultMemberUniqueName="[Tabla_master_rend].[B_lab].[All]" allUniqueName="[Tabla_master_rend].[B_lab].[All]" dimensionUniqueName="[Tabla_master_rend]" displayFolder="" count="0" memberValueDatatype="5" unbalanced="0"/>
    <cacheHierarchy uniqueName="[Tabla_master_rend].[Kg_SalidaSecadero]" caption="Kg_SalidaSecadero" attribute="1" defaultMemberUniqueName="[Tabla_master_rend].[Kg_SalidaSecadero].[All]" allUniqueName="[Tabla_master_rend].[Kg_SalidaSecadero].[All]" dimensionUniqueName="[Tabla_master_rend]" displayFolder="" count="0" memberValueDatatype="5" unbalanced="0"/>
    <cacheHierarchy uniqueName="[Tabla_master_rend].[Kg_rebaba]" caption="Kg_rebaba" attribute="1" defaultMemberUniqueName="[Tabla_master_rend].[Kg_rebaba].[All]" allUniqueName="[Tabla_master_rend].[Kg_rebaba].[All]" dimensionUniqueName="[Tabla_master_rend]" displayFolder="" count="0" memberValueDatatype="5" unbalanced="0"/>
    <cacheHierarchy uniqueName="[Tabla_master_rend].[Kg_mer_env_real]" caption="Kg_mer_env_real" attribute="1" defaultMemberUniqueName="[Tabla_master_rend].[Kg_mer_env_real].[All]" allUniqueName="[Tabla_master_rend].[Kg_mer_env_real].[All]" dimensionUniqueName="[Tabla_master_rend]" displayFolder="" count="0" memberValueDatatype="5" unbalanced="0"/>
    <cacheHierarchy uniqueName="[Tabla_master_rend].[kg_mer_lab_real]" caption="kg_mer_lab_real" attribute="1" defaultMemberUniqueName="[Tabla_master_rend].[kg_mer_lab_real].[All]" allUniqueName="[Tabla_master_rend].[kg_mer_lab_real].[All]" dimensionUniqueName="[Tabla_master_rend]" displayFolder="" count="0" memberValueDatatype="5" unbalanced="0"/>
    <cacheHierarchy uniqueName="[Tabla_master_rend].[%Merma_env]" caption="%Merma_env" attribute="1" defaultMemberUniqueName="[Tabla_master_rend].[%Merma_env].[All]" allUniqueName="[Tabla_master_rend].[%Merma_env].[All]" dimensionUniqueName="[Tabla_master_rend]" displayFolder="" count="0" memberValueDatatype="5" unbalanced="0"/>
    <cacheHierarchy uniqueName="[Tabla_master_rend].[%Merma_env_corr]" caption="%Merma_env_corr" attribute="1" defaultMemberUniqueName="[Tabla_master_rend].[%Merma_env_corr].[All]" allUniqueName="[Tabla_master_rend].[%Merma_env_corr].[All]" dimensionUniqueName="[Tabla_master_rend]" displayFolder="" count="0" memberValueDatatype="5" unbalanced="0"/>
    <cacheHierarchy uniqueName="[Tabla_master_rend].[% merma TOT]" caption="% merma TOT" attribute="1" defaultMemberUniqueName="[Tabla_master_rend].[% merma TOT].[All]" allUniqueName="[Tabla_master_rend].[% merma TOT].[All]" dimensionUniqueName="[Tabla_master_rend]" displayFolder="" count="0" memberValueDatatype="5" unbalanced="0"/>
    <cacheHierarchy uniqueName="[Tabla_master_rend].[Merma_TOT]" caption="Merma_TOT" attribute="1" defaultMemberUniqueName="[Tabla_master_rend].[Merma_TOT].[All]" allUniqueName="[Tabla_master_rend].[Merma_TOT].[All]" dimensionUniqueName="[Tabla_master_rend]" displayFolder="" count="0" memberValueDatatype="5" unbalanced="0"/>
    <cacheHierarchy uniqueName="[Tabla_master_rend].[Kg_Env_Total]" caption="Kg_Env_Total" attribute="1" defaultMemberUniqueName="[Tabla_master_rend].[Kg_Env_Total].[All]" allUniqueName="[Tabla_master_rend].[Kg_Env_Total].[All]" dimensionUniqueName="[Tabla_master_rend]" displayFolder="" count="0" memberValueDatatype="5" unbalanced="0"/>
    <cacheHierarchy uniqueName="[Tabla_master_rend].[Coste_Leche_€]" caption="Coste_Leche_€" attribute="1" defaultMemberUniqueName="[Tabla_master_rend].[Coste_Leche_€].[All]" allUniqueName="[Tabla_master_rend].[Coste_Leche_€].[All]" dimensionUniqueName="[Tabla_master_rend]" displayFolder="" count="0" memberValueDatatype="5" unbalanced="0"/>
    <cacheHierarchy uniqueName="[Tabla_master_rend].[€/kg_MPQueso]" caption="€/kg_MPQueso" attribute="1" defaultMemberUniqueName="[Tabla_master_rend].[€/kg_MPQueso].[All]" allUniqueName="[Tabla_master_rend].[€/kg_MPQueso].[All]" dimensionUniqueName="[Tabla_master_rend]" displayFolder="" count="0" memberValueDatatype="5" unbalanced="0"/>
    <cacheHierarchy uniqueName="[Tabla_master_rend].[Merma_inic]" caption="Merma_inic" attribute="1" defaultMemberUniqueName="[Tabla_master_rend].[Merma_inic].[All]" allUniqueName="[Tabla_master_rend].[Merma_inic].[All]" dimensionUniqueName="[Tabla_master_rend]" displayFolder="" count="0" memberValueDatatype="5" unbalanced="0"/>
    <cacheHierarchy uniqueName="[Tabla_master_rend].[Recup_kg]" caption="Recup_kg" attribute="1" defaultMemberUniqueName="[Tabla_master_rend].[Recup_kg].[All]" allUniqueName="[Tabla_master_rend].[Recup_kg].[All]" dimensionUniqueName="[Tabla_master_rend]" displayFolder="" count="0" memberValueDatatype="5" unbalanced="0"/>
    <cacheHierarchy uniqueName="[Tabla_master_rend].[Recup_%]" caption="Recup_%" attribute="1" defaultMemberUniqueName="[Tabla_master_rend].[Recup_%].[All]" allUniqueName="[Tabla_master_rend].[Recup_%].[All]" dimensionUniqueName="[Tabla_master_rend]" displayFolder="" count="0" memberValueDatatype="5" unbalanced="0"/>
    <cacheHierarchy uniqueName="[Tabla_master_rend].[Merma_ppto fab]" caption="Merma_ppto fab" attribute="1" defaultMemberUniqueName="[Tabla_master_rend].[Merma_ppto fab].[All]" allUniqueName="[Tabla_master_rend].[Merma_ppto fab].[All]" dimensionUniqueName="[Tabla_master_rend]" displayFolder="" count="0" memberValueDatatype="5" unbalanced="0"/>
    <cacheHierarchy uniqueName="[Tabla_master_rend].[Merma_ppto oreo]" caption="Merma_ppto oreo" attribute="1" defaultMemberUniqueName="[Tabla_master_rend].[Merma_ppto oreo].[All]" allUniqueName="[Tabla_master_rend].[Merma_ppto oreo].[All]" dimensionUniqueName="[Tabla_master_rend]" displayFolder="" count="0" memberValueDatatype="5" unbalanced="0"/>
    <cacheHierarchy uniqueName="[Tabla_master_rend].[Merma_ppto Env/Enc]" caption="Merma_ppto Env/Enc" attribute="1" defaultMemberUniqueName="[Tabla_master_rend].[Merma_ppto Env/Enc].[All]" allUniqueName="[Tabla_master_rend].[Merma_ppto Env/Enc].[All]" dimensionUniqueName="[Tabla_master_rend]" displayFolder="" count="0" memberValueDatatype="5" unbalanced="0"/>
    <cacheHierarchy uniqueName="[Tabla_master_rend].[Merma_T ppto]" caption="Merma_T ppto" attribute="1" defaultMemberUniqueName="[Tabla_master_rend].[Merma_T ppto].[All]" allUniqueName="[Tabla_master_rend].[Merma_T ppto].[All]" dimensionUniqueName="[Tabla_master_rend]" displayFolder="" count="0" memberValueDatatype="5" unbalanced="0"/>
    <cacheHierarchy uniqueName="[Tabla_master_rend].[Merma_T ppto %]" caption="Merma_T ppto %" attribute="1" defaultMemberUniqueName="[Tabla_master_rend].[Merma_T ppto %].[All]" allUniqueName="[Tabla_master_rend].[Merma_T ppto %].[All]" dimensionUniqueName="[Tabla_master_rend]" displayFolder="" count="0" memberValueDatatype="5" unbalanced="0"/>
    <cacheHierarchy uniqueName="[Tabla_master_rend].[Merma_T real %]" caption="Merma_T real %" attribute="1" defaultMemberUniqueName="[Tabla_master_rend].[Merma_T real %].[All]" allUniqueName="[Tabla_master_rend].[Merma_T real %].[All]" dimensionUniqueName="[Tabla_master_rend]" displayFolder="" count="0" memberValueDatatype="5" unbalanced="0"/>
    <cacheHierarchy uniqueName="[Tabla_master_rend].[DIF R Vs PPTO]" caption="DIF R Vs PPTO" attribute="1" defaultMemberUniqueName="[Tabla_master_rend].[DIF R Vs PPTO].[All]" allUniqueName="[Tabla_master_rend].[DIF R Vs PPTO].[All]" dimensionUniqueName="[Tabla_master_rend]" displayFolder="" count="0" memberValueDatatype="5" unbalanced="0"/>
    <cacheHierarchy uniqueName="[Tabla_master_rend].[IMPACTO]" caption="IMPACTO" attribute="1" defaultMemberUniqueName="[Tabla_master_rend].[IMPACTO].[All]" allUniqueName="[Tabla_master_rend].[IMPACTO].[All]" dimensionUniqueName="[Tabla_master_rend]" displayFolder="" count="0" memberValueDatatype="5" unbalanced="0"/>
    <cacheHierarchy uniqueName="[Tabla_master_rend].[IMPACTO_vs_PPTO]" caption="IMPACTO_vs_PPTO" attribute="1" defaultMemberUniqueName="[Tabla_master_rend].[IMPACTO_vs_PPTO].[All]" allUniqueName="[Tabla_master_rend].[IMPACTO_vs_PPTO].[All]" dimensionUniqueName="[Tabla_master_rend]" displayFolder="" count="0" memberValueDatatype="5" unbalanced="0"/>
    <cacheHierarchy uniqueName="[Tabla_master_rend].[Fecha (mes)]" caption="Fecha (mes)" attribute="1" defaultMemberUniqueName="[Tabla_master_rend].[Fecha (mes)].[All]" allUniqueName="[Tabla_master_rend].[Fecha (mes)].[All]" dimensionUniqueName="[Tabla_master_rend]" displayFolder="" count="0" memberValueDatatype="130" unbalanced="0"/>
    <cacheHierarchy uniqueName="[Tabla_master_rend 1].[Fecha]" caption="Fecha" attribute="1" time="1" defaultMemberUniqueName="[Tabla_master_rend 1].[Fecha].[All]" allUniqueName="[Tabla_master_rend 1].[Fecha].[All]" dimensionUniqueName="[Tabla_master_rend 1]" displayFolder="" count="0" memberValueDatatype="7" unbalanced="0"/>
    <cacheHierarchy uniqueName="[Tabla_master_rend 1].[mes]" caption="mes" attribute="1" defaultMemberUniqueName="[Tabla_master_rend 1].[mes].[All]" allUniqueName="[Tabla_master_rend 1].[mes].[All]" dimensionUniqueName="[Tabla_master_rend 1]" displayFolder="" count="0" memberValueDatatype="20" unbalanced="0"/>
    <cacheHierarchy uniqueName="[Tabla_master_rend 1].[Mes_Nom]" caption="Mes_Nom" attribute="1" defaultMemberUniqueName="[Tabla_master_rend 1].[Mes_Nom].[All]" allUniqueName="[Tabla_master_rend 1].[Mes_Nom].[All]" dimensionUniqueName="[Tabla_master_rend 1]" displayFolder="" count="0" memberValueDatatype="130" unbalanced="0"/>
    <cacheHierarchy uniqueName="[Tabla_master_rend 1].[Día]" caption="Día" attribute="1" defaultMemberUniqueName="[Tabla_master_rend 1].[Día].[All]" allUniqueName="[Tabla_master_rend 1].[Día].[All]" dimensionUniqueName="[Tabla_master_rend 1]" displayFolder="" count="0" memberValueDatatype="130" unbalanced="0"/>
    <cacheHierarchy uniqueName="[Tabla_master_rend 1].[Lote]" caption="Lote" attribute="1" defaultMemberUniqueName="[Tabla_master_rend 1].[Lote].[All]" allUniqueName="[Tabla_master_rend 1].[Lote].[All]" dimensionUniqueName="[Tabla_master_rend 1]" displayFolder="" count="0" memberValueDatatype="130" unbalanced="0"/>
    <cacheHierarchy uniqueName="[Tabla_master_rend 1].[Producto]" caption="Producto" attribute="1" defaultMemberUniqueName="[Tabla_master_rend 1].[Producto].[All]" allUniqueName="[Tabla_master_rend 1].[Producto].[All]" dimensionUniqueName="[Tabla_master_rend 1]" displayFolder="" count="0" memberValueDatatype="130" unbalanced="0"/>
    <cacheHierarchy uniqueName="[Tabla_master_rend 1].[Cubas_prod]" caption="Cubas_prod" attribute="1" defaultMemberUniqueName="[Tabla_master_rend 1].[Cubas_prod].[All]" allUniqueName="[Tabla_master_rend 1].[Cubas_prod].[All]" dimensionUniqueName="[Tabla_master_rend 1]" displayFolder="" count="0" memberValueDatatype="20" unbalanced="0"/>
    <cacheHierarchy uniqueName="[Tabla_master_rend 1].[Litros_Leche_Total]" caption="Litros_Leche_Total" attribute="1" defaultMemberUniqueName="[Tabla_master_rend 1].[Litros_Leche_Total].[All]" allUniqueName="[Tabla_master_rend 1].[Litros_Leche_Total].[All]" dimensionUniqueName="[Tabla_master_rend 1]" displayFolder="" count="0" memberValueDatatype="20" unbalanced="0"/>
    <cacheHierarchy uniqueName="[Tabla_master_rend 1].[L_Leche_ent]" caption="L_Leche_ent" attribute="1" defaultMemberUniqueName="[Tabla_master_rend 1].[L_Leche_ent].[All]" allUniqueName="[Tabla_master_rend 1].[L_Leche_ent].[All]" dimensionUniqueName="[Tabla_master_rend 1]" displayFolder="" count="0" memberValueDatatype="20" unbalanced="0"/>
    <cacheHierarchy uniqueName="[Tabla_master_rend 1].[%MG_Leche]" caption="%MG_Leche" attribute="1" defaultMemberUniqueName="[Tabla_master_rend 1].[%MG_Leche].[All]" allUniqueName="[Tabla_master_rend 1].[%MG_Leche].[All]" dimensionUniqueName="[Tabla_master_rend 1]" displayFolder="" count="0" memberValueDatatype="5" unbalanced="0"/>
    <cacheHierarchy uniqueName="[Tabla_master_rend 1].[%MP_Leche]" caption="%MP_Leche" attribute="1" defaultMemberUniqueName="[Tabla_master_rend 1].[%MP_Leche].[All]" allUniqueName="[Tabla_master_rend 1].[%MP_Leche].[All]" dimensionUniqueName="[Tabla_master_rend 1]" displayFolder="" count="0" memberValueDatatype="5" unbalanced="0"/>
    <cacheHierarchy uniqueName="[Tabla_master_rend 1].[EST_%]" caption="EST_%" attribute="1" defaultMemberUniqueName="[Tabla_master_rend 1].[EST_%].[All]" allUniqueName="[Tabla_master_rend 1].[EST_%].[All]" dimensionUniqueName="[Tabla_master_rend 1]" displayFolder="" count="0" memberValueDatatype="5" unbalanced="0"/>
    <cacheHierarchy uniqueName="[Tabla_master_rend 1].[Desn_en_linea]" caption="Desn_en_linea" attribute="1" defaultMemberUniqueName="[Tabla_master_rend 1].[Desn_en_linea].[All]" allUniqueName="[Tabla_master_rend 1].[Desn_en_linea].[All]" dimensionUniqueName="[Tabla_master_rend 1]" displayFolder="" count="0" memberValueDatatype="130" unbalanced="0"/>
    <cacheHierarchy uniqueName="[Tabla_master_rend 1].[L_desn_ext]" caption="L_desn_ext" attribute="1" defaultMemberUniqueName="[Tabla_master_rend 1].[L_desn_ext].[All]" allUniqueName="[Tabla_master_rend 1].[L_desn_ext].[All]" dimensionUniqueName="[Tabla_master_rend 1]" displayFolder="" count="0" memberValueDatatype="20" unbalanced="0"/>
    <cacheHierarchy uniqueName="[Tabla_master_rend 1].[L_cabra]" caption="L_cabra" attribute="1" defaultMemberUniqueName="[Tabla_master_rend 1].[L_cabra].[All]" allUniqueName="[Tabla_master_rend 1].[L_cabra].[All]" dimensionUniqueName="[Tabla_master_rend 1]" displayFolder="" count="0" memberValueDatatype="20" unbalanced="0"/>
    <cacheHierarchy uniqueName="[Tabla_master_rend 1].[L_oveja]" caption="L_oveja" attribute="1" defaultMemberUniqueName="[Tabla_master_rend 1].[L_oveja].[All]" allUniqueName="[Tabla_master_rend 1].[L_oveja].[All]" dimensionUniqueName="[Tabla_master_rend 1]" displayFolder="" count="0" memberValueDatatype="20" unbalanced="0"/>
    <cacheHierarchy uniqueName="[Tabla_master_rend 1].[Litros_Nata]" caption="Litros_Nata" attribute="1" defaultMemberUniqueName="[Tabla_master_rend 1].[Litros_Nata].[All]" allUniqueName="[Tabla_master_rend 1].[Litros_Nata].[All]" dimensionUniqueName="[Tabla_master_rend 1]" displayFolder="" count="0" memberValueDatatype="20" unbalanced="0"/>
    <cacheHierarchy uniqueName="[Tabla_master_rend 1].[L_nata_suero]" caption="L_nata_suero" attribute="1" defaultMemberUniqueName="[Tabla_master_rend 1].[L_nata_suero].[All]" allUniqueName="[Tabla_master_rend 1].[L_nata_suero].[All]" dimensionUniqueName="[Tabla_master_rend 1]" displayFolder="" count="0" memberValueDatatype="20" unbalanced="0"/>
    <cacheHierarchy uniqueName="[Tabla_master_rend 1].[L_suero Total]" caption="L_suero Total" attribute="1" defaultMemberUniqueName="[Tabla_master_rend 1].[L_suero Total].[All]" allUniqueName="[Tabla_master_rend 1].[L_suero Total].[All]" dimensionUniqueName="[Tabla_master_rend 1]" displayFolder="" count="0" memberValueDatatype="20" unbalanced="0"/>
    <cacheHierarchy uniqueName="[Tabla_master_rend 1].[%Suero_vs_leche]" caption="%Suero_vs_leche" attribute="1" defaultMemberUniqueName="[Tabla_master_rend 1].[%Suero_vs_leche].[All]" allUniqueName="[Tabla_master_rend 1].[%Suero_vs_leche].[All]" dimensionUniqueName="[Tabla_master_rend 1]" displayFolder="" count="0" memberValueDatatype="5" unbalanced="0"/>
    <cacheHierarchy uniqueName="[Tabla_master_rend 1].[MG_suero]" caption="MG_suero" attribute="1" defaultMemberUniqueName="[Tabla_master_rend 1].[MG_suero].[All]" allUniqueName="[Tabla_master_rend 1].[MG_suero].[All]" dimensionUniqueName="[Tabla_master_rend 1]" displayFolder="" count="0" memberValueDatatype="5" unbalanced="0"/>
    <cacheHierarchy uniqueName="[Tabla_master_rend 1].[MP_suero]" caption="MP_suero" attribute="1" defaultMemberUniqueName="[Tabla_master_rend 1].[MP_suero].[All]" allUniqueName="[Tabla_master_rend 1].[MP_suero].[All]" dimensionUniqueName="[Tabla_master_rend 1]" displayFolder="" count="0" memberValueDatatype="5" unbalanced="0"/>
    <cacheHierarchy uniqueName="[Tabla_master_rend 1].[L_suero para con]" caption="L_suero para con" attribute="1" defaultMemberUniqueName="[Tabla_master_rend 1].[L_suero para con].[All]" allUniqueName="[Tabla_master_rend 1].[L_suero para con].[All]" dimensionUniqueName="[Tabla_master_rend 1]" displayFolder="" count="0" memberValueDatatype="20" unbalanced="0"/>
    <cacheHierarchy uniqueName="[Tabla_master_rend 1].[L_suero_con]" caption="L_suero_con" attribute="1" defaultMemberUniqueName="[Tabla_master_rend 1].[L_suero_con].[All]" allUniqueName="[Tabla_master_rend 1].[L_suero_con].[All]" dimensionUniqueName="[Tabla_master_rend 1]" displayFolder="" count="0" memberValueDatatype="20" unbalanced="0"/>
    <cacheHierarchy uniqueName="[Tabla_master_rend 1].[Rartio_sueroC]" caption="Rartio_sueroC" attribute="1" defaultMemberUniqueName="[Tabla_master_rend 1].[Rartio_sueroC].[All]" allUniqueName="[Tabla_master_rend 1].[Rartio_sueroC].[All]" dimensionUniqueName="[Tabla_master_rend 1]" displayFolder="" count="0" memberValueDatatype="5" unbalanced="0"/>
    <cacheHierarchy uniqueName="[Tabla_master_rend 1].[L_Suero_Sobrante]" caption="L_Suero_Sobrante" attribute="1" defaultMemberUniqueName="[Tabla_master_rend 1].[L_Suero_Sobrante].[All]" allUniqueName="[Tabla_master_rend 1].[L_Suero_Sobrante].[All]" dimensionUniqueName="[Tabla_master_rend 1]" displayFolder="" count="0" memberValueDatatype="20" unbalanced="0"/>
    <cacheHierarchy uniqueName="[Tabla_master_rend 1].[MG_sueroc]" caption="MG_sueroc" attribute="1" defaultMemberUniqueName="[Tabla_master_rend 1].[MG_sueroc].[All]" allUniqueName="[Tabla_master_rend 1].[MG_sueroc].[All]" dimensionUniqueName="[Tabla_master_rend 1]" displayFolder="" count="0" memberValueDatatype="130" unbalanced="0"/>
    <cacheHierarchy uniqueName="[Tabla_master_rend 1].[MP_sueroc]" caption="MP_sueroc" attribute="1" defaultMemberUniqueName="[Tabla_master_rend 1].[MP_sueroc].[All]" allUniqueName="[Tabla_master_rend 1].[MP_sueroc].[All]" dimensionUniqueName="[Tabla_master_rend 1]" displayFolder="" count="0" memberValueDatatype="130" unbalanced="0"/>
    <cacheHierarchy uniqueName="[Tabla_master_rend 1].[L_LPS_Gen]" caption="L_LPS_Gen" attribute="1" defaultMemberUniqueName="[Tabla_master_rend 1].[L_LPS_Gen].[All]" allUniqueName="[Tabla_master_rend 1].[L_LPS_Gen].[All]" dimensionUniqueName="[Tabla_master_rend 1]" displayFolder="" count="0" memberValueDatatype="20" unbalanced="0"/>
    <cacheHierarchy uniqueName="[Tabla_master_rend 1].[L_LPS_incor]" caption="L_LPS_incor" attribute="1" defaultMemberUniqueName="[Tabla_master_rend 1].[L_LPS_incor].[All]" allUniqueName="[Tabla_master_rend 1].[L_LPS_incor].[All]" dimensionUniqueName="[Tabla_master_rend 1]" displayFolder="" count="0" memberValueDatatype="20" unbalanced="0"/>
    <cacheHierarchy uniqueName="[Tabla_master_rend 1].[gr_LPS]" caption="gr_LPS" attribute="1" defaultMemberUniqueName="[Tabla_master_rend 1].[gr_LPS].[All]" allUniqueName="[Tabla_master_rend 1].[gr_LPS].[All]" dimensionUniqueName="[Tabla_master_rend 1]" displayFolder="" count="0" memberValueDatatype="20" unbalanced="0"/>
    <cacheHierarchy uniqueName="[Tabla_master_rend 1].[MG_LPS]" caption="MG_LPS" attribute="1" defaultMemberUniqueName="[Tabla_master_rend 1].[MG_LPS].[All]" allUniqueName="[Tabla_master_rend 1].[MG_LPS].[All]" dimensionUniqueName="[Tabla_master_rend 1]" displayFolder="" count="0" memberValueDatatype="5" unbalanced="0"/>
    <cacheHierarchy uniqueName="[Tabla_master_rend 1].[MP_LPS]" caption="MP_LPS" attribute="1" defaultMemberUniqueName="[Tabla_master_rend 1].[MP_LPS].[All]" allUniqueName="[Tabla_master_rend 1].[MP_LPS].[All]" dimensionUniqueName="[Tabla_master_rend 1]" displayFolder="" count="0" memberValueDatatype="5" unbalanced="0"/>
    <cacheHierarchy uniqueName="[Tabla_master_rend 1].[Kg_Queso_Blan]" caption="Kg_Queso_Blan" attribute="1" defaultMemberUniqueName="[Tabla_master_rend 1].[Kg_Queso_Blan].[All]" allUniqueName="[Tabla_master_rend 1].[Kg_Queso_Blan].[All]" dimensionUniqueName="[Tabla_master_rend 1]" displayFolder="" count="0" memberValueDatatype="5" unbalanced="0"/>
    <cacheHierarchy uniqueName="[Tabla_master_rend 1].[RDTO_Blanco]" caption="RDTO_Blanco" attribute="1" defaultMemberUniqueName="[Tabla_master_rend 1].[RDTO_Blanco].[All]" allUniqueName="[Tabla_master_rend 1].[RDTO_Blanco].[All]" dimensionUniqueName="[Tabla_master_rend 1]" displayFolder="" count="0" memberValueDatatype="5" unbalanced="0"/>
    <cacheHierarchy uniqueName="[Tabla_master_rend 1].[RDTO_NETO]" caption="RDTO_NETO" attribute="1" defaultMemberUniqueName="[Tabla_master_rend 1].[RDTO_NETO].[All]" allUniqueName="[Tabla_master_rend 1].[RDTO_NETO].[All]" dimensionUniqueName="[Tabla_master_rend 1]" displayFolder="" count="0" memberValueDatatype="5" unbalanced="0"/>
    <cacheHierarchy uniqueName="[Tabla_master_rend 1].[REND_TARGET]" caption="REND_TARGET" attribute="1" defaultMemberUniqueName="[Tabla_master_rend 1].[REND_TARGET].[All]" allUniqueName="[Tabla_master_rend 1].[REND_TARGET].[All]" dimensionUniqueName="[Tabla_master_rend 1]" displayFolder="" count="0" memberValueDatatype="5" unbalanced="0"/>
    <cacheHierarchy uniqueName="[Tabla_master_rend 1].[Kg_Solidos_leche]" caption="Kg_Solidos_leche" attribute="1" defaultMemberUniqueName="[Tabla_master_rend 1].[Kg_Solidos_leche].[All]" allUniqueName="[Tabla_master_rend 1].[Kg_Solidos_leche].[All]" dimensionUniqueName="[Tabla_master_rend 1]" displayFolder="" count="0" memberValueDatatype="5" unbalanced="0"/>
    <cacheHierarchy uniqueName="[Tabla_master_rend 1].[%MG_QUESO]" caption="%MG_QUESO" attribute="1" defaultMemberUniqueName="[Tabla_master_rend 1].[%MG_QUESO].[All]" allUniqueName="[Tabla_master_rend 1].[%MG_QUESO].[All]" dimensionUniqueName="[Tabla_master_rend 1]" displayFolder="" count="0" memberValueDatatype="5" unbalanced="0"/>
    <cacheHierarchy uniqueName="[Tabla_master_rend 1].[%PT_QUESO]" caption="%PT_QUESO" attribute="1" defaultMemberUniqueName="[Tabla_master_rend 1].[%PT_QUESO].[All]" allUniqueName="[Tabla_master_rend 1].[%PT_QUESO].[All]" dimensionUniqueName="[Tabla_master_rend 1]" displayFolder="" count="0" memberValueDatatype="5" unbalanced="0"/>
    <cacheHierarchy uniqueName="[Tabla_master_rend 1].[ES_QUESO]" caption="ES_QUESO" attribute="1" defaultMemberUniqueName="[Tabla_master_rend 1].[ES_QUESO].[All]" allUniqueName="[Tabla_master_rend 1].[ES_QUESO].[All]" dimensionUniqueName="[Tabla_master_rend 1]" displayFolder="" count="0" memberValueDatatype="5" unbalanced="0"/>
    <cacheHierarchy uniqueName="[Tabla_master_rend 1].[Rendimiento_Solidos_%]" caption="Rendimiento_Solidos_%" attribute="1" defaultMemberUniqueName="[Tabla_master_rend 1].[Rendimiento_Solidos_%].[All]" allUniqueName="[Tabla_master_rend 1].[Rendimiento_Solidos_%].[All]" dimensionUniqueName="[Tabla_master_rend 1]" displayFolder="" count="0" memberValueDatatype="5" unbalanced="0"/>
    <cacheHierarchy uniqueName="[Tabla_master_rend 1].[Kg_MG_Nata]" caption="Kg_MG_Nata" attribute="1" defaultMemberUniqueName="[Tabla_master_rend 1].[Kg_MG_Nata].[All]" allUniqueName="[Tabla_master_rend 1].[Kg_MG_Nata].[All]" dimensionUniqueName="[Tabla_master_rend 1]" displayFolder="" count="0" memberValueDatatype="5" unbalanced="0"/>
    <cacheHierarchy uniqueName="[Tabla_master_rend 1].[%RECUP_MG]" caption="%RECUP_MG" attribute="1" defaultMemberUniqueName="[Tabla_master_rend 1].[%RECUP_MG].[All]" allUniqueName="[Tabla_master_rend 1].[%RECUP_MG].[All]" dimensionUniqueName="[Tabla_master_rend 1]" displayFolder="" count="0" memberValueDatatype="5" unbalanced="0"/>
    <cacheHierarchy uniqueName="[Tabla_master_rend 1].[%RECUP_PT]" caption="%RECUP_PT" attribute="1" defaultMemberUniqueName="[Tabla_master_rend 1].[%RECUP_PT].[All]" allUniqueName="[Tabla_master_rend 1].[%RECUP_PT].[All]" dimensionUniqueName="[Tabla_master_rend 1]" displayFolder="" count="0" memberValueDatatype="5" unbalanced="0"/>
    <cacheHierarchy uniqueName="[Tabla_master_rend 1].[Valor_Nata_€]" caption="Valor_Nata_€" attribute="1" defaultMemberUniqueName="[Tabla_master_rend 1].[Valor_Nata_€].[All]" allUniqueName="[Tabla_master_rend 1].[Valor_Nata_€].[All]" dimensionUniqueName="[Tabla_master_rend 1]" displayFolder="" count="0" memberValueDatatype="5" unbalanced="0"/>
    <cacheHierarchy uniqueName="[Tabla_master_rend 1].[Kg_Finos]" caption="Kg_Finos" attribute="1" defaultMemberUniqueName="[Tabla_master_rend 1].[Kg_Finos].[All]" allUniqueName="[Tabla_master_rend 1].[Kg_Finos].[All]" dimensionUniqueName="[Tabla_master_rend 1]" displayFolder="" count="0" memberValueDatatype="5" unbalanced="0"/>
    <cacheHierarchy uniqueName="[Tabla_master_rend 1].[Kg_Llenadora]" caption="Kg_Llenadora" attribute="1" defaultMemberUniqueName="[Tabla_master_rend 1].[Kg_Llenadora].[All]" allUniqueName="[Tabla_master_rend 1].[Kg_Llenadora].[All]" dimensionUniqueName="[Tabla_master_rend 1]" displayFolder="" count="0" memberValueDatatype="5" unbalanced="0"/>
    <cacheHierarchy uniqueName="[Tabla_master_rend 1].[Kg_Desmoldeo]" caption="Kg_Desmoldeo" attribute="1" defaultMemberUniqueName="[Tabla_master_rend 1].[Kg_Desmoldeo].[All]" allUniqueName="[Tabla_master_rend 1].[Kg_Desmoldeo].[All]" dimensionUniqueName="[Tabla_master_rend 1]" displayFolder="" count="0" memberValueDatatype="5" unbalanced="0"/>
    <cacheHierarchy uniqueName="[Tabla_master_rend 1].[Merma_fab]" caption="Merma_fab" attribute="1" defaultMemberUniqueName="[Tabla_master_rend 1].[Merma_fab].[All]" allUniqueName="[Tabla_master_rend 1].[Merma_fab].[All]" dimensionUniqueName="[Tabla_master_rend 1]" displayFolder="" count="0" memberValueDatatype="5" unbalanced="0"/>
    <cacheHierarchy uniqueName="[Tabla_master_rend 1].[% Merma_fab2]" caption="% Merma_fab2" attribute="1" defaultMemberUniqueName="[Tabla_master_rend 1].[% Merma_fab2].[All]" allUniqueName="[Tabla_master_rend 1].[% Merma_fab2].[All]" dimensionUniqueName="[Tabla_master_rend 1]" displayFolder="" count="0" memberValueDatatype="5" unbalanced="0"/>
    <cacheHierarchy uniqueName="[Tabla_master_rend 1].[L_Agua]" caption="L_Agua" attribute="1" defaultMemberUniqueName="[Tabla_master_rend 1].[L_Agua].[All]" allUniqueName="[Tabla_master_rend 1].[L_Agua].[All]" dimensionUniqueName="[Tabla_master_rend 1]" displayFolder="" count="0" memberValueDatatype="20" unbalanced="0"/>
    <cacheHierarchy uniqueName="[Tabla_master_rend 1].[% oreo]" caption="% oreo" attribute="1" defaultMemberUniqueName="[Tabla_master_rend 1].[% oreo].[All]" allUniqueName="[Tabla_master_rend 1].[% oreo].[All]" dimensionUniqueName="[Tabla_master_rend 1]" displayFolder="" count="0" memberValueDatatype="5" unbalanced="0"/>
    <cacheHierarchy uniqueName="[Tabla_master_rend 1].[B_totales]" caption="B_totales" attribute="1" defaultMemberUniqueName="[Tabla_master_rend 1].[B_totales].[All]" allUniqueName="[Tabla_master_rend 1].[B_totales].[All]" dimensionUniqueName="[Tabla_master_rend 1]" displayFolder="" count="0" memberValueDatatype="20" unbalanced="0"/>
    <cacheHierarchy uniqueName="[Tabla_master_rend 1].[B_OK_uni]" caption="B_OK_uni" attribute="1" defaultMemberUniqueName="[Tabla_master_rend 1].[B_OK_uni].[All]" allUniqueName="[Tabla_master_rend 1].[B_OK_uni].[All]" dimensionUniqueName="[Tabla_master_rend 1]" displayFolder="" count="0" memberValueDatatype="20" unbalanced="0"/>
    <cacheHierarchy uniqueName="[Tabla_master_rend 1].[B_OK_kg]" caption="B_OK_kg" attribute="1" defaultMemberUniqueName="[Tabla_master_rend 1].[B_OK_kg].[All]" allUniqueName="[Tabla_master_rend 1].[B_OK_kg].[All]" dimensionUniqueName="[Tabla_master_rend 1]" displayFolder="" count="0" memberValueDatatype="20" unbalanced="0"/>
    <cacheHierarchy uniqueName="[Tabla_master_rend 1].[B_altas]" caption="B_altas" attribute="1" defaultMemberUniqueName="[Tabla_master_rend 1].[B_altas].[All]" allUniqueName="[Tabla_master_rend 1].[B_altas].[All]" dimensionUniqueName="[Tabla_master_rend 1]" displayFolder="" count="0" memberValueDatatype="20" unbalanced="0"/>
    <cacheHierarchy uniqueName="[Tabla_master_rend 1].[B_bajas]" caption="B_bajas" attribute="1" defaultMemberUniqueName="[Tabla_master_rend 1].[B_bajas].[All]" allUniqueName="[Tabla_master_rend 1].[B_bajas].[All]" dimensionUniqueName="[Tabla_master_rend 1]" displayFolder="" count="0" memberValueDatatype="20" unbalanced="0"/>
    <cacheHierarchy uniqueName="[Tabla_master_rend 1].[B_rotas]" caption="B_rotas" attribute="1" defaultMemberUniqueName="[Tabla_master_rend 1].[B_rotas].[All]" allUniqueName="[Tabla_master_rend 1].[B_rotas].[All]" dimensionUniqueName="[Tabla_master_rend 1]" displayFolder="" count="0" memberValueDatatype="20" unbalanced="0"/>
    <cacheHierarchy uniqueName="[Tabla_master_rend 1].[B_feas]" caption="B_feas" attribute="1" defaultMemberUniqueName="[Tabla_master_rend 1].[B_feas].[All]" allUniqueName="[Tabla_master_rend 1].[B_feas].[All]" dimensionUniqueName="[Tabla_master_rend 1]" displayFolder="" count="0" memberValueDatatype="20" unbalanced="0"/>
    <cacheHierarchy uniqueName="[Tabla_master_rend 1].[B_lab]" caption="B_lab" attribute="1" defaultMemberUniqueName="[Tabla_master_rend 1].[B_lab].[All]" allUniqueName="[Tabla_master_rend 1].[B_lab].[All]" dimensionUniqueName="[Tabla_master_rend 1]" displayFolder="" count="0" memberValueDatatype="20" unbalanced="0"/>
    <cacheHierarchy uniqueName="[Tabla_master_rend 1].[Kg_SalidaSecadero]" caption="Kg_SalidaSecadero" attribute="1" defaultMemberUniqueName="[Tabla_master_rend 1].[Kg_SalidaSecadero].[All]" allUniqueName="[Tabla_master_rend 1].[Kg_SalidaSecadero].[All]" dimensionUniqueName="[Tabla_master_rend 1]" displayFolder="" count="0" memberValueDatatype="20" unbalanced="0"/>
    <cacheHierarchy uniqueName="[Tabla_master_rend 1].[Kg_rebaba]" caption="Kg_rebaba" attribute="1" defaultMemberUniqueName="[Tabla_master_rend 1].[Kg_rebaba].[All]" allUniqueName="[Tabla_master_rend 1].[Kg_rebaba].[All]" dimensionUniqueName="[Tabla_master_rend 1]" displayFolder="" count="0" memberValueDatatype="20" unbalanced="0"/>
    <cacheHierarchy uniqueName="[Tabla_master_rend 1].[Kg_mer_env_real]" caption="Kg_mer_env_real" attribute="1" defaultMemberUniqueName="[Tabla_master_rend 1].[Kg_mer_env_real].[All]" allUniqueName="[Tabla_master_rend 1].[Kg_mer_env_real].[All]" dimensionUniqueName="[Tabla_master_rend 1]" displayFolder="" count="0" memberValueDatatype="5" unbalanced="0"/>
    <cacheHierarchy uniqueName="[Tabla_master_rend 1].[kg_mer_lab_real]" caption="kg_mer_lab_real" attribute="1" defaultMemberUniqueName="[Tabla_master_rend 1].[kg_mer_lab_real].[All]" allUniqueName="[Tabla_master_rend 1].[kg_mer_lab_real].[All]" dimensionUniqueName="[Tabla_master_rend 1]" displayFolder="" count="0" memberValueDatatype="5" unbalanced="0"/>
    <cacheHierarchy uniqueName="[Tabla_master_rend 1].[%Merma_env]" caption="%Merma_env" attribute="1" defaultMemberUniqueName="[Tabla_master_rend 1].[%Merma_env].[All]" allUniqueName="[Tabla_master_rend 1].[%Merma_env].[All]" dimensionUniqueName="[Tabla_master_rend 1]" displayFolder="" count="0" memberValueDatatype="5" unbalanced="0"/>
    <cacheHierarchy uniqueName="[Tabla_master_rend 1].[%Merma_env_corr]" caption="%Merma_env_corr" attribute="1" defaultMemberUniqueName="[Tabla_master_rend 1].[%Merma_env_corr].[All]" allUniqueName="[Tabla_master_rend 1].[%Merma_env_corr].[All]" dimensionUniqueName="[Tabla_master_rend 1]" displayFolder="" count="0" memberValueDatatype="5" unbalanced="0"/>
    <cacheHierarchy uniqueName="[Tabla_master_rend 1].[% merma TOT]" caption="% merma TOT" attribute="1" defaultMemberUniqueName="[Tabla_master_rend 1].[% merma TOT].[All]" allUniqueName="[Tabla_master_rend 1].[% merma TOT].[All]" dimensionUniqueName="[Tabla_master_rend 1]" displayFolder="" count="0" memberValueDatatype="5" unbalanced="0"/>
    <cacheHierarchy uniqueName="[Tabla_master_rend 1].[Merma_TOT]" caption="Merma_TOT" attribute="1" defaultMemberUniqueName="[Tabla_master_rend 1].[Merma_TOT].[All]" allUniqueName="[Tabla_master_rend 1].[Merma_TOT].[All]" dimensionUniqueName="[Tabla_master_rend 1]" displayFolder="" count="0" memberValueDatatype="5" unbalanced="0"/>
    <cacheHierarchy uniqueName="[Tabla_master_rend 1].[Kg_Env_Total]" caption="Kg_Env_Total" attribute="1" defaultMemberUniqueName="[Tabla_master_rend 1].[Kg_Env_Total].[All]" allUniqueName="[Tabla_master_rend 1].[Kg_Env_Total].[All]" dimensionUniqueName="[Tabla_master_rend 1]" displayFolder="" count="0" memberValueDatatype="5" unbalanced="0"/>
    <cacheHierarchy uniqueName="[Tabla_master_rend 1].[Coste_Leche_€]" caption="Coste_Leche_€" attribute="1" defaultMemberUniqueName="[Tabla_master_rend 1].[Coste_Leche_€].[All]" allUniqueName="[Tabla_master_rend 1].[Coste_Leche_€].[All]" dimensionUniqueName="[Tabla_master_rend 1]" displayFolder="" count="0" memberValueDatatype="5" unbalanced="0"/>
    <cacheHierarchy uniqueName="[Tabla_master_rend 1].[€/kg_MPQueso]" caption="€/kg_MPQueso" attribute="1" defaultMemberUniqueName="[Tabla_master_rend 1].[€/kg_MPQueso].[All]" allUniqueName="[Tabla_master_rend 1].[€/kg_MPQueso].[All]" dimensionUniqueName="[Tabla_master_rend 1]" displayFolder="" count="0" memberValueDatatype="5" unbalanced="0"/>
    <cacheHierarchy uniqueName="[Tabla_master_rend 1].[Merma_inic]" caption="Merma_inic" attribute="1" defaultMemberUniqueName="[Tabla_master_rend 1].[Merma_inic].[All]" allUniqueName="[Tabla_master_rend 1].[Merma_inic].[All]" dimensionUniqueName="[Tabla_master_rend 1]" displayFolder="" count="0" memberValueDatatype="5" unbalanced="0"/>
    <cacheHierarchy uniqueName="[Tabla_master_rend 1].[Recup_kg]" caption="Recup_kg" attribute="1" defaultMemberUniqueName="[Tabla_master_rend 1].[Recup_kg].[All]" allUniqueName="[Tabla_master_rend 1].[Recup_kg].[All]" dimensionUniqueName="[Tabla_master_rend 1]" displayFolder="" count="0" memberValueDatatype="5" unbalanced="0"/>
    <cacheHierarchy uniqueName="[Tabla_master_rend 1].[Recup_%]" caption="Recup_%" attribute="1" defaultMemberUniqueName="[Tabla_master_rend 1].[Recup_%].[All]" allUniqueName="[Tabla_master_rend 1].[Recup_%].[All]" dimensionUniqueName="[Tabla_master_rend 1]" displayFolder="" count="0" memberValueDatatype="5" unbalanced="0"/>
    <cacheHierarchy uniqueName="[Tabla_master_rend 1].[Merma_ppto fab]" caption="Merma_ppto fab" attribute="1" defaultMemberUniqueName="[Tabla_master_rend 1].[Merma_ppto fab].[All]" allUniqueName="[Tabla_master_rend 1].[Merma_ppto fab].[All]" dimensionUniqueName="[Tabla_master_rend 1]" displayFolder="" count="0" memberValueDatatype="5" unbalanced="0"/>
    <cacheHierarchy uniqueName="[Tabla_master_rend 1].[Merma_ppto oreo]" caption="Merma_ppto oreo" attribute="1" defaultMemberUniqueName="[Tabla_master_rend 1].[Merma_ppto oreo].[All]" allUniqueName="[Tabla_master_rend 1].[Merma_ppto oreo].[All]" dimensionUniqueName="[Tabla_master_rend 1]" displayFolder="" count="0" memberValueDatatype="5" unbalanced="0"/>
    <cacheHierarchy uniqueName="[Tabla_master_rend 1].[Merma_ppto Env/Enc]" caption="Merma_ppto Env/Enc" attribute="1" defaultMemberUniqueName="[Tabla_master_rend 1].[Merma_ppto Env/Enc].[All]" allUniqueName="[Tabla_master_rend 1].[Merma_ppto Env/Enc].[All]" dimensionUniqueName="[Tabla_master_rend 1]" displayFolder="" count="0" memberValueDatatype="5" unbalanced="0"/>
    <cacheHierarchy uniqueName="[Tabla_master_rend 1].[Merma_T ppto]" caption="Merma_T ppto" attribute="1" defaultMemberUniqueName="[Tabla_master_rend 1].[Merma_T ppto].[All]" allUniqueName="[Tabla_master_rend 1].[Merma_T ppto].[All]" dimensionUniqueName="[Tabla_master_rend 1]" displayFolder="" count="0" memberValueDatatype="5" unbalanced="0"/>
    <cacheHierarchy uniqueName="[Tabla_master_rend 1].[Merma_T ppto %]" caption="Merma_T ppto %" attribute="1" defaultMemberUniqueName="[Tabla_master_rend 1].[Merma_T ppto %].[All]" allUniqueName="[Tabla_master_rend 1].[Merma_T ppto %].[All]" dimensionUniqueName="[Tabla_master_rend 1]" displayFolder="" count="0" memberValueDatatype="5" unbalanced="0"/>
    <cacheHierarchy uniqueName="[Tabla_master_rend 1].[Merma_T real %]" caption="Merma_T real %" attribute="1" defaultMemberUniqueName="[Tabla_master_rend 1].[Merma_T real %].[All]" allUniqueName="[Tabla_master_rend 1].[Merma_T real %].[All]" dimensionUniqueName="[Tabla_master_rend 1]" displayFolder="" count="0" memberValueDatatype="5" unbalanced="0"/>
    <cacheHierarchy uniqueName="[Tabla_master_rend 1].[DIF R Vs PPTO]" caption="DIF R Vs PPTO" attribute="1" defaultMemberUniqueName="[Tabla_master_rend 1].[DIF R Vs PPTO].[All]" allUniqueName="[Tabla_master_rend 1].[DIF R Vs PPTO].[All]" dimensionUniqueName="[Tabla_master_rend 1]" displayFolder="" count="0" memberValueDatatype="5" unbalanced="0"/>
    <cacheHierarchy uniqueName="[Tabla_master_rend 1].[IMPACTO]" caption="IMPACTO" attribute="1" defaultMemberUniqueName="[Tabla_master_rend 1].[IMPACTO].[All]" allUniqueName="[Tabla_master_rend 1].[IMPACTO].[All]" dimensionUniqueName="[Tabla_master_rend 1]" displayFolder="" count="0" memberValueDatatype="5" unbalanced="0"/>
    <cacheHierarchy uniqueName="[Tabla_master_rend 1].[IMPACTO_vs_PPTO]" caption="IMPACTO_vs_PPTO" attribute="1" defaultMemberUniqueName="[Tabla_master_rend 1].[IMPACTO_vs_PPTO].[All]" allUniqueName="[Tabla_master_rend 1].[IMPACTO_vs_PPTO].[All]" dimensionUniqueName="[Tabla_master_rend 1]" displayFolder="" count="0" memberValueDatatype="5" unbalanced="0"/>
    <cacheHierarchy uniqueName="[Tabla_Precio_Venta].[Fecha]" caption="Fecha" attribute="1" defaultMemberUniqueName="[Tabla_Precio_Venta].[Fecha].[All]" allUniqueName="[Tabla_Precio_Venta].[Fecha].[All]" dimensionUniqueName="[Tabla_Precio_Venta]" displayFolder="" count="0" memberValueDatatype="130" unbalanced="0"/>
    <cacheHierarchy uniqueName="[Tabla_Precio_Venta].[Producto]" caption="Producto" attribute="1" defaultMemberUniqueName="[Tabla_Precio_Venta].[Producto].[All]" allUniqueName="[Tabla_Precio_Venta].[Producto].[All]" dimensionUniqueName="[Tabla_Precio_Venta]" displayFolder="" count="0" memberValueDatatype="130" unbalanced="0"/>
    <cacheHierarchy uniqueName="[Tabla_Precio_Venta].[Ventas (kg)]" caption="Ventas (kg)" attribute="1" defaultMemberUniqueName="[Tabla_Precio_Venta].[Ventas (kg)].[All]" allUniqueName="[Tabla_Precio_Venta].[Ventas (kg)].[All]" dimensionUniqueName="[Tabla_Precio_Venta]" displayFolder="" count="0" memberValueDatatype="20" unbalanced="0"/>
    <cacheHierarchy uniqueName="[Tabla_Precio_Venta].[PV_eur_kg]" caption="PV_eur_kg" attribute="1" defaultMemberUniqueName="[Tabla_Precio_Venta].[PV_eur_kg].[All]" allUniqueName="[Tabla_Precio_Venta].[PV_eur_kg].[All]" dimensionUniqueName="[Tabla_Precio_Venta]" displayFolder="" count="0" memberValueDatatype="5" unbalanced="0"/>
    <cacheHierarchy uniqueName="[tbl_DimFecha].[Fecha]" caption="Fecha" attribute="1" time="1" defaultMemberUniqueName="[tbl_DimFecha].[Fecha].[All]" allUniqueName="[tbl_DimFecha].[Fecha].[All]" dimensionUniqueName="[tbl_DimFecha]" displayFolder="" count="0" memberValueDatatype="7" unbalanced="0"/>
    <cacheHierarchy uniqueName="[tbl_DimFecha].[Año]" caption="Año" attribute="1" defaultMemberUniqueName="[tbl_DimFecha].[Año].[All]" allUniqueName="[tbl_DimFecha].[Año].[All]" dimensionUniqueName="[tbl_DimFecha]" displayFolder="" count="2" memberValueDatatype="20" unbalanced="0">
      <fieldsUsage count="2">
        <fieldUsage x="-1"/>
        <fieldUsage x="3"/>
      </fieldsUsage>
    </cacheHierarchy>
    <cacheHierarchy uniqueName="[tbl_DimFecha].[MesN]" caption="MesN" attribute="1" defaultMemberUniqueName="[tbl_DimFecha].[MesN].[All]" allUniqueName="[tbl_DimFecha].[MesN].[All]" dimensionUniqueName="[tbl_DimFecha]" displayFolder="" count="0" memberValueDatatype="20" unbalanced="0"/>
    <cacheHierarchy uniqueName="[tbl_DimFecha].[Mes]" caption="Mes" attribute="1" defaultMemberUniqueName="[tbl_DimFecha].[Mes].[All]" allUniqueName="[tbl_DimFecha].[Mes].[All]" dimensionUniqueName="[tbl_DimFecha]" displayFolder="" count="0" memberValueDatatype="130" unbalanced="0"/>
    <cacheHierarchy uniqueName="[tbl_DimFecha].[AñoMes]" caption="AñoMes" attribute="1" defaultMemberUniqueName="[tbl_DimFecha].[AñoMes].[All]" allUniqueName="[tbl_DimFecha].[AñoMes].[All]" dimensionUniqueName="[tbl_DimFecha]" displayFolder="" count="0" memberValueDatatype="130" unbalanced="0"/>
    <cacheHierarchy uniqueName="[tbl_DimFecha].[SemanaISO]" caption="SemanaISO" attribute="1" defaultMemberUniqueName="[tbl_DimFecha].[SemanaISO].[All]" allUniqueName="[tbl_DimFecha].[SemanaISO].[All]" dimensionUniqueName="[tbl_DimFecha]" displayFolder="" count="0" memberValueDatatype="20" unbalanced="0"/>
    <cacheHierarchy uniqueName="[tbl_DimFecha].[AñoSemana]" caption="AñoSemana" attribute="1" defaultMemberUniqueName="[tbl_DimFecha].[AñoSemana].[All]" allUniqueName="[tbl_DimFecha].[AñoSemana].[All]" dimensionUniqueName="[tbl_DimFecha]" displayFolder="" count="0" memberValueDatatype="130" unbalanced="0"/>
    <cacheHierarchy uniqueName="[tbl_DimFecha].[DiaSemanaN]" caption="DiaSemanaN" attribute="1" defaultMemberUniqueName="[tbl_DimFecha].[DiaSemanaN].[All]" allUniqueName="[tbl_DimFecha].[DiaSemanaN].[All]" dimensionUniqueName="[tbl_DimFecha]" displayFolder="" count="0" memberValueDatatype="20" unbalanced="0"/>
    <cacheHierarchy uniqueName="[tbl_DimFecha].[DiaSemana]" caption="DiaSemana" attribute="1" defaultMemberUniqueName="[tbl_DimFecha].[DiaSemana].[All]" allUniqueName="[tbl_DimFecha].[DiaSemana].[All]" dimensionUniqueName="[tbl_DimFecha]" displayFolder="" count="0" memberValueDatatype="130" unbalanced="0"/>
    <cacheHierarchy uniqueName="[tbl_DimFecha].[Mes_Orden]" caption="Mes_Orden" attribute="1" defaultMemberUniqueName="[tbl_DimFecha].[Mes_Orden].[All]" allUniqueName="[tbl_DimFecha].[Mes_Orden].[All]" dimensionUniqueName="[tbl_DimFecha]" displayFolder="" count="0" memberValueDatatype="130" unbalanced="0"/>
    <cacheHierarchy uniqueName="[tbl_DimProducto].[Producto]" caption="Producto" attribute="1" defaultMemberUniqueName="[tbl_DimProducto].[Producto].[All]" allUniqueName="[tbl_DimProducto].[Producto].[All]" dimensionUniqueName="[tbl_DimProducto]" displayFolder="" count="0" memberValueDatatype="130" unbalanced="0"/>
    <cacheHierarchy uniqueName="[tbl_DimProducto].[Producto_id]" caption="Producto_id" attribute="1" defaultMemberUniqueName="[tbl_DimProducto].[Producto_id].[All]" allUniqueName="[tbl_DimProducto].[Producto_id].[All]" dimensionUniqueName="[tbl_DimProducto]" displayFolder="" count="0" memberValueDatatype="130" unbalanced="0"/>
    <cacheHierarchy uniqueName="[tbl_DimProducto].[Categoría]" caption="Categoría" attribute="1" defaultMemberUniqueName="[tbl_DimProducto].[Categoría].[All]" allUniqueName="[tbl_DimProducto].[Categoría].[All]" dimensionUniqueName="[tbl_DimProducto]" displayFolder="" count="0" memberValueDatatype="130" unbalanced="0"/>
    <cacheHierarchy uniqueName="[tbl_DimProducto].[PesoBarra_kg]" caption="PesoBarra_kg" attribute="1" defaultMemberUniqueName="[tbl_DimProducto].[PesoBarra_kg].[All]" allUniqueName="[tbl_DimProducto].[PesoBarra_kg].[All]" dimensionUniqueName="[tbl_DimProducto]" displayFolder="" count="0" memberValueDatatype="5" unbalanced="0"/>
    <cacheHierarchy uniqueName="[tbl_PrecioLeche].[Año]" caption="Año" attribute="1" defaultMemberUniqueName="[tbl_PrecioLeche].[Año].[All]" allUniqueName="[tbl_PrecioLeche].[Año].[All]" dimensionUniqueName="[tbl_PrecioLeche]" displayFolder="" count="0" memberValueDatatype="20" unbalanced="0"/>
    <cacheHierarchy uniqueName="[tbl_PrecioLeche].[AñoMes]" caption="AñoMes" attribute="1" defaultMemberUniqueName="[tbl_PrecioLeche].[AñoMes].[All]" allUniqueName="[tbl_PrecioLeche].[AñoMes].[All]" dimensionUniqueName="[tbl_PrecioLeche]" displayFolder="" count="0" memberValueDatatype="130" unbalanced="0"/>
    <cacheHierarchy uniqueName="[tbl_PrecioLeche].[Mes]" caption="Mes" attribute="1" defaultMemberUniqueName="[tbl_PrecioLeche].[Mes].[All]" allUniqueName="[tbl_PrecioLeche].[Mes].[All]" dimensionUniqueName="[tbl_PrecioLeche]" displayFolder="" count="0" memberValueDatatype="130" unbalanced="0"/>
    <cacheHierarchy uniqueName="[tbl_PrecioLeche].[Tipo_Leche]" caption="Tipo_Leche" attribute="1" defaultMemberUniqueName="[tbl_PrecioLeche].[Tipo_Leche].[All]" allUniqueName="[tbl_PrecioLeche].[Tipo_Leche].[All]" dimensionUniqueName="[tbl_PrecioLeche]" displayFolder="" count="0" memberValueDatatype="130" unbalanced="0"/>
    <cacheHierarchy uniqueName="[tbl_PrecioLeche].[Precio_base]" caption="Precio_base" attribute="1" defaultMemberUniqueName="[tbl_PrecioLeche].[Precio_base].[All]" allUniqueName="[tbl_PrecioLeche].[Precio_base].[All]" dimensionUniqueName="[tbl_PrecioLeche]" displayFolder="" count="0" memberValueDatatype="20" unbalanced="0"/>
    <cacheHierarchy uniqueName="[tbl_PrecioLeche].[Calidades]" caption="Calidades" attribute="1" defaultMemberUniqueName="[tbl_PrecioLeche].[Calidades].[All]" allUniqueName="[tbl_PrecioLeche].[Calidades].[All]" dimensionUniqueName="[tbl_PrecioLeche]" displayFolder="" count="0" memberValueDatatype="20" unbalanced="0"/>
    <cacheHierarchy uniqueName="[tbl_PrecioLeche].[Transporte]" caption="Transporte" attribute="1" defaultMemberUniqueName="[tbl_PrecioLeche].[Transporte].[All]" allUniqueName="[tbl_PrecioLeche].[Transporte].[All]" dimensionUniqueName="[tbl_PrecioLeche]" displayFolder="" count="0" memberValueDatatype="20" unbalanced="0"/>
    <cacheHierarchy uniqueName="[tbl_PrecioLeche].[PMV_eur_L]" caption="PMV_eur_L" attribute="1" defaultMemberUniqueName="[tbl_PrecioLeche].[PMV_eur_L].[All]" allUniqueName="[tbl_PrecioLeche].[PMV_eur_L].[All]" dimensionUniqueName="[tbl_PrecioLeche]" displayFolder="" count="0" memberValueDatatype="5" unbalanced="0"/>
    <cacheHierarchy uniqueName="[Tabla_master_rend].[Fecha (índice de meses)]" caption="Fecha (índice de meses)" attribute="1" defaultMemberUniqueName="[Tabla_master_rend].[Fecha (índice de meses)].[All]" allUniqueName="[Tabla_master_rend].[Fecha (índice de meses)].[All]" dimensionUniqueName="[Tabla_master_rend]" displayFolder="" count="0" memberValueDatatype="20" unbalanced="0" hidden="1"/>
    <cacheHierarchy uniqueName="[Measures].[Litros_Leche]" caption="Litros_Leche" measure="1" displayFolder="" measureGroup="Tabla_master_rend" count="0"/>
    <cacheHierarchy uniqueName="[Measures].[kg_Blancos]" caption="kg_Blancos" measure="1" displayFolder="" measureGroup="Tabla_master_rend" count="0"/>
    <cacheHierarchy uniqueName="[Measures].[Kg_secadero]" caption="Kg_secadero" measure="1" displayFolder="" measureGroup="Tabla_master_rend" count="0"/>
    <cacheHierarchy uniqueName="[Measures].[Merma_TOT_kg]" caption="Merma_TOT_kg" measure="1" displayFolder="" measureGroup="Tabla_master_rend" count="0"/>
    <cacheHierarchy uniqueName="[Measures].[Merma_env_kg]" caption="Merma_env_kg" measure="1" displayFolder="" measureGroup="Tabla_master_rend" count="0"/>
    <cacheHierarchy uniqueName="[Measures].[Impacto_EUR]" caption="Impacto_EUR" measure="1" displayFolder="" measureGroup="Tabla_master_rend" count="0"/>
    <cacheHierarchy uniqueName="[Measures].[RDTO_Blanco_kg]" caption="RDTO_Blanco_kg" measure="1" displayFolder="" measureGroup="Tabla_master_rend" count="0"/>
    <cacheHierarchy uniqueName="[Measures].[Merma_env_pct]" caption="Merma_env_pct" measure="1" displayFolder="" measureGroup="Tabla_master_rend" count="0"/>
    <cacheHierarchy uniqueName="[Measures].[B_totales_u]" caption="B_totales_u" measure="1" displayFolder="" measureGroup="Tabla_master_rend" count="0"/>
    <cacheHierarchy uniqueName="[Measures].[Feas_pct]" caption="Feas_pct" measure="1" displayFolder="" measureGroup="Tabla_master_rend" count="0"/>
    <cacheHierarchy uniqueName="[Measures].[Bajas_pct]" caption="Bajas_pct" measure="1" displayFolder="" measureGroup="Tabla_master_rend" count="0"/>
    <cacheHierarchy uniqueName="[Measures].[Rotas_pct]" caption="Rotas_pct" measure="1" displayFolder="" measureGroup="Tabla_master_rend" count="0"/>
    <cacheHierarchy uniqueName="[Measures].[Recup_kg_sum]" caption="Recup_kg_sum" measure="1" displayFolder="" measureGroup="Tabla_master_rend" count="0"/>
    <cacheHierarchy uniqueName="[Measures].[Merma_inic_kg]" caption="Merma_inic_kg" measure="1" displayFolder="" measureGroup="Tabla_master_rend" count="0"/>
    <cacheHierarchy uniqueName="[Measures].[Recup_pct]" caption="Recup_pct" measure="1" displayFolder="" measureGroup="Tabla_master_rend" count="0"/>
    <cacheHierarchy uniqueName="[Measures].[Merma_env_corregida_kg]" caption="Merma_env_corregida_kg" measure="1" displayFolder="" measureGroup="Tabla_master_rend" count="0"/>
    <cacheHierarchy uniqueName="[Measures].[Merma_env_corregida_pct]" caption="Merma_env_corregida_pct" measure="1" displayFolder="" measureGroup="Tabla_master_rend" count="0"/>
    <cacheHierarchy uniqueName="[Measures].[Merma_TOT_pct]" caption="Merma_TOT_pct" measure="1" displayFolder="" measureGroup="Tabla_master_rend" count="0"/>
    <cacheHierarchy uniqueName="[Measures].[Labo_pct]" caption="Labo_pct" measure="1" displayFolder="" measureGroup="Tabla_master_rend" count="0"/>
    <cacheHierarchy uniqueName="[Measures].[Recup_MG_pct_pond]" caption="Recup_MG_pct_pond" measure="1" displayFolder="" measureGroup="Tabla_master_rend" count="0"/>
    <cacheHierarchy uniqueName="[Measures].[Recup_PT_pct_pond]" caption="Recup_PT_pct_pond" measure="1" displayFolder="" measureGroup="Tabla_master_rend" count="0"/>
    <cacheHierarchy uniqueName="[Measures].[Suero_vs_Leche]" caption="Suero_vs_Leche" measure="1" displayFolder="" measureGroup="Tabla_master_rend" count="0"/>
    <cacheHierarchy uniqueName="[Measures].[MG_suero_pct_pond]" caption="MG_suero_pct_pond" measure="1" displayFolder="" measureGroup="Tabla_master_rend" count="0"/>
    <cacheHierarchy uniqueName="[Measures].[PT_suero_pct_pond]" caption="PT_suero_pct_pond" measure="1" displayFolder="" measureGroup="Tabla_master_rend" count="0"/>
    <cacheHierarchy uniqueName="[Measures].[Nata_leche_L]" caption="Nata_leche_L" measure="1" displayFolder="" measureGroup="Tabla_master_rend" count="0"/>
    <cacheHierarchy uniqueName="[Measures].[Nata_suero_L]" caption="Nata_suero_L" measure="1" displayFolder="" measureGroup="Tabla_master_rend" count="0"/>
    <cacheHierarchy uniqueName="[Measures].[Nata_suero_pct]" caption="Nata_suero_pct" measure="1" displayFolder="" measureGroup="Tabla_master_rend" count="0"/>
    <cacheHierarchy uniqueName="[Measures].[Valor_Nata_EUR]" caption="Valor_Nata_EUR" measure="1" displayFolder="" measureGroup="Tabla_master_rend" count="0"/>
    <cacheHierarchy uniqueName="[Measures].[Nata_Total_L]" caption="Nata_Total_L" measure="1" displayFolder="" measureGroup="Tabla_master_rend" count="0"/>
    <cacheHierarchy uniqueName="[Measures].[Solidos_leche_kg]" caption="Solidos_leche_kg" measure="1" displayFolder="" measureGroup="Tabla_master_rend" count="0"/>
    <cacheHierarchy uniqueName="[Measures].[Solidos_en_queso_kg]" caption="Solidos_en_queso_kg" measure="1" displayFolder="" measureGroup="Tabla_master_rend" count="0"/>
    <cacheHierarchy uniqueName="[Measures].[Recup_solidos_a_queso_pct]" caption="Recup_solidos_a_queso_pct" measure="1" displayFolder="" measureGroup="Tabla_master_rend" count="0"/>
    <cacheHierarchy uniqueName="[Measures].[Suero_kg_aprox]" caption="Suero_kg_aprox" measure="1" displayFolder="" measureGroup="Tabla_master_rend" count="0"/>
    <cacheHierarchy uniqueName="[Measures].[Solidos_principales_suero_kg]" caption="Solidos_principales_suero_kg" measure="1" displayFolder="" measureGroup="Tabla_master_rend" count="0"/>
    <cacheHierarchy uniqueName="[Measures].[Solidos_principales_suero_pct_sobre_leche]" caption="Solidos_principales_suero_pct_sobre_leche" measure="1" displayFolder="" measureGroup="Tabla_master_rend" count="0"/>
    <cacheHierarchy uniqueName="[Measures].[Solidos_gap_kg]" caption="Solidos_gap_kg" measure="1" displayFolder="" measureGroup="Tabla_master_rend" count="0"/>
    <cacheHierarchy uniqueName="[Measures].[MG_a_nata_leche_kg]" caption="MG_a_nata_leche_kg" measure="1" displayFolder="" measureGroup="Tabla_master_rend" count="0"/>
    <cacheHierarchy uniqueName="[Measures].[MG_a_nata_leche_pct_sobre_solidos]" caption="MG_a_nata_leche_pct_sobre_solidos" measure="1" displayFolder="" measureGroup="Tabla_master_rend" count="0"/>
    <cacheHierarchy uniqueName="[Measures].[Solidos_leche_FP_kg]" caption="Solidos_leche_FP_kg" measure="1" displayFolder="" measureGroup="Tabla_master_rend" count="0"/>
    <cacheHierarchy uniqueName="[Measures].[Solidos_queso_FP_kg]" caption="Solidos_queso_FP_kg" measure="1" displayFolder="" measureGroup="Tabla_master_rend" count="0"/>
    <cacheHierarchy uniqueName="[Measures].[Solidos_suero_FP_kg]" caption="Solidos_suero_FP_kg" measure="1" displayFolder="" measureGroup="Tabla_master_rend" count="0"/>
    <cacheHierarchy uniqueName="[Measures].[Solidos_GAP_des_pct]" caption="Solidos_GAP_des_pct" measure="1" displayFolder="" measureGroup="Tabla_master_rend" count="0"/>
    <cacheHierarchy uniqueName="[Measures].[RDTO_neto_pond]" caption="RDTO_neto_pond" measure="1" displayFolder="" measureGroup="Tabla_master_rend" count="0" oneField="1">
      <fieldsUsage count="1">
        <fieldUsage x="1"/>
      </fieldsUsage>
    </cacheHierarchy>
    <cacheHierarchy uniqueName="[Measures].[Recup_FP_queso_pct]" caption="Recup_FP_queso_pct" measure="1" displayFolder="" measureGroup="Tabla_master_rend" count="0"/>
    <cacheHierarchy uniqueName="[Measures].[IMPACTO_VS__PPTO]" caption="IMPACTO_VS__PPTO" measure="1" displayFolder="" measureGroup="Tabla_master_rend" count="0"/>
    <cacheHierarchy uniqueName="[Measures].[€/kg_MP_Queso]" caption="€/kg_MP_Queso" measure="1" displayFolder="" measureGroup="Tabla_master_rend" count="0"/>
    <cacheHierarchy uniqueName="[Measures].[Merma_TOT_%_blanco_a_vendible]" caption="Merma_TOT_%_blanco_a_vendible" measure="1" displayFolder="" measureGroup="Tabla_master_rend" count="0"/>
    <cacheHierarchy uniqueName="[Measures].[Merma_TOT_kg_blanco_a_vendible :]" caption="Merma_TOT_kg_blanco_a_vendible :" measure="1" displayFolder="" measureGroup="Tabla_master_rend" count="0"/>
    <cacheHierarchy uniqueName="[Measures].[Gap_solidos_pct]" caption="Gap_solidos_pct" measure="1" displayFolder="" measureGroup="Tabla_master_rend" count="0"/>
    <cacheHierarchy uniqueName="[Measures].[Kg_saladero_tons]" caption="Kg_saladero_tons" measure="1" displayFolder="" measureGroup="Tabla_master_rend" count="0"/>
    <cacheHierarchy uniqueName="[Measures].[Suero_L]" caption="Suero_L" measure="1" displayFolder="" measureGroup="Tabla_master_rend" count="0"/>
    <cacheHierarchy uniqueName="[Measures].[%_Merma_Finos]" caption="%_Merma_Finos" measure="1" displayFolder="" measureGroup="Tabla_master_rend" count="0"/>
    <cacheHierarchy uniqueName="[Measures].[%_Merma_Llenadora]" caption="%_Merma_Llenadora" measure="1" displayFolder="" measureGroup="Tabla_master_rend" count="0"/>
    <cacheHierarchy uniqueName="[Measures].[%_Merma_Desm]" caption="%_Merma_Desm" measure="1" displayFolder="" measureGroup="Tabla_master_rend" count="0"/>
    <cacheHierarchy uniqueName="[Measures].[%_Merma_oreo]" caption="%_Merma_oreo" measure="1" displayFolder="" measureGroup="Tabla_master_rend" count="0"/>
    <cacheHierarchy uniqueName="[Measures].[__XL_Count tbl_DimProducto]" caption="__XL_Count tbl_DimProducto" measure="1" displayFolder="" measureGroup="tbl_DimProducto" count="0" hidden="1"/>
    <cacheHierarchy uniqueName="[Measures].[__XL_Count tbl_FactRendFecha]" caption="__XL_Count tbl_FactRendFecha" measure="1" displayFolder="" measureGroup="tbl_DimFecha" count="0" hidden="1"/>
    <cacheHierarchy uniqueName="[Measures].[__XL_Count Tabla_master_rend]" caption="__XL_Count Tabla_master_rend" measure="1" displayFolder="" measureGroup="Tabla_master_rend" count="0" hidden="1"/>
    <cacheHierarchy uniqueName="[Measures].[__XL_Count REND_TARGET]" caption="__XL_Count REND_TARGET" measure="1" displayFolder="" measureGroup="REND_TARGET" count="0" hidden="1"/>
    <cacheHierarchy uniqueName="[Measures].[__XL_Count Tabla_master_rend 1]" caption="__XL_Count Tabla_master_rend 1" measure="1" displayFolder="" measureGroup="Tabla_master_rend 1" count="0" hidden="1"/>
    <cacheHierarchy uniqueName="[Measures].[__XL_Count Tabla_Precio_Venta]" caption="__XL_Count Tabla_Precio_Venta" measure="1" displayFolder="" measureGroup="Tabla_Precio_Venta" count="0" hidden="1"/>
    <cacheHierarchy uniqueName="[Measures].[__XL_Count tbl_PrecioLeche]" caption="__XL_Count tbl_PrecioLeche" measure="1" displayFolder="" measureGroup="tbl_PrecioLeche" count="0" hidden="1"/>
    <cacheHierarchy uniqueName="[Measures].[__XL_Count Tabla_Contabilidad]" caption="__XL_Count Tabla_Contabilidad" measure="1" displayFolder="" measureGroup="Tabla_Contabilidad" count="0" hidden="1"/>
    <cacheHierarchy uniqueName="[Measures].[__No measures defined]" caption="__No measures defined" measure="1" displayFolder="" count="0" hidden="1"/>
    <cacheHierarchy uniqueName="[Measures].[Sum of Rend_Ntarget]" caption="Sum of Rend_Ntarget" measure="1" displayFolder="" measureGroup="REND_TARG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imum of Rend_Ntarget]" caption="Maximum of Rend_Ntarget" measure="1" displayFolder="" measureGroup="REND_TARG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REND_TARGET]" caption="Suma de REND_TARGET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Promedio de REND_TARGET]" caption="Promedio de REND_TARGET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RDTO_NETO]" caption="Suma de RDTO_NETO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Kg_Finos]" caption="Suma de Kg_Finos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Kg_Llenadora]" caption="Suma de Kg_Llenadora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Kg_Desmoldeo]" caption="Suma de Kg_Desmoldeo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de Merma_fab]" caption="Suma de Merma_fab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Recuento de L_Agua]" caption="Recuento de L_Agua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de %Merma_env_corr]" caption="Suma de %Merma_env_corr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Promedio de %Merma_env_corr]" caption="Promedio de %Merma_env_corr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a de Gastos Estructura (€∕mes)]" caption="Suma de Gastos Estructura (€∕mes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Gastos Estructura (€∕mes)]" caption="Promedio de Gastos Estructura (€∕mes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BITDA  (M€)]" caption="Suma de EBITDA  (M€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BITDA  (M€)]" caption="Promedio de EBITDA  (M€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9">
    <dimension measure="1" name="Measures" uniqueName="[Measures]" caption="Measures"/>
    <dimension name="REND_TARGET" uniqueName="[REND_TARGET]" caption="REND_TARGET"/>
    <dimension name="Tabla_Contabilidad" uniqueName="[Tabla_Contabilidad]" caption="Tabla_Contabilidad"/>
    <dimension name="Tabla_master_rend" uniqueName="[Tabla_master_rend]" caption="Tabla_master_rend"/>
    <dimension name="Tabla_master_rend 1" uniqueName="[Tabla_master_rend 1]" caption="Tabla_master_rend 1"/>
    <dimension name="Tabla_Precio_Venta" uniqueName="[Tabla_Precio_Venta]" caption="Tabla_Precio_Venta"/>
    <dimension name="tbl_DimFecha" uniqueName="[tbl_DimFecha]" caption="tbl_DimFecha"/>
    <dimension name="tbl_DimProducto" uniqueName="[tbl_DimProducto]" caption="tbl_DimProducto"/>
    <dimension name="tbl_PrecioLeche" uniqueName="[tbl_PrecioLeche]" caption="tbl_PrecioLeche"/>
  </dimensions>
  <measureGroups count="8">
    <measureGroup name="REND_TARGET" caption="REND_TARGET"/>
    <measureGroup name="Tabla_Contabilidad" caption="Tabla_Contabilidad"/>
    <measureGroup name="Tabla_master_rend" caption="Tabla_master_rend"/>
    <measureGroup name="Tabla_master_rend 1" caption="Tabla_master_rend 1"/>
    <measureGroup name="Tabla_Precio_Venta" caption="Tabla_Precio_Venta"/>
    <measureGroup name="tbl_DimFecha" caption="tbl_DimFecha"/>
    <measureGroup name="tbl_DimProducto" caption="tbl_DimProducto"/>
    <measureGroup name="tbl_PrecioLeche" caption="tbl_PrecioLeche"/>
  </measureGroups>
  <maps count="13">
    <map measureGroup="0" dimension="1"/>
    <map measureGroup="0" dimension="7"/>
    <map measureGroup="1" dimension="2"/>
    <map measureGroup="2" dimension="3"/>
    <map measureGroup="2" dimension="6"/>
    <map measureGroup="2" dimension="7"/>
    <map measureGroup="3" dimension="4"/>
    <map measureGroup="4" dimension="5"/>
    <map measureGroup="4" dimension="6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os Colasante" refreshedDate="46134.996718402777" backgroundQuery="1" createdVersion="8" refreshedVersion="8" minRefreshableVersion="3" recordCount="0" supportSubquery="1" supportAdvancedDrill="1" xr:uid="{C91E2A58-D157-484B-A168-D6A9B28D3ED4}">
  <cacheSource type="external" connectionId="4"/>
  <cacheFields count="7">
    <cacheField name="[tbl_DimFecha].[AñoMes].[AñoMes]" caption="AñoMes" numFmtId="0" hierarchy="189" level="1">
      <sharedItems count="3">
        <s v="2026-01"/>
        <s v="2026-02"/>
        <s v="2026-03"/>
      </sharedItems>
    </cacheField>
    <cacheField name="[Measures].[Litros_Leche]" caption="Litros_Leche" numFmtId="0" hierarchy="208" level="32767"/>
    <cacheField name="[Measures].[Nata_leche_L]" caption="Nata_leche_L" numFmtId="0" hierarchy="232" level="32767"/>
    <cacheField name="[Measures].[Nata_suero_L]" caption="Nata_suero_L" numFmtId="0" hierarchy="233" level="32767"/>
    <cacheField name="[Measures].[Valor_Nata_EUR]" caption="Valor_Nata_EUR" numFmtId="0" hierarchy="235" level="32767"/>
    <cacheField name="[Measures].[Nata_Total_L]" caption="Nata_Total_L" numFmtId="0" hierarchy="236" level="32767"/>
    <cacheField name="[tbl_DimFecha].[Año].[Año]" caption="Año" numFmtId="0" hierarchy="186" level="1">
      <sharedItems containsSemiMixedTypes="0" containsNonDate="0" containsString="0"/>
    </cacheField>
  </cacheFields>
  <cacheHierarchies count="288">
    <cacheHierarchy uniqueName="[REND_TARGET].[Producto]" caption="Producto" attribute="1" defaultMemberUniqueName="[REND_TARGET].[Producto].[All]" allUniqueName="[REND_TARGET].[Producto].[All]" dimensionUniqueName="[REND_TARGET]" displayFolder="" count="0" memberValueDatatype="130" unbalanced="0"/>
    <cacheHierarchy uniqueName="[REND_TARGET].[Rendimiento Blanco]" caption="Rendimiento Blanco" attribute="1" defaultMemberUniqueName="[REND_TARGET].[Rendimiento Blanco].[All]" allUniqueName="[REND_TARGET].[Rendimiento Blanco].[All]" dimensionUniqueName="[REND_TARGET]" displayFolder="" count="0" memberValueDatatype="5" unbalanced="0"/>
    <cacheHierarchy uniqueName="[REND_TARGET].[Merma Fabr]" caption="Merma Fabr" attribute="1" defaultMemberUniqueName="[REND_TARGET].[Merma Fabr].[All]" allUniqueName="[REND_TARGET].[Merma Fabr].[All]" dimensionUniqueName="[REND_TARGET]" displayFolder="" count="0" memberValueDatatype="5" unbalanced="0"/>
    <cacheHierarchy uniqueName="[REND_TARGET].[Merma Oreo]" caption="Merma Oreo" attribute="1" defaultMemberUniqueName="[REND_TARGET].[Merma Oreo].[All]" allUniqueName="[REND_TARGET].[Merma Oreo].[All]" dimensionUniqueName="[REND_TARGET]" displayFolder="" count="0" memberValueDatatype="5" unbalanced="0"/>
    <cacheHierarchy uniqueName="[REND_TARGET].[Merma E/E]" caption="Merma E/E" attribute="1" defaultMemberUniqueName="[REND_TARGET].[Merma E/E].[All]" allUniqueName="[REND_TARGET].[Merma E/E].[All]" dimensionUniqueName="[REND_TARGET]" displayFolder="" count="0" memberValueDatatype="5" unbalanced="0"/>
    <cacheHierarchy uniqueName="[REND_TARGET].[Rend_Ntarget]" caption="Rend_Ntarget" attribute="1" defaultMemberUniqueName="[REND_TARGET].[Rend_Ntarget].[All]" allUniqueName="[REND_TARGET].[Rend_Ntarget].[All]" dimensionUniqueName="[REND_TARGET]" displayFolder="" count="0" memberValueDatatype="5" unbalanced="0"/>
    <cacheHierarchy uniqueName="[Tabla_Contabilidad].[Año]" caption="Año" attribute="1" defaultMemberUniqueName="[Tabla_Contabilidad].[Año].[All]" allUniqueName="[Tabla_Contabilidad].[Año].[All]" dimensionUniqueName="[Tabla_Contabilidad]" displayFolder="" count="0" memberValueDatatype="20" unbalanced="0"/>
    <cacheHierarchy uniqueName="[Tabla_Contabilidad].[AñoMes]" caption="AñoMes" attribute="1" defaultMemberUniqueName="[Tabla_Contabilidad].[AñoMes].[All]" allUniqueName="[Tabla_Contabilidad].[AñoMes].[All]" dimensionUniqueName="[Tabla_Contabilidad]" displayFolder="" count="0" memberValueDatatype="130" unbalanced="0"/>
    <cacheHierarchy uniqueName="[Tabla_Contabilidad].[Mes]" caption="Mes" attribute="1" defaultMemberUniqueName="[Tabla_Contabilidad].[Mes].[All]" allUniqueName="[Tabla_Contabilidad].[Mes].[All]" dimensionUniqueName="[Tabla_Contabilidad]" displayFolder="" count="0" memberValueDatatype="130" unbalanced="0"/>
    <cacheHierarchy uniqueName="[Tabla_Contabilidad].[Gastos Estructura (€∕mes)]" caption="Gastos Estructura (€∕mes)" attribute="1" defaultMemberUniqueName="[Tabla_Contabilidad].[Gastos Estructura (€∕mes)].[All]" allUniqueName="[Tabla_Contabilidad].[Gastos Estructura (€∕mes)].[All]" dimensionUniqueName="[Tabla_Contabilidad]" displayFolder="" count="0" memberValueDatatype="20" unbalanced="0"/>
    <cacheHierarchy uniqueName="[Tabla_Contabilidad].[EBITDA  (M€)]" caption="EBITDA  (M€)" attribute="1" defaultMemberUniqueName="[Tabla_Contabilidad].[EBITDA  (M€)].[All]" allUniqueName="[Tabla_Contabilidad].[EBITDA  (M€)].[All]" dimensionUniqueName="[Tabla_Contabilidad]" displayFolder="" count="0" memberValueDatatype="20" unbalanced="0"/>
    <cacheHierarchy uniqueName="[Tabla_Contabilidad].[EBITDA_PPTO (M€)]" caption="EBITDA_PPTO (M€)" attribute="1" defaultMemberUniqueName="[Tabla_Contabilidad].[EBITDA_PPTO (M€)].[All]" allUniqueName="[Tabla_Contabilidad].[EBITDA_PPTO (M€)].[All]" dimensionUniqueName="[Tabla_Contabilidad]" displayFolder="" count="0" memberValueDatatype="20" unbalanced="0"/>
    <cacheHierarchy uniqueName="[Tabla_master_rend].[Fecha]" caption="Fecha" attribute="1" time="1" defaultMemberUniqueName="[Tabla_master_rend].[Fecha].[All]" allUniqueName="[Tabla_master_rend].[Fecha].[All]" dimensionUniqueName="[Tabla_master_rend]" displayFolder="" count="0" memberValueDatatype="7" unbalanced="0"/>
    <cacheHierarchy uniqueName="[Tabla_master_rend].[mes]" caption="mes" attribute="1" defaultMemberUniqueName="[Tabla_master_rend].[mes].[All]" allUniqueName="[Tabla_master_rend].[mes].[All]" dimensionUniqueName="[Tabla_master_rend]" displayFolder="" count="0" memberValueDatatype="20" unbalanced="0"/>
    <cacheHierarchy uniqueName="[Tabla_master_rend].[Mes_Nom]" caption="Mes_Nom" attribute="1" defaultMemberUniqueName="[Tabla_master_rend].[Mes_Nom].[All]" allUniqueName="[Tabla_master_rend].[Mes_Nom].[All]" dimensionUniqueName="[Tabla_master_rend]" displayFolder="" count="2" memberValueDatatype="130" unbalanced="0"/>
    <cacheHierarchy uniqueName="[Tabla_master_rend].[Día]" caption="Día" attribute="1" defaultMemberUniqueName="[Tabla_master_rend].[Día].[All]" allUniqueName="[Tabla_master_rend].[Día].[All]" dimensionUniqueName="[Tabla_master_rend]" displayFolder="" count="2" memberValueDatatype="130" unbalanced="0"/>
    <cacheHierarchy uniqueName="[Tabla_master_rend].[Lote]" caption="Lote" attribute="1" defaultMemberUniqueName="[Tabla_master_rend].[Lote].[All]" allUniqueName="[Tabla_master_rend].[Lote].[All]" dimensionUniqueName="[Tabla_master_rend]" displayFolder="" count="0" memberValueDatatype="20" unbalanced="0"/>
    <cacheHierarchy uniqueName="[Tabla_master_rend].[Producto]" caption="Producto" attribute="1" defaultMemberUniqueName="[Tabla_master_rend].[Producto].[All]" allUniqueName="[Tabla_master_rend].[Producto].[All]" dimensionUniqueName="[Tabla_master_rend]" displayFolder="" count="2" memberValueDatatype="130" unbalanced="0"/>
    <cacheHierarchy uniqueName="[Tabla_master_rend].[Cubas_prod]" caption="Cubas_prod" attribute="1" defaultMemberUniqueName="[Tabla_master_rend].[Cubas_prod].[All]" allUniqueName="[Tabla_master_rend].[Cubas_prod].[All]" dimensionUniqueName="[Tabla_master_rend]" displayFolder="" count="0" memberValueDatatype="20" unbalanced="0"/>
    <cacheHierarchy uniqueName="[Tabla_master_rend].[Litros_Leche_Total]" caption="Litros_Leche_Total" attribute="1" defaultMemberUniqueName="[Tabla_master_rend].[Litros_Leche_Total].[All]" allUniqueName="[Tabla_master_rend].[Litros_Leche_Total].[All]" dimensionUniqueName="[Tabla_master_rend]" displayFolder="" count="0" memberValueDatatype="20" unbalanced="0"/>
    <cacheHierarchy uniqueName="[Tabla_master_rend].[L_Leche_ent]" caption="L_Leche_ent" attribute="1" defaultMemberUniqueName="[Tabla_master_rend].[L_Leche_ent].[All]" allUniqueName="[Tabla_master_rend].[L_Leche_ent].[All]" dimensionUniqueName="[Tabla_master_rend]" displayFolder="" count="0" memberValueDatatype="20" unbalanced="0"/>
    <cacheHierarchy uniqueName="[Tabla_master_rend].[%MG_Leche]" caption="%MG_Leche" attribute="1" defaultMemberUniqueName="[Tabla_master_rend].[%MG_Leche].[All]" allUniqueName="[Tabla_master_rend].[%MG_Leche].[All]" dimensionUniqueName="[Tabla_master_rend]" displayFolder="" count="0" memberValueDatatype="5" unbalanced="0"/>
    <cacheHierarchy uniqueName="[Tabla_master_rend].[%MP_Leche]" caption="%MP_Leche" attribute="1" defaultMemberUniqueName="[Tabla_master_rend].[%MP_Leche].[All]" allUniqueName="[Tabla_master_rend].[%MP_Leche].[All]" dimensionUniqueName="[Tabla_master_rend]" displayFolder="" count="0" memberValueDatatype="5" unbalanced="0"/>
    <cacheHierarchy uniqueName="[Tabla_master_rend].[EST_%]" caption="EST_%" attribute="1" defaultMemberUniqueName="[Tabla_master_rend].[EST_%].[All]" allUniqueName="[Tabla_master_rend].[EST_%].[All]" dimensionUniqueName="[Tabla_master_rend]" displayFolder="" count="0" memberValueDatatype="5" unbalanced="0"/>
    <cacheHierarchy uniqueName="[Tabla_master_rend].[Desn_en_linea]" caption="Desn_en_linea" attribute="1" defaultMemberUniqueName="[Tabla_master_rend].[Desn_en_linea].[All]" allUniqueName="[Tabla_master_rend].[Desn_en_linea].[All]" dimensionUniqueName="[Tabla_master_rend]" displayFolder="" count="2" memberValueDatatype="130" unbalanced="0"/>
    <cacheHierarchy uniqueName="[Tabla_master_rend].[L_desn_ext]" caption="L_desn_ext" attribute="1" defaultMemberUniqueName="[Tabla_master_rend].[L_desn_ext].[All]" allUniqueName="[Tabla_master_rend].[L_desn_ext].[All]" dimensionUniqueName="[Tabla_master_rend]" displayFolder="" count="0" memberValueDatatype="20" unbalanced="0"/>
    <cacheHierarchy uniqueName="[Tabla_master_rend].[L_cabra]" caption="L_cabra" attribute="1" defaultMemberUniqueName="[Tabla_master_rend].[L_cabra].[All]" allUniqueName="[Tabla_master_rend].[L_cabra].[All]" dimensionUniqueName="[Tabla_master_rend]" displayFolder="" count="0" memberValueDatatype="20" unbalanced="0"/>
    <cacheHierarchy uniqueName="[Tabla_master_rend].[L_oveja]" caption="L_oveja" attribute="1" defaultMemberUniqueName="[Tabla_master_rend].[L_oveja].[All]" allUniqueName="[Tabla_master_rend].[L_oveja].[All]" dimensionUniqueName="[Tabla_master_rend]" displayFolder="" count="0" memberValueDatatype="20" unbalanced="0"/>
    <cacheHierarchy uniqueName="[Tabla_master_rend].[Litros_Nata]" caption="Litros_Nata" attribute="1" defaultMemberUniqueName="[Tabla_master_rend].[Litros_Nata].[All]" allUniqueName="[Tabla_master_rend].[Litros_Nata].[All]" dimensionUniqueName="[Tabla_master_rend]" displayFolder="" count="0" memberValueDatatype="20" unbalanced="0"/>
    <cacheHierarchy uniqueName="[Tabla_master_rend].[L_nata_suero]" caption="L_nata_suero" attribute="1" defaultMemberUniqueName="[Tabla_master_rend].[L_nata_suero].[All]" allUniqueName="[Tabla_master_rend].[L_nata_suero].[All]" dimensionUniqueName="[Tabla_master_rend]" displayFolder="" count="0" memberValueDatatype="20" unbalanced="0"/>
    <cacheHierarchy uniqueName="[Tabla_master_rend].[L_suero Total]" caption="L_suero Total" attribute="1" defaultMemberUniqueName="[Tabla_master_rend].[L_suero Total].[All]" allUniqueName="[Tabla_master_rend].[L_suero Total].[All]" dimensionUniqueName="[Tabla_master_rend]" displayFolder="" count="0" memberValueDatatype="20" unbalanced="0"/>
    <cacheHierarchy uniqueName="[Tabla_master_rend].[%Suero_vs_leche]" caption="%Suero_vs_leche" attribute="1" defaultMemberUniqueName="[Tabla_master_rend].[%Suero_vs_leche].[All]" allUniqueName="[Tabla_master_rend].[%Suero_vs_leche].[All]" dimensionUniqueName="[Tabla_master_rend]" displayFolder="" count="0" memberValueDatatype="5" unbalanced="0"/>
    <cacheHierarchy uniqueName="[Tabla_master_rend].[MG_suero]" caption="MG_suero" attribute="1" defaultMemberUniqueName="[Tabla_master_rend].[MG_suero].[All]" allUniqueName="[Tabla_master_rend].[MG_suero].[All]" dimensionUniqueName="[Tabla_master_rend]" displayFolder="" count="0" memberValueDatatype="5" unbalanced="0"/>
    <cacheHierarchy uniqueName="[Tabla_master_rend].[MP_suero]" caption="MP_suero" attribute="1" defaultMemberUniqueName="[Tabla_master_rend].[MP_suero].[All]" allUniqueName="[Tabla_master_rend].[MP_suero].[All]" dimensionUniqueName="[Tabla_master_rend]" displayFolder="" count="0" memberValueDatatype="5" unbalanced="0"/>
    <cacheHierarchy uniqueName="[Tabla_master_rend].[L_suero para con]" caption="L_suero para con" attribute="1" defaultMemberUniqueName="[Tabla_master_rend].[L_suero para con].[All]" allUniqueName="[Tabla_master_rend].[L_suero para con].[All]" dimensionUniqueName="[Tabla_master_rend]" displayFolder="" count="0" memberValueDatatype="20" unbalanced="0"/>
    <cacheHierarchy uniqueName="[Tabla_master_rend].[L_suero_con]" caption="L_suero_con" attribute="1" defaultMemberUniqueName="[Tabla_master_rend].[L_suero_con].[All]" allUniqueName="[Tabla_master_rend].[L_suero_con].[All]" dimensionUniqueName="[Tabla_master_rend]" displayFolder="" count="0" memberValueDatatype="20" unbalanced="0"/>
    <cacheHierarchy uniqueName="[Tabla_master_rend].[Rartio_sueroC]" caption="Rartio_sueroC" attribute="1" defaultMemberUniqueName="[Tabla_master_rend].[Rartio_sueroC].[All]" allUniqueName="[Tabla_master_rend].[Rartio_sueroC].[All]" dimensionUniqueName="[Tabla_master_rend]" displayFolder="" count="0" memberValueDatatype="5" unbalanced="0"/>
    <cacheHierarchy uniqueName="[Tabla_master_rend].[L_Suero_Sobrante]" caption="L_Suero_Sobrante" attribute="1" defaultMemberUniqueName="[Tabla_master_rend].[L_Suero_Sobrante].[All]" allUniqueName="[Tabla_master_rend].[L_Suero_Sobrante].[All]" dimensionUniqueName="[Tabla_master_rend]" displayFolder="" count="0" memberValueDatatype="20" unbalanced="0"/>
    <cacheHierarchy uniqueName="[Tabla_master_rend].[MG_sueroc]" caption="MG_sueroc" attribute="1" defaultMemberUniqueName="[Tabla_master_rend].[MG_sueroc].[All]" allUniqueName="[Tabla_master_rend].[MG_sueroc].[All]" dimensionUniqueName="[Tabla_master_rend]" displayFolder="" count="0" memberValueDatatype="20" unbalanced="0"/>
    <cacheHierarchy uniqueName="[Tabla_master_rend].[MP_sueroc]" caption="MP_sueroc" attribute="1" defaultMemberUniqueName="[Tabla_master_rend].[MP_sueroc].[All]" allUniqueName="[Tabla_master_rend].[MP_sueroc].[All]" dimensionUniqueName="[Tabla_master_rend]" displayFolder="" count="0" memberValueDatatype="20" unbalanced="0"/>
    <cacheHierarchy uniqueName="[Tabla_master_rend].[L_LPS_Gen]" caption="L_LPS_Gen" attribute="1" defaultMemberUniqueName="[Tabla_master_rend].[L_LPS_Gen].[All]" allUniqueName="[Tabla_master_rend].[L_LPS_Gen].[All]" dimensionUniqueName="[Tabla_master_rend]" displayFolder="" count="0" memberValueDatatype="20" unbalanced="0"/>
    <cacheHierarchy uniqueName="[Tabla_master_rend].[L_LPS_incor]" caption="L_LPS_incor" attribute="1" defaultMemberUniqueName="[Tabla_master_rend].[L_LPS_incor].[All]" allUniqueName="[Tabla_master_rend].[L_LPS_incor].[All]" dimensionUniqueName="[Tabla_master_rend]" displayFolder="" count="0" memberValueDatatype="20" unbalanced="0"/>
    <cacheHierarchy uniqueName="[Tabla_master_rend].[gr_LPS]" caption="gr_LPS" attribute="1" defaultMemberUniqueName="[Tabla_master_rend].[gr_LPS].[All]" allUniqueName="[Tabla_master_rend].[gr_LPS].[All]" dimensionUniqueName="[Tabla_master_rend]" displayFolder="" count="0" memberValueDatatype="20" unbalanced="0"/>
    <cacheHierarchy uniqueName="[Tabla_master_rend].[MG_LPS]" caption="MG_LPS" attribute="1" defaultMemberUniqueName="[Tabla_master_rend].[MG_LPS].[All]" allUniqueName="[Tabla_master_rend].[MG_LPS].[All]" dimensionUniqueName="[Tabla_master_rend]" displayFolder="" count="0" memberValueDatatype="5" unbalanced="0"/>
    <cacheHierarchy uniqueName="[Tabla_master_rend].[MP_LPS]" caption="MP_LPS" attribute="1" defaultMemberUniqueName="[Tabla_master_rend].[MP_LPS].[All]" allUniqueName="[Tabla_master_rend].[MP_LPS].[All]" dimensionUniqueName="[Tabla_master_rend]" displayFolder="" count="0" memberValueDatatype="5" unbalanced="0"/>
    <cacheHierarchy uniqueName="[Tabla_master_rend].[Kg_Queso_Blan]" caption="Kg_Queso_Blan" attribute="1" defaultMemberUniqueName="[Tabla_master_rend].[Kg_Queso_Blan].[All]" allUniqueName="[Tabla_master_rend].[Kg_Queso_Blan].[All]" dimensionUniqueName="[Tabla_master_rend]" displayFolder="" count="0" memberValueDatatype="5" unbalanced="0"/>
    <cacheHierarchy uniqueName="[Tabla_master_rend].[RDTO_Blanco]" caption="RDTO_Blanco" attribute="1" defaultMemberUniqueName="[Tabla_master_rend].[RDTO_Blanco].[All]" allUniqueName="[Tabla_master_rend].[RDTO_Blanco].[All]" dimensionUniqueName="[Tabla_master_rend]" displayFolder="" count="0" memberValueDatatype="5" unbalanced="0"/>
    <cacheHierarchy uniqueName="[Tabla_master_rend].[RDTO_NETO]" caption="RDTO_NETO" attribute="1" defaultMemberUniqueName="[Tabla_master_rend].[RDTO_NETO].[All]" allUniqueName="[Tabla_master_rend].[RDTO_NETO].[All]" dimensionUniqueName="[Tabla_master_rend]" displayFolder="" count="0" memberValueDatatype="5" unbalanced="0"/>
    <cacheHierarchy uniqueName="[Tabla_master_rend].[REND_TARGET]" caption="REND_TARGET" attribute="1" defaultMemberUniqueName="[Tabla_master_rend].[REND_TARGET].[All]" allUniqueName="[Tabla_master_rend].[REND_TARGET].[All]" dimensionUniqueName="[Tabla_master_rend]" displayFolder="" count="0" memberValueDatatype="5" unbalanced="0"/>
    <cacheHierarchy uniqueName="[Tabla_master_rend].[Kg_Solidos_leche]" caption="Kg_Solidos_leche" attribute="1" defaultMemberUniqueName="[Tabla_master_rend].[Kg_Solidos_leche].[All]" allUniqueName="[Tabla_master_rend].[Kg_Solidos_leche].[All]" dimensionUniqueName="[Tabla_master_rend]" displayFolder="" count="0" memberValueDatatype="5" unbalanced="0"/>
    <cacheHierarchy uniqueName="[Tabla_master_rend].[%MG_QUESO]" caption="%MG_QUESO" attribute="1" defaultMemberUniqueName="[Tabla_master_rend].[%MG_QUESO].[All]" allUniqueName="[Tabla_master_rend].[%MG_QUESO].[All]" dimensionUniqueName="[Tabla_master_rend]" displayFolder="" count="0" memberValueDatatype="5" unbalanced="0"/>
    <cacheHierarchy uniqueName="[Tabla_master_rend].[%PT_QUESO]" caption="%PT_QUESO" attribute="1" defaultMemberUniqueName="[Tabla_master_rend].[%PT_QUESO].[All]" allUniqueName="[Tabla_master_rend].[%PT_QUESO].[All]" dimensionUniqueName="[Tabla_master_rend]" displayFolder="" count="0" memberValueDatatype="5" unbalanced="0"/>
    <cacheHierarchy uniqueName="[Tabla_master_rend].[ES_QUESO]" caption="ES_QUESO" attribute="1" defaultMemberUniqueName="[Tabla_master_rend].[ES_QUESO].[All]" allUniqueName="[Tabla_master_rend].[ES_QUESO].[All]" dimensionUniqueName="[Tabla_master_rend]" displayFolder="" count="0" memberValueDatatype="5" unbalanced="0"/>
    <cacheHierarchy uniqueName="[Tabla_master_rend].[Rendimiento_Solidos_%]" caption="Rendimiento_Solidos_%" attribute="1" defaultMemberUniqueName="[Tabla_master_rend].[Rendimiento_Solidos_%].[All]" allUniqueName="[Tabla_master_rend].[Rendimiento_Solidos_%].[All]" dimensionUniqueName="[Tabla_master_rend]" displayFolder="" count="0" memberValueDatatype="5" unbalanced="0"/>
    <cacheHierarchy uniqueName="[Tabla_master_rend].[Kg_MG_Nata]" caption="Kg_MG_Nata" attribute="1" defaultMemberUniqueName="[Tabla_master_rend].[Kg_MG_Nata].[All]" allUniqueName="[Tabla_master_rend].[Kg_MG_Nata].[All]" dimensionUniqueName="[Tabla_master_rend]" displayFolder="" count="0" memberValueDatatype="5" unbalanced="0"/>
    <cacheHierarchy uniqueName="[Tabla_master_rend].[%RECUP_MG]" caption="%RECUP_MG" attribute="1" defaultMemberUniqueName="[Tabla_master_rend].[%RECUP_MG].[All]" allUniqueName="[Tabla_master_rend].[%RECUP_MG].[All]" dimensionUniqueName="[Tabla_master_rend]" displayFolder="" count="0" memberValueDatatype="5" unbalanced="0"/>
    <cacheHierarchy uniqueName="[Tabla_master_rend].[%RECUP_PT]" caption="%RECUP_PT" attribute="1" defaultMemberUniqueName="[Tabla_master_rend].[%RECUP_PT].[All]" allUniqueName="[Tabla_master_rend].[%RECUP_PT].[All]" dimensionUniqueName="[Tabla_master_rend]" displayFolder="" count="0" memberValueDatatype="5" unbalanced="0"/>
    <cacheHierarchy uniqueName="[Tabla_master_rend].[Valor_Nata_€]" caption="Valor_Nata_€" attribute="1" defaultMemberUniqueName="[Tabla_master_rend].[Valor_Nata_€].[All]" allUniqueName="[Tabla_master_rend].[Valor_Nata_€].[All]" dimensionUniqueName="[Tabla_master_rend]" displayFolder="" count="0" memberValueDatatype="5" unbalanced="0"/>
    <cacheHierarchy uniqueName="[Tabla_master_rend].[Kg_Finos]" caption="Kg_Finos" attribute="1" defaultMemberUniqueName="[Tabla_master_rend].[Kg_Finos].[All]" allUniqueName="[Tabla_master_rend].[Kg_Finos].[All]" dimensionUniqueName="[Tabla_master_rend]" displayFolder="" count="0" memberValueDatatype="5" unbalanced="0"/>
    <cacheHierarchy uniqueName="[Tabla_master_rend].[Kg_Llenadora]" caption="Kg_Llenadora" attribute="1" defaultMemberUniqueName="[Tabla_master_rend].[Kg_Llenadora].[All]" allUniqueName="[Tabla_master_rend].[Kg_Llenadora].[All]" dimensionUniqueName="[Tabla_master_rend]" displayFolder="" count="0" memberValueDatatype="5" unbalanced="0"/>
    <cacheHierarchy uniqueName="[Tabla_master_rend].[Kg_Desmoldeo]" caption="Kg_Desmoldeo" attribute="1" defaultMemberUniqueName="[Tabla_master_rend].[Kg_Desmoldeo].[All]" allUniqueName="[Tabla_master_rend].[Kg_Desmoldeo].[All]" dimensionUniqueName="[Tabla_master_rend]" displayFolder="" count="0" memberValueDatatype="5" unbalanced="0"/>
    <cacheHierarchy uniqueName="[Tabla_master_rend].[Merma_fab]" caption="Merma_fab" attribute="1" defaultMemberUniqueName="[Tabla_master_rend].[Merma_fab].[All]" allUniqueName="[Tabla_master_rend].[Merma_fab].[All]" dimensionUniqueName="[Tabla_master_rend]" displayFolder="" count="0" memberValueDatatype="5" unbalanced="0"/>
    <cacheHierarchy uniqueName="[Tabla_master_rend].[% Merma_fab2]" caption="% Merma_fab2" attribute="1" defaultMemberUniqueName="[Tabla_master_rend].[% Merma_fab2].[All]" allUniqueName="[Tabla_master_rend].[% Merma_fab2].[All]" dimensionUniqueName="[Tabla_master_rend]" displayFolder="" count="0" memberValueDatatype="5" unbalanced="0"/>
    <cacheHierarchy uniqueName="[Tabla_master_rend].[L_Agua]" caption="L_Agua" attribute="1" defaultMemberUniqueName="[Tabla_master_rend].[L_Agua].[All]" allUniqueName="[Tabla_master_rend].[L_Agua].[All]" dimensionUniqueName="[Tabla_master_rend]" displayFolder="" count="0" memberValueDatatype="20" unbalanced="0"/>
    <cacheHierarchy uniqueName="[Tabla_master_rend].[% oreo]" caption="% oreo" attribute="1" defaultMemberUniqueName="[Tabla_master_rend].[% oreo].[All]" allUniqueName="[Tabla_master_rend].[% oreo].[All]" dimensionUniqueName="[Tabla_master_rend]" displayFolder="" count="0" memberValueDatatype="5" unbalanced="0"/>
    <cacheHierarchy uniqueName="[Tabla_master_rend].[B_totales]" caption="B_totales" attribute="1" defaultMemberUniqueName="[Tabla_master_rend].[B_totales].[All]" allUniqueName="[Tabla_master_rend].[B_totales].[All]" dimensionUniqueName="[Tabla_master_rend]" displayFolder="" count="0" memberValueDatatype="5" unbalanced="0"/>
    <cacheHierarchy uniqueName="[Tabla_master_rend].[B_OK_uni]" caption="B_OK_uni" attribute="1" defaultMemberUniqueName="[Tabla_master_rend].[B_OK_uni].[All]" allUniqueName="[Tabla_master_rend].[B_OK_uni].[All]" dimensionUniqueName="[Tabla_master_rend]" displayFolder="" count="0" memberValueDatatype="5" unbalanced="0"/>
    <cacheHierarchy uniqueName="[Tabla_master_rend].[B_OK_kg]" caption="B_OK_kg" attribute="1" defaultMemberUniqueName="[Tabla_master_rend].[B_OK_kg].[All]" allUniqueName="[Tabla_master_rend].[B_OK_kg].[All]" dimensionUniqueName="[Tabla_master_rend]" displayFolder="" count="0" memberValueDatatype="5" unbalanced="0"/>
    <cacheHierarchy uniqueName="[Tabla_master_rend].[B_altas]" caption="B_altas" attribute="1" defaultMemberUniqueName="[Tabla_master_rend].[B_altas].[All]" allUniqueName="[Tabla_master_rend].[B_altas].[All]" dimensionUniqueName="[Tabla_master_rend]" displayFolder="" count="0" memberValueDatatype="5" unbalanced="0"/>
    <cacheHierarchy uniqueName="[Tabla_master_rend].[B_bajas]" caption="B_bajas" attribute="1" defaultMemberUniqueName="[Tabla_master_rend].[B_bajas].[All]" allUniqueName="[Tabla_master_rend].[B_bajas].[All]" dimensionUniqueName="[Tabla_master_rend]" displayFolder="" count="0" memberValueDatatype="5" unbalanced="0"/>
    <cacheHierarchy uniqueName="[Tabla_master_rend].[B_rotas]" caption="B_rotas" attribute="1" defaultMemberUniqueName="[Tabla_master_rend].[B_rotas].[All]" allUniqueName="[Tabla_master_rend].[B_rotas].[All]" dimensionUniqueName="[Tabla_master_rend]" displayFolder="" count="0" memberValueDatatype="5" unbalanced="0"/>
    <cacheHierarchy uniqueName="[Tabla_master_rend].[B_feas]" caption="B_feas" attribute="1" defaultMemberUniqueName="[Tabla_master_rend].[B_feas].[All]" allUniqueName="[Tabla_master_rend].[B_feas].[All]" dimensionUniqueName="[Tabla_master_rend]" displayFolder="" count="0" memberValueDatatype="5" unbalanced="0"/>
    <cacheHierarchy uniqueName="[Tabla_master_rend].[B_lab]" caption="B_lab" attribute="1" defaultMemberUniqueName="[Tabla_master_rend].[B_lab].[All]" allUniqueName="[Tabla_master_rend].[B_lab].[All]" dimensionUniqueName="[Tabla_master_rend]" displayFolder="" count="0" memberValueDatatype="5" unbalanced="0"/>
    <cacheHierarchy uniqueName="[Tabla_master_rend].[Kg_SalidaSecadero]" caption="Kg_SalidaSecadero" attribute="1" defaultMemberUniqueName="[Tabla_master_rend].[Kg_SalidaSecadero].[All]" allUniqueName="[Tabla_master_rend].[Kg_SalidaSecadero].[All]" dimensionUniqueName="[Tabla_master_rend]" displayFolder="" count="0" memberValueDatatype="5" unbalanced="0"/>
    <cacheHierarchy uniqueName="[Tabla_master_rend].[Kg_rebaba]" caption="Kg_rebaba" attribute="1" defaultMemberUniqueName="[Tabla_master_rend].[Kg_rebaba].[All]" allUniqueName="[Tabla_master_rend].[Kg_rebaba].[All]" dimensionUniqueName="[Tabla_master_rend]" displayFolder="" count="0" memberValueDatatype="5" unbalanced="0"/>
    <cacheHierarchy uniqueName="[Tabla_master_rend].[Kg_mer_env_real]" caption="Kg_mer_env_real" attribute="1" defaultMemberUniqueName="[Tabla_master_rend].[Kg_mer_env_real].[All]" allUniqueName="[Tabla_master_rend].[Kg_mer_env_real].[All]" dimensionUniqueName="[Tabla_master_rend]" displayFolder="" count="0" memberValueDatatype="5" unbalanced="0"/>
    <cacheHierarchy uniqueName="[Tabla_master_rend].[kg_mer_lab_real]" caption="kg_mer_lab_real" attribute="1" defaultMemberUniqueName="[Tabla_master_rend].[kg_mer_lab_real].[All]" allUniqueName="[Tabla_master_rend].[kg_mer_lab_real].[All]" dimensionUniqueName="[Tabla_master_rend]" displayFolder="" count="0" memberValueDatatype="5" unbalanced="0"/>
    <cacheHierarchy uniqueName="[Tabla_master_rend].[%Merma_env]" caption="%Merma_env" attribute="1" defaultMemberUniqueName="[Tabla_master_rend].[%Merma_env].[All]" allUniqueName="[Tabla_master_rend].[%Merma_env].[All]" dimensionUniqueName="[Tabla_master_rend]" displayFolder="" count="0" memberValueDatatype="5" unbalanced="0"/>
    <cacheHierarchy uniqueName="[Tabla_master_rend].[%Merma_env_corr]" caption="%Merma_env_corr" attribute="1" defaultMemberUniqueName="[Tabla_master_rend].[%Merma_env_corr].[All]" allUniqueName="[Tabla_master_rend].[%Merma_env_corr].[All]" dimensionUniqueName="[Tabla_master_rend]" displayFolder="" count="0" memberValueDatatype="5" unbalanced="0"/>
    <cacheHierarchy uniqueName="[Tabla_master_rend].[% merma TOT]" caption="% merma TOT" attribute="1" defaultMemberUniqueName="[Tabla_master_rend].[% merma TOT].[All]" allUniqueName="[Tabla_master_rend].[% merma TOT].[All]" dimensionUniqueName="[Tabla_master_rend]" displayFolder="" count="0" memberValueDatatype="5" unbalanced="0"/>
    <cacheHierarchy uniqueName="[Tabla_master_rend].[Merma_TOT]" caption="Merma_TOT" attribute="1" defaultMemberUniqueName="[Tabla_master_rend].[Merma_TOT].[All]" allUniqueName="[Tabla_master_rend].[Merma_TOT].[All]" dimensionUniqueName="[Tabla_master_rend]" displayFolder="" count="0" memberValueDatatype="5" unbalanced="0"/>
    <cacheHierarchy uniqueName="[Tabla_master_rend].[Kg_Env_Total]" caption="Kg_Env_Total" attribute="1" defaultMemberUniqueName="[Tabla_master_rend].[Kg_Env_Total].[All]" allUniqueName="[Tabla_master_rend].[Kg_Env_Total].[All]" dimensionUniqueName="[Tabla_master_rend]" displayFolder="" count="0" memberValueDatatype="5" unbalanced="0"/>
    <cacheHierarchy uniqueName="[Tabla_master_rend].[Coste_Leche_€]" caption="Coste_Leche_€" attribute="1" defaultMemberUniqueName="[Tabla_master_rend].[Coste_Leche_€].[All]" allUniqueName="[Tabla_master_rend].[Coste_Leche_€].[All]" dimensionUniqueName="[Tabla_master_rend]" displayFolder="" count="0" memberValueDatatype="5" unbalanced="0"/>
    <cacheHierarchy uniqueName="[Tabla_master_rend].[€/kg_MPQueso]" caption="€/kg_MPQueso" attribute="1" defaultMemberUniqueName="[Tabla_master_rend].[€/kg_MPQueso].[All]" allUniqueName="[Tabla_master_rend].[€/kg_MPQueso].[All]" dimensionUniqueName="[Tabla_master_rend]" displayFolder="" count="0" memberValueDatatype="5" unbalanced="0"/>
    <cacheHierarchy uniqueName="[Tabla_master_rend].[Merma_inic]" caption="Merma_inic" attribute="1" defaultMemberUniqueName="[Tabla_master_rend].[Merma_inic].[All]" allUniqueName="[Tabla_master_rend].[Merma_inic].[All]" dimensionUniqueName="[Tabla_master_rend]" displayFolder="" count="0" memberValueDatatype="5" unbalanced="0"/>
    <cacheHierarchy uniqueName="[Tabla_master_rend].[Recup_kg]" caption="Recup_kg" attribute="1" defaultMemberUniqueName="[Tabla_master_rend].[Recup_kg].[All]" allUniqueName="[Tabla_master_rend].[Recup_kg].[All]" dimensionUniqueName="[Tabla_master_rend]" displayFolder="" count="0" memberValueDatatype="5" unbalanced="0"/>
    <cacheHierarchy uniqueName="[Tabla_master_rend].[Recup_%]" caption="Recup_%" attribute="1" defaultMemberUniqueName="[Tabla_master_rend].[Recup_%].[All]" allUniqueName="[Tabla_master_rend].[Recup_%].[All]" dimensionUniqueName="[Tabla_master_rend]" displayFolder="" count="0" memberValueDatatype="5" unbalanced="0"/>
    <cacheHierarchy uniqueName="[Tabla_master_rend].[Merma_ppto fab]" caption="Merma_ppto fab" attribute="1" defaultMemberUniqueName="[Tabla_master_rend].[Merma_ppto fab].[All]" allUniqueName="[Tabla_master_rend].[Merma_ppto fab].[All]" dimensionUniqueName="[Tabla_master_rend]" displayFolder="" count="0" memberValueDatatype="5" unbalanced="0"/>
    <cacheHierarchy uniqueName="[Tabla_master_rend].[Merma_ppto oreo]" caption="Merma_ppto oreo" attribute="1" defaultMemberUniqueName="[Tabla_master_rend].[Merma_ppto oreo].[All]" allUniqueName="[Tabla_master_rend].[Merma_ppto oreo].[All]" dimensionUniqueName="[Tabla_master_rend]" displayFolder="" count="0" memberValueDatatype="5" unbalanced="0"/>
    <cacheHierarchy uniqueName="[Tabla_master_rend].[Merma_ppto Env/Enc]" caption="Merma_ppto Env/Enc" attribute="1" defaultMemberUniqueName="[Tabla_master_rend].[Merma_ppto Env/Enc].[All]" allUniqueName="[Tabla_master_rend].[Merma_ppto Env/Enc].[All]" dimensionUniqueName="[Tabla_master_rend]" displayFolder="" count="0" memberValueDatatype="5" unbalanced="0"/>
    <cacheHierarchy uniqueName="[Tabla_master_rend].[Merma_T ppto]" caption="Merma_T ppto" attribute="1" defaultMemberUniqueName="[Tabla_master_rend].[Merma_T ppto].[All]" allUniqueName="[Tabla_master_rend].[Merma_T ppto].[All]" dimensionUniqueName="[Tabla_master_rend]" displayFolder="" count="0" memberValueDatatype="5" unbalanced="0"/>
    <cacheHierarchy uniqueName="[Tabla_master_rend].[Merma_T ppto %]" caption="Merma_T ppto %" attribute="1" defaultMemberUniqueName="[Tabla_master_rend].[Merma_T ppto %].[All]" allUniqueName="[Tabla_master_rend].[Merma_T ppto %].[All]" dimensionUniqueName="[Tabla_master_rend]" displayFolder="" count="0" memberValueDatatype="5" unbalanced="0"/>
    <cacheHierarchy uniqueName="[Tabla_master_rend].[Merma_T real %]" caption="Merma_T real %" attribute="1" defaultMemberUniqueName="[Tabla_master_rend].[Merma_T real %].[All]" allUniqueName="[Tabla_master_rend].[Merma_T real %].[All]" dimensionUniqueName="[Tabla_master_rend]" displayFolder="" count="0" memberValueDatatype="5" unbalanced="0"/>
    <cacheHierarchy uniqueName="[Tabla_master_rend].[DIF R Vs PPTO]" caption="DIF R Vs PPTO" attribute="1" defaultMemberUniqueName="[Tabla_master_rend].[DIF R Vs PPTO].[All]" allUniqueName="[Tabla_master_rend].[DIF R Vs PPTO].[All]" dimensionUniqueName="[Tabla_master_rend]" displayFolder="" count="0" memberValueDatatype="5" unbalanced="0"/>
    <cacheHierarchy uniqueName="[Tabla_master_rend].[IMPACTO]" caption="IMPACTO" attribute="1" defaultMemberUniqueName="[Tabla_master_rend].[IMPACTO].[All]" allUniqueName="[Tabla_master_rend].[IMPACTO].[All]" dimensionUniqueName="[Tabla_master_rend]" displayFolder="" count="0" memberValueDatatype="5" unbalanced="0"/>
    <cacheHierarchy uniqueName="[Tabla_master_rend].[IMPACTO_vs_PPTO]" caption="IMPACTO_vs_PPTO" attribute="1" defaultMemberUniqueName="[Tabla_master_rend].[IMPACTO_vs_PPTO].[All]" allUniqueName="[Tabla_master_rend].[IMPACTO_vs_PPTO].[All]" dimensionUniqueName="[Tabla_master_rend]" displayFolder="" count="0" memberValueDatatype="5" unbalanced="0"/>
    <cacheHierarchy uniqueName="[Tabla_master_rend].[Fecha (mes)]" caption="Fecha (mes)" attribute="1" defaultMemberUniqueName="[Tabla_master_rend].[Fecha (mes)].[All]" allUniqueName="[Tabla_master_rend].[Fecha (mes)].[All]" dimensionUniqueName="[Tabla_master_rend]" displayFolder="" count="0" memberValueDatatype="130" unbalanced="0"/>
    <cacheHierarchy uniqueName="[Tabla_master_rend 1].[Fecha]" caption="Fecha" attribute="1" time="1" defaultMemberUniqueName="[Tabla_master_rend 1].[Fecha].[All]" allUniqueName="[Tabla_master_rend 1].[Fecha].[All]" dimensionUniqueName="[Tabla_master_rend 1]" displayFolder="" count="0" memberValueDatatype="7" unbalanced="0"/>
    <cacheHierarchy uniqueName="[Tabla_master_rend 1].[mes]" caption="mes" attribute="1" defaultMemberUniqueName="[Tabla_master_rend 1].[mes].[All]" allUniqueName="[Tabla_master_rend 1].[mes].[All]" dimensionUniqueName="[Tabla_master_rend 1]" displayFolder="" count="0" memberValueDatatype="20" unbalanced="0"/>
    <cacheHierarchy uniqueName="[Tabla_master_rend 1].[Mes_Nom]" caption="Mes_Nom" attribute="1" defaultMemberUniqueName="[Tabla_master_rend 1].[Mes_Nom].[All]" allUniqueName="[Tabla_master_rend 1].[Mes_Nom].[All]" dimensionUniqueName="[Tabla_master_rend 1]" displayFolder="" count="0" memberValueDatatype="130" unbalanced="0"/>
    <cacheHierarchy uniqueName="[Tabla_master_rend 1].[Día]" caption="Día" attribute="1" defaultMemberUniqueName="[Tabla_master_rend 1].[Día].[All]" allUniqueName="[Tabla_master_rend 1].[Día].[All]" dimensionUniqueName="[Tabla_master_rend 1]" displayFolder="" count="0" memberValueDatatype="130" unbalanced="0"/>
    <cacheHierarchy uniqueName="[Tabla_master_rend 1].[Lote]" caption="Lote" attribute="1" defaultMemberUniqueName="[Tabla_master_rend 1].[Lote].[All]" allUniqueName="[Tabla_master_rend 1].[Lote].[All]" dimensionUniqueName="[Tabla_master_rend 1]" displayFolder="" count="0" memberValueDatatype="130" unbalanced="0"/>
    <cacheHierarchy uniqueName="[Tabla_master_rend 1].[Producto]" caption="Producto" attribute="1" defaultMemberUniqueName="[Tabla_master_rend 1].[Producto].[All]" allUniqueName="[Tabla_master_rend 1].[Producto].[All]" dimensionUniqueName="[Tabla_master_rend 1]" displayFolder="" count="0" memberValueDatatype="130" unbalanced="0"/>
    <cacheHierarchy uniqueName="[Tabla_master_rend 1].[Cubas_prod]" caption="Cubas_prod" attribute="1" defaultMemberUniqueName="[Tabla_master_rend 1].[Cubas_prod].[All]" allUniqueName="[Tabla_master_rend 1].[Cubas_prod].[All]" dimensionUniqueName="[Tabla_master_rend 1]" displayFolder="" count="0" memberValueDatatype="20" unbalanced="0"/>
    <cacheHierarchy uniqueName="[Tabla_master_rend 1].[Litros_Leche_Total]" caption="Litros_Leche_Total" attribute="1" defaultMemberUniqueName="[Tabla_master_rend 1].[Litros_Leche_Total].[All]" allUniqueName="[Tabla_master_rend 1].[Litros_Leche_Total].[All]" dimensionUniqueName="[Tabla_master_rend 1]" displayFolder="" count="0" memberValueDatatype="20" unbalanced="0"/>
    <cacheHierarchy uniqueName="[Tabla_master_rend 1].[L_Leche_ent]" caption="L_Leche_ent" attribute="1" defaultMemberUniqueName="[Tabla_master_rend 1].[L_Leche_ent].[All]" allUniqueName="[Tabla_master_rend 1].[L_Leche_ent].[All]" dimensionUniqueName="[Tabla_master_rend 1]" displayFolder="" count="0" memberValueDatatype="20" unbalanced="0"/>
    <cacheHierarchy uniqueName="[Tabla_master_rend 1].[%MG_Leche]" caption="%MG_Leche" attribute="1" defaultMemberUniqueName="[Tabla_master_rend 1].[%MG_Leche].[All]" allUniqueName="[Tabla_master_rend 1].[%MG_Leche].[All]" dimensionUniqueName="[Tabla_master_rend 1]" displayFolder="" count="0" memberValueDatatype="5" unbalanced="0"/>
    <cacheHierarchy uniqueName="[Tabla_master_rend 1].[%MP_Leche]" caption="%MP_Leche" attribute="1" defaultMemberUniqueName="[Tabla_master_rend 1].[%MP_Leche].[All]" allUniqueName="[Tabla_master_rend 1].[%MP_Leche].[All]" dimensionUniqueName="[Tabla_master_rend 1]" displayFolder="" count="0" memberValueDatatype="5" unbalanced="0"/>
    <cacheHierarchy uniqueName="[Tabla_master_rend 1].[EST_%]" caption="EST_%" attribute="1" defaultMemberUniqueName="[Tabla_master_rend 1].[EST_%].[All]" allUniqueName="[Tabla_master_rend 1].[EST_%].[All]" dimensionUniqueName="[Tabla_master_rend 1]" displayFolder="" count="0" memberValueDatatype="5" unbalanced="0"/>
    <cacheHierarchy uniqueName="[Tabla_master_rend 1].[Desn_en_linea]" caption="Desn_en_linea" attribute="1" defaultMemberUniqueName="[Tabla_master_rend 1].[Desn_en_linea].[All]" allUniqueName="[Tabla_master_rend 1].[Desn_en_linea].[All]" dimensionUniqueName="[Tabla_master_rend 1]" displayFolder="" count="0" memberValueDatatype="130" unbalanced="0"/>
    <cacheHierarchy uniqueName="[Tabla_master_rend 1].[L_desn_ext]" caption="L_desn_ext" attribute="1" defaultMemberUniqueName="[Tabla_master_rend 1].[L_desn_ext].[All]" allUniqueName="[Tabla_master_rend 1].[L_desn_ext].[All]" dimensionUniqueName="[Tabla_master_rend 1]" displayFolder="" count="0" memberValueDatatype="20" unbalanced="0"/>
    <cacheHierarchy uniqueName="[Tabla_master_rend 1].[L_cabra]" caption="L_cabra" attribute="1" defaultMemberUniqueName="[Tabla_master_rend 1].[L_cabra].[All]" allUniqueName="[Tabla_master_rend 1].[L_cabra].[All]" dimensionUniqueName="[Tabla_master_rend 1]" displayFolder="" count="0" memberValueDatatype="20" unbalanced="0"/>
    <cacheHierarchy uniqueName="[Tabla_master_rend 1].[L_oveja]" caption="L_oveja" attribute="1" defaultMemberUniqueName="[Tabla_master_rend 1].[L_oveja].[All]" allUniqueName="[Tabla_master_rend 1].[L_oveja].[All]" dimensionUniqueName="[Tabla_master_rend 1]" displayFolder="" count="0" memberValueDatatype="20" unbalanced="0"/>
    <cacheHierarchy uniqueName="[Tabla_master_rend 1].[Litros_Nata]" caption="Litros_Nata" attribute="1" defaultMemberUniqueName="[Tabla_master_rend 1].[Litros_Nata].[All]" allUniqueName="[Tabla_master_rend 1].[Litros_Nata].[All]" dimensionUniqueName="[Tabla_master_rend 1]" displayFolder="" count="0" memberValueDatatype="20" unbalanced="0"/>
    <cacheHierarchy uniqueName="[Tabla_master_rend 1].[L_nata_suero]" caption="L_nata_suero" attribute="1" defaultMemberUniqueName="[Tabla_master_rend 1].[L_nata_suero].[All]" allUniqueName="[Tabla_master_rend 1].[L_nata_suero].[All]" dimensionUniqueName="[Tabla_master_rend 1]" displayFolder="" count="0" memberValueDatatype="20" unbalanced="0"/>
    <cacheHierarchy uniqueName="[Tabla_master_rend 1].[L_suero Total]" caption="L_suero Total" attribute="1" defaultMemberUniqueName="[Tabla_master_rend 1].[L_suero Total].[All]" allUniqueName="[Tabla_master_rend 1].[L_suero Total].[All]" dimensionUniqueName="[Tabla_master_rend 1]" displayFolder="" count="0" memberValueDatatype="20" unbalanced="0"/>
    <cacheHierarchy uniqueName="[Tabla_master_rend 1].[%Suero_vs_leche]" caption="%Suero_vs_leche" attribute="1" defaultMemberUniqueName="[Tabla_master_rend 1].[%Suero_vs_leche].[All]" allUniqueName="[Tabla_master_rend 1].[%Suero_vs_leche].[All]" dimensionUniqueName="[Tabla_master_rend 1]" displayFolder="" count="0" memberValueDatatype="5" unbalanced="0"/>
    <cacheHierarchy uniqueName="[Tabla_master_rend 1].[MG_suero]" caption="MG_suero" attribute="1" defaultMemberUniqueName="[Tabla_master_rend 1].[MG_suero].[All]" allUniqueName="[Tabla_master_rend 1].[MG_suero].[All]" dimensionUniqueName="[Tabla_master_rend 1]" displayFolder="" count="0" memberValueDatatype="5" unbalanced="0"/>
    <cacheHierarchy uniqueName="[Tabla_master_rend 1].[MP_suero]" caption="MP_suero" attribute="1" defaultMemberUniqueName="[Tabla_master_rend 1].[MP_suero].[All]" allUniqueName="[Tabla_master_rend 1].[MP_suero].[All]" dimensionUniqueName="[Tabla_master_rend 1]" displayFolder="" count="0" memberValueDatatype="5" unbalanced="0"/>
    <cacheHierarchy uniqueName="[Tabla_master_rend 1].[L_suero para con]" caption="L_suero para con" attribute="1" defaultMemberUniqueName="[Tabla_master_rend 1].[L_suero para con].[All]" allUniqueName="[Tabla_master_rend 1].[L_suero para con].[All]" dimensionUniqueName="[Tabla_master_rend 1]" displayFolder="" count="0" memberValueDatatype="20" unbalanced="0"/>
    <cacheHierarchy uniqueName="[Tabla_master_rend 1].[L_suero_con]" caption="L_suero_con" attribute="1" defaultMemberUniqueName="[Tabla_master_rend 1].[L_suero_con].[All]" allUniqueName="[Tabla_master_rend 1].[L_suero_con].[All]" dimensionUniqueName="[Tabla_master_rend 1]" displayFolder="" count="0" memberValueDatatype="20" unbalanced="0"/>
    <cacheHierarchy uniqueName="[Tabla_master_rend 1].[Rartio_sueroC]" caption="Rartio_sueroC" attribute="1" defaultMemberUniqueName="[Tabla_master_rend 1].[Rartio_sueroC].[All]" allUniqueName="[Tabla_master_rend 1].[Rartio_sueroC].[All]" dimensionUniqueName="[Tabla_master_rend 1]" displayFolder="" count="0" memberValueDatatype="5" unbalanced="0"/>
    <cacheHierarchy uniqueName="[Tabla_master_rend 1].[L_Suero_Sobrante]" caption="L_Suero_Sobrante" attribute="1" defaultMemberUniqueName="[Tabla_master_rend 1].[L_Suero_Sobrante].[All]" allUniqueName="[Tabla_master_rend 1].[L_Suero_Sobrante].[All]" dimensionUniqueName="[Tabla_master_rend 1]" displayFolder="" count="0" memberValueDatatype="20" unbalanced="0"/>
    <cacheHierarchy uniqueName="[Tabla_master_rend 1].[MG_sueroc]" caption="MG_sueroc" attribute="1" defaultMemberUniqueName="[Tabla_master_rend 1].[MG_sueroc].[All]" allUniqueName="[Tabla_master_rend 1].[MG_sueroc].[All]" dimensionUniqueName="[Tabla_master_rend 1]" displayFolder="" count="0" memberValueDatatype="130" unbalanced="0"/>
    <cacheHierarchy uniqueName="[Tabla_master_rend 1].[MP_sueroc]" caption="MP_sueroc" attribute="1" defaultMemberUniqueName="[Tabla_master_rend 1].[MP_sueroc].[All]" allUniqueName="[Tabla_master_rend 1].[MP_sueroc].[All]" dimensionUniqueName="[Tabla_master_rend 1]" displayFolder="" count="0" memberValueDatatype="130" unbalanced="0"/>
    <cacheHierarchy uniqueName="[Tabla_master_rend 1].[L_LPS_Gen]" caption="L_LPS_Gen" attribute="1" defaultMemberUniqueName="[Tabla_master_rend 1].[L_LPS_Gen].[All]" allUniqueName="[Tabla_master_rend 1].[L_LPS_Gen].[All]" dimensionUniqueName="[Tabla_master_rend 1]" displayFolder="" count="0" memberValueDatatype="20" unbalanced="0"/>
    <cacheHierarchy uniqueName="[Tabla_master_rend 1].[L_LPS_incor]" caption="L_LPS_incor" attribute="1" defaultMemberUniqueName="[Tabla_master_rend 1].[L_LPS_incor].[All]" allUniqueName="[Tabla_master_rend 1].[L_LPS_incor].[All]" dimensionUniqueName="[Tabla_master_rend 1]" displayFolder="" count="0" memberValueDatatype="20" unbalanced="0"/>
    <cacheHierarchy uniqueName="[Tabla_master_rend 1].[gr_LPS]" caption="gr_LPS" attribute="1" defaultMemberUniqueName="[Tabla_master_rend 1].[gr_LPS].[All]" allUniqueName="[Tabla_master_rend 1].[gr_LPS].[All]" dimensionUniqueName="[Tabla_master_rend 1]" displayFolder="" count="0" memberValueDatatype="20" unbalanced="0"/>
    <cacheHierarchy uniqueName="[Tabla_master_rend 1].[MG_LPS]" caption="MG_LPS" attribute="1" defaultMemberUniqueName="[Tabla_master_rend 1].[MG_LPS].[All]" allUniqueName="[Tabla_master_rend 1].[MG_LPS].[All]" dimensionUniqueName="[Tabla_master_rend 1]" displayFolder="" count="0" memberValueDatatype="5" unbalanced="0"/>
    <cacheHierarchy uniqueName="[Tabla_master_rend 1].[MP_LPS]" caption="MP_LPS" attribute="1" defaultMemberUniqueName="[Tabla_master_rend 1].[MP_LPS].[All]" allUniqueName="[Tabla_master_rend 1].[MP_LPS].[All]" dimensionUniqueName="[Tabla_master_rend 1]" displayFolder="" count="0" memberValueDatatype="5" unbalanced="0"/>
    <cacheHierarchy uniqueName="[Tabla_master_rend 1].[Kg_Queso_Blan]" caption="Kg_Queso_Blan" attribute="1" defaultMemberUniqueName="[Tabla_master_rend 1].[Kg_Queso_Blan].[All]" allUniqueName="[Tabla_master_rend 1].[Kg_Queso_Blan].[All]" dimensionUniqueName="[Tabla_master_rend 1]" displayFolder="" count="0" memberValueDatatype="5" unbalanced="0"/>
    <cacheHierarchy uniqueName="[Tabla_master_rend 1].[RDTO_Blanco]" caption="RDTO_Blanco" attribute="1" defaultMemberUniqueName="[Tabla_master_rend 1].[RDTO_Blanco].[All]" allUniqueName="[Tabla_master_rend 1].[RDTO_Blanco].[All]" dimensionUniqueName="[Tabla_master_rend 1]" displayFolder="" count="0" memberValueDatatype="5" unbalanced="0"/>
    <cacheHierarchy uniqueName="[Tabla_master_rend 1].[RDTO_NETO]" caption="RDTO_NETO" attribute="1" defaultMemberUniqueName="[Tabla_master_rend 1].[RDTO_NETO].[All]" allUniqueName="[Tabla_master_rend 1].[RDTO_NETO].[All]" dimensionUniqueName="[Tabla_master_rend 1]" displayFolder="" count="0" memberValueDatatype="5" unbalanced="0"/>
    <cacheHierarchy uniqueName="[Tabla_master_rend 1].[REND_TARGET]" caption="REND_TARGET" attribute="1" defaultMemberUniqueName="[Tabla_master_rend 1].[REND_TARGET].[All]" allUniqueName="[Tabla_master_rend 1].[REND_TARGET].[All]" dimensionUniqueName="[Tabla_master_rend 1]" displayFolder="" count="0" memberValueDatatype="5" unbalanced="0"/>
    <cacheHierarchy uniqueName="[Tabla_master_rend 1].[Kg_Solidos_leche]" caption="Kg_Solidos_leche" attribute="1" defaultMemberUniqueName="[Tabla_master_rend 1].[Kg_Solidos_leche].[All]" allUniqueName="[Tabla_master_rend 1].[Kg_Solidos_leche].[All]" dimensionUniqueName="[Tabla_master_rend 1]" displayFolder="" count="0" memberValueDatatype="5" unbalanced="0"/>
    <cacheHierarchy uniqueName="[Tabla_master_rend 1].[%MG_QUESO]" caption="%MG_QUESO" attribute="1" defaultMemberUniqueName="[Tabla_master_rend 1].[%MG_QUESO].[All]" allUniqueName="[Tabla_master_rend 1].[%MG_QUESO].[All]" dimensionUniqueName="[Tabla_master_rend 1]" displayFolder="" count="0" memberValueDatatype="5" unbalanced="0"/>
    <cacheHierarchy uniqueName="[Tabla_master_rend 1].[%PT_QUESO]" caption="%PT_QUESO" attribute="1" defaultMemberUniqueName="[Tabla_master_rend 1].[%PT_QUESO].[All]" allUniqueName="[Tabla_master_rend 1].[%PT_QUESO].[All]" dimensionUniqueName="[Tabla_master_rend 1]" displayFolder="" count="0" memberValueDatatype="5" unbalanced="0"/>
    <cacheHierarchy uniqueName="[Tabla_master_rend 1].[ES_QUESO]" caption="ES_QUESO" attribute="1" defaultMemberUniqueName="[Tabla_master_rend 1].[ES_QUESO].[All]" allUniqueName="[Tabla_master_rend 1].[ES_QUESO].[All]" dimensionUniqueName="[Tabla_master_rend 1]" displayFolder="" count="0" memberValueDatatype="5" unbalanced="0"/>
    <cacheHierarchy uniqueName="[Tabla_master_rend 1].[Rendimiento_Solidos_%]" caption="Rendimiento_Solidos_%" attribute="1" defaultMemberUniqueName="[Tabla_master_rend 1].[Rendimiento_Solidos_%].[All]" allUniqueName="[Tabla_master_rend 1].[Rendimiento_Solidos_%].[All]" dimensionUniqueName="[Tabla_master_rend 1]" displayFolder="" count="0" memberValueDatatype="5" unbalanced="0"/>
    <cacheHierarchy uniqueName="[Tabla_master_rend 1].[Kg_MG_Nata]" caption="Kg_MG_Nata" attribute="1" defaultMemberUniqueName="[Tabla_master_rend 1].[Kg_MG_Nata].[All]" allUniqueName="[Tabla_master_rend 1].[Kg_MG_Nata].[All]" dimensionUniqueName="[Tabla_master_rend 1]" displayFolder="" count="0" memberValueDatatype="5" unbalanced="0"/>
    <cacheHierarchy uniqueName="[Tabla_master_rend 1].[%RECUP_MG]" caption="%RECUP_MG" attribute="1" defaultMemberUniqueName="[Tabla_master_rend 1].[%RECUP_MG].[All]" allUniqueName="[Tabla_master_rend 1].[%RECUP_MG].[All]" dimensionUniqueName="[Tabla_master_rend 1]" displayFolder="" count="0" memberValueDatatype="5" unbalanced="0"/>
    <cacheHierarchy uniqueName="[Tabla_master_rend 1].[%RECUP_PT]" caption="%RECUP_PT" attribute="1" defaultMemberUniqueName="[Tabla_master_rend 1].[%RECUP_PT].[All]" allUniqueName="[Tabla_master_rend 1].[%RECUP_PT].[All]" dimensionUniqueName="[Tabla_master_rend 1]" displayFolder="" count="0" memberValueDatatype="5" unbalanced="0"/>
    <cacheHierarchy uniqueName="[Tabla_master_rend 1].[Valor_Nata_€]" caption="Valor_Nata_€" attribute="1" defaultMemberUniqueName="[Tabla_master_rend 1].[Valor_Nata_€].[All]" allUniqueName="[Tabla_master_rend 1].[Valor_Nata_€].[All]" dimensionUniqueName="[Tabla_master_rend 1]" displayFolder="" count="0" memberValueDatatype="5" unbalanced="0"/>
    <cacheHierarchy uniqueName="[Tabla_master_rend 1].[Kg_Finos]" caption="Kg_Finos" attribute="1" defaultMemberUniqueName="[Tabla_master_rend 1].[Kg_Finos].[All]" allUniqueName="[Tabla_master_rend 1].[Kg_Finos].[All]" dimensionUniqueName="[Tabla_master_rend 1]" displayFolder="" count="0" memberValueDatatype="5" unbalanced="0"/>
    <cacheHierarchy uniqueName="[Tabla_master_rend 1].[Kg_Llenadora]" caption="Kg_Llenadora" attribute="1" defaultMemberUniqueName="[Tabla_master_rend 1].[Kg_Llenadora].[All]" allUniqueName="[Tabla_master_rend 1].[Kg_Llenadora].[All]" dimensionUniqueName="[Tabla_master_rend 1]" displayFolder="" count="0" memberValueDatatype="5" unbalanced="0"/>
    <cacheHierarchy uniqueName="[Tabla_master_rend 1].[Kg_Desmoldeo]" caption="Kg_Desmoldeo" attribute="1" defaultMemberUniqueName="[Tabla_master_rend 1].[Kg_Desmoldeo].[All]" allUniqueName="[Tabla_master_rend 1].[Kg_Desmoldeo].[All]" dimensionUniqueName="[Tabla_master_rend 1]" displayFolder="" count="0" memberValueDatatype="5" unbalanced="0"/>
    <cacheHierarchy uniqueName="[Tabla_master_rend 1].[Merma_fab]" caption="Merma_fab" attribute="1" defaultMemberUniqueName="[Tabla_master_rend 1].[Merma_fab].[All]" allUniqueName="[Tabla_master_rend 1].[Merma_fab].[All]" dimensionUniqueName="[Tabla_master_rend 1]" displayFolder="" count="0" memberValueDatatype="5" unbalanced="0"/>
    <cacheHierarchy uniqueName="[Tabla_master_rend 1].[% Merma_fab2]" caption="% Merma_fab2" attribute="1" defaultMemberUniqueName="[Tabla_master_rend 1].[% Merma_fab2].[All]" allUniqueName="[Tabla_master_rend 1].[% Merma_fab2].[All]" dimensionUniqueName="[Tabla_master_rend 1]" displayFolder="" count="0" memberValueDatatype="5" unbalanced="0"/>
    <cacheHierarchy uniqueName="[Tabla_master_rend 1].[L_Agua]" caption="L_Agua" attribute="1" defaultMemberUniqueName="[Tabla_master_rend 1].[L_Agua].[All]" allUniqueName="[Tabla_master_rend 1].[L_Agua].[All]" dimensionUniqueName="[Tabla_master_rend 1]" displayFolder="" count="0" memberValueDatatype="20" unbalanced="0"/>
    <cacheHierarchy uniqueName="[Tabla_master_rend 1].[% oreo]" caption="% oreo" attribute="1" defaultMemberUniqueName="[Tabla_master_rend 1].[% oreo].[All]" allUniqueName="[Tabla_master_rend 1].[% oreo].[All]" dimensionUniqueName="[Tabla_master_rend 1]" displayFolder="" count="0" memberValueDatatype="5" unbalanced="0"/>
    <cacheHierarchy uniqueName="[Tabla_master_rend 1].[B_totales]" caption="B_totales" attribute="1" defaultMemberUniqueName="[Tabla_master_rend 1].[B_totales].[All]" allUniqueName="[Tabla_master_rend 1].[B_totales].[All]" dimensionUniqueName="[Tabla_master_rend 1]" displayFolder="" count="0" memberValueDatatype="20" unbalanced="0"/>
    <cacheHierarchy uniqueName="[Tabla_master_rend 1].[B_OK_uni]" caption="B_OK_uni" attribute="1" defaultMemberUniqueName="[Tabla_master_rend 1].[B_OK_uni].[All]" allUniqueName="[Tabla_master_rend 1].[B_OK_uni].[All]" dimensionUniqueName="[Tabla_master_rend 1]" displayFolder="" count="0" memberValueDatatype="20" unbalanced="0"/>
    <cacheHierarchy uniqueName="[Tabla_master_rend 1].[B_OK_kg]" caption="B_OK_kg" attribute="1" defaultMemberUniqueName="[Tabla_master_rend 1].[B_OK_kg].[All]" allUniqueName="[Tabla_master_rend 1].[B_OK_kg].[All]" dimensionUniqueName="[Tabla_master_rend 1]" displayFolder="" count="0" memberValueDatatype="20" unbalanced="0"/>
    <cacheHierarchy uniqueName="[Tabla_master_rend 1].[B_altas]" caption="B_altas" attribute="1" defaultMemberUniqueName="[Tabla_master_rend 1].[B_altas].[All]" allUniqueName="[Tabla_master_rend 1].[B_altas].[All]" dimensionUniqueName="[Tabla_master_rend 1]" displayFolder="" count="0" memberValueDatatype="20" unbalanced="0"/>
    <cacheHierarchy uniqueName="[Tabla_master_rend 1].[B_bajas]" caption="B_bajas" attribute="1" defaultMemberUniqueName="[Tabla_master_rend 1].[B_bajas].[All]" allUniqueName="[Tabla_master_rend 1].[B_bajas].[All]" dimensionUniqueName="[Tabla_master_rend 1]" displayFolder="" count="0" memberValueDatatype="20" unbalanced="0"/>
    <cacheHierarchy uniqueName="[Tabla_master_rend 1].[B_rotas]" caption="B_rotas" attribute="1" defaultMemberUniqueName="[Tabla_master_rend 1].[B_rotas].[All]" allUniqueName="[Tabla_master_rend 1].[B_rotas].[All]" dimensionUniqueName="[Tabla_master_rend 1]" displayFolder="" count="0" memberValueDatatype="20" unbalanced="0"/>
    <cacheHierarchy uniqueName="[Tabla_master_rend 1].[B_feas]" caption="B_feas" attribute="1" defaultMemberUniqueName="[Tabla_master_rend 1].[B_feas].[All]" allUniqueName="[Tabla_master_rend 1].[B_feas].[All]" dimensionUniqueName="[Tabla_master_rend 1]" displayFolder="" count="0" memberValueDatatype="20" unbalanced="0"/>
    <cacheHierarchy uniqueName="[Tabla_master_rend 1].[B_lab]" caption="B_lab" attribute="1" defaultMemberUniqueName="[Tabla_master_rend 1].[B_lab].[All]" allUniqueName="[Tabla_master_rend 1].[B_lab].[All]" dimensionUniqueName="[Tabla_master_rend 1]" displayFolder="" count="0" memberValueDatatype="20" unbalanced="0"/>
    <cacheHierarchy uniqueName="[Tabla_master_rend 1].[Kg_SalidaSecadero]" caption="Kg_SalidaSecadero" attribute="1" defaultMemberUniqueName="[Tabla_master_rend 1].[Kg_SalidaSecadero].[All]" allUniqueName="[Tabla_master_rend 1].[Kg_SalidaSecadero].[All]" dimensionUniqueName="[Tabla_master_rend 1]" displayFolder="" count="0" memberValueDatatype="20" unbalanced="0"/>
    <cacheHierarchy uniqueName="[Tabla_master_rend 1].[Kg_rebaba]" caption="Kg_rebaba" attribute="1" defaultMemberUniqueName="[Tabla_master_rend 1].[Kg_rebaba].[All]" allUniqueName="[Tabla_master_rend 1].[Kg_rebaba].[All]" dimensionUniqueName="[Tabla_master_rend 1]" displayFolder="" count="0" memberValueDatatype="20" unbalanced="0"/>
    <cacheHierarchy uniqueName="[Tabla_master_rend 1].[Kg_mer_env_real]" caption="Kg_mer_env_real" attribute="1" defaultMemberUniqueName="[Tabla_master_rend 1].[Kg_mer_env_real].[All]" allUniqueName="[Tabla_master_rend 1].[Kg_mer_env_real].[All]" dimensionUniqueName="[Tabla_master_rend 1]" displayFolder="" count="0" memberValueDatatype="5" unbalanced="0"/>
    <cacheHierarchy uniqueName="[Tabla_master_rend 1].[kg_mer_lab_real]" caption="kg_mer_lab_real" attribute="1" defaultMemberUniqueName="[Tabla_master_rend 1].[kg_mer_lab_real].[All]" allUniqueName="[Tabla_master_rend 1].[kg_mer_lab_real].[All]" dimensionUniqueName="[Tabla_master_rend 1]" displayFolder="" count="0" memberValueDatatype="5" unbalanced="0"/>
    <cacheHierarchy uniqueName="[Tabla_master_rend 1].[%Merma_env]" caption="%Merma_env" attribute="1" defaultMemberUniqueName="[Tabla_master_rend 1].[%Merma_env].[All]" allUniqueName="[Tabla_master_rend 1].[%Merma_env].[All]" dimensionUniqueName="[Tabla_master_rend 1]" displayFolder="" count="0" memberValueDatatype="5" unbalanced="0"/>
    <cacheHierarchy uniqueName="[Tabla_master_rend 1].[%Merma_env_corr]" caption="%Merma_env_corr" attribute="1" defaultMemberUniqueName="[Tabla_master_rend 1].[%Merma_env_corr].[All]" allUniqueName="[Tabla_master_rend 1].[%Merma_env_corr].[All]" dimensionUniqueName="[Tabla_master_rend 1]" displayFolder="" count="0" memberValueDatatype="5" unbalanced="0"/>
    <cacheHierarchy uniqueName="[Tabla_master_rend 1].[% merma TOT]" caption="% merma TOT" attribute="1" defaultMemberUniqueName="[Tabla_master_rend 1].[% merma TOT].[All]" allUniqueName="[Tabla_master_rend 1].[% merma TOT].[All]" dimensionUniqueName="[Tabla_master_rend 1]" displayFolder="" count="0" memberValueDatatype="5" unbalanced="0"/>
    <cacheHierarchy uniqueName="[Tabla_master_rend 1].[Merma_TOT]" caption="Merma_TOT" attribute="1" defaultMemberUniqueName="[Tabla_master_rend 1].[Merma_TOT].[All]" allUniqueName="[Tabla_master_rend 1].[Merma_TOT].[All]" dimensionUniqueName="[Tabla_master_rend 1]" displayFolder="" count="0" memberValueDatatype="5" unbalanced="0"/>
    <cacheHierarchy uniqueName="[Tabla_master_rend 1].[Kg_Env_Total]" caption="Kg_Env_Total" attribute="1" defaultMemberUniqueName="[Tabla_master_rend 1].[Kg_Env_Total].[All]" allUniqueName="[Tabla_master_rend 1].[Kg_Env_Total].[All]" dimensionUniqueName="[Tabla_master_rend 1]" displayFolder="" count="0" memberValueDatatype="5" unbalanced="0"/>
    <cacheHierarchy uniqueName="[Tabla_master_rend 1].[Coste_Leche_€]" caption="Coste_Leche_€" attribute="1" defaultMemberUniqueName="[Tabla_master_rend 1].[Coste_Leche_€].[All]" allUniqueName="[Tabla_master_rend 1].[Coste_Leche_€].[All]" dimensionUniqueName="[Tabla_master_rend 1]" displayFolder="" count="0" memberValueDatatype="5" unbalanced="0"/>
    <cacheHierarchy uniqueName="[Tabla_master_rend 1].[€/kg_MPQueso]" caption="€/kg_MPQueso" attribute="1" defaultMemberUniqueName="[Tabla_master_rend 1].[€/kg_MPQueso].[All]" allUniqueName="[Tabla_master_rend 1].[€/kg_MPQueso].[All]" dimensionUniqueName="[Tabla_master_rend 1]" displayFolder="" count="0" memberValueDatatype="5" unbalanced="0"/>
    <cacheHierarchy uniqueName="[Tabla_master_rend 1].[Merma_inic]" caption="Merma_inic" attribute="1" defaultMemberUniqueName="[Tabla_master_rend 1].[Merma_inic].[All]" allUniqueName="[Tabla_master_rend 1].[Merma_inic].[All]" dimensionUniqueName="[Tabla_master_rend 1]" displayFolder="" count="0" memberValueDatatype="5" unbalanced="0"/>
    <cacheHierarchy uniqueName="[Tabla_master_rend 1].[Recup_kg]" caption="Recup_kg" attribute="1" defaultMemberUniqueName="[Tabla_master_rend 1].[Recup_kg].[All]" allUniqueName="[Tabla_master_rend 1].[Recup_kg].[All]" dimensionUniqueName="[Tabla_master_rend 1]" displayFolder="" count="0" memberValueDatatype="5" unbalanced="0"/>
    <cacheHierarchy uniqueName="[Tabla_master_rend 1].[Recup_%]" caption="Recup_%" attribute="1" defaultMemberUniqueName="[Tabla_master_rend 1].[Recup_%].[All]" allUniqueName="[Tabla_master_rend 1].[Recup_%].[All]" dimensionUniqueName="[Tabla_master_rend 1]" displayFolder="" count="0" memberValueDatatype="5" unbalanced="0"/>
    <cacheHierarchy uniqueName="[Tabla_master_rend 1].[Merma_ppto fab]" caption="Merma_ppto fab" attribute="1" defaultMemberUniqueName="[Tabla_master_rend 1].[Merma_ppto fab].[All]" allUniqueName="[Tabla_master_rend 1].[Merma_ppto fab].[All]" dimensionUniqueName="[Tabla_master_rend 1]" displayFolder="" count="0" memberValueDatatype="5" unbalanced="0"/>
    <cacheHierarchy uniqueName="[Tabla_master_rend 1].[Merma_ppto oreo]" caption="Merma_ppto oreo" attribute="1" defaultMemberUniqueName="[Tabla_master_rend 1].[Merma_ppto oreo].[All]" allUniqueName="[Tabla_master_rend 1].[Merma_ppto oreo].[All]" dimensionUniqueName="[Tabla_master_rend 1]" displayFolder="" count="0" memberValueDatatype="5" unbalanced="0"/>
    <cacheHierarchy uniqueName="[Tabla_master_rend 1].[Merma_ppto Env/Enc]" caption="Merma_ppto Env/Enc" attribute="1" defaultMemberUniqueName="[Tabla_master_rend 1].[Merma_ppto Env/Enc].[All]" allUniqueName="[Tabla_master_rend 1].[Merma_ppto Env/Enc].[All]" dimensionUniqueName="[Tabla_master_rend 1]" displayFolder="" count="0" memberValueDatatype="5" unbalanced="0"/>
    <cacheHierarchy uniqueName="[Tabla_master_rend 1].[Merma_T ppto]" caption="Merma_T ppto" attribute="1" defaultMemberUniqueName="[Tabla_master_rend 1].[Merma_T ppto].[All]" allUniqueName="[Tabla_master_rend 1].[Merma_T ppto].[All]" dimensionUniqueName="[Tabla_master_rend 1]" displayFolder="" count="0" memberValueDatatype="5" unbalanced="0"/>
    <cacheHierarchy uniqueName="[Tabla_master_rend 1].[Merma_T ppto %]" caption="Merma_T ppto %" attribute="1" defaultMemberUniqueName="[Tabla_master_rend 1].[Merma_T ppto %].[All]" allUniqueName="[Tabla_master_rend 1].[Merma_T ppto %].[All]" dimensionUniqueName="[Tabla_master_rend 1]" displayFolder="" count="0" memberValueDatatype="5" unbalanced="0"/>
    <cacheHierarchy uniqueName="[Tabla_master_rend 1].[Merma_T real %]" caption="Merma_T real %" attribute="1" defaultMemberUniqueName="[Tabla_master_rend 1].[Merma_T real %].[All]" allUniqueName="[Tabla_master_rend 1].[Merma_T real %].[All]" dimensionUniqueName="[Tabla_master_rend 1]" displayFolder="" count="0" memberValueDatatype="5" unbalanced="0"/>
    <cacheHierarchy uniqueName="[Tabla_master_rend 1].[DIF R Vs PPTO]" caption="DIF R Vs PPTO" attribute="1" defaultMemberUniqueName="[Tabla_master_rend 1].[DIF R Vs PPTO].[All]" allUniqueName="[Tabla_master_rend 1].[DIF R Vs PPTO].[All]" dimensionUniqueName="[Tabla_master_rend 1]" displayFolder="" count="0" memberValueDatatype="5" unbalanced="0"/>
    <cacheHierarchy uniqueName="[Tabla_master_rend 1].[IMPACTO]" caption="IMPACTO" attribute="1" defaultMemberUniqueName="[Tabla_master_rend 1].[IMPACTO].[All]" allUniqueName="[Tabla_master_rend 1].[IMPACTO].[All]" dimensionUniqueName="[Tabla_master_rend 1]" displayFolder="" count="0" memberValueDatatype="5" unbalanced="0"/>
    <cacheHierarchy uniqueName="[Tabla_master_rend 1].[IMPACTO_vs_PPTO]" caption="IMPACTO_vs_PPTO" attribute="1" defaultMemberUniqueName="[Tabla_master_rend 1].[IMPACTO_vs_PPTO].[All]" allUniqueName="[Tabla_master_rend 1].[IMPACTO_vs_PPTO].[All]" dimensionUniqueName="[Tabla_master_rend 1]" displayFolder="" count="0" memberValueDatatype="5" unbalanced="0"/>
    <cacheHierarchy uniqueName="[Tabla_Precio_Venta].[Fecha]" caption="Fecha" attribute="1" defaultMemberUniqueName="[Tabla_Precio_Venta].[Fecha].[All]" allUniqueName="[Tabla_Precio_Venta].[Fecha].[All]" dimensionUniqueName="[Tabla_Precio_Venta]" displayFolder="" count="0" memberValueDatatype="130" unbalanced="0"/>
    <cacheHierarchy uniqueName="[Tabla_Precio_Venta].[Producto]" caption="Producto" attribute="1" defaultMemberUniqueName="[Tabla_Precio_Venta].[Producto].[All]" allUniqueName="[Tabla_Precio_Venta].[Producto].[All]" dimensionUniqueName="[Tabla_Precio_Venta]" displayFolder="" count="0" memberValueDatatype="130" unbalanced="0"/>
    <cacheHierarchy uniqueName="[Tabla_Precio_Venta].[Ventas (kg)]" caption="Ventas (kg)" attribute="1" defaultMemberUniqueName="[Tabla_Precio_Venta].[Ventas (kg)].[All]" allUniqueName="[Tabla_Precio_Venta].[Ventas (kg)].[All]" dimensionUniqueName="[Tabla_Precio_Venta]" displayFolder="" count="0" memberValueDatatype="20" unbalanced="0"/>
    <cacheHierarchy uniqueName="[Tabla_Precio_Venta].[PV_eur_kg]" caption="PV_eur_kg" attribute="1" defaultMemberUniqueName="[Tabla_Precio_Venta].[PV_eur_kg].[All]" allUniqueName="[Tabla_Precio_Venta].[PV_eur_kg].[All]" dimensionUniqueName="[Tabla_Precio_Venta]" displayFolder="" count="0" memberValueDatatype="5" unbalanced="0"/>
    <cacheHierarchy uniqueName="[tbl_DimFecha].[Fecha]" caption="Fecha" attribute="1" time="1" defaultMemberUniqueName="[tbl_DimFecha].[Fecha].[All]" allUniqueName="[tbl_DimFecha].[Fecha].[All]" dimensionUniqueName="[tbl_DimFecha]" displayFolder="" count="0" memberValueDatatype="7" unbalanced="0"/>
    <cacheHierarchy uniqueName="[tbl_DimFecha].[Año]" caption="Año" attribute="1" defaultMemberUniqueName="[tbl_DimFecha].[Año].[All]" allUniqueName="[tbl_DimFecha].[Año].[All]" dimensionUniqueName="[tbl_DimFecha]" displayFolder="" count="2" memberValueDatatype="20" unbalanced="0">
      <fieldsUsage count="2">
        <fieldUsage x="-1"/>
        <fieldUsage x="6"/>
      </fieldsUsage>
    </cacheHierarchy>
    <cacheHierarchy uniqueName="[tbl_DimFecha].[MesN]" caption="MesN" attribute="1" defaultMemberUniqueName="[tbl_DimFecha].[MesN].[All]" allUniqueName="[tbl_DimFecha].[MesN].[All]" dimensionUniqueName="[tbl_DimFecha]" displayFolder="" count="0" memberValueDatatype="20" unbalanced="0"/>
    <cacheHierarchy uniqueName="[tbl_DimFecha].[Mes]" caption="Mes" attribute="1" defaultMemberUniqueName="[tbl_DimFecha].[Mes].[All]" allUniqueName="[tbl_DimFecha].[Mes].[All]" dimensionUniqueName="[tbl_DimFecha]" displayFolder="" count="0" memberValueDatatype="130" unbalanced="0"/>
    <cacheHierarchy uniqueName="[tbl_DimFecha].[AñoMes]" caption="AñoMes" attribute="1" defaultMemberUniqueName="[tbl_DimFecha].[AñoMes].[All]" allUniqueName="[tbl_DimFecha].[AñoMes].[All]" dimensionUniqueName="[tbl_DimFecha]" displayFolder="" count="2" memberValueDatatype="130" unbalanced="0">
      <fieldsUsage count="2">
        <fieldUsage x="-1"/>
        <fieldUsage x="0"/>
      </fieldsUsage>
    </cacheHierarchy>
    <cacheHierarchy uniqueName="[tbl_DimFecha].[SemanaISO]" caption="SemanaISO" attribute="1" defaultMemberUniqueName="[tbl_DimFecha].[SemanaISO].[All]" allUniqueName="[tbl_DimFecha].[SemanaISO].[All]" dimensionUniqueName="[tbl_DimFecha]" displayFolder="" count="0" memberValueDatatype="20" unbalanced="0"/>
    <cacheHierarchy uniqueName="[tbl_DimFecha].[AñoSemana]" caption="AñoSemana" attribute="1" defaultMemberUniqueName="[tbl_DimFecha].[AñoSemana].[All]" allUniqueName="[tbl_DimFecha].[AñoSemana].[All]" dimensionUniqueName="[tbl_DimFecha]" displayFolder="" count="0" memberValueDatatype="130" unbalanced="0"/>
    <cacheHierarchy uniqueName="[tbl_DimFecha].[DiaSemanaN]" caption="DiaSemanaN" attribute="1" defaultMemberUniqueName="[tbl_DimFecha].[DiaSemanaN].[All]" allUniqueName="[tbl_DimFecha].[DiaSemanaN].[All]" dimensionUniqueName="[tbl_DimFecha]" displayFolder="" count="0" memberValueDatatype="20" unbalanced="0"/>
    <cacheHierarchy uniqueName="[tbl_DimFecha].[DiaSemana]" caption="DiaSemana" attribute="1" defaultMemberUniqueName="[tbl_DimFecha].[DiaSemana].[All]" allUniqueName="[tbl_DimFecha].[DiaSemana].[All]" dimensionUniqueName="[tbl_DimFecha]" displayFolder="" count="0" memberValueDatatype="130" unbalanced="0"/>
    <cacheHierarchy uniqueName="[tbl_DimFecha].[Mes_Orden]" caption="Mes_Orden" attribute="1" defaultMemberUniqueName="[tbl_DimFecha].[Mes_Orden].[All]" allUniqueName="[tbl_DimFecha].[Mes_Orden].[All]" dimensionUniqueName="[tbl_DimFecha]" displayFolder="" count="0" memberValueDatatype="130" unbalanced="0"/>
    <cacheHierarchy uniqueName="[tbl_DimProducto].[Producto]" caption="Producto" attribute="1" defaultMemberUniqueName="[tbl_DimProducto].[Producto].[All]" allUniqueName="[tbl_DimProducto].[Producto].[All]" dimensionUniqueName="[tbl_DimProducto]" displayFolder="" count="0" memberValueDatatype="130" unbalanced="0"/>
    <cacheHierarchy uniqueName="[tbl_DimProducto].[Producto_id]" caption="Producto_id" attribute="1" defaultMemberUniqueName="[tbl_DimProducto].[Producto_id].[All]" allUniqueName="[tbl_DimProducto].[Producto_id].[All]" dimensionUniqueName="[tbl_DimProducto]" displayFolder="" count="0" memberValueDatatype="130" unbalanced="0"/>
    <cacheHierarchy uniqueName="[tbl_DimProducto].[Categoría]" caption="Categoría" attribute="1" defaultMemberUniqueName="[tbl_DimProducto].[Categoría].[All]" allUniqueName="[tbl_DimProducto].[Categoría].[All]" dimensionUniqueName="[tbl_DimProducto]" displayFolder="" count="2" memberValueDatatype="130" unbalanced="0"/>
    <cacheHierarchy uniqueName="[tbl_DimProducto].[PesoBarra_kg]" caption="PesoBarra_kg" attribute="1" defaultMemberUniqueName="[tbl_DimProducto].[PesoBarra_kg].[All]" allUniqueName="[tbl_DimProducto].[PesoBarra_kg].[All]" dimensionUniqueName="[tbl_DimProducto]" displayFolder="" count="0" memberValueDatatype="5" unbalanced="0"/>
    <cacheHierarchy uniqueName="[tbl_PrecioLeche].[Año]" caption="Año" attribute="1" defaultMemberUniqueName="[tbl_PrecioLeche].[Año].[All]" allUniqueName="[tbl_PrecioLeche].[Año].[All]" dimensionUniqueName="[tbl_PrecioLeche]" displayFolder="" count="0" memberValueDatatype="20" unbalanced="0"/>
    <cacheHierarchy uniqueName="[tbl_PrecioLeche].[AñoMes]" caption="AñoMes" attribute="1" defaultMemberUniqueName="[tbl_PrecioLeche].[AñoMes].[All]" allUniqueName="[tbl_PrecioLeche].[AñoMes].[All]" dimensionUniqueName="[tbl_PrecioLeche]" displayFolder="" count="0" memberValueDatatype="130" unbalanced="0"/>
    <cacheHierarchy uniqueName="[tbl_PrecioLeche].[Mes]" caption="Mes" attribute="1" defaultMemberUniqueName="[tbl_PrecioLeche].[Mes].[All]" allUniqueName="[tbl_PrecioLeche].[Mes].[All]" dimensionUniqueName="[tbl_PrecioLeche]" displayFolder="" count="0" memberValueDatatype="130" unbalanced="0"/>
    <cacheHierarchy uniqueName="[tbl_PrecioLeche].[Tipo_Leche]" caption="Tipo_Leche" attribute="1" defaultMemberUniqueName="[tbl_PrecioLeche].[Tipo_Leche].[All]" allUniqueName="[tbl_PrecioLeche].[Tipo_Leche].[All]" dimensionUniqueName="[tbl_PrecioLeche]" displayFolder="" count="0" memberValueDatatype="130" unbalanced="0"/>
    <cacheHierarchy uniqueName="[tbl_PrecioLeche].[Precio_base]" caption="Precio_base" attribute="1" defaultMemberUniqueName="[tbl_PrecioLeche].[Precio_base].[All]" allUniqueName="[tbl_PrecioLeche].[Precio_base].[All]" dimensionUniqueName="[tbl_PrecioLeche]" displayFolder="" count="0" memberValueDatatype="20" unbalanced="0"/>
    <cacheHierarchy uniqueName="[tbl_PrecioLeche].[Calidades]" caption="Calidades" attribute="1" defaultMemberUniqueName="[tbl_PrecioLeche].[Calidades].[All]" allUniqueName="[tbl_PrecioLeche].[Calidades].[All]" dimensionUniqueName="[tbl_PrecioLeche]" displayFolder="" count="0" memberValueDatatype="20" unbalanced="0"/>
    <cacheHierarchy uniqueName="[tbl_PrecioLeche].[Transporte]" caption="Transporte" attribute="1" defaultMemberUniqueName="[tbl_PrecioLeche].[Transporte].[All]" allUniqueName="[tbl_PrecioLeche].[Transporte].[All]" dimensionUniqueName="[tbl_PrecioLeche]" displayFolder="" count="0" memberValueDatatype="20" unbalanced="0"/>
    <cacheHierarchy uniqueName="[tbl_PrecioLeche].[PMV_eur_L]" caption="PMV_eur_L" attribute="1" defaultMemberUniqueName="[tbl_PrecioLeche].[PMV_eur_L].[All]" allUniqueName="[tbl_PrecioLeche].[PMV_eur_L].[All]" dimensionUniqueName="[tbl_PrecioLeche]" displayFolder="" count="0" memberValueDatatype="5" unbalanced="0"/>
    <cacheHierarchy uniqueName="[Tabla_master_rend].[Fecha (índice de meses)]" caption="Fecha (índice de meses)" attribute="1" defaultMemberUniqueName="[Tabla_master_rend].[Fecha (índice de meses)].[All]" allUniqueName="[Tabla_master_rend].[Fecha (índice de meses)].[All]" dimensionUniqueName="[Tabla_master_rend]" displayFolder="" count="0" memberValueDatatype="20" unbalanced="0" hidden="1"/>
    <cacheHierarchy uniqueName="[Measures].[Litros_Leche]" caption="Litros_Leche" measure="1" displayFolder="" measureGroup="Tabla_master_rend" count="0" oneField="1">
      <fieldsUsage count="1">
        <fieldUsage x="1"/>
      </fieldsUsage>
    </cacheHierarchy>
    <cacheHierarchy uniqueName="[Measures].[kg_Blancos]" caption="kg_Blancos" measure="1" displayFolder="" measureGroup="Tabla_master_rend" count="0"/>
    <cacheHierarchy uniqueName="[Measures].[Kg_secadero]" caption="Kg_secadero" measure="1" displayFolder="" measureGroup="Tabla_master_rend" count="0"/>
    <cacheHierarchy uniqueName="[Measures].[Merma_TOT_kg]" caption="Merma_TOT_kg" measure="1" displayFolder="" measureGroup="Tabla_master_rend" count="0"/>
    <cacheHierarchy uniqueName="[Measures].[Merma_env_kg]" caption="Merma_env_kg" measure="1" displayFolder="" measureGroup="Tabla_master_rend" count="0"/>
    <cacheHierarchy uniqueName="[Measures].[Impacto_EUR]" caption="Impacto_EUR" measure="1" displayFolder="" measureGroup="Tabla_master_rend" count="0"/>
    <cacheHierarchy uniqueName="[Measures].[RDTO_Blanco_kg]" caption="RDTO_Blanco_kg" measure="1" displayFolder="" measureGroup="Tabla_master_rend" count="0"/>
    <cacheHierarchy uniqueName="[Measures].[Merma_env_pct]" caption="Merma_env_pct" measure="1" displayFolder="" measureGroup="Tabla_master_rend" count="0"/>
    <cacheHierarchy uniqueName="[Measures].[B_totales_u]" caption="B_totales_u" measure="1" displayFolder="" measureGroup="Tabla_master_rend" count="0"/>
    <cacheHierarchy uniqueName="[Measures].[Feas_pct]" caption="Feas_pct" measure="1" displayFolder="" measureGroup="Tabla_master_rend" count="0"/>
    <cacheHierarchy uniqueName="[Measures].[Bajas_pct]" caption="Bajas_pct" measure="1" displayFolder="" measureGroup="Tabla_master_rend" count="0"/>
    <cacheHierarchy uniqueName="[Measures].[Rotas_pct]" caption="Rotas_pct" measure="1" displayFolder="" measureGroup="Tabla_master_rend" count="0"/>
    <cacheHierarchy uniqueName="[Measures].[Recup_kg_sum]" caption="Recup_kg_sum" measure="1" displayFolder="" measureGroup="Tabla_master_rend" count="0"/>
    <cacheHierarchy uniqueName="[Measures].[Merma_inic_kg]" caption="Merma_inic_kg" measure="1" displayFolder="" measureGroup="Tabla_master_rend" count="0"/>
    <cacheHierarchy uniqueName="[Measures].[Recup_pct]" caption="Recup_pct" measure="1" displayFolder="" measureGroup="Tabla_master_rend" count="0"/>
    <cacheHierarchy uniqueName="[Measures].[Merma_env_corregida_kg]" caption="Merma_env_corregida_kg" measure="1" displayFolder="" measureGroup="Tabla_master_rend" count="0"/>
    <cacheHierarchy uniqueName="[Measures].[Merma_env_corregida_pct]" caption="Merma_env_corregida_pct" measure="1" displayFolder="" measureGroup="Tabla_master_rend" count="0"/>
    <cacheHierarchy uniqueName="[Measures].[Merma_TOT_pct]" caption="Merma_TOT_pct" measure="1" displayFolder="" measureGroup="Tabla_master_rend" count="0"/>
    <cacheHierarchy uniqueName="[Measures].[Labo_pct]" caption="Labo_pct" measure="1" displayFolder="" measureGroup="Tabla_master_rend" count="0"/>
    <cacheHierarchy uniqueName="[Measures].[Recup_MG_pct_pond]" caption="Recup_MG_pct_pond" measure="1" displayFolder="" measureGroup="Tabla_master_rend" count="0"/>
    <cacheHierarchy uniqueName="[Measures].[Recup_PT_pct_pond]" caption="Recup_PT_pct_pond" measure="1" displayFolder="" measureGroup="Tabla_master_rend" count="0"/>
    <cacheHierarchy uniqueName="[Measures].[Suero_vs_Leche]" caption="Suero_vs_Leche" measure="1" displayFolder="" measureGroup="Tabla_master_rend" count="0"/>
    <cacheHierarchy uniqueName="[Measures].[MG_suero_pct_pond]" caption="MG_suero_pct_pond" measure="1" displayFolder="" measureGroup="Tabla_master_rend" count="0"/>
    <cacheHierarchy uniqueName="[Measures].[PT_suero_pct_pond]" caption="PT_suero_pct_pond" measure="1" displayFolder="" measureGroup="Tabla_master_rend" count="0"/>
    <cacheHierarchy uniqueName="[Measures].[Nata_leche_L]" caption="Nata_leche_L" measure="1" displayFolder="" measureGroup="Tabla_master_rend" count="0" oneField="1">
      <fieldsUsage count="1">
        <fieldUsage x="2"/>
      </fieldsUsage>
    </cacheHierarchy>
    <cacheHierarchy uniqueName="[Measures].[Nata_suero_L]" caption="Nata_suero_L" measure="1" displayFolder="" measureGroup="Tabla_master_rend" count="0" oneField="1">
      <fieldsUsage count="1">
        <fieldUsage x="3"/>
      </fieldsUsage>
    </cacheHierarchy>
    <cacheHierarchy uniqueName="[Measures].[Nata_suero_pct]" caption="Nata_suero_pct" measure="1" displayFolder="" measureGroup="Tabla_master_rend" count="0"/>
    <cacheHierarchy uniqueName="[Measures].[Valor_Nata_EUR]" caption="Valor_Nata_EUR" measure="1" displayFolder="" measureGroup="Tabla_master_rend" count="0" oneField="1">
      <fieldsUsage count="1">
        <fieldUsage x="4"/>
      </fieldsUsage>
    </cacheHierarchy>
    <cacheHierarchy uniqueName="[Measures].[Nata_Total_L]" caption="Nata_Total_L" measure="1" displayFolder="" measureGroup="Tabla_master_rend" count="0" oneField="1">
      <fieldsUsage count="1">
        <fieldUsage x="5"/>
      </fieldsUsage>
    </cacheHierarchy>
    <cacheHierarchy uniqueName="[Measures].[Solidos_leche_kg]" caption="Solidos_leche_kg" measure="1" displayFolder="" measureGroup="Tabla_master_rend" count="0"/>
    <cacheHierarchy uniqueName="[Measures].[Solidos_en_queso_kg]" caption="Solidos_en_queso_kg" measure="1" displayFolder="" measureGroup="Tabla_master_rend" count="0"/>
    <cacheHierarchy uniqueName="[Measures].[Recup_solidos_a_queso_pct]" caption="Recup_solidos_a_queso_pct" measure="1" displayFolder="" measureGroup="Tabla_master_rend" count="0"/>
    <cacheHierarchy uniqueName="[Measures].[Suero_kg_aprox]" caption="Suero_kg_aprox" measure="1" displayFolder="" measureGroup="Tabla_master_rend" count="0"/>
    <cacheHierarchy uniqueName="[Measures].[Solidos_principales_suero_kg]" caption="Solidos_principales_suero_kg" measure="1" displayFolder="" measureGroup="Tabla_master_rend" count="0"/>
    <cacheHierarchy uniqueName="[Measures].[Solidos_principales_suero_pct_sobre_leche]" caption="Solidos_principales_suero_pct_sobre_leche" measure="1" displayFolder="" measureGroup="Tabla_master_rend" count="0"/>
    <cacheHierarchy uniqueName="[Measures].[Solidos_gap_kg]" caption="Solidos_gap_kg" measure="1" displayFolder="" measureGroup="Tabla_master_rend" count="0"/>
    <cacheHierarchy uniqueName="[Measures].[MG_a_nata_leche_kg]" caption="MG_a_nata_leche_kg" measure="1" displayFolder="" measureGroup="Tabla_master_rend" count="0"/>
    <cacheHierarchy uniqueName="[Measures].[MG_a_nata_leche_pct_sobre_solidos]" caption="MG_a_nata_leche_pct_sobre_solidos" measure="1" displayFolder="" measureGroup="Tabla_master_rend" count="0"/>
    <cacheHierarchy uniqueName="[Measures].[Solidos_leche_FP_kg]" caption="Solidos_leche_FP_kg" measure="1" displayFolder="" measureGroup="Tabla_master_rend" count="0"/>
    <cacheHierarchy uniqueName="[Measures].[Solidos_queso_FP_kg]" caption="Solidos_queso_FP_kg" measure="1" displayFolder="" measureGroup="Tabla_master_rend" count="0"/>
    <cacheHierarchy uniqueName="[Measures].[Solidos_suero_FP_kg]" caption="Solidos_suero_FP_kg" measure="1" displayFolder="" measureGroup="Tabla_master_rend" count="0"/>
    <cacheHierarchy uniqueName="[Measures].[Solidos_GAP_des_pct]" caption="Solidos_GAP_des_pct" measure="1" displayFolder="" measureGroup="Tabla_master_rend" count="0"/>
    <cacheHierarchy uniqueName="[Measures].[RDTO_neto_pond]" caption="RDTO_neto_pond" measure="1" displayFolder="" measureGroup="Tabla_master_rend" count="0"/>
    <cacheHierarchy uniqueName="[Measures].[Recup_FP_queso_pct]" caption="Recup_FP_queso_pct" measure="1" displayFolder="" measureGroup="Tabla_master_rend" count="0"/>
    <cacheHierarchy uniqueName="[Measures].[IMPACTO_VS__PPTO]" caption="IMPACTO_VS__PPTO" measure="1" displayFolder="" measureGroup="Tabla_master_rend" count="0"/>
    <cacheHierarchy uniqueName="[Measures].[€/kg_MP_Queso]" caption="€/kg_MP_Queso" measure="1" displayFolder="" measureGroup="Tabla_master_rend" count="0"/>
    <cacheHierarchy uniqueName="[Measures].[Merma_TOT_%_blanco_a_vendible]" caption="Merma_TOT_%_blanco_a_vendible" measure="1" displayFolder="" measureGroup="Tabla_master_rend" count="0"/>
    <cacheHierarchy uniqueName="[Measures].[Merma_TOT_kg_blanco_a_vendible :]" caption="Merma_TOT_kg_blanco_a_vendible :" measure="1" displayFolder="" measureGroup="Tabla_master_rend" count="0"/>
    <cacheHierarchy uniqueName="[Measures].[Gap_solidos_pct]" caption="Gap_solidos_pct" measure="1" displayFolder="" measureGroup="Tabla_master_rend" count="0"/>
    <cacheHierarchy uniqueName="[Measures].[Kg_saladero_tons]" caption="Kg_saladero_tons" measure="1" displayFolder="" measureGroup="Tabla_master_rend" count="0"/>
    <cacheHierarchy uniqueName="[Measures].[Suero_L]" caption="Suero_L" measure="1" displayFolder="" measureGroup="Tabla_master_rend" count="0"/>
    <cacheHierarchy uniqueName="[Measures].[%_Merma_Finos]" caption="%_Merma_Finos" measure="1" displayFolder="" measureGroup="Tabla_master_rend" count="0"/>
    <cacheHierarchy uniqueName="[Measures].[%_Merma_Llenadora]" caption="%_Merma_Llenadora" measure="1" displayFolder="" measureGroup="Tabla_master_rend" count="0"/>
    <cacheHierarchy uniqueName="[Measures].[%_Merma_Desm]" caption="%_Merma_Desm" measure="1" displayFolder="" measureGroup="Tabla_master_rend" count="0"/>
    <cacheHierarchy uniqueName="[Measures].[%_Merma_oreo]" caption="%_Merma_oreo" measure="1" displayFolder="" measureGroup="Tabla_master_rend" count="0"/>
    <cacheHierarchy uniqueName="[Measures].[__XL_Count tbl_DimProducto]" caption="__XL_Count tbl_DimProducto" measure="1" displayFolder="" measureGroup="tbl_DimProducto" count="0" hidden="1"/>
    <cacheHierarchy uniqueName="[Measures].[__XL_Count tbl_FactRendFecha]" caption="__XL_Count tbl_FactRendFecha" measure="1" displayFolder="" measureGroup="tbl_DimFecha" count="0" hidden="1"/>
    <cacheHierarchy uniqueName="[Measures].[__XL_Count Tabla_master_rend]" caption="__XL_Count Tabla_master_rend" measure="1" displayFolder="" measureGroup="Tabla_master_rend" count="0" hidden="1"/>
    <cacheHierarchy uniqueName="[Measures].[__XL_Count REND_TARGET]" caption="__XL_Count REND_TARGET" measure="1" displayFolder="" measureGroup="REND_TARGET" count="0" hidden="1"/>
    <cacheHierarchy uniqueName="[Measures].[__XL_Count Tabla_master_rend 1]" caption="__XL_Count Tabla_master_rend 1" measure="1" displayFolder="" measureGroup="Tabla_master_rend 1" count="0" hidden="1"/>
    <cacheHierarchy uniqueName="[Measures].[__XL_Count Tabla_Precio_Venta]" caption="__XL_Count Tabla_Precio_Venta" measure="1" displayFolder="" measureGroup="Tabla_Precio_Venta" count="0" hidden="1"/>
    <cacheHierarchy uniqueName="[Measures].[__XL_Count tbl_PrecioLeche]" caption="__XL_Count tbl_PrecioLeche" measure="1" displayFolder="" measureGroup="tbl_PrecioLeche" count="0" hidden="1"/>
    <cacheHierarchy uniqueName="[Measures].[__XL_Count Tabla_Contabilidad]" caption="__XL_Count Tabla_Contabilidad" measure="1" displayFolder="" measureGroup="Tabla_Contabilidad" count="0" hidden="1"/>
    <cacheHierarchy uniqueName="[Measures].[__No measures defined]" caption="__No measures defined" measure="1" displayFolder="" count="0" hidden="1"/>
    <cacheHierarchy uniqueName="[Measures].[Sum of Rend_Ntarget]" caption="Sum of Rend_Ntarget" measure="1" displayFolder="" measureGroup="REND_TARG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imum of Rend_Ntarget]" caption="Maximum of Rend_Ntarget" measure="1" displayFolder="" measureGroup="REND_TARG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REND_TARGET]" caption="Suma de REND_TARGET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Promedio de REND_TARGET]" caption="Promedio de REND_TARGET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RDTO_NETO]" caption="Suma de RDTO_NETO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Kg_Finos]" caption="Suma de Kg_Finos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Kg_Llenadora]" caption="Suma de Kg_Llenadora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Kg_Desmoldeo]" caption="Suma de Kg_Desmoldeo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de Merma_fab]" caption="Suma de Merma_fab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Recuento de L_Agua]" caption="Recuento de L_Agua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de %Merma_env_corr]" caption="Suma de %Merma_env_corr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Promedio de %Merma_env_corr]" caption="Promedio de %Merma_env_corr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a de Gastos Estructura (€∕mes)]" caption="Suma de Gastos Estructura (€∕mes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Gastos Estructura (€∕mes)]" caption="Promedio de Gastos Estructura (€∕mes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BITDA  (M€)]" caption="Suma de EBITDA  (M€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BITDA  (M€)]" caption="Promedio de EBITDA  (M€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9">
    <dimension measure="1" name="Measures" uniqueName="[Measures]" caption="Measures"/>
    <dimension name="REND_TARGET" uniqueName="[REND_TARGET]" caption="REND_TARGET"/>
    <dimension name="Tabla_Contabilidad" uniqueName="[Tabla_Contabilidad]" caption="Tabla_Contabilidad"/>
    <dimension name="Tabla_master_rend" uniqueName="[Tabla_master_rend]" caption="Tabla_master_rend"/>
    <dimension name="Tabla_master_rend 1" uniqueName="[Tabla_master_rend 1]" caption="Tabla_master_rend 1"/>
    <dimension name="Tabla_Precio_Venta" uniqueName="[Tabla_Precio_Venta]" caption="Tabla_Precio_Venta"/>
    <dimension name="tbl_DimFecha" uniqueName="[tbl_DimFecha]" caption="tbl_DimFecha"/>
    <dimension name="tbl_DimProducto" uniqueName="[tbl_DimProducto]" caption="tbl_DimProducto"/>
    <dimension name="tbl_PrecioLeche" uniqueName="[tbl_PrecioLeche]" caption="tbl_PrecioLeche"/>
  </dimensions>
  <measureGroups count="8">
    <measureGroup name="REND_TARGET" caption="REND_TARGET"/>
    <measureGroup name="Tabla_Contabilidad" caption="Tabla_Contabilidad"/>
    <measureGroup name="Tabla_master_rend" caption="Tabla_master_rend"/>
    <measureGroup name="Tabla_master_rend 1" caption="Tabla_master_rend 1"/>
    <measureGroup name="Tabla_Precio_Venta" caption="Tabla_Precio_Venta"/>
    <measureGroup name="tbl_DimFecha" caption="tbl_DimFecha"/>
    <measureGroup name="tbl_DimProducto" caption="tbl_DimProducto"/>
    <measureGroup name="tbl_PrecioLeche" caption="tbl_PrecioLeche"/>
  </measureGroups>
  <maps count="13">
    <map measureGroup="0" dimension="1"/>
    <map measureGroup="0" dimension="7"/>
    <map measureGroup="1" dimension="2"/>
    <map measureGroup="2" dimension="3"/>
    <map measureGroup="2" dimension="6"/>
    <map measureGroup="2" dimension="7"/>
    <map measureGroup="3" dimension="4"/>
    <map measureGroup="4" dimension="5"/>
    <map measureGroup="4" dimension="6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os Colasante" refreshedDate="46134.996719560186" backgroundQuery="1" createdVersion="8" refreshedVersion="8" minRefreshableVersion="3" recordCount="0" supportSubquery="1" supportAdvancedDrill="1" xr:uid="{4E85B79F-1420-4D09-A763-8A6B0C86B0DF}">
  <cacheSource type="external" connectionId="4"/>
  <cacheFields count="3">
    <cacheField name="[Measures].[Kg_saladero_tons]" caption="Kg_saladero_tons" numFmtId="0" hierarchy="257" level="32767"/>
    <cacheField name="[Tabla_master_rend].[Producto].[Producto]" caption="Producto" numFmtId="0" hierarchy="17" level="1">
      <sharedItems count="5">
        <s v="CABRA"/>
        <s v="CREMOSO"/>
        <s v="EDAM_F"/>
        <s v="GOUDA_F"/>
        <s v="OVEJA"/>
      </sharedItems>
    </cacheField>
    <cacheField name="[tbl_DimFecha].[Año].[Año]" caption="Año" numFmtId="0" hierarchy="186" level="1">
      <sharedItems containsSemiMixedTypes="0" containsNonDate="0" containsString="0"/>
    </cacheField>
  </cacheFields>
  <cacheHierarchies count="288">
    <cacheHierarchy uniqueName="[REND_TARGET].[Producto]" caption="Producto" attribute="1" defaultMemberUniqueName="[REND_TARGET].[Producto].[All]" allUniqueName="[REND_TARGET].[Producto].[All]" dimensionUniqueName="[REND_TARGET]" displayFolder="" count="0" memberValueDatatype="130" unbalanced="0"/>
    <cacheHierarchy uniqueName="[REND_TARGET].[Rendimiento Blanco]" caption="Rendimiento Blanco" attribute="1" defaultMemberUniqueName="[REND_TARGET].[Rendimiento Blanco].[All]" allUniqueName="[REND_TARGET].[Rendimiento Blanco].[All]" dimensionUniqueName="[REND_TARGET]" displayFolder="" count="0" memberValueDatatype="5" unbalanced="0"/>
    <cacheHierarchy uniqueName="[REND_TARGET].[Merma Fabr]" caption="Merma Fabr" attribute="1" defaultMemberUniqueName="[REND_TARGET].[Merma Fabr].[All]" allUniqueName="[REND_TARGET].[Merma Fabr].[All]" dimensionUniqueName="[REND_TARGET]" displayFolder="" count="0" memberValueDatatype="5" unbalanced="0"/>
    <cacheHierarchy uniqueName="[REND_TARGET].[Merma Oreo]" caption="Merma Oreo" attribute="1" defaultMemberUniqueName="[REND_TARGET].[Merma Oreo].[All]" allUniqueName="[REND_TARGET].[Merma Oreo].[All]" dimensionUniqueName="[REND_TARGET]" displayFolder="" count="0" memberValueDatatype="5" unbalanced="0"/>
    <cacheHierarchy uniqueName="[REND_TARGET].[Merma E/E]" caption="Merma E/E" attribute="1" defaultMemberUniqueName="[REND_TARGET].[Merma E/E].[All]" allUniqueName="[REND_TARGET].[Merma E/E].[All]" dimensionUniqueName="[REND_TARGET]" displayFolder="" count="0" memberValueDatatype="5" unbalanced="0"/>
    <cacheHierarchy uniqueName="[REND_TARGET].[Rend_Ntarget]" caption="Rend_Ntarget" attribute="1" defaultMemberUniqueName="[REND_TARGET].[Rend_Ntarget].[All]" allUniqueName="[REND_TARGET].[Rend_Ntarget].[All]" dimensionUniqueName="[REND_TARGET]" displayFolder="" count="0" memberValueDatatype="5" unbalanced="0"/>
    <cacheHierarchy uniqueName="[Tabla_Contabilidad].[Año]" caption="Año" attribute="1" defaultMemberUniqueName="[Tabla_Contabilidad].[Año].[All]" allUniqueName="[Tabla_Contabilidad].[Año].[All]" dimensionUniqueName="[Tabla_Contabilidad]" displayFolder="" count="0" memberValueDatatype="20" unbalanced="0"/>
    <cacheHierarchy uniqueName="[Tabla_Contabilidad].[AñoMes]" caption="AñoMes" attribute="1" defaultMemberUniqueName="[Tabla_Contabilidad].[AñoMes].[All]" allUniqueName="[Tabla_Contabilidad].[AñoMes].[All]" dimensionUniqueName="[Tabla_Contabilidad]" displayFolder="" count="0" memberValueDatatype="130" unbalanced="0"/>
    <cacheHierarchy uniqueName="[Tabla_Contabilidad].[Mes]" caption="Mes" attribute="1" defaultMemberUniqueName="[Tabla_Contabilidad].[Mes].[All]" allUniqueName="[Tabla_Contabilidad].[Mes].[All]" dimensionUniqueName="[Tabla_Contabilidad]" displayFolder="" count="0" memberValueDatatype="130" unbalanced="0"/>
    <cacheHierarchy uniqueName="[Tabla_Contabilidad].[Gastos Estructura (€∕mes)]" caption="Gastos Estructura (€∕mes)" attribute="1" defaultMemberUniqueName="[Tabla_Contabilidad].[Gastos Estructura (€∕mes)].[All]" allUniqueName="[Tabla_Contabilidad].[Gastos Estructura (€∕mes)].[All]" dimensionUniqueName="[Tabla_Contabilidad]" displayFolder="" count="0" memberValueDatatype="20" unbalanced="0"/>
    <cacheHierarchy uniqueName="[Tabla_Contabilidad].[EBITDA  (M€)]" caption="EBITDA  (M€)" attribute="1" defaultMemberUniqueName="[Tabla_Contabilidad].[EBITDA  (M€)].[All]" allUniqueName="[Tabla_Contabilidad].[EBITDA  (M€)].[All]" dimensionUniqueName="[Tabla_Contabilidad]" displayFolder="" count="0" memberValueDatatype="20" unbalanced="0"/>
    <cacheHierarchy uniqueName="[Tabla_Contabilidad].[EBITDA_PPTO (M€)]" caption="EBITDA_PPTO (M€)" attribute="1" defaultMemberUniqueName="[Tabla_Contabilidad].[EBITDA_PPTO (M€)].[All]" allUniqueName="[Tabla_Contabilidad].[EBITDA_PPTO (M€)].[All]" dimensionUniqueName="[Tabla_Contabilidad]" displayFolder="" count="0" memberValueDatatype="20" unbalanced="0"/>
    <cacheHierarchy uniqueName="[Tabla_master_rend].[Fecha]" caption="Fecha" attribute="1" time="1" defaultMemberUniqueName="[Tabla_master_rend].[Fecha].[All]" allUniqueName="[Tabla_master_rend].[Fecha].[All]" dimensionUniqueName="[Tabla_master_rend]" displayFolder="" count="0" memberValueDatatype="7" unbalanced="0"/>
    <cacheHierarchy uniqueName="[Tabla_master_rend].[mes]" caption="mes" attribute="1" defaultMemberUniqueName="[Tabla_master_rend].[mes].[All]" allUniqueName="[Tabla_master_rend].[mes].[All]" dimensionUniqueName="[Tabla_master_rend]" displayFolder="" count="0" memberValueDatatype="20" unbalanced="0"/>
    <cacheHierarchy uniqueName="[Tabla_master_rend].[Mes_Nom]" caption="Mes_Nom" attribute="1" defaultMemberUniqueName="[Tabla_master_rend].[Mes_Nom].[All]" allUniqueName="[Tabla_master_rend].[Mes_Nom].[All]" dimensionUniqueName="[Tabla_master_rend]" displayFolder="" count="2" memberValueDatatype="130" unbalanced="0"/>
    <cacheHierarchy uniqueName="[Tabla_master_rend].[Día]" caption="Día" attribute="1" defaultMemberUniqueName="[Tabla_master_rend].[Día].[All]" allUniqueName="[Tabla_master_rend].[Día].[All]" dimensionUniqueName="[Tabla_master_rend]" displayFolder="" count="2" memberValueDatatype="130" unbalanced="0"/>
    <cacheHierarchy uniqueName="[Tabla_master_rend].[Lote]" caption="Lote" attribute="1" defaultMemberUniqueName="[Tabla_master_rend].[Lote].[All]" allUniqueName="[Tabla_master_rend].[Lote].[All]" dimensionUniqueName="[Tabla_master_rend]" displayFolder="" count="0" memberValueDatatype="20" unbalanced="0"/>
    <cacheHierarchy uniqueName="[Tabla_master_rend].[Producto]" caption="Producto" attribute="1" defaultMemberUniqueName="[Tabla_master_rend].[Producto].[All]" allUniqueName="[Tabla_master_rend].[Producto].[All]" dimensionUniqueName="[Tabla_master_rend]" displayFolder="" count="2" memberValueDatatype="130" unbalanced="0">
      <fieldsUsage count="2">
        <fieldUsage x="-1"/>
        <fieldUsage x="1"/>
      </fieldsUsage>
    </cacheHierarchy>
    <cacheHierarchy uniqueName="[Tabla_master_rend].[Cubas_prod]" caption="Cubas_prod" attribute="1" defaultMemberUniqueName="[Tabla_master_rend].[Cubas_prod].[All]" allUniqueName="[Tabla_master_rend].[Cubas_prod].[All]" dimensionUniqueName="[Tabla_master_rend]" displayFolder="" count="0" memberValueDatatype="20" unbalanced="0"/>
    <cacheHierarchy uniqueName="[Tabla_master_rend].[Litros_Leche_Total]" caption="Litros_Leche_Total" attribute="1" defaultMemberUniqueName="[Tabla_master_rend].[Litros_Leche_Total].[All]" allUniqueName="[Tabla_master_rend].[Litros_Leche_Total].[All]" dimensionUniqueName="[Tabla_master_rend]" displayFolder="" count="0" memberValueDatatype="20" unbalanced="0"/>
    <cacheHierarchy uniqueName="[Tabla_master_rend].[L_Leche_ent]" caption="L_Leche_ent" attribute="1" defaultMemberUniqueName="[Tabla_master_rend].[L_Leche_ent].[All]" allUniqueName="[Tabla_master_rend].[L_Leche_ent].[All]" dimensionUniqueName="[Tabla_master_rend]" displayFolder="" count="0" memberValueDatatype="20" unbalanced="0"/>
    <cacheHierarchy uniqueName="[Tabla_master_rend].[%MG_Leche]" caption="%MG_Leche" attribute="1" defaultMemberUniqueName="[Tabla_master_rend].[%MG_Leche].[All]" allUniqueName="[Tabla_master_rend].[%MG_Leche].[All]" dimensionUniqueName="[Tabla_master_rend]" displayFolder="" count="0" memberValueDatatype="5" unbalanced="0"/>
    <cacheHierarchy uniqueName="[Tabla_master_rend].[%MP_Leche]" caption="%MP_Leche" attribute="1" defaultMemberUniqueName="[Tabla_master_rend].[%MP_Leche].[All]" allUniqueName="[Tabla_master_rend].[%MP_Leche].[All]" dimensionUniqueName="[Tabla_master_rend]" displayFolder="" count="0" memberValueDatatype="5" unbalanced="0"/>
    <cacheHierarchy uniqueName="[Tabla_master_rend].[EST_%]" caption="EST_%" attribute="1" defaultMemberUniqueName="[Tabla_master_rend].[EST_%].[All]" allUniqueName="[Tabla_master_rend].[EST_%].[All]" dimensionUniqueName="[Tabla_master_rend]" displayFolder="" count="0" memberValueDatatype="5" unbalanced="0"/>
    <cacheHierarchy uniqueName="[Tabla_master_rend].[Desn_en_linea]" caption="Desn_en_linea" attribute="1" defaultMemberUniqueName="[Tabla_master_rend].[Desn_en_linea].[All]" allUniqueName="[Tabla_master_rend].[Desn_en_linea].[All]" dimensionUniqueName="[Tabla_master_rend]" displayFolder="" count="2" memberValueDatatype="130" unbalanced="0"/>
    <cacheHierarchy uniqueName="[Tabla_master_rend].[L_desn_ext]" caption="L_desn_ext" attribute="1" defaultMemberUniqueName="[Tabla_master_rend].[L_desn_ext].[All]" allUniqueName="[Tabla_master_rend].[L_desn_ext].[All]" dimensionUniqueName="[Tabla_master_rend]" displayFolder="" count="0" memberValueDatatype="20" unbalanced="0"/>
    <cacheHierarchy uniqueName="[Tabla_master_rend].[L_cabra]" caption="L_cabra" attribute="1" defaultMemberUniqueName="[Tabla_master_rend].[L_cabra].[All]" allUniqueName="[Tabla_master_rend].[L_cabra].[All]" dimensionUniqueName="[Tabla_master_rend]" displayFolder="" count="0" memberValueDatatype="20" unbalanced="0"/>
    <cacheHierarchy uniqueName="[Tabla_master_rend].[L_oveja]" caption="L_oveja" attribute="1" defaultMemberUniqueName="[Tabla_master_rend].[L_oveja].[All]" allUniqueName="[Tabla_master_rend].[L_oveja].[All]" dimensionUniqueName="[Tabla_master_rend]" displayFolder="" count="0" memberValueDatatype="20" unbalanced="0"/>
    <cacheHierarchy uniqueName="[Tabla_master_rend].[Litros_Nata]" caption="Litros_Nata" attribute="1" defaultMemberUniqueName="[Tabla_master_rend].[Litros_Nata].[All]" allUniqueName="[Tabla_master_rend].[Litros_Nata].[All]" dimensionUniqueName="[Tabla_master_rend]" displayFolder="" count="0" memberValueDatatype="20" unbalanced="0"/>
    <cacheHierarchy uniqueName="[Tabla_master_rend].[L_nata_suero]" caption="L_nata_suero" attribute="1" defaultMemberUniqueName="[Tabla_master_rend].[L_nata_suero].[All]" allUniqueName="[Tabla_master_rend].[L_nata_suero].[All]" dimensionUniqueName="[Tabla_master_rend]" displayFolder="" count="0" memberValueDatatype="20" unbalanced="0"/>
    <cacheHierarchy uniqueName="[Tabla_master_rend].[L_suero Total]" caption="L_suero Total" attribute="1" defaultMemberUniqueName="[Tabla_master_rend].[L_suero Total].[All]" allUniqueName="[Tabla_master_rend].[L_suero Total].[All]" dimensionUniqueName="[Tabla_master_rend]" displayFolder="" count="0" memberValueDatatype="20" unbalanced="0"/>
    <cacheHierarchy uniqueName="[Tabla_master_rend].[%Suero_vs_leche]" caption="%Suero_vs_leche" attribute="1" defaultMemberUniqueName="[Tabla_master_rend].[%Suero_vs_leche].[All]" allUniqueName="[Tabla_master_rend].[%Suero_vs_leche].[All]" dimensionUniqueName="[Tabla_master_rend]" displayFolder="" count="0" memberValueDatatype="5" unbalanced="0"/>
    <cacheHierarchy uniqueName="[Tabla_master_rend].[MG_suero]" caption="MG_suero" attribute="1" defaultMemberUniqueName="[Tabla_master_rend].[MG_suero].[All]" allUniqueName="[Tabla_master_rend].[MG_suero].[All]" dimensionUniqueName="[Tabla_master_rend]" displayFolder="" count="0" memberValueDatatype="5" unbalanced="0"/>
    <cacheHierarchy uniqueName="[Tabla_master_rend].[MP_suero]" caption="MP_suero" attribute="1" defaultMemberUniqueName="[Tabla_master_rend].[MP_suero].[All]" allUniqueName="[Tabla_master_rend].[MP_suero].[All]" dimensionUniqueName="[Tabla_master_rend]" displayFolder="" count="0" memberValueDatatype="5" unbalanced="0"/>
    <cacheHierarchy uniqueName="[Tabla_master_rend].[L_suero para con]" caption="L_suero para con" attribute="1" defaultMemberUniqueName="[Tabla_master_rend].[L_suero para con].[All]" allUniqueName="[Tabla_master_rend].[L_suero para con].[All]" dimensionUniqueName="[Tabla_master_rend]" displayFolder="" count="0" memberValueDatatype="20" unbalanced="0"/>
    <cacheHierarchy uniqueName="[Tabla_master_rend].[L_suero_con]" caption="L_suero_con" attribute="1" defaultMemberUniqueName="[Tabla_master_rend].[L_suero_con].[All]" allUniqueName="[Tabla_master_rend].[L_suero_con].[All]" dimensionUniqueName="[Tabla_master_rend]" displayFolder="" count="0" memberValueDatatype="20" unbalanced="0"/>
    <cacheHierarchy uniqueName="[Tabla_master_rend].[Rartio_sueroC]" caption="Rartio_sueroC" attribute="1" defaultMemberUniqueName="[Tabla_master_rend].[Rartio_sueroC].[All]" allUniqueName="[Tabla_master_rend].[Rartio_sueroC].[All]" dimensionUniqueName="[Tabla_master_rend]" displayFolder="" count="0" memberValueDatatype="5" unbalanced="0"/>
    <cacheHierarchy uniqueName="[Tabla_master_rend].[L_Suero_Sobrante]" caption="L_Suero_Sobrante" attribute="1" defaultMemberUniqueName="[Tabla_master_rend].[L_Suero_Sobrante].[All]" allUniqueName="[Tabla_master_rend].[L_Suero_Sobrante].[All]" dimensionUniqueName="[Tabla_master_rend]" displayFolder="" count="0" memberValueDatatype="20" unbalanced="0"/>
    <cacheHierarchy uniqueName="[Tabla_master_rend].[MG_sueroc]" caption="MG_sueroc" attribute="1" defaultMemberUniqueName="[Tabla_master_rend].[MG_sueroc].[All]" allUniqueName="[Tabla_master_rend].[MG_sueroc].[All]" dimensionUniqueName="[Tabla_master_rend]" displayFolder="" count="0" memberValueDatatype="20" unbalanced="0"/>
    <cacheHierarchy uniqueName="[Tabla_master_rend].[MP_sueroc]" caption="MP_sueroc" attribute="1" defaultMemberUniqueName="[Tabla_master_rend].[MP_sueroc].[All]" allUniqueName="[Tabla_master_rend].[MP_sueroc].[All]" dimensionUniqueName="[Tabla_master_rend]" displayFolder="" count="0" memberValueDatatype="20" unbalanced="0"/>
    <cacheHierarchy uniqueName="[Tabla_master_rend].[L_LPS_Gen]" caption="L_LPS_Gen" attribute="1" defaultMemberUniqueName="[Tabla_master_rend].[L_LPS_Gen].[All]" allUniqueName="[Tabla_master_rend].[L_LPS_Gen].[All]" dimensionUniqueName="[Tabla_master_rend]" displayFolder="" count="0" memberValueDatatype="20" unbalanced="0"/>
    <cacheHierarchy uniqueName="[Tabla_master_rend].[L_LPS_incor]" caption="L_LPS_incor" attribute="1" defaultMemberUniqueName="[Tabla_master_rend].[L_LPS_incor].[All]" allUniqueName="[Tabla_master_rend].[L_LPS_incor].[All]" dimensionUniqueName="[Tabla_master_rend]" displayFolder="" count="0" memberValueDatatype="20" unbalanced="0"/>
    <cacheHierarchy uniqueName="[Tabla_master_rend].[gr_LPS]" caption="gr_LPS" attribute="1" defaultMemberUniqueName="[Tabla_master_rend].[gr_LPS].[All]" allUniqueName="[Tabla_master_rend].[gr_LPS].[All]" dimensionUniqueName="[Tabla_master_rend]" displayFolder="" count="0" memberValueDatatype="20" unbalanced="0"/>
    <cacheHierarchy uniqueName="[Tabla_master_rend].[MG_LPS]" caption="MG_LPS" attribute="1" defaultMemberUniqueName="[Tabla_master_rend].[MG_LPS].[All]" allUniqueName="[Tabla_master_rend].[MG_LPS].[All]" dimensionUniqueName="[Tabla_master_rend]" displayFolder="" count="0" memberValueDatatype="5" unbalanced="0"/>
    <cacheHierarchy uniqueName="[Tabla_master_rend].[MP_LPS]" caption="MP_LPS" attribute="1" defaultMemberUniqueName="[Tabla_master_rend].[MP_LPS].[All]" allUniqueName="[Tabla_master_rend].[MP_LPS].[All]" dimensionUniqueName="[Tabla_master_rend]" displayFolder="" count="0" memberValueDatatype="5" unbalanced="0"/>
    <cacheHierarchy uniqueName="[Tabla_master_rend].[Kg_Queso_Blan]" caption="Kg_Queso_Blan" attribute="1" defaultMemberUniqueName="[Tabla_master_rend].[Kg_Queso_Blan].[All]" allUniqueName="[Tabla_master_rend].[Kg_Queso_Blan].[All]" dimensionUniqueName="[Tabla_master_rend]" displayFolder="" count="0" memberValueDatatype="5" unbalanced="0"/>
    <cacheHierarchy uniqueName="[Tabla_master_rend].[RDTO_Blanco]" caption="RDTO_Blanco" attribute="1" defaultMemberUniqueName="[Tabla_master_rend].[RDTO_Blanco].[All]" allUniqueName="[Tabla_master_rend].[RDTO_Blanco].[All]" dimensionUniqueName="[Tabla_master_rend]" displayFolder="" count="0" memberValueDatatype="5" unbalanced="0"/>
    <cacheHierarchy uniqueName="[Tabla_master_rend].[RDTO_NETO]" caption="RDTO_NETO" attribute="1" defaultMemberUniqueName="[Tabla_master_rend].[RDTO_NETO].[All]" allUniqueName="[Tabla_master_rend].[RDTO_NETO].[All]" dimensionUniqueName="[Tabla_master_rend]" displayFolder="" count="0" memberValueDatatype="5" unbalanced="0"/>
    <cacheHierarchy uniqueName="[Tabla_master_rend].[REND_TARGET]" caption="REND_TARGET" attribute="1" defaultMemberUniqueName="[Tabla_master_rend].[REND_TARGET].[All]" allUniqueName="[Tabla_master_rend].[REND_TARGET].[All]" dimensionUniqueName="[Tabla_master_rend]" displayFolder="" count="0" memberValueDatatype="5" unbalanced="0"/>
    <cacheHierarchy uniqueName="[Tabla_master_rend].[Kg_Solidos_leche]" caption="Kg_Solidos_leche" attribute="1" defaultMemberUniqueName="[Tabla_master_rend].[Kg_Solidos_leche].[All]" allUniqueName="[Tabla_master_rend].[Kg_Solidos_leche].[All]" dimensionUniqueName="[Tabla_master_rend]" displayFolder="" count="0" memberValueDatatype="5" unbalanced="0"/>
    <cacheHierarchy uniqueName="[Tabla_master_rend].[%MG_QUESO]" caption="%MG_QUESO" attribute="1" defaultMemberUniqueName="[Tabla_master_rend].[%MG_QUESO].[All]" allUniqueName="[Tabla_master_rend].[%MG_QUESO].[All]" dimensionUniqueName="[Tabla_master_rend]" displayFolder="" count="0" memberValueDatatype="5" unbalanced="0"/>
    <cacheHierarchy uniqueName="[Tabla_master_rend].[%PT_QUESO]" caption="%PT_QUESO" attribute="1" defaultMemberUniqueName="[Tabla_master_rend].[%PT_QUESO].[All]" allUniqueName="[Tabla_master_rend].[%PT_QUESO].[All]" dimensionUniqueName="[Tabla_master_rend]" displayFolder="" count="0" memberValueDatatype="5" unbalanced="0"/>
    <cacheHierarchy uniqueName="[Tabla_master_rend].[ES_QUESO]" caption="ES_QUESO" attribute="1" defaultMemberUniqueName="[Tabla_master_rend].[ES_QUESO].[All]" allUniqueName="[Tabla_master_rend].[ES_QUESO].[All]" dimensionUniqueName="[Tabla_master_rend]" displayFolder="" count="0" memberValueDatatype="5" unbalanced="0"/>
    <cacheHierarchy uniqueName="[Tabla_master_rend].[Rendimiento_Solidos_%]" caption="Rendimiento_Solidos_%" attribute="1" defaultMemberUniqueName="[Tabla_master_rend].[Rendimiento_Solidos_%].[All]" allUniqueName="[Tabla_master_rend].[Rendimiento_Solidos_%].[All]" dimensionUniqueName="[Tabla_master_rend]" displayFolder="" count="0" memberValueDatatype="5" unbalanced="0"/>
    <cacheHierarchy uniqueName="[Tabla_master_rend].[Kg_MG_Nata]" caption="Kg_MG_Nata" attribute="1" defaultMemberUniqueName="[Tabla_master_rend].[Kg_MG_Nata].[All]" allUniqueName="[Tabla_master_rend].[Kg_MG_Nata].[All]" dimensionUniqueName="[Tabla_master_rend]" displayFolder="" count="0" memberValueDatatype="5" unbalanced="0"/>
    <cacheHierarchy uniqueName="[Tabla_master_rend].[%RECUP_MG]" caption="%RECUP_MG" attribute="1" defaultMemberUniqueName="[Tabla_master_rend].[%RECUP_MG].[All]" allUniqueName="[Tabla_master_rend].[%RECUP_MG].[All]" dimensionUniqueName="[Tabla_master_rend]" displayFolder="" count="0" memberValueDatatype="5" unbalanced="0"/>
    <cacheHierarchy uniqueName="[Tabla_master_rend].[%RECUP_PT]" caption="%RECUP_PT" attribute="1" defaultMemberUniqueName="[Tabla_master_rend].[%RECUP_PT].[All]" allUniqueName="[Tabla_master_rend].[%RECUP_PT].[All]" dimensionUniqueName="[Tabla_master_rend]" displayFolder="" count="0" memberValueDatatype="5" unbalanced="0"/>
    <cacheHierarchy uniqueName="[Tabla_master_rend].[Valor_Nata_€]" caption="Valor_Nata_€" attribute="1" defaultMemberUniqueName="[Tabla_master_rend].[Valor_Nata_€].[All]" allUniqueName="[Tabla_master_rend].[Valor_Nata_€].[All]" dimensionUniqueName="[Tabla_master_rend]" displayFolder="" count="0" memberValueDatatype="5" unbalanced="0"/>
    <cacheHierarchy uniqueName="[Tabla_master_rend].[Kg_Finos]" caption="Kg_Finos" attribute="1" defaultMemberUniqueName="[Tabla_master_rend].[Kg_Finos].[All]" allUniqueName="[Tabla_master_rend].[Kg_Finos].[All]" dimensionUniqueName="[Tabla_master_rend]" displayFolder="" count="0" memberValueDatatype="5" unbalanced="0"/>
    <cacheHierarchy uniqueName="[Tabla_master_rend].[Kg_Llenadora]" caption="Kg_Llenadora" attribute="1" defaultMemberUniqueName="[Tabla_master_rend].[Kg_Llenadora].[All]" allUniqueName="[Tabla_master_rend].[Kg_Llenadora].[All]" dimensionUniqueName="[Tabla_master_rend]" displayFolder="" count="0" memberValueDatatype="5" unbalanced="0"/>
    <cacheHierarchy uniqueName="[Tabla_master_rend].[Kg_Desmoldeo]" caption="Kg_Desmoldeo" attribute="1" defaultMemberUniqueName="[Tabla_master_rend].[Kg_Desmoldeo].[All]" allUniqueName="[Tabla_master_rend].[Kg_Desmoldeo].[All]" dimensionUniqueName="[Tabla_master_rend]" displayFolder="" count="0" memberValueDatatype="5" unbalanced="0"/>
    <cacheHierarchy uniqueName="[Tabla_master_rend].[Merma_fab]" caption="Merma_fab" attribute="1" defaultMemberUniqueName="[Tabla_master_rend].[Merma_fab].[All]" allUniqueName="[Tabla_master_rend].[Merma_fab].[All]" dimensionUniqueName="[Tabla_master_rend]" displayFolder="" count="0" memberValueDatatype="5" unbalanced="0"/>
    <cacheHierarchy uniqueName="[Tabla_master_rend].[% Merma_fab2]" caption="% Merma_fab2" attribute="1" defaultMemberUniqueName="[Tabla_master_rend].[% Merma_fab2].[All]" allUniqueName="[Tabla_master_rend].[% Merma_fab2].[All]" dimensionUniqueName="[Tabla_master_rend]" displayFolder="" count="0" memberValueDatatype="5" unbalanced="0"/>
    <cacheHierarchy uniqueName="[Tabla_master_rend].[L_Agua]" caption="L_Agua" attribute="1" defaultMemberUniqueName="[Tabla_master_rend].[L_Agua].[All]" allUniqueName="[Tabla_master_rend].[L_Agua].[All]" dimensionUniqueName="[Tabla_master_rend]" displayFolder="" count="0" memberValueDatatype="20" unbalanced="0"/>
    <cacheHierarchy uniqueName="[Tabla_master_rend].[% oreo]" caption="% oreo" attribute="1" defaultMemberUniqueName="[Tabla_master_rend].[% oreo].[All]" allUniqueName="[Tabla_master_rend].[% oreo].[All]" dimensionUniqueName="[Tabla_master_rend]" displayFolder="" count="0" memberValueDatatype="5" unbalanced="0"/>
    <cacheHierarchy uniqueName="[Tabla_master_rend].[B_totales]" caption="B_totales" attribute="1" defaultMemberUniqueName="[Tabla_master_rend].[B_totales].[All]" allUniqueName="[Tabla_master_rend].[B_totales].[All]" dimensionUniqueName="[Tabla_master_rend]" displayFolder="" count="0" memberValueDatatype="5" unbalanced="0"/>
    <cacheHierarchy uniqueName="[Tabla_master_rend].[B_OK_uni]" caption="B_OK_uni" attribute="1" defaultMemberUniqueName="[Tabla_master_rend].[B_OK_uni].[All]" allUniqueName="[Tabla_master_rend].[B_OK_uni].[All]" dimensionUniqueName="[Tabla_master_rend]" displayFolder="" count="0" memberValueDatatype="5" unbalanced="0"/>
    <cacheHierarchy uniqueName="[Tabla_master_rend].[B_OK_kg]" caption="B_OK_kg" attribute="1" defaultMemberUniqueName="[Tabla_master_rend].[B_OK_kg].[All]" allUniqueName="[Tabla_master_rend].[B_OK_kg].[All]" dimensionUniqueName="[Tabla_master_rend]" displayFolder="" count="0" memberValueDatatype="5" unbalanced="0"/>
    <cacheHierarchy uniqueName="[Tabla_master_rend].[B_altas]" caption="B_altas" attribute="1" defaultMemberUniqueName="[Tabla_master_rend].[B_altas].[All]" allUniqueName="[Tabla_master_rend].[B_altas].[All]" dimensionUniqueName="[Tabla_master_rend]" displayFolder="" count="0" memberValueDatatype="5" unbalanced="0"/>
    <cacheHierarchy uniqueName="[Tabla_master_rend].[B_bajas]" caption="B_bajas" attribute="1" defaultMemberUniqueName="[Tabla_master_rend].[B_bajas].[All]" allUniqueName="[Tabla_master_rend].[B_bajas].[All]" dimensionUniqueName="[Tabla_master_rend]" displayFolder="" count="0" memberValueDatatype="5" unbalanced="0"/>
    <cacheHierarchy uniqueName="[Tabla_master_rend].[B_rotas]" caption="B_rotas" attribute="1" defaultMemberUniqueName="[Tabla_master_rend].[B_rotas].[All]" allUniqueName="[Tabla_master_rend].[B_rotas].[All]" dimensionUniqueName="[Tabla_master_rend]" displayFolder="" count="0" memberValueDatatype="5" unbalanced="0"/>
    <cacheHierarchy uniqueName="[Tabla_master_rend].[B_feas]" caption="B_feas" attribute="1" defaultMemberUniqueName="[Tabla_master_rend].[B_feas].[All]" allUniqueName="[Tabla_master_rend].[B_feas].[All]" dimensionUniqueName="[Tabla_master_rend]" displayFolder="" count="0" memberValueDatatype="5" unbalanced="0"/>
    <cacheHierarchy uniqueName="[Tabla_master_rend].[B_lab]" caption="B_lab" attribute="1" defaultMemberUniqueName="[Tabla_master_rend].[B_lab].[All]" allUniqueName="[Tabla_master_rend].[B_lab].[All]" dimensionUniqueName="[Tabla_master_rend]" displayFolder="" count="0" memberValueDatatype="5" unbalanced="0"/>
    <cacheHierarchy uniqueName="[Tabla_master_rend].[Kg_SalidaSecadero]" caption="Kg_SalidaSecadero" attribute="1" defaultMemberUniqueName="[Tabla_master_rend].[Kg_SalidaSecadero].[All]" allUniqueName="[Tabla_master_rend].[Kg_SalidaSecadero].[All]" dimensionUniqueName="[Tabla_master_rend]" displayFolder="" count="0" memberValueDatatype="5" unbalanced="0"/>
    <cacheHierarchy uniqueName="[Tabla_master_rend].[Kg_rebaba]" caption="Kg_rebaba" attribute="1" defaultMemberUniqueName="[Tabla_master_rend].[Kg_rebaba].[All]" allUniqueName="[Tabla_master_rend].[Kg_rebaba].[All]" dimensionUniqueName="[Tabla_master_rend]" displayFolder="" count="0" memberValueDatatype="5" unbalanced="0"/>
    <cacheHierarchy uniqueName="[Tabla_master_rend].[Kg_mer_env_real]" caption="Kg_mer_env_real" attribute="1" defaultMemberUniqueName="[Tabla_master_rend].[Kg_mer_env_real].[All]" allUniqueName="[Tabla_master_rend].[Kg_mer_env_real].[All]" dimensionUniqueName="[Tabla_master_rend]" displayFolder="" count="0" memberValueDatatype="5" unbalanced="0"/>
    <cacheHierarchy uniqueName="[Tabla_master_rend].[kg_mer_lab_real]" caption="kg_mer_lab_real" attribute="1" defaultMemberUniqueName="[Tabla_master_rend].[kg_mer_lab_real].[All]" allUniqueName="[Tabla_master_rend].[kg_mer_lab_real].[All]" dimensionUniqueName="[Tabla_master_rend]" displayFolder="" count="0" memberValueDatatype="5" unbalanced="0"/>
    <cacheHierarchy uniqueName="[Tabla_master_rend].[%Merma_env]" caption="%Merma_env" attribute="1" defaultMemberUniqueName="[Tabla_master_rend].[%Merma_env].[All]" allUniqueName="[Tabla_master_rend].[%Merma_env].[All]" dimensionUniqueName="[Tabla_master_rend]" displayFolder="" count="0" memberValueDatatype="5" unbalanced="0"/>
    <cacheHierarchy uniqueName="[Tabla_master_rend].[%Merma_env_corr]" caption="%Merma_env_corr" attribute="1" defaultMemberUniqueName="[Tabla_master_rend].[%Merma_env_corr].[All]" allUniqueName="[Tabla_master_rend].[%Merma_env_corr].[All]" dimensionUniqueName="[Tabla_master_rend]" displayFolder="" count="0" memberValueDatatype="5" unbalanced="0"/>
    <cacheHierarchy uniqueName="[Tabla_master_rend].[% merma TOT]" caption="% merma TOT" attribute="1" defaultMemberUniqueName="[Tabla_master_rend].[% merma TOT].[All]" allUniqueName="[Tabla_master_rend].[% merma TOT].[All]" dimensionUniqueName="[Tabla_master_rend]" displayFolder="" count="0" memberValueDatatype="5" unbalanced="0"/>
    <cacheHierarchy uniqueName="[Tabla_master_rend].[Merma_TOT]" caption="Merma_TOT" attribute="1" defaultMemberUniqueName="[Tabla_master_rend].[Merma_TOT].[All]" allUniqueName="[Tabla_master_rend].[Merma_TOT].[All]" dimensionUniqueName="[Tabla_master_rend]" displayFolder="" count="0" memberValueDatatype="5" unbalanced="0"/>
    <cacheHierarchy uniqueName="[Tabla_master_rend].[Kg_Env_Total]" caption="Kg_Env_Total" attribute="1" defaultMemberUniqueName="[Tabla_master_rend].[Kg_Env_Total].[All]" allUniqueName="[Tabla_master_rend].[Kg_Env_Total].[All]" dimensionUniqueName="[Tabla_master_rend]" displayFolder="" count="0" memberValueDatatype="5" unbalanced="0"/>
    <cacheHierarchy uniqueName="[Tabla_master_rend].[Coste_Leche_€]" caption="Coste_Leche_€" attribute="1" defaultMemberUniqueName="[Tabla_master_rend].[Coste_Leche_€].[All]" allUniqueName="[Tabla_master_rend].[Coste_Leche_€].[All]" dimensionUniqueName="[Tabla_master_rend]" displayFolder="" count="0" memberValueDatatype="5" unbalanced="0"/>
    <cacheHierarchy uniqueName="[Tabla_master_rend].[€/kg_MPQueso]" caption="€/kg_MPQueso" attribute="1" defaultMemberUniqueName="[Tabla_master_rend].[€/kg_MPQueso].[All]" allUniqueName="[Tabla_master_rend].[€/kg_MPQueso].[All]" dimensionUniqueName="[Tabla_master_rend]" displayFolder="" count="0" memberValueDatatype="5" unbalanced="0"/>
    <cacheHierarchy uniqueName="[Tabla_master_rend].[Merma_inic]" caption="Merma_inic" attribute="1" defaultMemberUniqueName="[Tabla_master_rend].[Merma_inic].[All]" allUniqueName="[Tabla_master_rend].[Merma_inic].[All]" dimensionUniqueName="[Tabla_master_rend]" displayFolder="" count="0" memberValueDatatype="5" unbalanced="0"/>
    <cacheHierarchy uniqueName="[Tabla_master_rend].[Recup_kg]" caption="Recup_kg" attribute="1" defaultMemberUniqueName="[Tabla_master_rend].[Recup_kg].[All]" allUniqueName="[Tabla_master_rend].[Recup_kg].[All]" dimensionUniqueName="[Tabla_master_rend]" displayFolder="" count="0" memberValueDatatype="5" unbalanced="0"/>
    <cacheHierarchy uniqueName="[Tabla_master_rend].[Recup_%]" caption="Recup_%" attribute="1" defaultMemberUniqueName="[Tabla_master_rend].[Recup_%].[All]" allUniqueName="[Tabla_master_rend].[Recup_%].[All]" dimensionUniqueName="[Tabla_master_rend]" displayFolder="" count="0" memberValueDatatype="5" unbalanced="0"/>
    <cacheHierarchy uniqueName="[Tabla_master_rend].[Merma_ppto fab]" caption="Merma_ppto fab" attribute="1" defaultMemberUniqueName="[Tabla_master_rend].[Merma_ppto fab].[All]" allUniqueName="[Tabla_master_rend].[Merma_ppto fab].[All]" dimensionUniqueName="[Tabla_master_rend]" displayFolder="" count="0" memberValueDatatype="5" unbalanced="0"/>
    <cacheHierarchy uniqueName="[Tabla_master_rend].[Merma_ppto oreo]" caption="Merma_ppto oreo" attribute="1" defaultMemberUniqueName="[Tabla_master_rend].[Merma_ppto oreo].[All]" allUniqueName="[Tabla_master_rend].[Merma_ppto oreo].[All]" dimensionUniqueName="[Tabla_master_rend]" displayFolder="" count="0" memberValueDatatype="5" unbalanced="0"/>
    <cacheHierarchy uniqueName="[Tabla_master_rend].[Merma_ppto Env/Enc]" caption="Merma_ppto Env/Enc" attribute="1" defaultMemberUniqueName="[Tabla_master_rend].[Merma_ppto Env/Enc].[All]" allUniqueName="[Tabla_master_rend].[Merma_ppto Env/Enc].[All]" dimensionUniqueName="[Tabla_master_rend]" displayFolder="" count="0" memberValueDatatype="5" unbalanced="0"/>
    <cacheHierarchy uniqueName="[Tabla_master_rend].[Merma_T ppto]" caption="Merma_T ppto" attribute="1" defaultMemberUniqueName="[Tabla_master_rend].[Merma_T ppto].[All]" allUniqueName="[Tabla_master_rend].[Merma_T ppto].[All]" dimensionUniqueName="[Tabla_master_rend]" displayFolder="" count="0" memberValueDatatype="5" unbalanced="0"/>
    <cacheHierarchy uniqueName="[Tabla_master_rend].[Merma_T ppto %]" caption="Merma_T ppto %" attribute="1" defaultMemberUniqueName="[Tabla_master_rend].[Merma_T ppto %].[All]" allUniqueName="[Tabla_master_rend].[Merma_T ppto %].[All]" dimensionUniqueName="[Tabla_master_rend]" displayFolder="" count="0" memberValueDatatype="5" unbalanced="0"/>
    <cacheHierarchy uniqueName="[Tabla_master_rend].[Merma_T real %]" caption="Merma_T real %" attribute="1" defaultMemberUniqueName="[Tabla_master_rend].[Merma_T real %].[All]" allUniqueName="[Tabla_master_rend].[Merma_T real %].[All]" dimensionUniqueName="[Tabla_master_rend]" displayFolder="" count="0" memberValueDatatype="5" unbalanced="0"/>
    <cacheHierarchy uniqueName="[Tabla_master_rend].[DIF R Vs PPTO]" caption="DIF R Vs PPTO" attribute="1" defaultMemberUniqueName="[Tabla_master_rend].[DIF R Vs PPTO].[All]" allUniqueName="[Tabla_master_rend].[DIF R Vs PPTO].[All]" dimensionUniqueName="[Tabla_master_rend]" displayFolder="" count="0" memberValueDatatype="5" unbalanced="0"/>
    <cacheHierarchy uniqueName="[Tabla_master_rend].[IMPACTO]" caption="IMPACTO" attribute="1" defaultMemberUniqueName="[Tabla_master_rend].[IMPACTO].[All]" allUniqueName="[Tabla_master_rend].[IMPACTO].[All]" dimensionUniqueName="[Tabla_master_rend]" displayFolder="" count="0" memberValueDatatype="5" unbalanced="0"/>
    <cacheHierarchy uniqueName="[Tabla_master_rend].[IMPACTO_vs_PPTO]" caption="IMPACTO_vs_PPTO" attribute="1" defaultMemberUniqueName="[Tabla_master_rend].[IMPACTO_vs_PPTO].[All]" allUniqueName="[Tabla_master_rend].[IMPACTO_vs_PPTO].[All]" dimensionUniqueName="[Tabla_master_rend]" displayFolder="" count="0" memberValueDatatype="5" unbalanced="0"/>
    <cacheHierarchy uniqueName="[Tabla_master_rend].[Fecha (mes)]" caption="Fecha (mes)" attribute="1" defaultMemberUniqueName="[Tabla_master_rend].[Fecha (mes)].[All]" allUniqueName="[Tabla_master_rend].[Fecha (mes)].[All]" dimensionUniqueName="[Tabla_master_rend]" displayFolder="" count="0" memberValueDatatype="130" unbalanced="0"/>
    <cacheHierarchy uniqueName="[Tabla_master_rend 1].[Fecha]" caption="Fecha" attribute="1" time="1" defaultMemberUniqueName="[Tabla_master_rend 1].[Fecha].[All]" allUniqueName="[Tabla_master_rend 1].[Fecha].[All]" dimensionUniqueName="[Tabla_master_rend 1]" displayFolder="" count="0" memberValueDatatype="7" unbalanced="0"/>
    <cacheHierarchy uniqueName="[Tabla_master_rend 1].[mes]" caption="mes" attribute="1" defaultMemberUniqueName="[Tabla_master_rend 1].[mes].[All]" allUniqueName="[Tabla_master_rend 1].[mes].[All]" dimensionUniqueName="[Tabla_master_rend 1]" displayFolder="" count="0" memberValueDatatype="20" unbalanced="0"/>
    <cacheHierarchy uniqueName="[Tabla_master_rend 1].[Mes_Nom]" caption="Mes_Nom" attribute="1" defaultMemberUniqueName="[Tabla_master_rend 1].[Mes_Nom].[All]" allUniqueName="[Tabla_master_rend 1].[Mes_Nom].[All]" dimensionUniqueName="[Tabla_master_rend 1]" displayFolder="" count="0" memberValueDatatype="130" unbalanced="0"/>
    <cacheHierarchy uniqueName="[Tabla_master_rend 1].[Día]" caption="Día" attribute="1" defaultMemberUniqueName="[Tabla_master_rend 1].[Día].[All]" allUniqueName="[Tabla_master_rend 1].[Día].[All]" dimensionUniqueName="[Tabla_master_rend 1]" displayFolder="" count="0" memberValueDatatype="130" unbalanced="0"/>
    <cacheHierarchy uniqueName="[Tabla_master_rend 1].[Lote]" caption="Lote" attribute="1" defaultMemberUniqueName="[Tabla_master_rend 1].[Lote].[All]" allUniqueName="[Tabla_master_rend 1].[Lote].[All]" dimensionUniqueName="[Tabla_master_rend 1]" displayFolder="" count="0" memberValueDatatype="130" unbalanced="0"/>
    <cacheHierarchy uniqueName="[Tabla_master_rend 1].[Producto]" caption="Producto" attribute="1" defaultMemberUniqueName="[Tabla_master_rend 1].[Producto].[All]" allUniqueName="[Tabla_master_rend 1].[Producto].[All]" dimensionUniqueName="[Tabla_master_rend 1]" displayFolder="" count="0" memberValueDatatype="130" unbalanced="0"/>
    <cacheHierarchy uniqueName="[Tabla_master_rend 1].[Cubas_prod]" caption="Cubas_prod" attribute="1" defaultMemberUniqueName="[Tabla_master_rend 1].[Cubas_prod].[All]" allUniqueName="[Tabla_master_rend 1].[Cubas_prod].[All]" dimensionUniqueName="[Tabla_master_rend 1]" displayFolder="" count="0" memberValueDatatype="20" unbalanced="0"/>
    <cacheHierarchy uniqueName="[Tabla_master_rend 1].[Litros_Leche_Total]" caption="Litros_Leche_Total" attribute="1" defaultMemberUniqueName="[Tabla_master_rend 1].[Litros_Leche_Total].[All]" allUniqueName="[Tabla_master_rend 1].[Litros_Leche_Total].[All]" dimensionUniqueName="[Tabla_master_rend 1]" displayFolder="" count="0" memberValueDatatype="20" unbalanced="0"/>
    <cacheHierarchy uniqueName="[Tabla_master_rend 1].[L_Leche_ent]" caption="L_Leche_ent" attribute="1" defaultMemberUniqueName="[Tabla_master_rend 1].[L_Leche_ent].[All]" allUniqueName="[Tabla_master_rend 1].[L_Leche_ent].[All]" dimensionUniqueName="[Tabla_master_rend 1]" displayFolder="" count="0" memberValueDatatype="20" unbalanced="0"/>
    <cacheHierarchy uniqueName="[Tabla_master_rend 1].[%MG_Leche]" caption="%MG_Leche" attribute="1" defaultMemberUniqueName="[Tabla_master_rend 1].[%MG_Leche].[All]" allUniqueName="[Tabla_master_rend 1].[%MG_Leche].[All]" dimensionUniqueName="[Tabla_master_rend 1]" displayFolder="" count="0" memberValueDatatype="5" unbalanced="0"/>
    <cacheHierarchy uniqueName="[Tabla_master_rend 1].[%MP_Leche]" caption="%MP_Leche" attribute="1" defaultMemberUniqueName="[Tabla_master_rend 1].[%MP_Leche].[All]" allUniqueName="[Tabla_master_rend 1].[%MP_Leche].[All]" dimensionUniqueName="[Tabla_master_rend 1]" displayFolder="" count="0" memberValueDatatype="5" unbalanced="0"/>
    <cacheHierarchy uniqueName="[Tabla_master_rend 1].[EST_%]" caption="EST_%" attribute="1" defaultMemberUniqueName="[Tabla_master_rend 1].[EST_%].[All]" allUniqueName="[Tabla_master_rend 1].[EST_%].[All]" dimensionUniqueName="[Tabla_master_rend 1]" displayFolder="" count="0" memberValueDatatype="5" unbalanced="0"/>
    <cacheHierarchy uniqueName="[Tabla_master_rend 1].[Desn_en_linea]" caption="Desn_en_linea" attribute="1" defaultMemberUniqueName="[Tabla_master_rend 1].[Desn_en_linea].[All]" allUniqueName="[Tabla_master_rend 1].[Desn_en_linea].[All]" dimensionUniqueName="[Tabla_master_rend 1]" displayFolder="" count="0" memberValueDatatype="130" unbalanced="0"/>
    <cacheHierarchy uniqueName="[Tabla_master_rend 1].[L_desn_ext]" caption="L_desn_ext" attribute="1" defaultMemberUniqueName="[Tabla_master_rend 1].[L_desn_ext].[All]" allUniqueName="[Tabla_master_rend 1].[L_desn_ext].[All]" dimensionUniqueName="[Tabla_master_rend 1]" displayFolder="" count="0" memberValueDatatype="20" unbalanced="0"/>
    <cacheHierarchy uniqueName="[Tabla_master_rend 1].[L_cabra]" caption="L_cabra" attribute="1" defaultMemberUniqueName="[Tabla_master_rend 1].[L_cabra].[All]" allUniqueName="[Tabla_master_rend 1].[L_cabra].[All]" dimensionUniqueName="[Tabla_master_rend 1]" displayFolder="" count="0" memberValueDatatype="20" unbalanced="0"/>
    <cacheHierarchy uniqueName="[Tabla_master_rend 1].[L_oveja]" caption="L_oveja" attribute="1" defaultMemberUniqueName="[Tabla_master_rend 1].[L_oveja].[All]" allUniqueName="[Tabla_master_rend 1].[L_oveja].[All]" dimensionUniqueName="[Tabla_master_rend 1]" displayFolder="" count="0" memberValueDatatype="20" unbalanced="0"/>
    <cacheHierarchy uniqueName="[Tabla_master_rend 1].[Litros_Nata]" caption="Litros_Nata" attribute="1" defaultMemberUniqueName="[Tabla_master_rend 1].[Litros_Nata].[All]" allUniqueName="[Tabla_master_rend 1].[Litros_Nata].[All]" dimensionUniqueName="[Tabla_master_rend 1]" displayFolder="" count="0" memberValueDatatype="20" unbalanced="0"/>
    <cacheHierarchy uniqueName="[Tabla_master_rend 1].[L_nata_suero]" caption="L_nata_suero" attribute="1" defaultMemberUniqueName="[Tabla_master_rend 1].[L_nata_suero].[All]" allUniqueName="[Tabla_master_rend 1].[L_nata_suero].[All]" dimensionUniqueName="[Tabla_master_rend 1]" displayFolder="" count="0" memberValueDatatype="20" unbalanced="0"/>
    <cacheHierarchy uniqueName="[Tabla_master_rend 1].[L_suero Total]" caption="L_suero Total" attribute="1" defaultMemberUniqueName="[Tabla_master_rend 1].[L_suero Total].[All]" allUniqueName="[Tabla_master_rend 1].[L_suero Total].[All]" dimensionUniqueName="[Tabla_master_rend 1]" displayFolder="" count="0" memberValueDatatype="20" unbalanced="0"/>
    <cacheHierarchy uniqueName="[Tabla_master_rend 1].[%Suero_vs_leche]" caption="%Suero_vs_leche" attribute="1" defaultMemberUniqueName="[Tabla_master_rend 1].[%Suero_vs_leche].[All]" allUniqueName="[Tabla_master_rend 1].[%Suero_vs_leche].[All]" dimensionUniqueName="[Tabla_master_rend 1]" displayFolder="" count="0" memberValueDatatype="5" unbalanced="0"/>
    <cacheHierarchy uniqueName="[Tabla_master_rend 1].[MG_suero]" caption="MG_suero" attribute="1" defaultMemberUniqueName="[Tabla_master_rend 1].[MG_suero].[All]" allUniqueName="[Tabla_master_rend 1].[MG_suero].[All]" dimensionUniqueName="[Tabla_master_rend 1]" displayFolder="" count="0" memberValueDatatype="5" unbalanced="0"/>
    <cacheHierarchy uniqueName="[Tabla_master_rend 1].[MP_suero]" caption="MP_suero" attribute="1" defaultMemberUniqueName="[Tabla_master_rend 1].[MP_suero].[All]" allUniqueName="[Tabla_master_rend 1].[MP_suero].[All]" dimensionUniqueName="[Tabla_master_rend 1]" displayFolder="" count="0" memberValueDatatype="5" unbalanced="0"/>
    <cacheHierarchy uniqueName="[Tabla_master_rend 1].[L_suero para con]" caption="L_suero para con" attribute="1" defaultMemberUniqueName="[Tabla_master_rend 1].[L_suero para con].[All]" allUniqueName="[Tabla_master_rend 1].[L_suero para con].[All]" dimensionUniqueName="[Tabla_master_rend 1]" displayFolder="" count="0" memberValueDatatype="20" unbalanced="0"/>
    <cacheHierarchy uniqueName="[Tabla_master_rend 1].[L_suero_con]" caption="L_suero_con" attribute="1" defaultMemberUniqueName="[Tabla_master_rend 1].[L_suero_con].[All]" allUniqueName="[Tabla_master_rend 1].[L_suero_con].[All]" dimensionUniqueName="[Tabla_master_rend 1]" displayFolder="" count="0" memberValueDatatype="20" unbalanced="0"/>
    <cacheHierarchy uniqueName="[Tabla_master_rend 1].[Rartio_sueroC]" caption="Rartio_sueroC" attribute="1" defaultMemberUniqueName="[Tabla_master_rend 1].[Rartio_sueroC].[All]" allUniqueName="[Tabla_master_rend 1].[Rartio_sueroC].[All]" dimensionUniqueName="[Tabla_master_rend 1]" displayFolder="" count="0" memberValueDatatype="5" unbalanced="0"/>
    <cacheHierarchy uniqueName="[Tabla_master_rend 1].[L_Suero_Sobrante]" caption="L_Suero_Sobrante" attribute="1" defaultMemberUniqueName="[Tabla_master_rend 1].[L_Suero_Sobrante].[All]" allUniqueName="[Tabla_master_rend 1].[L_Suero_Sobrante].[All]" dimensionUniqueName="[Tabla_master_rend 1]" displayFolder="" count="0" memberValueDatatype="20" unbalanced="0"/>
    <cacheHierarchy uniqueName="[Tabla_master_rend 1].[MG_sueroc]" caption="MG_sueroc" attribute="1" defaultMemberUniqueName="[Tabla_master_rend 1].[MG_sueroc].[All]" allUniqueName="[Tabla_master_rend 1].[MG_sueroc].[All]" dimensionUniqueName="[Tabla_master_rend 1]" displayFolder="" count="0" memberValueDatatype="130" unbalanced="0"/>
    <cacheHierarchy uniqueName="[Tabla_master_rend 1].[MP_sueroc]" caption="MP_sueroc" attribute="1" defaultMemberUniqueName="[Tabla_master_rend 1].[MP_sueroc].[All]" allUniqueName="[Tabla_master_rend 1].[MP_sueroc].[All]" dimensionUniqueName="[Tabla_master_rend 1]" displayFolder="" count="0" memberValueDatatype="130" unbalanced="0"/>
    <cacheHierarchy uniqueName="[Tabla_master_rend 1].[L_LPS_Gen]" caption="L_LPS_Gen" attribute="1" defaultMemberUniqueName="[Tabla_master_rend 1].[L_LPS_Gen].[All]" allUniqueName="[Tabla_master_rend 1].[L_LPS_Gen].[All]" dimensionUniqueName="[Tabla_master_rend 1]" displayFolder="" count="0" memberValueDatatype="20" unbalanced="0"/>
    <cacheHierarchy uniqueName="[Tabla_master_rend 1].[L_LPS_incor]" caption="L_LPS_incor" attribute="1" defaultMemberUniqueName="[Tabla_master_rend 1].[L_LPS_incor].[All]" allUniqueName="[Tabla_master_rend 1].[L_LPS_incor].[All]" dimensionUniqueName="[Tabla_master_rend 1]" displayFolder="" count="0" memberValueDatatype="20" unbalanced="0"/>
    <cacheHierarchy uniqueName="[Tabla_master_rend 1].[gr_LPS]" caption="gr_LPS" attribute="1" defaultMemberUniqueName="[Tabla_master_rend 1].[gr_LPS].[All]" allUniqueName="[Tabla_master_rend 1].[gr_LPS].[All]" dimensionUniqueName="[Tabla_master_rend 1]" displayFolder="" count="0" memberValueDatatype="20" unbalanced="0"/>
    <cacheHierarchy uniqueName="[Tabla_master_rend 1].[MG_LPS]" caption="MG_LPS" attribute="1" defaultMemberUniqueName="[Tabla_master_rend 1].[MG_LPS].[All]" allUniqueName="[Tabla_master_rend 1].[MG_LPS].[All]" dimensionUniqueName="[Tabla_master_rend 1]" displayFolder="" count="0" memberValueDatatype="5" unbalanced="0"/>
    <cacheHierarchy uniqueName="[Tabla_master_rend 1].[MP_LPS]" caption="MP_LPS" attribute="1" defaultMemberUniqueName="[Tabla_master_rend 1].[MP_LPS].[All]" allUniqueName="[Tabla_master_rend 1].[MP_LPS].[All]" dimensionUniqueName="[Tabla_master_rend 1]" displayFolder="" count="0" memberValueDatatype="5" unbalanced="0"/>
    <cacheHierarchy uniqueName="[Tabla_master_rend 1].[Kg_Queso_Blan]" caption="Kg_Queso_Blan" attribute="1" defaultMemberUniqueName="[Tabla_master_rend 1].[Kg_Queso_Blan].[All]" allUniqueName="[Tabla_master_rend 1].[Kg_Queso_Blan].[All]" dimensionUniqueName="[Tabla_master_rend 1]" displayFolder="" count="0" memberValueDatatype="5" unbalanced="0"/>
    <cacheHierarchy uniqueName="[Tabla_master_rend 1].[RDTO_Blanco]" caption="RDTO_Blanco" attribute="1" defaultMemberUniqueName="[Tabla_master_rend 1].[RDTO_Blanco].[All]" allUniqueName="[Tabla_master_rend 1].[RDTO_Blanco].[All]" dimensionUniqueName="[Tabla_master_rend 1]" displayFolder="" count="0" memberValueDatatype="5" unbalanced="0"/>
    <cacheHierarchy uniqueName="[Tabla_master_rend 1].[RDTO_NETO]" caption="RDTO_NETO" attribute="1" defaultMemberUniqueName="[Tabla_master_rend 1].[RDTO_NETO].[All]" allUniqueName="[Tabla_master_rend 1].[RDTO_NETO].[All]" dimensionUniqueName="[Tabla_master_rend 1]" displayFolder="" count="0" memberValueDatatype="5" unbalanced="0"/>
    <cacheHierarchy uniqueName="[Tabla_master_rend 1].[REND_TARGET]" caption="REND_TARGET" attribute="1" defaultMemberUniqueName="[Tabla_master_rend 1].[REND_TARGET].[All]" allUniqueName="[Tabla_master_rend 1].[REND_TARGET].[All]" dimensionUniqueName="[Tabla_master_rend 1]" displayFolder="" count="0" memberValueDatatype="5" unbalanced="0"/>
    <cacheHierarchy uniqueName="[Tabla_master_rend 1].[Kg_Solidos_leche]" caption="Kg_Solidos_leche" attribute="1" defaultMemberUniqueName="[Tabla_master_rend 1].[Kg_Solidos_leche].[All]" allUniqueName="[Tabla_master_rend 1].[Kg_Solidos_leche].[All]" dimensionUniqueName="[Tabla_master_rend 1]" displayFolder="" count="0" memberValueDatatype="5" unbalanced="0"/>
    <cacheHierarchy uniqueName="[Tabla_master_rend 1].[%MG_QUESO]" caption="%MG_QUESO" attribute="1" defaultMemberUniqueName="[Tabla_master_rend 1].[%MG_QUESO].[All]" allUniqueName="[Tabla_master_rend 1].[%MG_QUESO].[All]" dimensionUniqueName="[Tabla_master_rend 1]" displayFolder="" count="0" memberValueDatatype="5" unbalanced="0"/>
    <cacheHierarchy uniqueName="[Tabla_master_rend 1].[%PT_QUESO]" caption="%PT_QUESO" attribute="1" defaultMemberUniqueName="[Tabla_master_rend 1].[%PT_QUESO].[All]" allUniqueName="[Tabla_master_rend 1].[%PT_QUESO].[All]" dimensionUniqueName="[Tabla_master_rend 1]" displayFolder="" count="0" memberValueDatatype="5" unbalanced="0"/>
    <cacheHierarchy uniqueName="[Tabla_master_rend 1].[ES_QUESO]" caption="ES_QUESO" attribute="1" defaultMemberUniqueName="[Tabla_master_rend 1].[ES_QUESO].[All]" allUniqueName="[Tabla_master_rend 1].[ES_QUESO].[All]" dimensionUniqueName="[Tabla_master_rend 1]" displayFolder="" count="0" memberValueDatatype="5" unbalanced="0"/>
    <cacheHierarchy uniqueName="[Tabla_master_rend 1].[Rendimiento_Solidos_%]" caption="Rendimiento_Solidos_%" attribute="1" defaultMemberUniqueName="[Tabla_master_rend 1].[Rendimiento_Solidos_%].[All]" allUniqueName="[Tabla_master_rend 1].[Rendimiento_Solidos_%].[All]" dimensionUniqueName="[Tabla_master_rend 1]" displayFolder="" count="0" memberValueDatatype="5" unbalanced="0"/>
    <cacheHierarchy uniqueName="[Tabla_master_rend 1].[Kg_MG_Nata]" caption="Kg_MG_Nata" attribute="1" defaultMemberUniqueName="[Tabla_master_rend 1].[Kg_MG_Nata].[All]" allUniqueName="[Tabla_master_rend 1].[Kg_MG_Nata].[All]" dimensionUniqueName="[Tabla_master_rend 1]" displayFolder="" count="0" memberValueDatatype="5" unbalanced="0"/>
    <cacheHierarchy uniqueName="[Tabla_master_rend 1].[%RECUP_MG]" caption="%RECUP_MG" attribute="1" defaultMemberUniqueName="[Tabla_master_rend 1].[%RECUP_MG].[All]" allUniqueName="[Tabla_master_rend 1].[%RECUP_MG].[All]" dimensionUniqueName="[Tabla_master_rend 1]" displayFolder="" count="0" memberValueDatatype="5" unbalanced="0"/>
    <cacheHierarchy uniqueName="[Tabla_master_rend 1].[%RECUP_PT]" caption="%RECUP_PT" attribute="1" defaultMemberUniqueName="[Tabla_master_rend 1].[%RECUP_PT].[All]" allUniqueName="[Tabla_master_rend 1].[%RECUP_PT].[All]" dimensionUniqueName="[Tabla_master_rend 1]" displayFolder="" count="0" memberValueDatatype="5" unbalanced="0"/>
    <cacheHierarchy uniqueName="[Tabla_master_rend 1].[Valor_Nata_€]" caption="Valor_Nata_€" attribute="1" defaultMemberUniqueName="[Tabla_master_rend 1].[Valor_Nata_€].[All]" allUniqueName="[Tabla_master_rend 1].[Valor_Nata_€].[All]" dimensionUniqueName="[Tabla_master_rend 1]" displayFolder="" count="0" memberValueDatatype="5" unbalanced="0"/>
    <cacheHierarchy uniqueName="[Tabla_master_rend 1].[Kg_Finos]" caption="Kg_Finos" attribute="1" defaultMemberUniqueName="[Tabla_master_rend 1].[Kg_Finos].[All]" allUniqueName="[Tabla_master_rend 1].[Kg_Finos].[All]" dimensionUniqueName="[Tabla_master_rend 1]" displayFolder="" count="0" memberValueDatatype="5" unbalanced="0"/>
    <cacheHierarchy uniqueName="[Tabla_master_rend 1].[Kg_Llenadora]" caption="Kg_Llenadora" attribute="1" defaultMemberUniqueName="[Tabla_master_rend 1].[Kg_Llenadora].[All]" allUniqueName="[Tabla_master_rend 1].[Kg_Llenadora].[All]" dimensionUniqueName="[Tabla_master_rend 1]" displayFolder="" count="0" memberValueDatatype="5" unbalanced="0"/>
    <cacheHierarchy uniqueName="[Tabla_master_rend 1].[Kg_Desmoldeo]" caption="Kg_Desmoldeo" attribute="1" defaultMemberUniqueName="[Tabla_master_rend 1].[Kg_Desmoldeo].[All]" allUniqueName="[Tabla_master_rend 1].[Kg_Desmoldeo].[All]" dimensionUniqueName="[Tabla_master_rend 1]" displayFolder="" count="0" memberValueDatatype="5" unbalanced="0"/>
    <cacheHierarchy uniqueName="[Tabla_master_rend 1].[Merma_fab]" caption="Merma_fab" attribute="1" defaultMemberUniqueName="[Tabla_master_rend 1].[Merma_fab].[All]" allUniqueName="[Tabla_master_rend 1].[Merma_fab].[All]" dimensionUniqueName="[Tabla_master_rend 1]" displayFolder="" count="0" memberValueDatatype="5" unbalanced="0"/>
    <cacheHierarchy uniqueName="[Tabla_master_rend 1].[% Merma_fab2]" caption="% Merma_fab2" attribute="1" defaultMemberUniqueName="[Tabla_master_rend 1].[% Merma_fab2].[All]" allUniqueName="[Tabla_master_rend 1].[% Merma_fab2].[All]" dimensionUniqueName="[Tabla_master_rend 1]" displayFolder="" count="0" memberValueDatatype="5" unbalanced="0"/>
    <cacheHierarchy uniqueName="[Tabla_master_rend 1].[L_Agua]" caption="L_Agua" attribute="1" defaultMemberUniqueName="[Tabla_master_rend 1].[L_Agua].[All]" allUniqueName="[Tabla_master_rend 1].[L_Agua].[All]" dimensionUniqueName="[Tabla_master_rend 1]" displayFolder="" count="0" memberValueDatatype="20" unbalanced="0"/>
    <cacheHierarchy uniqueName="[Tabla_master_rend 1].[% oreo]" caption="% oreo" attribute="1" defaultMemberUniqueName="[Tabla_master_rend 1].[% oreo].[All]" allUniqueName="[Tabla_master_rend 1].[% oreo].[All]" dimensionUniqueName="[Tabla_master_rend 1]" displayFolder="" count="0" memberValueDatatype="5" unbalanced="0"/>
    <cacheHierarchy uniqueName="[Tabla_master_rend 1].[B_totales]" caption="B_totales" attribute="1" defaultMemberUniqueName="[Tabla_master_rend 1].[B_totales].[All]" allUniqueName="[Tabla_master_rend 1].[B_totales].[All]" dimensionUniqueName="[Tabla_master_rend 1]" displayFolder="" count="0" memberValueDatatype="20" unbalanced="0"/>
    <cacheHierarchy uniqueName="[Tabla_master_rend 1].[B_OK_uni]" caption="B_OK_uni" attribute="1" defaultMemberUniqueName="[Tabla_master_rend 1].[B_OK_uni].[All]" allUniqueName="[Tabla_master_rend 1].[B_OK_uni].[All]" dimensionUniqueName="[Tabla_master_rend 1]" displayFolder="" count="0" memberValueDatatype="20" unbalanced="0"/>
    <cacheHierarchy uniqueName="[Tabla_master_rend 1].[B_OK_kg]" caption="B_OK_kg" attribute="1" defaultMemberUniqueName="[Tabla_master_rend 1].[B_OK_kg].[All]" allUniqueName="[Tabla_master_rend 1].[B_OK_kg].[All]" dimensionUniqueName="[Tabla_master_rend 1]" displayFolder="" count="0" memberValueDatatype="20" unbalanced="0"/>
    <cacheHierarchy uniqueName="[Tabla_master_rend 1].[B_altas]" caption="B_altas" attribute="1" defaultMemberUniqueName="[Tabla_master_rend 1].[B_altas].[All]" allUniqueName="[Tabla_master_rend 1].[B_altas].[All]" dimensionUniqueName="[Tabla_master_rend 1]" displayFolder="" count="0" memberValueDatatype="20" unbalanced="0"/>
    <cacheHierarchy uniqueName="[Tabla_master_rend 1].[B_bajas]" caption="B_bajas" attribute="1" defaultMemberUniqueName="[Tabla_master_rend 1].[B_bajas].[All]" allUniqueName="[Tabla_master_rend 1].[B_bajas].[All]" dimensionUniqueName="[Tabla_master_rend 1]" displayFolder="" count="0" memberValueDatatype="20" unbalanced="0"/>
    <cacheHierarchy uniqueName="[Tabla_master_rend 1].[B_rotas]" caption="B_rotas" attribute="1" defaultMemberUniqueName="[Tabla_master_rend 1].[B_rotas].[All]" allUniqueName="[Tabla_master_rend 1].[B_rotas].[All]" dimensionUniqueName="[Tabla_master_rend 1]" displayFolder="" count="0" memberValueDatatype="20" unbalanced="0"/>
    <cacheHierarchy uniqueName="[Tabla_master_rend 1].[B_feas]" caption="B_feas" attribute="1" defaultMemberUniqueName="[Tabla_master_rend 1].[B_feas].[All]" allUniqueName="[Tabla_master_rend 1].[B_feas].[All]" dimensionUniqueName="[Tabla_master_rend 1]" displayFolder="" count="0" memberValueDatatype="20" unbalanced="0"/>
    <cacheHierarchy uniqueName="[Tabla_master_rend 1].[B_lab]" caption="B_lab" attribute="1" defaultMemberUniqueName="[Tabla_master_rend 1].[B_lab].[All]" allUniqueName="[Tabla_master_rend 1].[B_lab].[All]" dimensionUniqueName="[Tabla_master_rend 1]" displayFolder="" count="0" memberValueDatatype="20" unbalanced="0"/>
    <cacheHierarchy uniqueName="[Tabla_master_rend 1].[Kg_SalidaSecadero]" caption="Kg_SalidaSecadero" attribute="1" defaultMemberUniqueName="[Tabla_master_rend 1].[Kg_SalidaSecadero].[All]" allUniqueName="[Tabla_master_rend 1].[Kg_SalidaSecadero].[All]" dimensionUniqueName="[Tabla_master_rend 1]" displayFolder="" count="0" memberValueDatatype="20" unbalanced="0"/>
    <cacheHierarchy uniqueName="[Tabla_master_rend 1].[Kg_rebaba]" caption="Kg_rebaba" attribute="1" defaultMemberUniqueName="[Tabla_master_rend 1].[Kg_rebaba].[All]" allUniqueName="[Tabla_master_rend 1].[Kg_rebaba].[All]" dimensionUniqueName="[Tabla_master_rend 1]" displayFolder="" count="0" memberValueDatatype="20" unbalanced="0"/>
    <cacheHierarchy uniqueName="[Tabla_master_rend 1].[Kg_mer_env_real]" caption="Kg_mer_env_real" attribute="1" defaultMemberUniqueName="[Tabla_master_rend 1].[Kg_mer_env_real].[All]" allUniqueName="[Tabla_master_rend 1].[Kg_mer_env_real].[All]" dimensionUniqueName="[Tabla_master_rend 1]" displayFolder="" count="0" memberValueDatatype="5" unbalanced="0"/>
    <cacheHierarchy uniqueName="[Tabla_master_rend 1].[kg_mer_lab_real]" caption="kg_mer_lab_real" attribute="1" defaultMemberUniqueName="[Tabla_master_rend 1].[kg_mer_lab_real].[All]" allUniqueName="[Tabla_master_rend 1].[kg_mer_lab_real].[All]" dimensionUniqueName="[Tabla_master_rend 1]" displayFolder="" count="0" memberValueDatatype="5" unbalanced="0"/>
    <cacheHierarchy uniqueName="[Tabla_master_rend 1].[%Merma_env]" caption="%Merma_env" attribute="1" defaultMemberUniqueName="[Tabla_master_rend 1].[%Merma_env].[All]" allUniqueName="[Tabla_master_rend 1].[%Merma_env].[All]" dimensionUniqueName="[Tabla_master_rend 1]" displayFolder="" count="0" memberValueDatatype="5" unbalanced="0"/>
    <cacheHierarchy uniqueName="[Tabla_master_rend 1].[%Merma_env_corr]" caption="%Merma_env_corr" attribute="1" defaultMemberUniqueName="[Tabla_master_rend 1].[%Merma_env_corr].[All]" allUniqueName="[Tabla_master_rend 1].[%Merma_env_corr].[All]" dimensionUniqueName="[Tabla_master_rend 1]" displayFolder="" count="0" memberValueDatatype="5" unbalanced="0"/>
    <cacheHierarchy uniqueName="[Tabla_master_rend 1].[% merma TOT]" caption="% merma TOT" attribute="1" defaultMemberUniqueName="[Tabla_master_rend 1].[% merma TOT].[All]" allUniqueName="[Tabla_master_rend 1].[% merma TOT].[All]" dimensionUniqueName="[Tabla_master_rend 1]" displayFolder="" count="0" memberValueDatatype="5" unbalanced="0"/>
    <cacheHierarchy uniqueName="[Tabla_master_rend 1].[Merma_TOT]" caption="Merma_TOT" attribute="1" defaultMemberUniqueName="[Tabla_master_rend 1].[Merma_TOT].[All]" allUniqueName="[Tabla_master_rend 1].[Merma_TOT].[All]" dimensionUniqueName="[Tabla_master_rend 1]" displayFolder="" count="0" memberValueDatatype="5" unbalanced="0"/>
    <cacheHierarchy uniqueName="[Tabla_master_rend 1].[Kg_Env_Total]" caption="Kg_Env_Total" attribute="1" defaultMemberUniqueName="[Tabla_master_rend 1].[Kg_Env_Total].[All]" allUniqueName="[Tabla_master_rend 1].[Kg_Env_Total].[All]" dimensionUniqueName="[Tabla_master_rend 1]" displayFolder="" count="0" memberValueDatatype="5" unbalanced="0"/>
    <cacheHierarchy uniqueName="[Tabla_master_rend 1].[Coste_Leche_€]" caption="Coste_Leche_€" attribute="1" defaultMemberUniqueName="[Tabla_master_rend 1].[Coste_Leche_€].[All]" allUniqueName="[Tabla_master_rend 1].[Coste_Leche_€].[All]" dimensionUniqueName="[Tabla_master_rend 1]" displayFolder="" count="0" memberValueDatatype="5" unbalanced="0"/>
    <cacheHierarchy uniqueName="[Tabla_master_rend 1].[€/kg_MPQueso]" caption="€/kg_MPQueso" attribute="1" defaultMemberUniqueName="[Tabla_master_rend 1].[€/kg_MPQueso].[All]" allUniqueName="[Tabla_master_rend 1].[€/kg_MPQueso].[All]" dimensionUniqueName="[Tabla_master_rend 1]" displayFolder="" count="0" memberValueDatatype="5" unbalanced="0"/>
    <cacheHierarchy uniqueName="[Tabla_master_rend 1].[Merma_inic]" caption="Merma_inic" attribute="1" defaultMemberUniqueName="[Tabla_master_rend 1].[Merma_inic].[All]" allUniqueName="[Tabla_master_rend 1].[Merma_inic].[All]" dimensionUniqueName="[Tabla_master_rend 1]" displayFolder="" count="0" memberValueDatatype="5" unbalanced="0"/>
    <cacheHierarchy uniqueName="[Tabla_master_rend 1].[Recup_kg]" caption="Recup_kg" attribute="1" defaultMemberUniqueName="[Tabla_master_rend 1].[Recup_kg].[All]" allUniqueName="[Tabla_master_rend 1].[Recup_kg].[All]" dimensionUniqueName="[Tabla_master_rend 1]" displayFolder="" count="0" memberValueDatatype="5" unbalanced="0"/>
    <cacheHierarchy uniqueName="[Tabla_master_rend 1].[Recup_%]" caption="Recup_%" attribute="1" defaultMemberUniqueName="[Tabla_master_rend 1].[Recup_%].[All]" allUniqueName="[Tabla_master_rend 1].[Recup_%].[All]" dimensionUniqueName="[Tabla_master_rend 1]" displayFolder="" count="0" memberValueDatatype="5" unbalanced="0"/>
    <cacheHierarchy uniqueName="[Tabla_master_rend 1].[Merma_ppto fab]" caption="Merma_ppto fab" attribute="1" defaultMemberUniqueName="[Tabla_master_rend 1].[Merma_ppto fab].[All]" allUniqueName="[Tabla_master_rend 1].[Merma_ppto fab].[All]" dimensionUniqueName="[Tabla_master_rend 1]" displayFolder="" count="0" memberValueDatatype="5" unbalanced="0"/>
    <cacheHierarchy uniqueName="[Tabla_master_rend 1].[Merma_ppto oreo]" caption="Merma_ppto oreo" attribute="1" defaultMemberUniqueName="[Tabla_master_rend 1].[Merma_ppto oreo].[All]" allUniqueName="[Tabla_master_rend 1].[Merma_ppto oreo].[All]" dimensionUniqueName="[Tabla_master_rend 1]" displayFolder="" count="0" memberValueDatatype="5" unbalanced="0"/>
    <cacheHierarchy uniqueName="[Tabla_master_rend 1].[Merma_ppto Env/Enc]" caption="Merma_ppto Env/Enc" attribute="1" defaultMemberUniqueName="[Tabla_master_rend 1].[Merma_ppto Env/Enc].[All]" allUniqueName="[Tabla_master_rend 1].[Merma_ppto Env/Enc].[All]" dimensionUniqueName="[Tabla_master_rend 1]" displayFolder="" count="0" memberValueDatatype="5" unbalanced="0"/>
    <cacheHierarchy uniqueName="[Tabla_master_rend 1].[Merma_T ppto]" caption="Merma_T ppto" attribute="1" defaultMemberUniqueName="[Tabla_master_rend 1].[Merma_T ppto].[All]" allUniqueName="[Tabla_master_rend 1].[Merma_T ppto].[All]" dimensionUniqueName="[Tabla_master_rend 1]" displayFolder="" count="0" memberValueDatatype="5" unbalanced="0"/>
    <cacheHierarchy uniqueName="[Tabla_master_rend 1].[Merma_T ppto %]" caption="Merma_T ppto %" attribute="1" defaultMemberUniqueName="[Tabla_master_rend 1].[Merma_T ppto %].[All]" allUniqueName="[Tabla_master_rend 1].[Merma_T ppto %].[All]" dimensionUniqueName="[Tabla_master_rend 1]" displayFolder="" count="0" memberValueDatatype="5" unbalanced="0"/>
    <cacheHierarchy uniqueName="[Tabla_master_rend 1].[Merma_T real %]" caption="Merma_T real %" attribute="1" defaultMemberUniqueName="[Tabla_master_rend 1].[Merma_T real %].[All]" allUniqueName="[Tabla_master_rend 1].[Merma_T real %].[All]" dimensionUniqueName="[Tabla_master_rend 1]" displayFolder="" count="0" memberValueDatatype="5" unbalanced="0"/>
    <cacheHierarchy uniqueName="[Tabla_master_rend 1].[DIF R Vs PPTO]" caption="DIF R Vs PPTO" attribute="1" defaultMemberUniqueName="[Tabla_master_rend 1].[DIF R Vs PPTO].[All]" allUniqueName="[Tabla_master_rend 1].[DIF R Vs PPTO].[All]" dimensionUniqueName="[Tabla_master_rend 1]" displayFolder="" count="0" memberValueDatatype="5" unbalanced="0"/>
    <cacheHierarchy uniqueName="[Tabla_master_rend 1].[IMPACTO]" caption="IMPACTO" attribute="1" defaultMemberUniqueName="[Tabla_master_rend 1].[IMPACTO].[All]" allUniqueName="[Tabla_master_rend 1].[IMPACTO].[All]" dimensionUniqueName="[Tabla_master_rend 1]" displayFolder="" count="0" memberValueDatatype="5" unbalanced="0"/>
    <cacheHierarchy uniqueName="[Tabla_master_rend 1].[IMPACTO_vs_PPTO]" caption="IMPACTO_vs_PPTO" attribute="1" defaultMemberUniqueName="[Tabla_master_rend 1].[IMPACTO_vs_PPTO].[All]" allUniqueName="[Tabla_master_rend 1].[IMPACTO_vs_PPTO].[All]" dimensionUniqueName="[Tabla_master_rend 1]" displayFolder="" count="0" memberValueDatatype="5" unbalanced="0"/>
    <cacheHierarchy uniqueName="[Tabla_Precio_Venta].[Fecha]" caption="Fecha" attribute="1" defaultMemberUniqueName="[Tabla_Precio_Venta].[Fecha].[All]" allUniqueName="[Tabla_Precio_Venta].[Fecha].[All]" dimensionUniqueName="[Tabla_Precio_Venta]" displayFolder="" count="0" memberValueDatatype="130" unbalanced="0"/>
    <cacheHierarchy uniqueName="[Tabla_Precio_Venta].[Producto]" caption="Producto" attribute="1" defaultMemberUniqueName="[Tabla_Precio_Venta].[Producto].[All]" allUniqueName="[Tabla_Precio_Venta].[Producto].[All]" dimensionUniqueName="[Tabla_Precio_Venta]" displayFolder="" count="0" memberValueDatatype="130" unbalanced="0"/>
    <cacheHierarchy uniqueName="[Tabla_Precio_Venta].[Ventas (kg)]" caption="Ventas (kg)" attribute="1" defaultMemberUniqueName="[Tabla_Precio_Venta].[Ventas (kg)].[All]" allUniqueName="[Tabla_Precio_Venta].[Ventas (kg)].[All]" dimensionUniqueName="[Tabla_Precio_Venta]" displayFolder="" count="0" memberValueDatatype="20" unbalanced="0"/>
    <cacheHierarchy uniqueName="[Tabla_Precio_Venta].[PV_eur_kg]" caption="PV_eur_kg" attribute="1" defaultMemberUniqueName="[Tabla_Precio_Venta].[PV_eur_kg].[All]" allUniqueName="[Tabla_Precio_Venta].[PV_eur_kg].[All]" dimensionUniqueName="[Tabla_Precio_Venta]" displayFolder="" count="0" memberValueDatatype="5" unbalanced="0"/>
    <cacheHierarchy uniqueName="[tbl_DimFecha].[Fecha]" caption="Fecha" attribute="1" time="1" defaultMemberUniqueName="[tbl_DimFecha].[Fecha].[All]" allUniqueName="[tbl_DimFecha].[Fecha].[All]" dimensionUniqueName="[tbl_DimFecha]" displayFolder="" count="0" memberValueDatatype="7" unbalanced="0"/>
    <cacheHierarchy uniqueName="[tbl_DimFecha].[Año]" caption="Año" attribute="1" defaultMemberUniqueName="[tbl_DimFecha].[Año].[All]" allUniqueName="[tbl_DimFecha].[Año].[All]" dimensionUniqueName="[tbl_DimFecha]" displayFolder="" count="2" memberValueDatatype="20" unbalanced="0">
      <fieldsUsage count="2">
        <fieldUsage x="-1"/>
        <fieldUsage x="2"/>
      </fieldsUsage>
    </cacheHierarchy>
    <cacheHierarchy uniqueName="[tbl_DimFecha].[MesN]" caption="MesN" attribute="1" defaultMemberUniqueName="[tbl_DimFecha].[MesN].[All]" allUniqueName="[tbl_DimFecha].[MesN].[All]" dimensionUniqueName="[tbl_DimFecha]" displayFolder="" count="0" memberValueDatatype="20" unbalanced="0"/>
    <cacheHierarchy uniqueName="[tbl_DimFecha].[Mes]" caption="Mes" attribute="1" defaultMemberUniqueName="[tbl_DimFecha].[Mes].[All]" allUniqueName="[tbl_DimFecha].[Mes].[All]" dimensionUniqueName="[tbl_DimFecha]" displayFolder="" count="0" memberValueDatatype="130" unbalanced="0"/>
    <cacheHierarchy uniqueName="[tbl_DimFecha].[AñoMes]" caption="AñoMes" attribute="1" defaultMemberUniqueName="[tbl_DimFecha].[AñoMes].[All]" allUniqueName="[tbl_DimFecha].[AñoMes].[All]" dimensionUniqueName="[tbl_DimFecha]" displayFolder="" count="2" memberValueDatatype="130" unbalanced="0"/>
    <cacheHierarchy uniqueName="[tbl_DimFecha].[SemanaISO]" caption="SemanaISO" attribute="1" defaultMemberUniqueName="[tbl_DimFecha].[SemanaISO].[All]" allUniqueName="[tbl_DimFecha].[SemanaISO].[All]" dimensionUniqueName="[tbl_DimFecha]" displayFolder="" count="0" memberValueDatatype="20" unbalanced="0"/>
    <cacheHierarchy uniqueName="[tbl_DimFecha].[AñoSemana]" caption="AñoSemana" attribute="1" defaultMemberUniqueName="[tbl_DimFecha].[AñoSemana].[All]" allUniqueName="[tbl_DimFecha].[AñoSemana].[All]" dimensionUniqueName="[tbl_DimFecha]" displayFolder="" count="0" memberValueDatatype="130" unbalanced="0"/>
    <cacheHierarchy uniqueName="[tbl_DimFecha].[DiaSemanaN]" caption="DiaSemanaN" attribute="1" defaultMemberUniqueName="[tbl_DimFecha].[DiaSemanaN].[All]" allUniqueName="[tbl_DimFecha].[DiaSemanaN].[All]" dimensionUniqueName="[tbl_DimFecha]" displayFolder="" count="0" memberValueDatatype="20" unbalanced="0"/>
    <cacheHierarchy uniqueName="[tbl_DimFecha].[DiaSemana]" caption="DiaSemana" attribute="1" defaultMemberUniqueName="[tbl_DimFecha].[DiaSemana].[All]" allUniqueName="[tbl_DimFecha].[DiaSemana].[All]" dimensionUniqueName="[tbl_DimFecha]" displayFolder="" count="0" memberValueDatatype="130" unbalanced="0"/>
    <cacheHierarchy uniqueName="[tbl_DimFecha].[Mes_Orden]" caption="Mes_Orden" attribute="1" defaultMemberUniqueName="[tbl_DimFecha].[Mes_Orden].[All]" allUniqueName="[tbl_DimFecha].[Mes_Orden].[All]" dimensionUniqueName="[tbl_DimFecha]" displayFolder="" count="0" memberValueDatatype="130" unbalanced="0"/>
    <cacheHierarchy uniqueName="[tbl_DimProducto].[Producto]" caption="Producto" attribute="1" defaultMemberUniqueName="[tbl_DimProducto].[Producto].[All]" allUniqueName="[tbl_DimProducto].[Producto].[All]" dimensionUniqueName="[tbl_DimProducto]" displayFolder="" count="0" memberValueDatatype="130" unbalanced="0"/>
    <cacheHierarchy uniqueName="[tbl_DimProducto].[Producto_id]" caption="Producto_id" attribute="1" defaultMemberUniqueName="[tbl_DimProducto].[Producto_id].[All]" allUniqueName="[tbl_DimProducto].[Producto_id].[All]" dimensionUniqueName="[tbl_DimProducto]" displayFolder="" count="0" memberValueDatatype="130" unbalanced="0"/>
    <cacheHierarchy uniqueName="[tbl_DimProducto].[Categoría]" caption="Categoría" attribute="1" defaultMemberUniqueName="[tbl_DimProducto].[Categoría].[All]" allUniqueName="[tbl_DimProducto].[Categoría].[All]" dimensionUniqueName="[tbl_DimProducto]" displayFolder="" count="2" memberValueDatatype="130" unbalanced="0"/>
    <cacheHierarchy uniqueName="[tbl_DimProducto].[PesoBarra_kg]" caption="PesoBarra_kg" attribute="1" defaultMemberUniqueName="[tbl_DimProducto].[PesoBarra_kg].[All]" allUniqueName="[tbl_DimProducto].[PesoBarra_kg].[All]" dimensionUniqueName="[tbl_DimProducto]" displayFolder="" count="0" memberValueDatatype="5" unbalanced="0"/>
    <cacheHierarchy uniqueName="[tbl_PrecioLeche].[Año]" caption="Año" attribute="1" defaultMemberUniqueName="[tbl_PrecioLeche].[Año].[All]" allUniqueName="[tbl_PrecioLeche].[Año].[All]" dimensionUniqueName="[tbl_PrecioLeche]" displayFolder="" count="0" memberValueDatatype="20" unbalanced="0"/>
    <cacheHierarchy uniqueName="[tbl_PrecioLeche].[AñoMes]" caption="AñoMes" attribute="1" defaultMemberUniqueName="[tbl_PrecioLeche].[AñoMes].[All]" allUniqueName="[tbl_PrecioLeche].[AñoMes].[All]" dimensionUniqueName="[tbl_PrecioLeche]" displayFolder="" count="0" memberValueDatatype="130" unbalanced="0"/>
    <cacheHierarchy uniqueName="[tbl_PrecioLeche].[Mes]" caption="Mes" attribute="1" defaultMemberUniqueName="[tbl_PrecioLeche].[Mes].[All]" allUniqueName="[tbl_PrecioLeche].[Mes].[All]" dimensionUniqueName="[tbl_PrecioLeche]" displayFolder="" count="0" memberValueDatatype="130" unbalanced="0"/>
    <cacheHierarchy uniqueName="[tbl_PrecioLeche].[Tipo_Leche]" caption="Tipo_Leche" attribute="1" defaultMemberUniqueName="[tbl_PrecioLeche].[Tipo_Leche].[All]" allUniqueName="[tbl_PrecioLeche].[Tipo_Leche].[All]" dimensionUniqueName="[tbl_PrecioLeche]" displayFolder="" count="0" memberValueDatatype="130" unbalanced="0"/>
    <cacheHierarchy uniqueName="[tbl_PrecioLeche].[Precio_base]" caption="Precio_base" attribute="1" defaultMemberUniqueName="[tbl_PrecioLeche].[Precio_base].[All]" allUniqueName="[tbl_PrecioLeche].[Precio_base].[All]" dimensionUniqueName="[tbl_PrecioLeche]" displayFolder="" count="0" memberValueDatatype="20" unbalanced="0"/>
    <cacheHierarchy uniqueName="[tbl_PrecioLeche].[Calidades]" caption="Calidades" attribute="1" defaultMemberUniqueName="[tbl_PrecioLeche].[Calidades].[All]" allUniqueName="[tbl_PrecioLeche].[Calidades].[All]" dimensionUniqueName="[tbl_PrecioLeche]" displayFolder="" count="0" memberValueDatatype="20" unbalanced="0"/>
    <cacheHierarchy uniqueName="[tbl_PrecioLeche].[Transporte]" caption="Transporte" attribute="1" defaultMemberUniqueName="[tbl_PrecioLeche].[Transporte].[All]" allUniqueName="[tbl_PrecioLeche].[Transporte].[All]" dimensionUniqueName="[tbl_PrecioLeche]" displayFolder="" count="0" memberValueDatatype="20" unbalanced="0"/>
    <cacheHierarchy uniqueName="[tbl_PrecioLeche].[PMV_eur_L]" caption="PMV_eur_L" attribute="1" defaultMemberUniqueName="[tbl_PrecioLeche].[PMV_eur_L].[All]" allUniqueName="[tbl_PrecioLeche].[PMV_eur_L].[All]" dimensionUniqueName="[tbl_PrecioLeche]" displayFolder="" count="0" memberValueDatatype="5" unbalanced="0"/>
    <cacheHierarchy uniqueName="[Tabla_master_rend].[Fecha (índice de meses)]" caption="Fecha (índice de meses)" attribute="1" defaultMemberUniqueName="[Tabla_master_rend].[Fecha (índice de meses)].[All]" allUniqueName="[Tabla_master_rend].[Fecha (índice de meses)].[All]" dimensionUniqueName="[Tabla_master_rend]" displayFolder="" count="0" memberValueDatatype="20" unbalanced="0" hidden="1"/>
    <cacheHierarchy uniqueName="[Measures].[Litros_Leche]" caption="Litros_Leche" measure="1" displayFolder="" measureGroup="Tabla_master_rend" count="0"/>
    <cacheHierarchy uniqueName="[Measures].[kg_Blancos]" caption="kg_Blancos" measure="1" displayFolder="" measureGroup="Tabla_master_rend" count="0"/>
    <cacheHierarchy uniqueName="[Measures].[Kg_secadero]" caption="Kg_secadero" measure="1" displayFolder="" measureGroup="Tabla_master_rend" count="0"/>
    <cacheHierarchy uniqueName="[Measures].[Merma_TOT_kg]" caption="Merma_TOT_kg" measure="1" displayFolder="" measureGroup="Tabla_master_rend" count="0"/>
    <cacheHierarchy uniqueName="[Measures].[Merma_env_kg]" caption="Merma_env_kg" measure="1" displayFolder="" measureGroup="Tabla_master_rend" count="0"/>
    <cacheHierarchy uniqueName="[Measures].[Impacto_EUR]" caption="Impacto_EUR" measure="1" displayFolder="" measureGroup="Tabla_master_rend" count="0"/>
    <cacheHierarchy uniqueName="[Measures].[RDTO_Blanco_kg]" caption="RDTO_Blanco_kg" measure="1" displayFolder="" measureGroup="Tabla_master_rend" count="0"/>
    <cacheHierarchy uniqueName="[Measures].[Merma_env_pct]" caption="Merma_env_pct" measure="1" displayFolder="" measureGroup="Tabla_master_rend" count="0"/>
    <cacheHierarchy uniqueName="[Measures].[B_totales_u]" caption="B_totales_u" measure="1" displayFolder="" measureGroup="Tabla_master_rend" count="0"/>
    <cacheHierarchy uniqueName="[Measures].[Feas_pct]" caption="Feas_pct" measure="1" displayFolder="" measureGroup="Tabla_master_rend" count="0"/>
    <cacheHierarchy uniqueName="[Measures].[Bajas_pct]" caption="Bajas_pct" measure="1" displayFolder="" measureGroup="Tabla_master_rend" count="0"/>
    <cacheHierarchy uniqueName="[Measures].[Rotas_pct]" caption="Rotas_pct" measure="1" displayFolder="" measureGroup="Tabla_master_rend" count="0"/>
    <cacheHierarchy uniqueName="[Measures].[Recup_kg_sum]" caption="Recup_kg_sum" measure="1" displayFolder="" measureGroup="Tabla_master_rend" count="0"/>
    <cacheHierarchy uniqueName="[Measures].[Merma_inic_kg]" caption="Merma_inic_kg" measure="1" displayFolder="" measureGroup="Tabla_master_rend" count="0"/>
    <cacheHierarchy uniqueName="[Measures].[Recup_pct]" caption="Recup_pct" measure="1" displayFolder="" measureGroup="Tabla_master_rend" count="0"/>
    <cacheHierarchy uniqueName="[Measures].[Merma_env_corregida_kg]" caption="Merma_env_corregida_kg" measure="1" displayFolder="" measureGroup="Tabla_master_rend" count="0"/>
    <cacheHierarchy uniqueName="[Measures].[Merma_env_corregida_pct]" caption="Merma_env_corregida_pct" measure="1" displayFolder="" measureGroup="Tabla_master_rend" count="0"/>
    <cacheHierarchy uniqueName="[Measures].[Merma_TOT_pct]" caption="Merma_TOT_pct" measure="1" displayFolder="" measureGroup="Tabla_master_rend" count="0"/>
    <cacheHierarchy uniqueName="[Measures].[Labo_pct]" caption="Labo_pct" measure="1" displayFolder="" measureGroup="Tabla_master_rend" count="0"/>
    <cacheHierarchy uniqueName="[Measures].[Recup_MG_pct_pond]" caption="Recup_MG_pct_pond" measure="1" displayFolder="" measureGroup="Tabla_master_rend" count="0"/>
    <cacheHierarchy uniqueName="[Measures].[Recup_PT_pct_pond]" caption="Recup_PT_pct_pond" measure="1" displayFolder="" measureGroup="Tabla_master_rend" count="0"/>
    <cacheHierarchy uniqueName="[Measures].[Suero_vs_Leche]" caption="Suero_vs_Leche" measure="1" displayFolder="" measureGroup="Tabla_master_rend" count="0"/>
    <cacheHierarchy uniqueName="[Measures].[MG_suero_pct_pond]" caption="MG_suero_pct_pond" measure="1" displayFolder="" measureGroup="Tabla_master_rend" count="0"/>
    <cacheHierarchy uniqueName="[Measures].[PT_suero_pct_pond]" caption="PT_suero_pct_pond" measure="1" displayFolder="" measureGroup="Tabla_master_rend" count="0"/>
    <cacheHierarchy uniqueName="[Measures].[Nata_leche_L]" caption="Nata_leche_L" measure="1" displayFolder="" measureGroup="Tabla_master_rend" count="0"/>
    <cacheHierarchy uniqueName="[Measures].[Nata_suero_L]" caption="Nata_suero_L" measure="1" displayFolder="" measureGroup="Tabla_master_rend" count="0"/>
    <cacheHierarchy uniqueName="[Measures].[Nata_suero_pct]" caption="Nata_suero_pct" measure="1" displayFolder="" measureGroup="Tabla_master_rend" count="0"/>
    <cacheHierarchy uniqueName="[Measures].[Valor_Nata_EUR]" caption="Valor_Nata_EUR" measure="1" displayFolder="" measureGroup="Tabla_master_rend" count="0"/>
    <cacheHierarchy uniqueName="[Measures].[Nata_Total_L]" caption="Nata_Total_L" measure="1" displayFolder="" measureGroup="Tabla_master_rend" count="0"/>
    <cacheHierarchy uniqueName="[Measures].[Solidos_leche_kg]" caption="Solidos_leche_kg" measure="1" displayFolder="" measureGroup="Tabla_master_rend" count="0"/>
    <cacheHierarchy uniqueName="[Measures].[Solidos_en_queso_kg]" caption="Solidos_en_queso_kg" measure="1" displayFolder="" measureGroup="Tabla_master_rend" count="0"/>
    <cacheHierarchy uniqueName="[Measures].[Recup_solidos_a_queso_pct]" caption="Recup_solidos_a_queso_pct" measure="1" displayFolder="" measureGroup="Tabla_master_rend" count="0"/>
    <cacheHierarchy uniqueName="[Measures].[Suero_kg_aprox]" caption="Suero_kg_aprox" measure="1" displayFolder="" measureGroup="Tabla_master_rend" count="0"/>
    <cacheHierarchy uniqueName="[Measures].[Solidos_principales_suero_kg]" caption="Solidos_principales_suero_kg" measure="1" displayFolder="" measureGroup="Tabla_master_rend" count="0"/>
    <cacheHierarchy uniqueName="[Measures].[Solidos_principales_suero_pct_sobre_leche]" caption="Solidos_principales_suero_pct_sobre_leche" measure="1" displayFolder="" measureGroup="Tabla_master_rend" count="0"/>
    <cacheHierarchy uniqueName="[Measures].[Solidos_gap_kg]" caption="Solidos_gap_kg" measure="1" displayFolder="" measureGroup="Tabla_master_rend" count="0"/>
    <cacheHierarchy uniqueName="[Measures].[MG_a_nata_leche_kg]" caption="MG_a_nata_leche_kg" measure="1" displayFolder="" measureGroup="Tabla_master_rend" count="0"/>
    <cacheHierarchy uniqueName="[Measures].[MG_a_nata_leche_pct_sobre_solidos]" caption="MG_a_nata_leche_pct_sobre_solidos" measure="1" displayFolder="" measureGroup="Tabla_master_rend" count="0"/>
    <cacheHierarchy uniqueName="[Measures].[Solidos_leche_FP_kg]" caption="Solidos_leche_FP_kg" measure="1" displayFolder="" measureGroup="Tabla_master_rend" count="0"/>
    <cacheHierarchy uniqueName="[Measures].[Solidos_queso_FP_kg]" caption="Solidos_queso_FP_kg" measure="1" displayFolder="" measureGroup="Tabla_master_rend" count="0"/>
    <cacheHierarchy uniqueName="[Measures].[Solidos_suero_FP_kg]" caption="Solidos_suero_FP_kg" measure="1" displayFolder="" measureGroup="Tabla_master_rend" count="0"/>
    <cacheHierarchy uniqueName="[Measures].[Solidos_GAP_des_pct]" caption="Solidos_GAP_des_pct" measure="1" displayFolder="" measureGroup="Tabla_master_rend" count="0"/>
    <cacheHierarchy uniqueName="[Measures].[RDTO_neto_pond]" caption="RDTO_neto_pond" measure="1" displayFolder="" measureGroup="Tabla_master_rend" count="0"/>
    <cacheHierarchy uniqueName="[Measures].[Recup_FP_queso_pct]" caption="Recup_FP_queso_pct" measure="1" displayFolder="" measureGroup="Tabla_master_rend" count="0"/>
    <cacheHierarchy uniqueName="[Measures].[IMPACTO_VS__PPTO]" caption="IMPACTO_VS__PPTO" measure="1" displayFolder="" measureGroup="Tabla_master_rend" count="0"/>
    <cacheHierarchy uniqueName="[Measures].[€/kg_MP_Queso]" caption="€/kg_MP_Queso" measure="1" displayFolder="" measureGroup="Tabla_master_rend" count="0"/>
    <cacheHierarchy uniqueName="[Measures].[Merma_TOT_%_blanco_a_vendible]" caption="Merma_TOT_%_blanco_a_vendible" measure="1" displayFolder="" measureGroup="Tabla_master_rend" count="0"/>
    <cacheHierarchy uniqueName="[Measures].[Merma_TOT_kg_blanco_a_vendible :]" caption="Merma_TOT_kg_blanco_a_vendible :" measure="1" displayFolder="" measureGroup="Tabla_master_rend" count="0"/>
    <cacheHierarchy uniqueName="[Measures].[Gap_solidos_pct]" caption="Gap_solidos_pct" measure="1" displayFolder="" measureGroup="Tabla_master_rend" count="0"/>
    <cacheHierarchy uniqueName="[Measures].[Kg_saladero_tons]" caption="Kg_saladero_tons" measure="1" displayFolder="" measureGroup="Tabla_master_rend" count="0" oneField="1">
      <fieldsUsage count="1">
        <fieldUsage x="0"/>
      </fieldsUsage>
    </cacheHierarchy>
    <cacheHierarchy uniqueName="[Measures].[Suero_L]" caption="Suero_L" measure="1" displayFolder="" measureGroup="Tabla_master_rend" count="0"/>
    <cacheHierarchy uniqueName="[Measures].[%_Merma_Finos]" caption="%_Merma_Finos" measure="1" displayFolder="" measureGroup="Tabla_master_rend" count="0"/>
    <cacheHierarchy uniqueName="[Measures].[%_Merma_Llenadora]" caption="%_Merma_Llenadora" measure="1" displayFolder="" measureGroup="Tabla_master_rend" count="0"/>
    <cacheHierarchy uniqueName="[Measures].[%_Merma_Desm]" caption="%_Merma_Desm" measure="1" displayFolder="" measureGroup="Tabla_master_rend" count="0"/>
    <cacheHierarchy uniqueName="[Measures].[%_Merma_oreo]" caption="%_Merma_oreo" measure="1" displayFolder="" measureGroup="Tabla_master_rend" count="0"/>
    <cacheHierarchy uniqueName="[Measures].[__XL_Count tbl_DimProducto]" caption="__XL_Count tbl_DimProducto" measure="1" displayFolder="" measureGroup="tbl_DimProducto" count="0" hidden="1"/>
    <cacheHierarchy uniqueName="[Measures].[__XL_Count tbl_FactRendFecha]" caption="__XL_Count tbl_FactRendFecha" measure="1" displayFolder="" measureGroup="tbl_DimFecha" count="0" hidden="1"/>
    <cacheHierarchy uniqueName="[Measures].[__XL_Count Tabla_master_rend]" caption="__XL_Count Tabla_master_rend" measure="1" displayFolder="" measureGroup="Tabla_master_rend" count="0" hidden="1"/>
    <cacheHierarchy uniqueName="[Measures].[__XL_Count REND_TARGET]" caption="__XL_Count REND_TARGET" measure="1" displayFolder="" measureGroup="REND_TARGET" count="0" hidden="1"/>
    <cacheHierarchy uniqueName="[Measures].[__XL_Count Tabla_master_rend 1]" caption="__XL_Count Tabla_master_rend 1" measure="1" displayFolder="" measureGroup="Tabla_master_rend 1" count="0" hidden="1"/>
    <cacheHierarchy uniqueName="[Measures].[__XL_Count Tabla_Precio_Venta]" caption="__XL_Count Tabla_Precio_Venta" measure="1" displayFolder="" measureGroup="Tabla_Precio_Venta" count="0" hidden="1"/>
    <cacheHierarchy uniqueName="[Measures].[__XL_Count tbl_PrecioLeche]" caption="__XL_Count tbl_PrecioLeche" measure="1" displayFolder="" measureGroup="tbl_PrecioLeche" count="0" hidden="1"/>
    <cacheHierarchy uniqueName="[Measures].[__XL_Count Tabla_Contabilidad]" caption="__XL_Count Tabla_Contabilidad" measure="1" displayFolder="" measureGroup="Tabla_Contabilidad" count="0" hidden="1"/>
    <cacheHierarchy uniqueName="[Measures].[__No measures defined]" caption="__No measures defined" measure="1" displayFolder="" count="0" hidden="1"/>
    <cacheHierarchy uniqueName="[Measures].[Sum of Rend_Ntarget]" caption="Sum of Rend_Ntarget" measure="1" displayFolder="" measureGroup="REND_TARG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imum of Rend_Ntarget]" caption="Maximum of Rend_Ntarget" measure="1" displayFolder="" measureGroup="REND_TARG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REND_TARGET]" caption="Suma de REND_TARGET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Promedio de REND_TARGET]" caption="Promedio de REND_TARGET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RDTO_NETO]" caption="Suma de RDTO_NETO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Kg_Finos]" caption="Suma de Kg_Finos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Kg_Llenadora]" caption="Suma de Kg_Llenadora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Kg_Desmoldeo]" caption="Suma de Kg_Desmoldeo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de Merma_fab]" caption="Suma de Merma_fab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Recuento de L_Agua]" caption="Recuento de L_Agua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de %Merma_env_corr]" caption="Suma de %Merma_env_corr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Promedio de %Merma_env_corr]" caption="Promedio de %Merma_env_corr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a de Gastos Estructura (€∕mes)]" caption="Suma de Gastos Estructura (€∕mes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Gastos Estructura (€∕mes)]" caption="Promedio de Gastos Estructura (€∕mes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BITDA  (M€)]" caption="Suma de EBITDA  (M€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BITDA  (M€)]" caption="Promedio de EBITDA  (M€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9">
    <dimension measure="1" name="Measures" uniqueName="[Measures]" caption="Measures"/>
    <dimension name="REND_TARGET" uniqueName="[REND_TARGET]" caption="REND_TARGET"/>
    <dimension name="Tabla_Contabilidad" uniqueName="[Tabla_Contabilidad]" caption="Tabla_Contabilidad"/>
    <dimension name="Tabla_master_rend" uniqueName="[Tabla_master_rend]" caption="Tabla_master_rend"/>
    <dimension name="Tabla_master_rend 1" uniqueName="[Tabla_master_rend 1]" caption="Tabla_master_rend 1"/>
    <dimension name="Tabla_Precio_Venta" uniqueName="[Tabla_Precio_Venta]" caption="Tabla_Precio_Venta"/>
    <dimension name="tbl_DimFecha" uniqueName="[tbl_DimFecha]" caption="tbl_DimFecha"/>
    <dimension name="tbl_DimProducto" uniqueName="[tbl_DimProducto]" caption="tbl_DimProducto"/>
    <dimension name="tbl_PrecioLeche" uniqueName="[tbl_PrecioLeche]" caption="tbl_PrecioLeche"/>
  </dimensions>
  <measureGroups count="8">
    <measureGroup name="REND_TARGET" caption="REND_TARGET"/>
    <measureGroup name="Tabla_Contabilidad" caption="Tabla_Contabilidad"/>
    <measureGroup name="Tabla_master_rend" caption="Tabla_master_rend"/>
    <measureGroup name="Tabla_master_rend 1" caption="Tabla_master_rend 1"/>
    <measureGroup name="Tabla_Precio_Venta" caption="Tabla_Precio_Venta"/>
    <measureGroup name="tbl_DimFecha" caption="tbl_DimFecha"/>
    <measureGroup name="tbl_DimProducto" caption="tbl_DimProducto"/>
    <measureGroup name="tbl_PrecioLeche" caption="tbl_PrecioLeche"/>
  </measureGroups>
  <maps count="13">
    <map measureGroup="0" dimension="1"/>
    <map measureGroup="0" dimension="7"/>
    <map measureGroup="1" dimension="2"/>
    <map measureGroup="2" dimension="3"/>
    <map measureGroup="2" dimension="6"/>
    <map measureGroup="2" dimension="7"/>
    <map measureGroup="3" dimension="4"/>
    <map measureGroup="4" dimension="5"/>
    <map measureGroup="4" dimension="6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os Colasante" refreshedDate="46108.351381712964" backgroundQuery="1" createdVersion="3" refreshedVersion="8" minRefreshableVersion="3" recordCount="0" supportSubquery="1" supportAdvancedDrill="1" xr:uid="{7C8A96DD-883D-40BE-9650-825AA93EAD68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88">
    <cacheHierarchy uniqueName="[REND_TARGET].[Producto]" caption="Producto" attribute="1" defaultMemberUniqueName="[REND_TARGET].[Producto].[All]" allUniqueName="[REND_TARGET].[Producto].[All]" dimensionUniqueName="[REND_TARGET]" displayFolder="" count="0" memberValueDatatype="130" unbalanced="0"/>
    <cacheHierarchy uniqueName="[REND_TARGET].[Rendimiento Blanco]" caption="Rendimiento Blanco" attribute="1" defaultMemberUniqueName="[REND_TARGET].[Rendimiento Blanco].[All]" allUniqueName="[REND_TARGET].[Rendimiento Blanco].[All]" dimensionUniqueName="[REND_TARGET]" displayFolder="" count="0" memberValueDatatype="5" unbalanced="0"/>
    <cacheHierarchy uniqueName="[REND_TARGET].[Merma Fabr]" caption="Merma Fabr" attribute="1" defaultMemberUniqueName="[REND_TARGET].[Merma Fabr].[All]" allUniqueName="[REND_TARGET].[Merma Fabr].[All]" dimensionUniqueName="[REND_TARGET]" displayFolder="" count="0" memberValueDatatype="5" unbalanced="0"/>
    <cacheHierarchy uniqueName="[REND_TARGET].[Merma Oreo]" caption="Merma Oreo" attribute="1" defaultMemberUniqueName="[REND_TARGET].[Merma Oreo].[All]" allUniqueName="[REND_TARGET].[Merma Oreo].[All]" dimensionUniqueName="[REND_TARGET]" displayFolder="" count="0" memberValueDatatype="5" unbalanced="0"/>
    <cacheHierarchy uniqueName="[REND_TARGET].[Merma E/E]" caption="Merma E/E" attribute="1" defaultMemberUniqueName="[REND_TARGET].[Merma E/E].[All]" allUniqueName="[REND_TARGET].[Merma E/E].[All]" dimensionUniqueName="[REND_TARGET]" displayFolder="" count="0" memberValueDatatype="5" unbalanced="0"/>
    <cacheHierarchy uniqueName="[REND_TARGET].[Rend_Ntarget]" caption="Rend_Ntarget" attribute="1" defaultMemberUniqueName="[REND_TARGET].[Rend_Ntarget].[All]" allUniqueName="[REND_TARGET].[Rend_Ntarget].[All]" dimensionUniqueName="[REND_TARGET]" displayFolder="" count="0" memberValueDatatype="5" unbalanced="0"/>
    <cacheHierarchy uniqueName="[Tabla_Contabilidad].[Año]" caption="Año" attribute="1" defaultMemberUniqueName="[Tabla_Contabilidad].[Año].[All]" allUniqueName="[Tabla_Contabilidad].[Año].[All]" dimensionUniqueName="[Tabla_Contabilidad]" displayFolder="" count="0" memberValueDatatype="20" unbalanced="0"/>
    <cacheHierarchy uniqueName="[Tabla_Contabilidad].[AñoMes]" caption="AñoMes" attribute="1" defaultMemberUniqueName="[Tabla_Contabilidad].[AñoMes].[All]" allUniqueName="[Tabla_Contabilidad].[AñoMes].[All]" dimensionUniqueName="[Tabla_Contabilidad]" displayFolder="" count="0" memberValueDatatype="130" unbalanced="0"/>
    <cacheHierarchy uniqueName="[Tabla_Contabilidad].[Mes]" caption="Mes" attribute="1" defaultMemberUniqueName="[Tabla_Contabilidad].[Mes].[All]" allUniqueName="[Tabla_Contabilidad].[Mes].[All]" dimensionUniqueName="[Tabla_Contabilidad]" displayFolder="" count="0" memberValueDatatype="130" unbalanced="0"/>
    <cacheHierarchy uniqueName="[Tabla_Contabilidad].[Gastos Estructura (€∕mes)]" caption="Gastos Estructura (€∕mes)" attribute="1" defaultMemberUniqueName="[Tabla_Contabilidad].[Gastos Estructura (€∕mes)].[All]" allUniqueName="[Tabla_Contabilidad].[Gastos Estructura (€∕mes)].[All]" dimensionUniqueName="[Tabla_Contabilidad]" displayFolder="" count="0" memberValueDatatype="20" unbalanced="0"/>
    <cacheHierarchy uniqueName="[Tabla_Contabilidad].[EBITDA  (M€)]" caption="EBITDA  (M€)" attribute="1" defaultMemberUniqueName="[Tabla_Contabilidad].[EBITDA  (M€)].[All]" allUniqueName="[Tabla_Contabilidad].[EBITDA  (M€)].[All]" dimensionUniqueName="[Tabla_Contabilidad]" displayFolder="" count="0" memberValueDatatype="20" unbalanced="0"/>
    <cacheHierarchy uniqueName="[Tabla_Contabilidad].[EBITDA_PPTO (M€)]" caption="EBITDA_PPTO (M€)" attribute="1" defaultMemberUniqueName="[Tabla_Contabilidad].[EBITDA_PPTO (M€)].[All]" allUniqueName="[Tabla_Contabilidad].[EBITDA_PPTO (M€)].[All]" dimensionUniqueName="[Tabla_Contabilidad]" displayFolder="" count="0" memberValueDatatype="20" unbalanced="0"/>
    <cacheHierarchy uniqueName="[Tabla_master_rend].[Fecha]" caption="Fecha" attribute="1" time="1" defaultMemberUniqueName="[Tabla_master_rend].[Fecha].[All]" allUniqueName="[Tabla_master_rend].[Fecha].[All]" dimensionUniqueName="[Tabla_master_rend]" displayFolder="" count="0" memberValueDatatype="7" unbalanced="0"/>
    <cacheHierarchy uniqueName="[Tabla_master_rend].[mes]" caption="mes" attribute="1" defaultMemberUniqueName="[Tabla_master_rend].[mes].[All]" allUniqueName="[Tabla_master_rend].[mes].[All]" dimensionUniqueName="[Tabla_master_rend]" displayFolder="" count="0" memberValueDatatype="20" unbalanced="0"/>
    <cacheHierarchy uniqueName="[Tabla_master_rend].[Mes_Nom]" caption="Mes_Nom" attribute="1" defaultMemberUniqueName="[Tabla_master_rend].[Mes_Nom].[All]" allUniqueName="[Tabla_master_rend].[Mes_Nom].[All]" dimensionUniqueName="[Tabla_master_rend]" displayFolder="" count="0" memberValueDatatype="130" unbalanced="0"/>
    <cacheHierarchy uniqueName="[Tabla_master_rend].[Día]" caption="Día" attribute="1" defaultMemberUniqueName="[Tabla_master_rend].[Día].[All]" allUniqueName="[Tabla_master_rend].[Día].[All]" dimensionUniqueName="[Tabla_master_rend]" displayFolder="" count="0" memberValueDatatype="130" unbalanced="0"/>
    <cacheHierarchy uniqueName="[Tabla_master_rend].[Lote]" caption="Lote" attribute="1" defaultMemberUniqueName="[Tabla_master_rend].[Lote].[All]" allUniqueName="[Tabla_master_rend].[Lote].[All]" dimensionUniqueName="[Tabla_master_rend]" displayFolder="" count="0" memberValueDatatype="20" unbalanced="0"/>
    <cacheHierarchy uniqueName="[Tabla_master_rend].[Producto]" caption="Producto" attribute="1" defaultMemberUniqueName="[Tabla_master_rend].[Producto].[All]" allUniqueName="[Tabla_master_rend].[Producto].[All]" dimensionUniqueName="[Tabla_master_rend]" displayFolder="" count="0" memberValueDatatype="130" unbalanced="0"/>
    <cacheHierarchy uniqueName="[Tabla_master_rend].[Cubas_prod]" caption="Cubas_prod" attribute="1" defaultMemberUniqueName="[Tabla_master_rend].[Cubas_prod].[All]" allUniqueName="[Tabla_master_rend].[Cubas_prod].[All]" dimensionUniqueName="[Tabla_master_rend]" displayFolder="" count="0" memberValueDatatype="20" unbalanced="0"/>
    <cacheHierarchy uniqueName="[Tabla_master_rend].[Litros_Leche_Total]" caption="Litros_Leche_Total" attribute="1" defaultMemberUniqueName="[Tabla_master_rend].[Litros_Leche_Total].[All]" allUniqueName="[Tabla_master_rend].[Litros_Leche_Total].[All]" dimensionUniqueName="[Tabla_master_rend]" displayFolder="" count="0" memberValueDatatype="20" unbalanced="0"/>
    <cacheHierarchy uniqueName="[Tabla_master_rend].[L_Leche_ent]" caption="L_Leche_ent" attribute="1" defaultMemberUniqueName="[Tabla_master_rend].[L_Leche_ent].[All]" allUniqueName="[Tabla_master_rend].[L_Leche_ent].[All]" dimensionUniqueName="[Tabla_master_rend]" displayFolder="" count="0" memberValueDatatype="20" unbalanced="0"/>
    <cacheHierarchy uniqueName="[Tabla_master_rend].[%MG_Leche]" caption="%MG_Leche" attribute="1" defaultMemberUniqueName="[Tabla_master_rend].[%MG_Leche].[All]" allUniqueName="[Tabla_master_rend].[%MG_Leche].[All]" dimensionUniqueName="[Tabla_master_rend]" displayFolder="" count="0" memberValueDatatype="5" unbalanced="0"/>
    <cacheHierarchy uniqueName="[Tabla_master_rend].[%MP_Leche]" caption="%MP_Leche" attribute="1" defaultMemberUniqueName="[Tabla_master_rend].[%MP_Leche].[All]" allUniqueName="[Tabla_master_rend].[%MP_Leche].[All]" dimensionUniqueName="[Tabla_master_rend]" displayFolder="" count="0" memberValueDatatype="5" unbalanced="0"/>
    <cacheHierarchy uniqueName="[Tabla_master_rend].[EST_%]" caption="EST_%" attribute="1" defaultMemberUniqueName="[Tabla_master_rend].[EST_%].[All]" allUniqueName="[Tabla_master_rend].[EST_%].[All]" dimensionUniqueName="[Tabla_master_rend]" displayFolder="" count="0" memberValueDatatype="5" unbalanced="0"/>
    <cacheHierarchy uniqueName="[Tabla_master_rend].[Desn_en_linea]" caption="Desn_en_linea" attribute="1" defaultMemberUniqueName="[Tabla_master_rend].[Desn_en_linea].[All]" allUniqueName="[Tabla_master_rend].[Desn_en_linea].[All]" dimensionUniqueName="[Tabla_master_rend]" displayFolder="" count="0" memberValueDatatype="130" unbalanced="0"/>
    <cacheHierarchy uniqueName="[Tabla_master_rend].[L_desn_ext]" caption="L_desn_ext" attribute="1" defaultMemberUniqueName="[Tabla_master_rend].[L_desn_ext].[All]" allUniqueName="[Tabla_master_rend].[L_desn_ext].[All]" dimensionUniqueName="[Tabla_master_rend]" displayFolder="" count="0" memberValueDatatype="20" unbalanced="0"/>
    <cacheHierarchy uniqueName="[Tabla_master_rend].[L_cabra]" caption="L_cabra" attribute="1" defaultMemberUniqueName="[Tabla_master_rend].[L_cabra].[All]" allUniqueName="[Tabla_master_rend].[L_cabra].[All]" dimensionUniqueName="[Tabla_master_rend]" displayFolder="" count="0" memberValueDatatype="20" unbalanced="0"/>
    <cacheHierarchy uniqueName="[Tabla_master_rend].[L_oveja]" caption="L_oveja" attribute="1" defaultMemberUniqueName="[Tabla_master_rend].[L_oveja].[All]" allUniqueName="[Tabla_master_rend].[L_oveja].[All]" dimensionUniqueName="[Tabla_master_rend]" displayFolder="" count="0" memberValueDatatype="20" unbalanced="0"/>
    <cacheHierarchy uniqueName="[Tabla_master_rend].[Litros_Nata]" caption="Litros_Nata" attribute="1" defaultMemberUniqueName="[Tabla_master_rend].[Litros_Nata].[All]" allUniqueName="[Tabla_master_rend].[Litros_Nata].[All]" dimensionUniqueName="[Tabla_master_rend]" displayFolder="" count="0" memberValueDatatype="20" unbalanced="0"/>
    <cacheHierarchy uniqueName="[Tabla_master_rend].[L_nata_suero]" caption="L_nata_suero" attribute="1" defaultMemberUniqueName="[Tabla_master_rend].[L_nata_suero].[All]" allUniqueName="[Tabla_master_rend].[L_nata_suero].[All]" dimensionUniqueName="[Tabla_master_rend]" displayFolder="" count="0" memberValueDatatype="20" unbalanced="0"/>
    <cacheHierarchy uniqueName="[Tabla_master_rend].[L_suero Total]" caption="L_suero Total" attribute="1" defaultMemberUniqueName="[Tabla_master_rend].[L_suero Total].[All]" allUniqueName="[Tabla_master_rend].[L_suero Total].[All]" dimensionUniqueName="[Tabla_master_rend]" displayFolder="" count="0" memberValueDatatype="20" unbalanced="0"/>
    <cacheHierarchy uniqueName="[Tabla_master_rend].[%Suero_vs_leche]" caption="%Suero_vs_leche" attribute="1" defaultMemberUniqueName="[Tabla_master_rend].[%Suero_vs_leche].[All]" allUniqueName="[Tabla_master_rend].[%Suero_vs_leche].[All]" dimensionUniqueName="[Tabla_master_rend]" displayFolder="" count="0" memberValueDatatype="5" unbalanced="0"/>
    <cacheHierarchy uniqueName="[Tabla_master_rend].[MG_suero]" caption="MG_suero" attribute="1" defaultMemberUniqueName="[Tabla_master_rend].[MG_suero].[All]" allUniqueName="[Tabla_master_rend].[MG_suero].[All]" dimensionUniqueName="[Tabla_master_rend]" displayFolder="" count="0" memberValueDatatype="5" unbalanced="0"/>
    <cacheHierarchy uniqueName="[Tabla_master_rend].[MP_suero]" caption="MP_suero" attribute="1" defaultMemberUniqueName="[Tabla_master_rend].[MP_suero].[All]" allUniqueName="[Tabla_master_rend].[MP_suero].[All]" dimensionUniqueName="[Tabla_master_rend]" displayFolder="" count="0" memberValueDatatype="5" unbalanced="0"/>
    <cacheHierarchy uniqueName="[Tabla_master_rend].[L_suero para con]" caption="L_suero para con" attribute="1" defaultMemberUniqueName="[Tabla_master_rend].[L_suero para con].[All]" allUniqueName="[Tabla_master_rend].[L_suero para con].[All]" dimensionUniqueName="[Tabla_master_rend]" displayFolder="" count="0" memberValueDatatype="20" unbalanced="0"/>
    <cacheHierarchy uniqueName="[Tabla_master_rend].[L_suero_con]" caption="L_suero_con" attribute="1" defaultMemberUniqueName="[Tabla_master_rend].[L_suero_con].[All]" allUniqueName="[Tabla_master_rend].[L_suero_con].[All]" dimensionUniqueName="[Tabla_master_rend]" displayFolder="" count="0" memberValueDatatype="20" unbalanced="0"/>
    <cacheHierarchy uniqueName="[Tabla_master_rend].[Rartio_sueroC]" caption="Rartio_sueroC" attribute="1" defaultMemberUniqueName="[Tabla_master_rend].[Rartio_sueroC].[All]" allUniqueName="[Tabla_master_rend].[Rartio_sueroC].[All]" dimensionUniqueName="[Tabla_master_rend]" displayFolder="" count="0" memberValueDatatype="5" unbalanced="0"/>
    <cacheHierarchy uniqueName="[Tabla_master_rend].[L_Suero_Sobrante]" caption="L_Suero_Sobrante" attribute="1" defaultMemberUniqueName="[Tabla_master_rend].[L_Suero_Sobrante].[All]" allUniqueName="[Tabla_master_rend].[L_Suero_Sobrante].[All]" dimensionUniqueName="[Tabla_master_rend]" displayFolder="" count="0" memberValueDatatype="20" unbalanced="0"/>
    <cacheHierarchy uniqueName="[Tabla_master_rend].[MG_sueroc]" caption="MG_sueroc" attribute="1" defaultMemberUniqueName="[Tabla_master_rend].[MG_sueroc].[All]" allUniqueName="[Tabla_master_rend].[MG_sueroc].[All]" dimensionUniqueName="[Tabla_master_rend]" displayFolder="" count="0" memberValueDatatype="20" unbalanced="0"/>
    <cacheHierarchy uniqueName="[Tabla_master_rend].[MP_sueroc]" caption="MP_sueroc" attribute="1" defaultMemberUniqueName="[Tabla_master_rend].[MP_sueroc].[All]" allUniqueName="[Tabla_master_rend].[MP_sueroc].[All]" dimensionUniqueName="[Tabla_master_rend]" displayFolder="" count="0" memberValueDatatype="20" unbalanced="0"/>
    <cacheHierarchy uniqueName="[Tabla_master_rend].[L_LPS_Gen]" caption="L_LPS_Gen" attribute="1" defaultMemberUniqueName="[Tabla_master_rend].[L_LPS_Gen].[All]" allUniqueName="[Tabla_master_rend].[L_LPS_Gen].[All]" dimensionUniqueName="[Tabla_master_rend]" displayFolder="" count="0" memberValueDatatype="20" unbalanced="0"/>
    <cacheHierarchy uniqueName="[Tabla_master_rend].[L_LPS_incor]" caption="L_LPS_incor" attribute="1" defaultMemberUniqueName="[Tabla_master_rend].[L_LPS_incor].[All]" allUniqueName="[Tabla_master_rend].[L_LPS_incor].[All]" dimensionUniqueName="[Tabla_master_rend]" displayFolder="" count="0" memberValueDatatype="20" unbalanced="0"/>
    <cacheHierarchy uniqueName="[Tabla_master_rend].[gr_LPS]" caption="gr_LPS" attribute="1" defaultMemberUniqueName="[Tabla_master_rend].[gr_LPS].[All]" allUniqueName="[Tabla_master_rend].[gr_LPS].[All]" dimensionUniqueName="[Tabla_master_rend]" displayFolder="" count="0" memberValueDatatype="20" unbalanced="0"/>
    <cacheHierarchy uniqueName="[Tabla_master_rend].[MG_LPS]" caption="MG_LPS" attribute="1" defaultMemberUniqueName="[Tabla_master_rend].[MG_LPS].[All]" allUniqueName="[Tabla_master_rend].[MG_LPS].[All]" dimensionUniqueName="[Tabla_master_rend]" displayFolder="" count="0" memberValueDatatype="5" unbalanced="0"/>
    <cacheHierarchy uniqueName="[Tabla_master_rend].[MP_LPS]" caption="MP_LPS" attribute="1" defaultMemberUniqueName="[Tabla_master_rend].[MP_LPS].[All]" allUniqueName="[Tabla_master_rend].[MP_LPS].[All]" dimensionUniqueName="[Tabla_master_rend]" displayFolder="" count="0" memberValueDatatype="5" unbalanced="0"/>
    <cacheHierarchy uniqueName="[Tabla_master_rend].[Kg_Queso_Blan]" caption="Kg_Queso_Blan" attribute="1" defaultMemberUniqueName="[Tabla_master_rend].[Kg_Queso_Blan].[All]" allUniqueName="[Tabla_master_rend].[Kg_Queso_Blan].[All]" dimensionUniqueName="[Tabla_master_rend]" displayFolder="" count="0" memberValueDatatype="5" unbalanced="0"/>
    <cacheHierarchy uniqueName="[Tabla_master_rend].[RDTO_Blanco]" caption="RDTO_Blanco" attribute="1" defaultMemberUniqueName="[Tabla_master_rend].[RDTO_Blanco].[All]" allUniqueName="[Tabla_master_rend].[RDTO_Blanco].[All]" dimensionUniqueName="[Tabla_master_rend]" displayFolder="" count="0" memberValueDatatype="5" unbalanced="0"/>
    <cacheHierarchy uniqueName="[Tabla_master_rend].[RDTO_NETO]" caption="RDTO_NETO" attribute="1" defaultMemberUniqueName="[Tabla_master_rend].[RDTO_NETO].[All]" allUniqueName="[Tabla_master_rend].[RDTO_NETO].[All]" dimensionUniqueName="[Tabla_master_rend]" displayFolder="" count="0" memberValueDatatype="5" unbalanced="0"/>
    <cacheHierarchy uniqueName="[Tabla_master_rend].[REND_TARGET]" caption="REND_TARGET" attribute="1" defaultMemberUniqueName="[Tabla_master_rend].[REND_TARGET].[All]" allUniqueName="[Tabla_master_rend].[REND_TARGET].[All]" dimensionUniqueName="[Tabla_master_rend]" displayFolder="" count="0" memberValueDatatype="5" unbalanced="0"/>
    <cacheHierarchy uniqueName="[Tabla_master_rend].[Kg_Solidos_leche]" caption="Kg_Solidos_leche" attribute="1" defaultMemberUniqueName="[Tabla_master_rend].[Kg_Solidos_leche].[All]" allUniqueName="[Tabla_master_rend].[Kg_Solidos_leche].[All]" dimensionUniqueName="[Tabla_master_rend]" displayFolder="" count="0" memberValueDatatype="5" unbalanced="0"/>
    <cacheHierarchy uniqueName="[Tabla_master_rend].[%MG_QUESO]" caption="%MG_QUESO" attribute="1" defaultMemberUniqueName="[Tabla_master_rend].[%MG_QUESO].[All]" allUniqueName="[Tabla_master_rend].[%MG_QUESO].[All]" dimensionUniqueName="[Tabla_master_rend]" displayFolder="" count="0" memberValueDatatype="5" unbalanced="0"/>
    <cacheHierarchy uniqueName="[Tabla_master_rend].[%PT_QUESO]" caption="%PT_QUESO" attribute="1" defaultMemberUniqueName="[Tabla_master_rend].[%PT_QUESO].[All]" allUniqueName="[Tabla_master_rend].[%PT_QUESO].[All]" dimensionUniqueName="[Tabla_master_rend]" displayFolder="" count="0" memberValueDatatype="5" unbalanced="0"/>
    <cacheHierarchy uniqueName="[Tabla_master_rend].[ES_QUESO]" caption="ES_QUESO" attribute="1" defaultMemberUniqueName="[Tabla_master_rend].[ES_QUESO].[All]" allUniqueName="[Tabla_master_rend].[ES_QUESO].[All]" dimensionUniqueName="[Tabla_master_rend]" displayFolder="" count="0" memberValueDatatype="5" unbalanced="0"/>
    <cacheHierarchy uniqueName="[Tabla_master_rend].[Rendimiento_Solidos_%]" caption="Rendimiento_Solidos_%" attribute="1" defaultMemberUniqueName="[Tabla_master_rend].[Rendimiento_Solidos_%].[All]" allUniqueName="[Tabla_master_rend].[Rendimiento_Solidos_%].[All]" dimensionUniqueName="[Tabla_master_rend]" displayFolder="" count="0" memberValueDatatype="5" unbalanced="0"/>
    <cacheHierarchy uniqueName="[Tabla_master_rend].[Kg_MG_Nata]" caption="Kg_MG_Nata" attribute="1" defaultMemberUniqueName="[Tabla_master_rend].[Kg_MG_Nata].[All]" allUniqueName="[Tabla_master_rend].[Kg_MG_Nata].[All]" dimensionUniqueName="[Tabla_master_rend]" displayFolder="" count="0" memberValueDatatype="5" unbalanced="0"/>
    <cacheHierarchy uniqueName="[Tabla_master_rend].[%RECUP_MG]" caption="%RECUP_MG" attribute="1" defaultMemberUniqueName="[Tabla_master_rend].[%RECUP_MG].[All]" allUniqueName="[Tabla_master_rend].[%RECUP_MG].[All]" dimensionUniqueName="[Tabla_master_rend]" displayFolder="" count="0" memberValueDatatype="5" unbalanced="0"/>
    <cacheHierarchy uniqueName="[Tabla_master_rend].[%RECUP_PT]" caption="%RECUP_PT" attribute="1" defaultMemberUniqueName="[Tabla_master_rend].[%RECUP_PT].[All]" allUniqueName="[Tabla_master_rend].[%RECUP_PT].[All]" dimensionUniqueName="[Tabla_master_rend]" displayFolder="" count="0" memberValueDatatype="5" unbalanced="0"/>
    <cacheHierarchy uniqueName="[Tabla_master_rend].[Valor_Nata_€]" caption="Valor_Nata_€" attribute="1" defaultMemberUniqueName="[Tabla_master_rend].[Valor_Nata_€].[All]" allUniqueName="[Tabla_master_rend].[Valor_Nata_€].[All]" dimensionUniqueName="[Tabla_master_rend]" displayFolder="" count="0" memberValueDatatype="5" unbalanced="0"/>
    <cacheHierarchy uniqueName="[Tabla_master_rend].[Kg_Finos]" caption="Kg_Finos" attribute="1" defaultMemberUniqueName="[Tabla_master_rend].[Kg_Finos].[All]" allUniqueName="[Tabla_master_rend].[Kg_Finos].[All]" dimensionUniqueName="[Tabla_master_rend]" displayFolder="" count="0" memberValueDatatype="5" unbalanced="0"/>
    <cacheHierarchy uniqueName="[Tabla_master_rend].[Kg_Llenadora]" caption="Kg_Llenadora" attribute="1" defaultMemberUniqueName="[Tabla_master_rend].[Kg_Llenadora].[All]" allUniqueName="[Tabla_master_rend].[Kg_Llenadora].[All]" dimensionUniqueName="[Tabla_master_rend]" displayFolder="" count="0" memberValueDatatype="5" unbalanced="0"/>
    <cacheHierarchy uniqueName="[Tabla_master_rend].[Kg_Desmoldeo]" caption="Kg_Desmoldeo" attribute="1" defaultMemberUniqueName="[Tabla_master_rend].[Kg_Desmoldeo].[All]" allUniqueName="[Tabla_master_rend].[Kg_Desmoldeo].[All]" dimensionUniqueName="[Tabla_master_rend]" displayFolder="" count="0" memberValueDatatype="5" unbalanced="0"/>
    <cacheHierarchy uniqueName="[Tabla_master_rend].[Merma_fab]" caption="Merma_fab" attribute="1" defaultMemberUniqueName="[Tabla_master_rend].[Merma_fab].[All]" allUniqueName="[Tabla_master_rend].[Merma_fab].[All]" dimensionUniqueName="[Tabla_master_rend]" displayFolder="" count="0" memberValueDatatype="5" unbalanced="0"/>
    <cacheHierarchy uniqueName="[Tabla_master_rend].[% Merma_fab2]" caption="% Merma_fab2" attribute="1" defaultMemberUniqueName="[Tabla_master_rend].[% Merma_fab2].[All]" allUniqueName="[Tabla_master_rend].[% Merma_fab2].[All]" dimensionUniqueName="[Tabla_master_rend]" displayFolder="" count="0" memberValueDatatype="5" unbalanced="0"/>
    <cacheHierarchy uniqueName="[Tabla_master_rend].[L_Agua]" caption="L_Agua" attribute="1" defaultMemberUniqueName="[Tabla_master_rend].[L_Agua].[All]" allUniqueName="[Tabla_master_rend].[L_Agua].[All]" dimensionUniqueName="[Tabla_master_rend]" displayFolder="" count="0" memberValueDatatype="20" unbalanced="0"/>
    <cacheHierarchy uniqueName="[Tabla_master_rend].[% oreo]" caption="% oreo" attribute="1" defaultMemberUniqueName="[Tabla_master_rend].[% oreo].[All]" allUniqueName="[Tabla_master_rend].[% oreo].[All]" dimensionUniqueName="[Tabla_master_rend]" displayFolder="" count="0" memberValueDatatype="5" unbalanced="0"/>
    <cacheHierarchy uniqueName="[Tabla_master_rend].[B_totales]" caption="B_totales" attribute="1" defaultMemberUniqueName="[Tabla_master_rend].[B_totales].[All]" allUniqueName="[Tabla_master_rend].[B_totales].[All]" dimensionUniqueName="[Tabla_master_rend]" displayFolder="" count="0" memberValueDatatype="5" unbalanced="0"/>
    <cacheHierarchy uniqueName="[Tabla_master_rend].[B_OK_uni]" caption="B_OK_uni" attribute="1" defaultMemberUniqueName="[Tabla_master_rend].[B_OK_uni].[All]" allUniqueName="[Tabla_master_rend].[B_OK_uni].[All]" dimensionUniqueName="[Tabla_master_rend]" displayFolder="" count="0" memberValueDatatype="5" unbalanced="0"/>
    <cacheHierarchy uniqueName="[Tabla_master_rend].[B_OK_kg]" caption="B_OK_kg" attribute="1" defaultMemberUniqueName="[Tabla_master_rend].[B_OK_kg].[All]" allUniqueName="[Tabla_master_rend].[B_OK_kg].[All]" dimensionUniqueName="[Tabla_master_rend]" displayFolder="" count="0" memberValueDatatype="5" unbalanced="0"/>
    <cacheHierarchy uniqueName="[Tabla_master_rend].[B_altas]" caption="B_altas" attribute="1" defaultMemberUniqueName="[Tabla_master_rend].[B_altas].[All]" allUniqueName="[Tabla_master_rend].[B_altas].[All]" dimensionUniqueName="[Tabla_master_rend]" displayFolder="" count="0" memberValueDatatype="5" unbalanced="0"/>
    <cacheHierarchy uniqueName="[Tabla_master_rend].[B_bajas]" caption="B_bajas" attribute="1" defaultMemberUniqueName="[Tabla_master_rend].[B_bajas].[All]" allUniqueName="[Tabla_master_rend].[B_bajas].[All]" dimensionUniqueName="[Tabla_master_rend]" displayFolder="" count="0" memberValueDatatype="5" unbalanced="0"/>
    <cacheHierarchy uniqueName="[Tabla_master_rend].[B_rotas]" caption="B_rotas" attribute="1" defaultMemberUniqueName="[Tabla_master_rend].[B_rotas].[All]" allUniqueName="[Tabla_master_rend].[B_rotas].[All]" dimensionUniqueName="[Tabla_master_rend]" displayFolder="" count="0" memberValueDatatype="5" unbalanced="0"/>
    <cacheHierarchy uniqueName="[Tabla_master_rend].[B_feas]" caption="B_feas" attribute="1" defaultMemberUniqueName="[Tabla_master_rend].[B_feas].[All]" allUniqueName="[Tabla_master_rend].[B_feas].[All]" dimensionUniqueName="[Tabla_master_rend]" displayFolder="" count="0" memberValueDatatype="5" unbalanced="0"/>
    <cacheHierarchy uniqueName="[Tabla_master_rend].[B_lab]" caption="B_lab" attribute="1" defaultMemberUniqueName="[Tabla_master_rend].[B_lab].[All]" allUniqueName="[Tabla_master_rend].[B_lab].[All]" dimensionUniqueName="[Tabla_master_rend]" displayFolder="" count="0" memberValueDatatype="5" unbalanced="0"/>
    <cacheHierarchy uniqueName="[Tabla_master_rend].[Kg_SalidaSecadero]" caption="Kg_SalidaSecadero" attribute="1" defaultMemberUniqueName="[Tabla_master_rend].[Kg_SalidaSecadero].[All]" allUniqueName="[Tabla_master_rend].[Kg_SalidaSecadero].[All]" dimensionUniqueName="[Tabla_master_rend]" displayFolder="" count="0" memberValueDatatype="5" unbalanced="0"/>
    <cacheHierarchy uniqueName="[Tabla_master_rend].[Kg_rebaba]" caption="Kg_rebaba" attribute="1" defaultMemberUniqueName="[Tabla_master_rend].[Kg_rebaba].[All]" allUniqueName="[Tabla_master_rend].[Kg_rebaba].[All]" dimensionUniqueName="[Tabla_master_rend]" displayFolder="" count="0" memberValueDatatype="5" unbalanced="0"/>
    <cacheHierarchy uniqueName="[Tabla_master_rend].[Kg_mer_env_real]" caption="Kg_mer_env_real" attribute="1" defaultMemberUniqueName="[Tabla_master_rend].[Kg_mer_env_real].[All]" allUniqueName="[Tabla_master_rend].[Kg_mer_env_real].[All]" dimensionUniqueName="[Tabla_master_rend]" displayFolder="" count="0" memberValueDatatype="5" unbalanced="0"/>
    <cacheHierarchy uniqueName="[Tabla_master_rend].[kg_mer_lab_real]" caption="kg_mer_lab_real" attribute="1" defaultMemberUniqueName="[Tabla_master_rend].[kg_mer_lab_real].[All]" allUniqueName="[Tabla_master_rend].[kg_mer_lab_real].[All]" dimensionUniqueName="[Tabla_master_rend]" displayFolder="" count="0" memberValueDatatype="5" unbalanced="0"/>
    <cacheHierarchy uniqueName="[Tabla_master_rend].[%Merma_env]" caption="%Merma_env" attribute="1" defaultMemberUniqueName="[Tabla_master_rend].[%Merma_env].[All]" allUniqueName="[Tabla_master_rend].[%Merma_env].[All]" dimensionUniqueName="[Tabla_master_rend]" displayFolder="" count="0" memberValueDatatype="5" unbalanced="0"/>
    <cacheHierarchy uniqueName="[Tabla_master_rend].[%Merma_env_corr]" caption="%Merma_env_corr" attribute="1" defaultMemberUniqueName="[Tabla_master_rend].[%Merma_env_corr].[All]" allUniqueName="[Tabla_master_rend].[%Merma_env_corr].[All]" dimensionUniqueName="[Tabla_master_rend]" displayFolder="" count="0" memberValueDatatype="5" unbalanced="0"/>
    <cacheHierarchy uniqueName="[Tabla_master_rend].[% merma TOT]" caption="% merma TOT" attribute="1" defaultMemberUniqueName="[Tabla_master_rend].[% merma TOT].[All]" allUniqueName="[Tabla_master_rend].[% merma TOT].[All]" dimensionUniqueName="[Tabla_master_rend]" displayFolder="" count="0" memberValueDatatype="5" unbalanced="0"/>
    <cacheHierarchy uniqueName="[Tabla_master_rend].[Merma_TOT]" caption="Merma_TOT" attribute="1" defaultMemberUniqueName="[Tabla_master_rend].[Merma_TOT].[All]" allUniqueName="[Tabla_master_rend].[Merma_TOT].[All]" dimensionUniqueName="[Tabla_master_rend]" displayFolder="" count="0" memberValueDatatype="5" unbalanced="0"/>
    <cacheHierarchy uniqueName="[Tabla_master_rend].[Kg_Env_Total]" caption="Kg_Env_Total" attribute="1" defaultMemberUniqueName="[Tabla_master_rend].[Kg_Env_Total].[All]" allUniqueName="[Tabla_master_rend].[Kg_Env_Total].[All]" dimensionUniqueName="[Tabla_master_rend]" displayFolder="" count="0" memberValueDatatype="5" unbalanced="0"/>
    <cacheHierarchy uniqueName="[Tabla_master_rend].[Coste_Leche_€]" caption="Coste_Leche_€" attribute="1" defaultMemberUniqueName="[Tabla_master_rend].[Coste_Leche_€].[All]" allUniqueName="[Tabla_master_rend].[Coste_Leche_€].[All]" dimensionUniqueName="[Tabla_master_rend]" displayFolder="" count="0" memberValueDatatype="5" unbalanced="0"/>
    <cacheHierarchy uniqueName="[Tabla_master_rend].[€/kg_MPQueso]" caption="€/kg_MPQueso" attribute="1" defaultMemberUniqueName="[Tabla_master_rend].[€/kg_MPQueso].[All]" allUniqueName="[Tabla_master_rend].[€/kg_MPQueso].[All]" dimensionUniqueName="[Tabla_master_rend]" displayFolder="" count="0" memberValueDatatype="5" unbalanced="0"/>
    <cacheHierarchy uniqueName="[Tabla_master_rend].[Merma_inic]" caption="Merma_inic" attribute="1" defaultMemberUniqueName="[Tabla_master_rend].[Merma_inic].[All]" allUniqueName="[Tabla_master_rend].[Merma_inic].[All]" dimensionUniqueName="[Tabla_master_rend]" displayFolder="" count="0" memberValueDatatype="5" unbalanced="0"/>
    <cacheHierarchy uniqueName="[Tabla_master_rend].[Recup_kg]" caption="Recup_kg" attribute="1" defaultMemberUniqueName="[Tabla_master_rend].[Recup_kg].[All]" allUniqueName="[Tabla_master_rend].[Recup_kg].[All]" dimensionUniqueName="[Tabla_master_rend]" displayFolder="" count="0" memberValueDatatype="5" unbalanced="0"/>
    <cacheHierarchy uniqueName="[Tabla_master_rend].[Recup_%]" caption="Recup_%" attribute="1" defaultMemberUniqueName="[Tabla_master_rend].[Recup_%].[All]" allUniqueName="[Tabla_master_rend].[Recup_%].[All]" dimensionUniqueName="[Tabla_master_rend]" displayFolder="" count="0" memberValueDatatype="5" unbalanced="0"/>
    <cacheHierarchy uniqueName="[Tabla_master_rend].[Merma_ppto fab]" caption="Merma_ppto fab" attribute="1" defaultMemberUniqueName="[Tabla_master_rend].[Merma_ppto fab].[All]" allUniqueName="[Tabla_master_rend].[Merma_ppto fab].[All]" dimensionUniqueName="[Tabla_master_rend]" displayFolder="" count="0" memberValueDatatype="5" unbalanced="0"/>
    <cacheHierarchy uniqueName="[Tabla_master_rend].[Merma_ppto oreo]" caption="Merma_ppto oreo" attribute="1" defaultMemberUniqueName="[Tabla_master_rend].[Merma_ppto oreo].[All]" allUniqueName="[Tabla_master_rend].[Merma_ppto oreo].[All]" dimensionUniqueName="[Tabla_master_rend]" displayFolder="" count="0" memberValueDatatype="5" unbalanced="0"/>
    <cacheHierarchy uniqueName="[Tabla_master_rend].[Merma_ppto Env/Enc]" caption="Merma_ppto Env/Enc" attribute="1" defaultMemberUniqueName="[Tabla_master_rend].[Merma_ppto Env/Enc].[All]" allUniqueName="[Tabla_master_rend].[Merma_ppto Env/Enc].[All]" dimensionUniqueName="[Tabla_master_rend]" displayFolder="" count="0" memberValueDatatype="5" unbalanced="0"/>
    <cacheHierarchy uniqueName="[Tabla_master_rend].[Merma_T ppto]" caption="Merma_T ppto" attribute="1" defaultMemberUniqueName="[Tabla_master_rend].[Merma_T ppto].[All]" allUniqueName="[Tabla_master_rend].[Merma_T ppto].[All]" dimensionUniqueName="[Tabla_master_rend]" displayFolder="" count="0" memberValueDatatype="5" unbalanced="0"/>
    <cacheHierarchy uniqueName="[Tabla_master_rend].[Merma_T ppto %]" caption="Merma_T ppto %" attribute="1" defaultMemberUniqueName="[Tabla_master_rend].[Merma_T ppto %].[All]" allUniqueName="[Tabla_master_rend].[Merma_T ppto %].[All]" dimensionUniqueName="[Tabla_master_rend]" displayFolder="" count="0" memberValueDatatype="5" unbalanced="0"/>
    <cacheHierarchy uniqueName="[Tabla_master_rend].[Merma_T real %]" caption="Merma_T real %" attribute="1" defaultMemberUniqueName="[Tabla_master_rend].[Merma_T real %].[All]" allUniqueName="[Tabla_master_rend].[Merma_T real %].[All]" dimensionUniqueName="[Tabla_master_rend]" displayFolder="" count="0" memberValueDatatype="5" unbalanced="0"/>
    <cacheHierarchy uniqueName="[Tabla_master_rend].[DIF R Vs PPTO]" caption="DIF R Vs PPTO" attribute="1" defaultMemberUniqueName="[Tabla_master_rend].[DIF R Vs PPTO].[All]" allUniqueName="[Tabla_master_rend].[DIF R Vs PPTO].[All]" dimensionUniqueName="[Tabla_master_rend]" displayFolder="" count="0" memberValueDatatype="5" unbalanced="0"/>
    <cacheHierarchy uniqueName="[Tabla_master_rend].[IMPACTO]" caption="IMPACTO" attribute="1" defaultMemberUniqueName="[Tabla_master_rend].[IMPACTO].[All]" allUniqueName="[Tabla_master_rend].[IMPACTO].[All]" dimensionUniqueName="[Tabla_master_rend]" displayFolder="" count="0" memberValueDatatype="5" unbalanced="0"/>
    <cacheHierarchy uniqueName="[Tabla_master_rend].[IMPACTO_vs_PPTO]" caption="IMPACTO_vs_PPTO" attribute="1" defaultMemberUniqueName="[Tabla_master_rend].[IMPACTO_vs_PPTO].[All]" allUniqueName="[Tabla_master_rend].[IMPACTO_vs_PPTO].[All]" dimensionUniqueName="[Tabla_master_rend]" displayFolder="" count="0" memberValueDatatype="5" unbalanced="0"/>
    <cacheHierarchy uniqueName="[Tabla_master_rend].[Fecha (mes)]" caption="Fecha (mes)" attribute="1" defaultMemberUniqueName="[Tabla_master_rend].[Fecha (mes)].[All]" allUniqueName="[Tabla_master_rend].[Fecha (mes)].[All]" dimensionUniqueName="[Tabla_master_rend]" displayFolder="" count="0" memberValueDatatype="130" unbalanced="0"/>
    <cacheHierarchy uniqueName="[Tabla_master_rend 1].[Fecha]" caption="Fecha" attribute="1" time="1" defaultMemberUniqueName="[Tabla_master_rend 1].[Fecha].[All]" allUniqueName="[Tabla_master_rend 1].[Fecha].[All]" dimensionUniqueName="[Tabla_master_rend 1]" displayFolder="" count="0" memberValueDatatype="7" unbalanced="0"/>
    <cacheHierarchy uniqueName="[Tabla_master_rend 1].[mes]" caption="mes" attribute="1" defaultMemberUniqueName="[Tabla_master_rend 1].[mes].[All]" allUniqueName="[Tabla_master_rend 1].[mes].[All]" dimensionUniqueName="[Tabla_master_rend 1]" displayFolder="" count="0" memberValueDatatype="20" unbalanced="0"/>
    <cacheHierarchy uniqueName="[Tabla_master_rend 1].[Mes_Nom]" caption="Mes_Nom" attribute="1" defaultMemberUniqueName="[Tabla_master_rend 1].[Mes_Nom].[All]" allUniqueName="[Tabla_master_rend 1].[Mes_Nom].[All]" dimensionUniqueName="[Tabla_master_rend 1]" displayFolder="" count="0" memberValueDatatype="130" unbalanced="0"/>
    <cacheHierarchy uniqueName="[Tabla_master_rend 1].[Día]" caption="Día" attribute="1" defaultMemberUniqueName="[Tabla_master_rend 1].[Día].[All]" allUniqueName="[Tabla_master_rend 1].[Día].[All]" dimensionUniqueName="[Tabla_master_rend 1]" displayFolder="" count="0" memberValueDatatype="130" unbalanced="0"/>
    <cacheHierarchy uniqueName="[Tabla_master_rend 1].[Lote]" caption="Lote" attribute="1" defaultMemberUniqueName="[Tabla_master_rend 1].[Lote].[All]" allUniqueName="[Tabla_master_rend 1].[Lote].[All]" dimensionUniqueName="[Tabla_master_rend 1]" displayFolder="" count="0" memberValueDatatype="130" unbalanced="0"/>
    <cacheHierarchy uniqueName="[Tabla_master_rend 1].[Producto]" caption="Producto" attribute="1" defaultMemberUniqueName="[Tabla_master_rend 1].[Producto].[All]" allUniqueName="[Tabla_master_rend 1].[Producto].[All]" dimensionUniqueName="[Tabla_master_rend 1]" displayFolder="" count="0" memberValueDatatype="130" unbalanced="0"/>
    <cacheHierarchy uniqueName="[Tabla_master_rend 1].[Cubas_prod]" caption="Cubas_prod" attribute="1" defaultMemberUniqueName="[Tabla_master_rend 1].[Cubas_prod].[All]" allUniqueName="[Tabla_master_rend 1].[Cubas_prod].[All]" dimensionUniqueName="[Tabla_master_rend 1]" displayFolder="" count="0" memberValueDatatype="20" unbalanced="0"/>
    <cacheHierarchy uniqueName="[Tabla_master_rend 1].[Litros_Leche_Total]" caption="Litros_Leche_Total" attribute="1" defaultMemberUniqueName="[Tabla_master_rend 1].[Litros_Leche_Total].[All]" allUniqueName="[Tabla_master_rend 1].[Litros_Leche_Total].[All]" dimensionUniqueName="[Tabla_master_rend 1]" displayFolder="" count="0" memberValueDatatype="20" unbalanced="0"/>
    <cacheHierarchy uniqueName="[Tabla_master_rend 1].[L_Leche_ent]" caption="L_Leche_ent" attribute="1" defaultMemberUniqueName="[Tabla_master_rend 1].[L_Leche_ent].[All]" allUniqueName="[Tabla_master_rend 1].[L_Leche_ent].[All]" dimensionUniqueName="[Tabla_master_rend 1]" displayFolder="" count="0" memberValueDatatype="20" unbalanced="0"/>
    <cacheHierarchy uniqueName="[Tabla_master_rend 1].[%MG_Leche]" caption="%MG_Leche" attribute="1" defaultMemberUniqueName="[Tabla_master_rend 1].[%MG_Leche].[All]" allUniqueName="[Tabla_master_rend 1].[%MG_Leche].[All]" dimensionUniqueName="[Tabla_master_rend 1]" displayFolder="" count="0" memberValueDatatype="5" unbalanced="0"/>
    <cacheHierarchy uniqueName="[Tabla_master_rend 1].[%MP_Leche]" caption="%MP_Leche" attribute="1" defaultMemberUniqueName="[Tabla_master_rend 1].[%MP_Leche].[All]" allUniqueName="[Tabla_master_rend 1].[%MP_Leche].[All]" dimensionUniqueName="[Tabla_master_rend 1]" displayFolder="" count="0" memberValueDatatype="5" unbalanced="0"/>
    <cacheHierarchy uniqueName="[Tabla_master_rend 1].[EST_%]" caption="EST_%" attribute="1" defaultMemberUniqueName="[Tabla_master_rend 1].[EST_%].[All]" allUniqueName="[Tabla_master_rend 1].[EST_%].[All]" dimensionUniqueName="[Tabla_master_rend 1]" displayFolder="" count="0" memberValueDatatype="5" unbalanced="0"/>
    <cacheHierarchy uniqueName="[Tabla_master_rend 1].[Desn_en_linea]" caption="Desn_en_linea" attribute="1" defaultMemberUniqueName="[Tabla_master_rend 1].[Desn_en_linea].[All]" allUniqueName="[Tabla_master_rend 1].[Desn_en_linea].[All]" dimensionUniqueName="[Tabla_master_rend 1]" displayFolder="" count="0" memberValueDatatype="130" unbalanced="0"/>
    <cacheHierarchy uniqueName="[Tabla_master_rend 1].[L_desn_ext]" caption="L_desn_ext" attribute="1" defaultMemberUniqueName="[Tabla_master_rend 1].[L_desn_ext].[All]" allUniqueName="[Tabla_master_rend 1].[L_desn_ext].[All]" dimensionUniqueName="[Tabla_master_rend 1]" displayFolder="" count="0" memberValueDatatype="20" unbalanced="0"/>
    <cacheHierarchy uniqueName="[Tabla_master_rend 1].[L_cabra]" caption="L_cabra" attribute="1" defaultMemberUniqueName="[Tabla_master_rend 1].[L_cabra].[All]" allUniqueName="[Tabla_master_rend 1].[L_cabra].[All]" dimensionUniqueName="[Tabla_master_rend 1]" displayFolder="" count="0" memberValueDatatype="20" unbalanced="0"/>
    <cacheHierarchy uniqueName="[Tabla_master_rend 1].[L_oveja]" caption="L_oveja" attribute="1" defaultMemberUniqueName="[Tabla_master_rend 1].[L_oveja].[All]" allUniqueName="[Tabla_master_rend 1].[L_oveja].[All]" dimensionUniqueName="[Tabla_master_rend 1]" displayFolder="" count="0" memberValueDatatype="20" unbalanced="0"/>
    <cacheHierarchy uniqueName="[Tabla_master_rend 1].[Litros_Nata]" caption="Litros_Nata" attribute="1" defaultMemberUniqueName="[Tabla_master_rend 1].[Litros_Nata].[All]" allUniqueName="[Tabla_master_rend 1].[Litros_Nata].[All]" dimensionUniqueName="[Tabla_master_rend 1]" displayFolder="" count="0" memberValueDatatype="20" unbalanced="0"/>
    <cacheHierarchy uniqueName="[Tabla_master_rend 1].[L_nata_suero]" caption="L_nata_suero" attribute="1" defaultMemberUniqueName="[Tabla_master_rend 1].[L_nata_suero].[All]" allUniqueName="[Tabla_master_rend 1].[L_nata_suero].[All]" dimensionUniqueName="[Tabla_master_rend 1]" displayFolder="" count="0" memberValueDatatype="20" unbalanced="0"/>
    <cacheHierarchy uniqueName="[Tabla_master_rend 1].[L_suero Total]" caption="L_suero Total" attribute="1" defaultMemberUniqueName="[Tabla_master_rend 1].[L_suero Total].[All]" allUniqueName="[Tabla_master_rend 1].[L_suero Total].[All]" dimensionUniqueName="[Tabla_master_rend 1]" displayFolder="" count="0" memberValueDatatype="20" unbalanced="0"/>
    <cacheHierarchy uniqueName="[Tabla_master_rend 1].[%Suero_vs_leche]" caption="%Suero_vs_leche" attribute="1" defaultMemberUniqueName="[Tabla_master_rend 1].[%Suero_vs_leche].[All]" allUniqueName="[Tabla_master_rend 1].[%Suero_vs_leche].[All]" dimensionUniqueName="[Tabla_master_rend 1]" displayFolder="" count="0" memberValueDatatype="5" unbalanced="0"/>
    <cacheHierarchy uniqueName="[Tabla_master_rend 1].[MG_suero]" caption="MG_suero" attribute="1" defaultMemberUniqueName="[Tabla_master_rend 1].[MG_suero].[All]" allUniqueName="[Tabla_master_rend 1].[MG_suero].[All]" dimensionUniqueName="[Tabla_master_rend 1]" displayFolder="" count="0" memberValueDatatype="5" unbalanced="0"/>
    <cacheHierarchy uniqueName="[Tabla_master_rend 1].[MP_suero]" caption="MP_suero" attribute="1" defaultMemberUniqueName="[Tabla_master_rend 1].[MP_suero].[All]" allUniqueName="[Tabla_master_rend 1].[MP_suero].[All]" dimensionUniqueName="[Tabla_master_rend 1]" displayFolder="" count="0" memberValueDatatype="5" unbalanced="0"/>
    <cacheHierarchy uniqueName="[Tabla_master_rend 1].[L_suero para con]" caption="L_suero para con" attribute="1" defaultMemberUniqueName="[Tabla_master_rend 1].[L_suero para con].[All]" allUniqueName="[Tabla_master_rend 1].[L_suero para con].[All]" dimensionUniqueName="[Tabla_master_rend 1]" displayFolder="" count="0" memberValueDatatype="20" unbalanced="0"/>
    <cacheHierarchy uniqueName="[Tabla_master_rend 1].[L_suero_con]" caption="L_suero_con" attribute="1" defaultMemberUniqueName="[Tabla_master_rend 1].[L_suero_con].[All]" allUniqueName="[Tabla_master_rend 1].[L_suero_con].[All]" dimensionUniqueName="[Tabla_master_rend 1]" displayFolder="" count="0" memberValueDatatype="20" unbalanced="0"/>
    <cacheHierarchy uniqueName="[Tabla_master_rend 1].[Rartio_sueroC]" caption="Rartio_sueroC" attribute="1" defaultMemberUniqueName="[Tabla_master_rend 1].[Rartio_sueroC].[All]" allUniqueName="[Tabla_master_rend 1].[Rartio_sueroC].[All]" dimensionUniqueName="[Tabla_master_rend 1]" displayFolder="" count="0" memberValueDatatype="5" unbalanced="0"/>
    <cacheHierarchy uniqueName="[Tabla_master_rend 1].[L_Suero_Sobrante]" caption="L_Suero_Sobrante" attribute="1" defaultMemberUniqueName="[Tabla_master_rend 1].[L_Suero_Sobrante].[All]" allUniqueName="[Tabla_master_rend 1].[L_Suero_Sobrante].[All]" dimensionUniqueName="[Tabla_master_rend 1]" displayFolder="" count="0" memberValueDatatype="20" unbalanced="0"/>
    <cacheHierarchy uniqueName="[Tabla_master_rend 1].[MG_sueroc]" caption="MG_sueroc" attribute="1" defaultMemberUniqueName="[Tabla_master_rend 1].[MG_sueroc].[All]" allUniqueName="[Tabla_master_rend 1].[MG_sueroc].[All]" dimensionUniqueName="[Tabla_master_rend 1]" displayFolder="" count="0" memberValueDatatype="130" unbalanced="0"/>
    <cacheHierarchy uniqueName="[Tabla_master_rend 1].[MP_sueroc]" caption="MP_sueroc" attribute="1" defaultMemberUniqueName="[Tabla_master_rend 1].[MP_sueroc].[All]" allUniqueName="[Tabla_master_rend 1].[MP_sueroc].[All]" dimensionUniqueName="[Tabla_master_rend 1]" displayFolder="" count="0" memberValueDatatype="130" unbalanced="0"/>
    <cacheHierarchy uniqueName="[Tabla_master_rend 1].[L_LPS_Gen]" caption="L_LPS_Gen" attribute="1" defaultMemberUniqueName="[Tabla_master_rend 1].[L_LPS_Gen].[All]" allUniqueName="[Tabla_master_rend 1].[L_LPS_Gen].[All]" dimensionUniqueName="[Tabla_master_rend 1]" displayFolder="" count="0" memberValueDatatype="20" unbalanced="0"/>
    <cacheHierarchy uniqueName="[Tabla_master_rend 1].[L_LPS_incor]" caption="L_LPS_incor" attribute="1" defaultMemberUniqueName="[Tabla_master_rend 1].[L_LPS_incor].[All]" allUniqueName="[Tabla_master_rend 1].[L_LPS_incor].[All]" dimensionUniqueName="[Tabla_master_rend 1]" displayFolder="" count="0" memberValueDatatype="20" unbalanced="0"/>
    <cacheHierarchy uniqueName="[Tabla_master_rend 1].[gr_LPS]" caption="gr_LPS" attribute="1" defaultMemberUniqueName="[Tabla_master_rend 1].[gr_LPS].[All]" allUniqueName="[Tabla_master_rend 1].[gr_LPS].[All]" dimensionUniqueName="[Tabla_master_rend 1]" displayFolder="" count="0" memberValueDatatype="20" unbalanced="0"/>
    <cacheHierarchy uniqueName="[Tabla_master_rend 1].[MG_LPS]" caption="MG_LPS" attribute="1" defaultMemberUniqueName="[Tabla_master_rend 1].[MG_LPS].[All]" allUniqueName="[Tabla_master_rend 1].[MG_LPS].[All]" dimensionUniqueName="[Tabla_master_rend 1]" displayFolder="" count="0" memberValueDatatype="5" unbalanced="0"/>
    <cacheHierarchy uniqueName="[Tabla_master_rend 1].[MP_LPS]" caption="MP_LPS" attribute="1" defaultMemberUniqueName="[Tabla_master_rend 1].[MP_LPS].[All]" allUniqueName="[Tabla_master_rend 1].[MP_LPS].[All]" dimensionUniqueName="[Tabla_master_rend 1]" displayFolder="" count="0" memberValueDatatype="5" unbalanced="0"/>
    <cacheHierarchy uniqueName="[Tabla_master_rend 1].[Kg_Queso_Blan]" caption="Kg_Queso_Blan" attribute="1" defaultMemberUniqueName="[Tabla_master_rend 1].[Kg_Queso_Blan].[All]" allUniqueName="[Tabla_master_rend 1].[Kg_Queso_Blan].[All]" dimensionUniqueName="[Tabla_master_rend 1]" displayFolder="" count="0" memberValueDatatype="5" unbalanced="0"/>
    <cacheHierarchy uniqueName="[Tabla_master_rend 1].[RDTO_Blanco]" caption="RDTO_Blanco" attribute="1" defaultMemberUniqueName="[Tabla_master_rend 1].[RDTO_Blanco].[All]" allUniqueName="[Tabla_master_rend 1].[RDTO_Blanco].[All]" dimensionUniqueName="[Tabla_master_rend 1]" displayFolder="" count="0" memberValueDatatype="5" unbalanced="0"/>
    <cacheHierarchy uniqueName="[Tabla_master_rend 1].[RDTO_NETO]" caption="RDTO_NETO" attribute="1" defaultMemberUniqueName="[Tabla_master_rend 1].[RDTO_NETO].[All]" allUniqueName="[Tabla_master_rend 1].[RDTO_NETO].[All]" dimensionUniqueName="[Tabla_master_rend 1]" displayFolder="" count="0" memberValueDatatype="5" unbalanced="0"/>
    <cacheHierarchy uniqueName="[Tabla_master_rend 1].[REND_TARGET]" caption="REND_TARGET" attribute="1" defaultMemberUniqueName="[Tabla_master_rend 1].[REND_TARGET].[All]" allUniqueName="[Tabla_master_rend 1].[REND_TARGET].[All]" dimensionUniqueName="[Tabla_master_rend 1]" displayFolder="" count="0" memberValueDatatype="5" unbalanced="0"/>
    <cacheHierarchy uniqueName="[Tabla_master_rend 1].[Kg_Solidos_leche]" caption="Kg_Solidos_leche" attribute="1" defaultMemberUniqueName="[Tabla_master_rend 1].[Kg_Solidos_leche].[All]" allUniqueName="[Tabla_master_rend 1].[Kg_Solidos_leche].[All]" dimensionUniqueName="[Tabla_master_rend 1]" displayFolder="" count="0" memberValueDatatype="5" unbalanced="0"/>
    <cacheHierarchy uniqueName="[Tabla_master_rend 1].[%MG_QUESO]" caption="%MG_QUESO" attribute="1" defaultMemberUniqueName="[Tabla_master_rend 1].[%MG_QUESO].[All]" allUniqueName="[Tabla_master_rend 1].[%MG_QUESO].[All]" dimensionUniqueName="[Tabla_master_rend 1]" displayFolder="" count="0" memberValueDatatype="5" unbalanced="0"/>
    <cacheHierarchy uniqueName="[Tabla_master_rend 1].[%PT_QUESO]" caption="%PT_QUESO" attribute="1" defaultMemberUniqueName="[Tabla_master_rend 1].[%PT_QUESO].[All]" allUniqueName="[Tabla_master_rend 1].[%PT_QUESO].[All]" dimensionUniqueName="[Tabla_master_rend 1]" displayFolder="" count="0" memberValueDatatype="5" unbalanced="0"/>
    <cacheHierarchy uniqueName="[Tabla_master_rend 1].[ES_QUESO]" caption="ES_QUESO" attribute="1" defaultMemberUniqueName="[Tabla_master_rend 1].[ES_QUESO].[All]" allUniqueName="[Tabla_master_rend 1].[ES_QUESO].[All]" dimensionUniqueName="[Tabla_master_rend 1]" displayFolder="" count="0" memberValueDatatype="5" unbalanced="0"/>
    <cacheHierarchy uniqueName="[Tabla_master_rend 1].[Rendimiento_Solidos_%]" caption="Rendimiento_Solidos_%" attribute="1" defaultMemberUniqueName="[Tabla_master_rend 1].[Rendimiento_Solidos_%].[All]" allUniqueName="[Tabla_master_rend 1].[Rendimiento_Solidos_%].[All]" dimensionUniqueName="[Tabla_master_rend 1]" displayFolder="" count="0" memberValueDatatype="5" unbalanced="0"/>
    <cacheHierarchy uniqueName="[Tabla_master_rend 1].[Kg_MG_Nata]" caption="Kg_MG_Nata" attribute="1" defaultMemberUniqueName="[Tabla_master_rend 1].[Kg_MG_Nata].[All]" allUniqueName="[Tabla_master_rend 1].[Kg_MG_Nata].[All]" dimensionUniqueName="[Tabla_master_rend 1]" displayFolder="" count="0" memberValueDatatype="5" unbalanced="0"/>
    <cacheHierarchy uniqueName="[Tabla_master_rend 1].[%RECUP_MG]" caption="%RECUP_MG" attribute="1" defaultMemberUniqueName="[Tabla_master_rend 1].[%RECUP_MG].[All]" allUniqueName="[Tabla_master_rend 1].[%RECUP_MG].[All]" dimensionUniqueName="[Tabla_master_rend 1]" displayFolder="" count="0" memberValueDatatype="5" unbalanced="0"/>
    <cacheHierarchy uniqueName="[Tabla_master_rend 1].[%RECUP_PT]" caption="%RECUP_PT" attribute="1" defaultMemberUniqueName="[Tabla_master_rend 1].[%RECUP_PT].[All]" allUniqueName="[Tabla_master_rend 1].[%RECUP_PT].[All]" dimensionUniqueName="[Tabla_master_rend 1]" displayFolder="" count="0" memberValueDatatype="5" unbalanced="0"/>
    <cacheHierarchy uniqueName="[Tabla_master_rend 1].[Valor_Nata_€]" caption="Valor_Nata_€" attribute="1" defaultMemberUniqueName="[Tabla_master_rend 1].[Valor_Nata_€].[All]" allUniqueName="[Tabla_master_rend 1].[Valor_Nata_€].[All]" dimensionUniqueName="[Tabla_master_rend 1]" displayFolder="" count="0" memberValueDatatype="5" unbalanced="0"/>
    <cacheHierarchy uniqueName="[Tabla_master_rend 1].[Kg_Finos]" caption="Kg_Finos" attribute="1" defaultMemberUniqueName="[Tabla_master_rend 1].[Kg_Finos].[All]" allUniqueName="[Tabla_master_rend 1].[Kg_Finos].[All]" dimensionUniqueName="[Tabla_master_rend 1]" displayFolder="" count="0" memberValueDatatype="5" unbalanced="0"/>
    <cacheHierarchy uniqueName="[Tabla_master_rend 1].[Kg_Llenadora]" caption="Kg_Llenadora" attribute="1" defaultMemberUniqueName="[Tabla_master_rend 1].[Kg_Llenadora].[All]" allUniqueName="[Tabla_master_rend 1].[Kg_Llenadora].[All]" dimensionUniqueName="[Tabla_master_rend 1]" displayFolder="" count="0" memberValueDatatype="5" unbalanced="0"/>
    <cacheHierarchy uniqueName="[Tabla_master_rend 1].[Kg_Desmoldeo]" caption="Kg_Desmoldeo" attribute="1" defaultMemberUniqueName="[Tabla_master_rend 1].[Kg_Desmoldeo].[All]" allUniqueName="[Tabla_master_rend 1].[Kg_Desmoldeo].[All]" dimensionUniqueName="[Tabla_master_rend 1]" displayFolder="" count="0" memberValueDatatype="5" unbalanced="0"/>
    <cacheHierarchy uniqueName="[Tabla_master_rend 1].[Merma_fab]" caption="Merma_fab" attribute="1" defaultMemberUniqueName="[Tabla_master_rend 1].[Merma_fab].[All]" allUniqueName="[Tabla_master_rend 1].[Merma_fab].[All]" dimensionUniqueName="[Tabla_master_rend 1]" displayFolder="" count="0" memberValueDatatype="5" unbalanced="0"/>
    <cacheHierarchy uniqueName="[Tabla_master_rend 1].[% Merma_fab2]" caption="% Merma_fab2" attribute="1" defaultMemberUniqueName="[Tabla_master_rend 1].[% Merma_fab2].[All]" allUniqueName="[Tabla_master_rend 1].[% Merma_fab2].[All]" dimensionUniqueName="[Tabla_master_rend 1]" displayFolder="" count="0" memberValueDatatype="5" unbalanced="0"/>
    <cacheHierarchy uniqueName="[Tabla_master_rend 1].[L_Agua]" caption="L_Agua" attribute="1" defaultMemberUniqueName="[Tabla_master_rend 1].[L_Agua].[All]" allUniqueName="[Tabla_master_rend 1].[L_Agua].[All]" dimensionUniqueName="[Tabla_master_rend 1]" displayFolder="" count="0" memberValueDatatype="20" unbalanced="0"/>
    <cacheHierarchy uniqueName="[Tabla_master_rend 1].[% oreo]" caption="% oreo" attribute="1" defaultMemberUniqueName="[Tabla_master_rend 1].[% oreo].[All]" allUniqueName="[Tabla_master_rend 1].[% oreo].[All]" dimensionUniqueName="[Tabla_master_rend 1]" displayFolder="" count="0" memberValueDatatype="5" unbalanced="0"/>
    <cacheHierarchy uniqueName="[Tabla_master_rend 1].[B_totales]" caption="B_totales" attribute="1" defaultMemberUniqueName="[Tabla_master_rend 1].[B_totales].[All]" allUniqueName="[Tabla_master_rend 1].[B_totales].[All]" dimensionUniqueName="[Tabla_master_rend 1]" displayFolder="" count="0" memberValueDatatype="20" unbalanced="0"/>
    <cacheHierarchy uniqueName="[Tabla_master_rend 1].[B_OK_uni]" caption="B_OK_uni" attribute="1" defaultMemberUniqueName="[Tabla_master_rend 1].[B_OK_uni].[All]" allUniqueName="[Tabla_master_rend 1].[B_OK_uni].[All]" dimensionUniqueName="[Tabla_master_rend 1]" displayFolder="" count="0" memberValueDatatype="20" unbalanced="0"/>
    <cacheHierarchy uniqueName="[Tabla_master_rend 1].[B_OK_kg]" caption="B_OK_kg" attribute="1" defaultMemberUniqueName="[Tabla_master_rend 1].[B_OK_kg].[All]" allUniqueName="[Tabla_master_rend 1].[B_OK_kg].[All]" dimensionUniqueName="[Tabla_master_rend 1]" displayFolder="" count="0" memberValueDatatype="20" unbalanced="0"/>
    <cacheHierarchy uniqueName="[Tabla_master_rend 1].[B_altas]" caption="B_altas" attribute="1" defaultMemberUniqueName="[Tabla_master_rend 1].[B_altas].[All]" allUniqueName="[Tabla_master_rend 1].[B_altas].[All]" dimensionUniqueName="[Tabla_master_rend 1]" displayFolder="" count="0" memberValueDatatype="20" unbalanced="0"/>
    <cacheHierarchy uniqueName="[Tabla_master_rend 1].[B_bajas]" caption="B_bajas" attribute="1" defaultMemberUniqueName="[Tabla_master_rend 1].[B_bajas].[All]" allUniqueName="[Tabla_master_rend 1].[B_bajas].[All]" dimensionUniqueName="[Tabla_master_rend 1]" displayFolder="" count="0" memberValueDatatype="20" unbalanced="0"/>
    <cacheHierarchy uniqueName="[Tabla_master_rend 1].[B_rotas]" caption="B_rotas" attribute="1" defaultMemberUniqueName="[Tabla_master_rend 1].[B_rotas].[All]" allUniqueName="[Tabla_master_rend 1].[B_rotas].[All]" dimensionUniqueName="[Tabla_master_rend 1]" displayFolder="" count="0" memberValueDatatype="20" unbalanced="0"/>
    <cacheHierarchy uniqueName="[Tabla_master_rend 1].[B_feas]" caption="B_feas" attribute="1" defaultMemberUniqueName="[Tabla_master_rend 1].[B_feas].[All]" allUniqueName="[Tabla_master_rend 1].[B_feas].[All]" dimensionUniqueName="[Tabla_master_rend 1]" displayFolder="" count="0" memberValueDatatype="20" unbalanced="0"/>
    <cacheHierarchy uniqueName="[Tabla_master_rend 1].[B_lab]" caption="B_lab" attribute="1" defaultMemberUniqueName="[Tabla_master_rend 1].[B_lab].[All]" allUniqueName="[Tabla_master_rend 1].[B_lab].[All]" dimensionUniqueName="[Tabla_master_rend 1]" displayFolder="" count="0" memberValueDatatype="20" unbalanced="0"/>
    <cacheHierarchy uniqueName="[Tabla_master_rend 1].[Kg_SalidaSecadero]" caption="Kg_SalidaSecadero" attribute="1" defaultMemberUniqueName="[Tabla_master_rend 1].[Kg_SalidaSecadero].[All]" allUniqueName="[Tabla_master_rend 1].[Kg_SalidaSecadero].[All]" dimensionUniqueName="[Tabla_master_rend 1]" displayFolder="" count="0" memberValueDatatype="20" unbalanced="0"/>
    <cacheHierarchy uniqueName="[Tabla_master_rend 1].[Kg_rebaba]" caption="Kg_rebaba" attribute="1" defaultMemberUniqueName="[Tabla_master_rend 1].[Kg_rebaba].[All]" allUniqueName="[Tabla_master_rend 1].[Kg_rebaba].[All]" dimensionUniqueName="[Tabla_master_rend 1]" displayFolder="" count="0" memberValueDatatype="20" unbalanced="0"/>
    <cacheHierarchy uniqueName="[Tabla_master_rend 1].[Kg_mer_env_real]" caption="Kg_mer_env_real" attribute="1" defaultMemberUniqueName="[Tabla_master_rend 1].[Kg_mer_env_real].[All]" allUniqueName="[Tabla_master_rend 1].[Kg_mer_env_real].[All]" dimensionUniqueName="[Tabla_master_rend 1]" displayFolder="" count="0" memberValueDatatype="5" unbalanced="0"/>
    <cacheHierarchy uniqueName="[Tabla_master_rend 1].[kg_mer_lab_real]" caption="kg_mer_lab_real" attribute="1" defaultMemberUniqueName="[Tabla_master_rend 1].[kg_mer_lab_real].[All]" allUniqueName="[Tabla_master_rend 1].[kg_mer_lab_real].[All]" dimensionUniqueName="[Tabla_master_rend 1]" displayFolder="" count="0" memberValueDatatype="5" unbalanced="0"/>
    <cacheHierarchy uniqueName="[Tabla_master_rend 1].[%Merma_env]" caption="%Merma_env" attribute="1" defaultMemberUniqueName="[Tabla_master_rend 1].[%Merma_env].[All]" allUniqueName="[Tabla_master_rend 1].[%Merma_env].[All]" dimensionUniqueName="[Tabla_master_rend 1]" displayFolder="" count="0" memberValueDatatype="5" unbalanced="0"/>
    <cacheHierarchy uniqueName="[Tabla_master_rend 1].[%Merma_env_corr]" caption="%Merma_env_corr" attribute="1" defaultMemberUniqueName="[Tabla_master_rend 1].[%Merma_env_corr].[All]" allUniqueName="[Tabla_master_rend 1].[%Merma_env_corr].[All]" dimensionUniqueName="[Tabla_master_rend 1]" displayFolder="" count="0" memberValueDatatype="5" unbalanced="0"/>
    <cacheHierarchy uniqueName="[Tabla_master_rend 1].[% merma TOT]" caption="% merma TOT" attribute="1" defaultMemberUniqueName="[Tabla_master_rend 1].[% merma TOT].[All]" allUniqueName="[Tabla_master_rend 1].[% merma TOT].[All]" dimensionUniqueName="[Tabla_master_rend 1]" displayFolder="" count="0" memberValueDatatype="5" unbalanced="0"/>
    <cacheHierarchy uniqueName="[Tabla_master_rend 1].[Merma_TOT]" caption="Merma_TOT" attribute="1" defaultMemberUniqueName="[Tabla_master_rend 1].[Merma_TOT].[All]" allUniqueName="[Tabla_master_rend 1].[Merma_TOT].[All]" dimensionUniqueName="[Tabla_master_rend 1]" displayFolder="" count="0" memberValueDatatype="5" unbalanced="0"/>
    <cacheHierarchy uniqueName="[Tabla_master_rend 1].[Kg_Env_Total]" caption="Kg_Env_Total" attribute="1" defaultMemberUniqueName="[Tabla_master_rend 1].[Kg_Env_Total].[All]" allUniqueName="[Tabla_master_rend 1].[Kg_Env_Total].[All]" dimensionUniqueName="[Tabla_master_rend 1]" displayFolder="" count="0" memberValueDatatype="5" unbalanced="0"/>
    <cacheHierarchy uniqueName="[Tabla_master_rend 1].[Coste_Leche_€]" caption="Coste_Leche_€" attribute="1" defaultMemberUniqueName="[Tabla_master_rend 1].[Coste_Leche_€].[All]" allUniqueName="[Tabla_master_rend 1].[Coste_Leche_€].[All]" dimensionUniqueName="[Tabla_master_rend 1]" displayFolder="" count="0" memberValueDatatype="5" unbalanced="0"/>
    <cacheHierarchy uniqueName="[Tabla_master_rend 1].[€/kg_MPQueso]" caption="€/kg_MPQueso" attribute="1" defaultMemberUniqueName="[Tabla_master_rend 1].[€/kg_MPQueso].[All]" allUniqueName="[Tabla_master_rend 1].[€/kg_MPQueso].[All]" dimensionUniqueName="[Tabla_master_rend 1]" displayFolder="" count="0" memberValueDatatype="5" unbalanced="0"/>
    <cacheHierarchy uniqueName="[Tabla_master_rend 1].[Merma_inic]" caption="Merma_inic" attribute="1" defaultMemberUniqueName="[Tabla_master_rend 1].[Merma_inic].[All]" allUniqueName="[Tabla_master_rend 1].[Merma_inic].[All]" dimensionUniqueName="[Tabla_master_rend 1]" displayFolder="" count="0" memberValueDatatype="5" unbalanced="0"/>
    <cacheHierarchy uniqueName="[Tabla_master_rend 1].[Recup_kg]" caption="Recup_kg" attribute="1" defaultMemberUniqueName="[Tabla_master_rend 1].[Recup_kg].[All]" allUniqueName="[Tabla_master_rend 1].[Recup_kg].[All]" dimensionUniqueName="[Tabla_master_rend 1]" displayFolder="" count="0" memberValueDatatype="5" unbalanced="0"/>
    <cacheHierarchy uniqueName="[Tabla_master_rend 1].[Recup_%]" caption="Recup_%" attribute="1" defaultMemberUniqueName="[Tabla_master_rend 1].[Recup_%].[All]" allUniqueName="[Tabla_master_rend 1].[Recup_%].[All]" dimensionUniqueName="[Tabla_master_rend 1]" displayFolder="" count="0" memberValueDatatype="5" unbalanced="0"/>
    <cacheHierarchy uniqueName="[Tabla_master_rend 1].[Merma_ppto fab]" caption="Merma_ppto fab" attribute="1" defaultMemberUniqueName="[Tabla_master_rend 1].[Merma_ppto fab].[All]" allUniqueName="[Tabla_master_rend 1].[Merma_ppto fab].[All]" dimensionUniqueName="[Tabla_master_rend 1]" displayFolder="" count="0" memberValueDatatype="5" unbalanced="0"/>
    <cacheHierarchy uniqueName="[Tabla_master_rend 1].[Merma_ppto oreo]" caption="Merma_ppto oreo" attribute="1" defaultMemberUniqueName="[Tabla_master_rend 1].[Merma_ppto oreo].[All]" allUniqueName="[Tabla_master_rend 1].[Merma_ppto oreo].[All]" dimensionUniqueName="[Tabla_master_rend 1]" displayFolder="" count="0" memberValueDatatype="5" unbalanced="0"/>
    <cacheHierarchy uniqueName="[Tabla_master_rend 1].[Merma_ppto Env/Enc]" caption="Merma_ppto Env/Enc" attribute="1" defaultMemberUniqueName="[Tabla_master_rend 1].[Merma_ppto Env/Enc].[All]" allUniqueName="[Tabla_master_rend 1].[Merma_ppto Env/Enc].[All]" dimensionUniqueName="[Tabla_master_rend 1]" displayFolder="" count="0" memberValueDatatype="5" unbalanced="0"/>
    <cacheHierarchy uniqueName="[Tabla_master_rend 1].[Merma_T ppto]" caption="Merma_T ppto" attribute="1" defaultMemberUniqueName="[Tabla_master_rend 1].[Merma_T ppto].[All]" allUniqueName="[Tabla_master_rend 1].[Merma_T ppto].[All]" dimensionUniqueName="[Tabla_master_rend 1]" displayFolder="" count="0" memberValueDatatype="5" unbalanced="0"/>
    <cacheHierarchy uniqueName="[Tabla_master_rend 1].[Merma_T ppto %]" caption="Merma_T ppto %" attribute="1" defaultMemberUniqueName="[Tabla_master_rend 1].[Merma_T ppto %].[All]" allUniqueName="[Tabla_master_rend 1].[Merma_T ppto %].[All]" dimensionUniqueName="[Tabla_master_rend 1]" displayFolder="" count="0" memberValueDatatype="5" unbalanced="0"/>
    <cacheHierarchy uniqueName="[Tabla_master_rend 1].[Merma_T real %]" caption="Merma_T real %" attribute="1" defaultMemberUniqueName="[Tabla_master_rend 1].[Merma_T real %].[All]" allUniqueName="[Tabla_master_rend 1].[Merma_T real %].[All]" dimensionUniqueName="[Tabla_master_rend 1]" displayFolder="" count="0" memberValueDatatype="5" unbalanced="0"/>
    <cacheHierarchy uniqueName="[Tabla_master_rend 1].[DIF R Vs PPTO]" caption="DIF R Vs PPTO" attribute="1" defaultMemberUniqueName="[Tabla_master_rend 1].[DIF R Vs PPTO].[All]" allUniqueName="[Tabla_master_rend 1].[DIF R Vs PPTO].[All]" dimensionUniqueName="[Tabla_master_rend 1]" displayFolder="" count="0" memberValueDatatype="5" unbalanced="0"/>
    <cacheHierarchy uniqueName="[Tabla_master_rend 1].[IMPACTO]" caption="IMPACTO" attribute="1" defaultMemberUniqueName="[Tabla_master_rend 1].[IMPACTO].[All]" allUniqueName="[Tabla_master_rend 1].[IMPACTO].[All]" dimensionUniqueName="[Tabla_master_rend 1]" displayFolder="" count="0" memberValueDatatype="5" unbalanced="0"/>
    <cacheHierarchy uniqueName="[Tabla_master_rend 1].[IMPACTO_vs_PPTO]" caption="IMPACTO_vs_PPTO" attribute="1" defaultMemberUniqueName="[Tabla_master_rend 1].[IMPACTO_vs_PPTO].[All]" allUniqueName="[Tabla_master_rend 1].[IMPACTO_vs_PPTO].[All]" dimensionUniqueName="[Tabla_master_rend 1]" displayFolder="" count="0" memberValueDatatype="5" unbalanced="0"/>
    <cacheHierarchy uniqueName="[Tabla_Precio_Venta].[Fecha]" caption="Fecha" attribute="1" defaultMemberUniqueName="[Tabla_Precio_Venta].[Fecha].[All]" allUniqueName="[Tabla_Precio_Venta].[Fecha].[All]" dimensionUniqueName="[Tabla_Precio_Venta]" displayFolder="" count="0" memberValueDatatype="130" unbalanced="0"/>
    <cacheHierarchy uniqueName="[Tabla_Precio_Venta].[Producto]" caption="Producto" attribute="1" defaultMemberUniqueName="[Tabla_Precio_Venta].[Producto].[All]" allUniqueName="[Tabla_Precio_Venta].[Producto].[All]" dimensionUniqueName="[Tabla_Precio_Venta]" displayFolder="" count="0" memberValueDatatype="130" unbalanced="0"/>
    <cacheHierarchy uniqueName="[Tabla_Precio_Venta].[Ventas (kg)]" caption="Ventas (kg)" attribute="1" defaultMemberUniqueName="[Tabla_Precio_Venta].[Ventas (kg)].[All]" allUniqueName="[Tabla_Precio_Venta].[Ventas (kg)].[All]" dimensionUniqueName="[Tabla_Precio_Venta]" displayFolder="" count="0" memberValueDatatype="20" unbalanced="0"/>
    <cacheHierarchy uniqueName="[Tabla_Precio_Venta].[PV_eur_kg]" caption="PV_eur_kg" attribute="1" defaultMemberUniqueName="[Tabla_Precio_Venta].[PV_eur_kg].[All]" allUniqueName="[Tabla_Precio_Venta].[PV_eur_kg].[All]" dimensionUniqueName="[Tabla_Precio_Venta]" displayFolder="" count="0" memberValueDatatype="5" unbalanced="0"/>
    <cacheHierarchy uniqueName="[tbl_DimFecha].[Fecha]" caption="Fecha" attribute="1" time="1" defaultMemberUniqueName="[tbl_DimFecha].[Fecha].[All]" allUniqueName="[tbl_DimFecha].[Fecha].[All]" dimensionUniqueName="[tbl_DimFecha]" displayFolder="" count="0" memberValueDatatype="7" unbalanced="0"/>
    <cacheHierarchy uniqueName="[tbl_DimFecha].[Año]" caption="Año" attribute="1" defaultMemberUniqueName="[tbl_DimFecha].[Año].[All]" allUniqueName="[tbl_DimFecha].[Año].[All]" dimensionUniqueName="[tbl_DimFecha]" displayFolder="" count="0" memberValueDatatype="20" unbalanced="0"/>
    <cacheHierarchy uniqueName="[tbl_DimFecha].[MesN]" caption="MesN" attribute="1" defaultMemberUniqueName="[tbl_DimFecha].[MesN].[All]" allUniqueName="[tbl_DimFecha].[MesN].[All]" dimensionUniqueName="[tbl_DimFecha]" displayFolder="" count="0" memberValueDatatype="20" unbalanced="0"/>
    <cacheHierarchy uniqueName="[tbl_DimFecha].[Mes]" caption="Mes" attribute="1" defaultMemberUniqueName="[tbl_DimFecha].[Mes].[All]" allUniqueName="[tbl_DimFecha].[Mes].[All]" dimensionUniqueName="[tbl_DimFecha]" displayFolder="" count="0" memberValueDatatype="130" unbalanced="0"/>
    <cacheHierarchy uniqueName="[tbl_DimFecha].[AñoMes]" caption="AñoMes" attribute="1" defaultMemberUniqueName="[tbl_DimFecha].[AñoMes].[All]" allUniqueName="[tbl_DimFecha].[AñoMes].[All]" dimensionUniqueName="[tbl_DimFecha]" displayFolder="" count="0" memberValueDatatype="130" unbalanced="0"/>
    <cacheHierarchy uniqueName="[tbl_DimFecha].[SemanaISO]" caption="SemanaISO" attribute="1" defaultMemberUniqueName="[tbl_DimFecha].[SemanaISO].[All]" allUniqueName="[tbl_DimFecha].[SemanaISO].[All]" dimensionUniqueName="[tbl_DimFecha]" displayFolder="" count="0" memberValueDatatype="20" unbalanced="0"/>
    <cacheHierarchy uniqueName="[tbl_DimFecha].[AñoSemana]" caption="AñoSemana" attribute="1" defaultMemberUniqueName="[tbl_DimFecha].[AñoSemana].[All]" allUniqueName="[tbl_DimFecha].[AñoSemana].[All]" dimensionUniqueName="[tbl_DimFecha]" displayFolder="" count="0" memberValueDatatype="130" unbalanced="0"/>
    <cacheHierarchy uniqueName="[tbl_DimFecha].[DiaSemanaN]" caption="DiaSemanaN" attribute="1" defaultMemberUniqueName="[tbl_DimFecha].[DiaSemanaN].[All]" allUniqueName="[tbl_DimFecha].[DiaSemanaN].[All]" dimensionUniqueName="[tbl_DimFecha]" displayFolder="" count="0" memberValueDatatype="20" unbalanced="0"/>
    <cacheHierarchy uniqueName="[tbl_DimFecha].[DiaSemana]" caption="DiaSemana" attribute="1" defaultMemberUniqueName="[tbl_DimFecha].[DiaSemana].[All]" allUniqueName="[tbl_DimFecha].[DiaSemana].[All]" dimensionUniqueName="[tbl_DimFecha]" displayFolder="" count="0" memberValueDatatype="130" unbalanced="0"/>
    <cacheHierarchy uniqueName="[tbl_DimFecha].[Mes_Orden]" caption="Mes_Orden" attribute="1" defaultMemberUniqueName="[tbl_DimFecha].[Mes_Orden].[All]" allUniqueName="[tbl_DimFecha].[Mes_Orden].[All]" dimensionUniqueName="[tbl_DimFecha]" displayFolder="" count="0" memberValueDatatype="130" unbalanced="0"/>
    <cacheHierarchy uniqueName="[tbl_DimProducto].[Producto]" caption="Producto" attribute="1" defaultMemberUniqueName="[tbl_DimProducto].[Producto].[All]" allUniqueName="[tbl_DimProducto].[Producto].[All]" dimensionUniqueName="[tbl_DimProducto]" displayFolder="" count="0" memberValueDatatype="130" unbalanced="0"/>
    <cacheHierarchy uniqueName="[tbl_DimProducto].[Producto_id]" caption="Producto_id" attribute="1" defaultMemberUniqueName="[tbl_DimProducto].[Producto_id].[All]" allUniqueName="[tbl_DimProducto].[Producto_id].[All]" dimensionUniqueName="[tbl_DimProducto]" displayFolder="" count="0" memberValueDatatype="130" unbalanced="0"/>
    <cacheHierarchy uniqueName="[tbl_DimProducto].[Categoría]" caption="Categoría" attribute="1" defaultMemberUniqueName="[tbl_DimProducto].[Categoría].[All]" allUniqueName="[tbl_DimProducto].[Categoría].[All]" dimensionUniqueName="[tbl_DimProducto]" displayFolder="" count="0" memberValueDatatype="130" unbalanced="0"/>
    <cacheHierarchy uniqueName="[tbl_DimProducto].[PesoBarra_kg]" caption="PesoBarra_kg" attribute="1" defaultMemberUniqueName="[tbl_DimProducto].[PesoBarra_kg].[All]" allUniqueName="[tbl_DimProducto].[PesoBarra_kg].[All]" dimensionUniqueName="[tbl_DimProducto]" displayFolder="" count="0" memberValueDatatype="5" unbalanced="0"/>
    <cacheHierarchy uniqueName="[tbl_PrecioLeche].[Año]" caption="Año" attribute="1" defaultMemberUniqueName="[tbl_PrecioLeche].[Año].[All]" allUniqueName="[tbl_PrecioLeche].[Año].[All]" dimensionUniqueName="[tbl_PrecioLeche]" displayFolder="" count="0" memberValueDatatype="20" unbalanced="0"/>
    <cacheHierarchy uniqueName="[tbl_PrecioLeche].[AñoMes]" caption="AñoMes" attribute="1" defaultMemberUniqueName="[tbl_PrecioLeche].[AñoMes].[All]" allUniqueName="[tbl_PrecioLeche].[AñoMes].[All]" dimensionUniqueName="[tbl_PrecioLeche]" displayFolder="" count="0" memberValueDatatype="130" unbalanced="0"/>
    <cacheHierarchy uniqueName="[tbl_PrecioLeche].[Mes]" caption="Mes" attribute="1" defaultMemberUniqueName="[tbl_PrecioLeche].[Mes].[All]" allUniqueName="[tbl_PrecioLeche].[Mes].[All]" dimensionUniqueName="[tbl_PrecioLeche]" displayFolder="" count="0" memberValueDatatype="130" unbalanced="0"/>
    <cacheHierarchy uniqueName="[tbl_PrecioLeche].[Tipo_Leche]" caption="Tipo_Leche" attribute="1" defaultMemberUniqueName="[tbl_PrecioLeche].[Tipo_Leche].[All]" allUniqueName="[tbl_PrecioLeche].[Tipo_Leche].[All]" dimensionUniqueName="[tbl_PrecioLeche]" displayFolder="" count="0" memberValueDatatype="130" unbalanced="0"/>
    <cacheHierarchy uniqueName="[tbl_PrecioLeche].[Precio_base]" caption="Precio_base" attribute="1" defaultMemberUniqueName="[tbl_PrecioLeche].[Precio_base].[All]" allUniqueName="[tbl_PrecioLeche].[Precio_base].[All]" dimensionUniqueName="[tbl_PrecioLeche]" displayFolder="" count="0" memberValueDatatype="20" unbalanced="0"/>
    <cacheHierarchy uniqueName="[tbl_PrecioLeche].[Calidades]" caption="Calidades" attribute="1" defaultMemberUniqueName="[tbl_PrecioLeche].[Calidades].[All]" allUniqueName="[tbl_PrecioLeche].[Calidades].[All]" dimensionUniqueName="[tbl_PrecioLeche]" displayFolder="" count="0" memberValueDatatype="20" unbalanced="0"/>
    <cacheHierarchy uniqueName="[tbl_PrecioLeche].[Transporte]" caption="Transporte" attribute="1" defaultMemberUniqueName="[tbl_PrecioLeche].[Transporte].[All]" allUniqueName="[tbl_PrecioLeche].[Transporte].[All]" dimensionUniqueName="[tbl_PrecioLeche]" displayFolder="" count="0" memberValueDatatype="20" unbalanced="0"/>
    <cacheHierarchy uniqueName="[tbl_PrecioLeche].[PMV_eur_L]" caption="PMV_eur_L" attribute="1" defaultMemberUniqueName="[tbl_PrecioLeche].[PMV_eur_L].[All]" allUniqueName="[tbl_PrecioLeche].[PMV_eur_L].[All]" dimensionUniqueName="[tbl_PrecioLeche]" displayFolder="" count="0" memberValueDatatype="5" unbalanced="0"/>
    <cacheHierarchy uniqueName="[Tabla_master_rend].[Fecha (índice de meses)]" caption="Fecha (índice de meses)" attribute="1" defaultMemberUniqueName="[Tabla_master_rend].[Fecha (índice de meses)].[All]" allUniqueName="[Tabla_master_rend].[Fecha (índice de meses)].[All]" dimensionUniqueName="[Tabla_master_rend]" displayFolder="" count="0" memberValueDatatype="20" unbalanced="0" hidden="1"/>
    <cacheHierarchy uniqueName="[Measures].[Litros_Leche]" caption="Litros_Leche" measure="1" displayFolder="" measureGroup="Tabla_master_rend" count="0"/>
    <cacheHierarchy uniqueName="[Measures].[kg_Blancos]" caption="kg_Blancos" measure="1" displayFolder="" measureGroup="Tabla_master_rend" count="0"/>
    <cacheHierarchy uniqueName="[Measures].[Kg_secadero]" caption="Kg_secadero" measure="1" displayFolder="" measureGroup="Tabla_master_rend" count="0"/>
    <cacheHierarchy uniqueName="[Measures].[Merma_TOT_kg]" caption="Merma_TOT_kg" measure="1" displayFolder="" measureGroup="Tabla_master_rend" count="0"/>
    <cacheHierarchy uniqueName="[Measures].[Merma_env_kg]" caption="Merma_env_kg" measure="1" displayFolder="" measureGroup="Tabla_master_rend" count="0"/>
    <cacheHierarchy uniqueName="[Measures].[Impacto_EUR]" caption="Impacto_EUR" measure="1" displayFolder="" measureGroup="Tabla_master_rend" count="0"/>
    <cacheHierarchy uniqueName="[Measures].[RDTO_Blanco_kg]" caption="RDTO_Blanco_kg" measure="1" displayFolder="" measureGroup="Tabla_master_rend" count="0"/>
    <cacheHierarchy uniqueName="[Measures].[Merma_env_pct]" caption="Merma_env_pct" measure="1" displayFolder="" measureGroup="Tabla_master_rend" count="0"/>
    <cacheHierarchy uniqueName="[Measures].[B_totales_u]" caption="B_totales_u" measure="1" displayFolder="" measureGroup="Tabla_master_rend" count="0"/>
    <cacheHierarchy uniqueName="[Measures].[Feas_pct]" caption="Feas_pct" measure="1" displayFolder="" measureGroup="Tabla_master_rend" count="0"/>
    <cacheHierarchy uniqueName="[Measures].[Bajas_pct]" caption="Bajas_pct" measure="1" displayFolder="" measureGroup="Tabla_master_rend" count="0"/>
    <cacheHierarchy uniqueName="[Measures].[Rotas_pct]" caption="Rotas_pct" measure="1" displayFolder="" measureGroup="Tabla_master_rend" count="0"/>
    <cacheHierarchy uniqueName="[Measures].[Recup_kg_sum]" caption="Recup_kg_sum" measure="1" displayFolder="" measureGroup="Tabla_master_rend" count="0"/>
    <cacheHierarchy uniqueName="[Measures].[Merma_inic_kg]" caption="Merma_inic_kg" measure="1" displayFolder="" measureGroup="Tabla_master_rend" count="0"/>
    <cacheHierarchy uniqueName="[Measures].[Recup_pct]" caption="Recup_pct" measure="1" displayFolder="" measureGroup="Tabla_master_rend" count="0"/>
    <cacheHierarchy uniqueName="[Measures].[Merma_env_corregida_kg]" caption="Merma_env_corregida_kg" measure="1" displayFolder="" measureGroup="Tabla_master_rend" count="0"/>
    <cacheHierarchy uniqueName="[Measures].[Merma_env_corregida_pct]" caption="Merma_env_corregida_pct" measure="1" displayFolder="" measureGroup="Tabla_master_rend" count="0"/>
    <cacheHierarchy uniqueName="[Measures].[Merma_TOT_pct]" caption="Merma_TOT_pct" measure="1" displayFolder="" measureGroup="Tabla_master_rend" count="0"/>
    <cacheHierarchy uniqueName="[Measures].[Labo_pct]" caption="Labo_pct" measure="1" displayFolder="" measureGroup="Tabla_master_rend" count="0"/>
    <cacheHierarchy uniqueName="[Measures].[Recup_MG_pct_pond]" caption="Recup_MG_pct_pond" measure="1" displayFolder="" measureGroup="Tabla_master_rend" count="0"/>
    <cacheHierarchy uniqueName="[Measures].[Recup_PT_pct_pond]" caption="Recup_PT_pct_pond" measure="1" displayFolder="" measureGroup="Tabla_master_rend" count="0"/>
    <cacheHierarchy uniqueName="[Measures].[Suero_vs_Leche]" caption="Suero_vs_Leche" measure="1" displayFolder="" measureGroup="Tabla_master_rend" count="0"/>
    <cacheHierarchy uniqueName="[Measures].[MG_suero_pct_pond]" caption="MG_suero_pct_pond" measure="1" displayFolder="" measureGroup="Tabla_master_rend" count="0"/>
    <cacheHierarchy uniqueName="[Measures].[PT_suero_pct_pond]" caption="PT_suero_pct_pond" measure="1" displayFolder="" measureGroup="Tabla_master_rend" count="0"/>
    <cacheHierarchy uniqueName="[Measures].[Nata_leche_L]" caption="Nata_leche_L" measure="1" displayFolder="" measureGroup="Tabla_master_rend" count="0"/>
    <cacheHierarchy uniqueName="[Measures].[Nata_suero_L]" caption="Nata_suero_L" measure="1" displayFolder="" measureGroup="Tabla_master_rend" count="0"/>
    <cacheHierarchy uniqueName="[Measures].[Nata_suero_pct]" caption="Nata_suero_pct" measure="1" displayFolder="" measureGroup="Tabla_master_rend" count="0"/>
    <cacheHierarchy uniqueName="[Measures].[Valor_Nata_EUR]" caption="Valor_Nata_EUR" measure="1" displayFolder="" measureGroup="Tabla_master_rend" count="0"/>
    <cacheHierarchy uniqueName="[Measures].[Nata_Total_L]" caption="Nata_Total_L" measure="1" displayFolder="" measureGroup="Tabla_master_rend" count="0"/>
    <cacheHierarchy uniqueName="[Measures].[Solidos_leche_kg]" caption="Solidos_leche_kg" measure="1" displayFolder="" measureGroup="Tabla_master_rend" count="0"/>
    <cacheHierarchy uniqueName="[Measures].[Solidos_en_queso_kg]" caption="Solidos_en_queso_kg" measure="1" displayFolder="" measureGroup="Tabla_master_rend" count="0"/>
    <cacheHierarchy uniqueName="[Measures].[Recup_solidos_a_queso_pct]" caption="Recup_solidos_a_queso_pct" measure="1" displayFolder="" measureGroup="Tabla_master_rend" count="0"/>
    <cacheHierarchy uniqueName="[Measures].[Suero_kg_aprox]" caption="Suero_kg_aprox" measure="1" displayFolder="" measureGroup="Tabla_master_rend" count="0"/>
    <cacheHierarchy uniqueName="[Measures].[Solidos_principales_suero_kg]" caption="Solidos_principales_suero_kg" measure="1" displayFolder="" measureGroup="Tabla_master_rend" count="0"/>
    <cacheHierarchy uniqueName="[Measures].[Solidos_principales_suero_pct_sobre_leche]" caption="Solidos_principales_suero_pct_sobre_leche" measure="1" displayFolder="" measureGroup="Tabla_master_rend" count="0"/>
    <cacheHierarchy uniqueName="[Measures].[Solidos_gap_kg]" caption="Solidos_gap_kg" measure="1" displayFolder="" measureGroup="Tabla_master_rend" count="0"/>
    <cacheHierarchy uniqueName="[Measures].[MG_a_nata_leche_kg]" caption="MG_a_nata_leche_kg" measure="1" displayFolder="" measureGroup="Tabla_master_rend" count="0"/>
    <cacheHierarchy uniqueName="[Measures].[MG_a_nata_leche_pct_sobre_solidos]" caption="MG_a_nata_leche_pct_sobre_solidos" measure="1" displayFolder="" measureGroup="Tabla_master_rend" count="0"/>
    <cacheHierarchy uniqueName="[Measures].[Solidos_leche_FP_kg]" caption="Solidos_leche_FP_kg" measure="1" displayFolder="" measureGroup="Tabla_master_rend" count="0"/>
    <cacheHierarchy uniqueName="[Measures].[Solidos_queso_FP_kg]" caption="Solidos_queso_FP_kg" measure="1" displayFolder="" measureGroup="Tabla_master_rend" count="0"/>
    <cacheHierarchy uniqueName="[Measures].[Solidos_suero_FP_kg]" caption="Solidos_suero_FP_kg" measure="1" displayFolder="" measureGroup="Tabla_master_rend" count="0"/>
    <cacheHierarchy uniqueName="[Measures].[Solidos_GAP_des_pct]" caption="Solidos_GAP_des_pct" measure="1" displayFolder="" measureGroup="Tabla_master_rend" count="0"/>
    <cacheHierarchy uniqueName="[Measures].[RDTO_neto_pond]" caption="RDTO_neto_pond" measure="1" displayFolder="" measureGroup="Tabla_master_rend" count="0"/>
    <cacheHierarchy uniqueName="[Measures].[Recup_FP_queso_pct]" caption="Recup_FP_queso_pct" measure="1" displayFolder="" measureGroup="Tabla_master_rend" count="0"/>
    <cacheHierarchy uniqueName="[Measures].[IMPACTO_VS__PPTO]" caption="IMPACTO_VS__PPTO" measure="1" displayFolder="" measureGroup="Tabla_master_rend" count="0"/>
    <cacheHierarchy uniqueName="[Measures].[€/kg_MP_Queso]" caption="€/kg_MP_Queso" measure="1" displayFolder="" measureGroup="Tabla_master_rend" count="0"/>
    <cacheHierarchy uniqueName="[Measures].[Merma_TOT_%_blanco_a_vendible]" caption="Merma_TOT_%_blanco_a_vendible" measure="1" displayFolder="" measureGroup="Tabla_master_rend" count="0"/>
    <cacheHierarchy uniqueName="[Measures].[Merma_TOT_kg_blanco_a_vendible :]" caption="Merma_TOT_kg_blanco_a_vendible :" measure="1" displayFolder="" measureGroup="Tabla_master_rend" count="0"/>
    <cacheHierarchy uniqueName="[Measures].[Gap_solidos_pct]" caption="Gap_solidos_pct" measure="1" displayFolder="" measureGroup="Tabla_master_rend" count="0"/>
    <cacheHierarchy uniqueName="[Measures].[Kg_saladero_tons]" caption="Kg_saladero_tons" measure="1" displayFolder="" measureGroup="Tabla_master_rend" count="0"/>
    <cacheHierarchy uniqueName="[Measures].[Suero_L]" caption="Suero_L" measure="1" displayFolder="" measureGroup="Tabla_master_rend" count="0"/>
    <cacheHierarchy uniqueName="[Measures].[%_Merma_Finos]" caption="%_Merma_Finos" measure="1" displayFolder="" measureGroup="Tabla_master_rend" count="0"/>
    <cacheHierarchy uniqueName="[Measures].[%_Merma_Llenadora]" caption="%_Merma_Llenadora" measure="1" displayFolder="" measureGroup="Tabla_master_rend" count="0"/>
    <cacheHierarchy uniqueName="[Measures].[%_Merma_Desm]" caption="%_Merma_Desm" measure="1" displayFolder="" measureGroup="Tabla_master_rend" count="0"/>
    <cacheHierarchy uniqueName="[Measures].[%_Merma_oreo]" caption="%_Merma_oreo" measure="1" displayFolder="" measureGroup="Tabla_master_rend" count="0"/>
    <cacheHierarchy uniqueName="[Measures].[__XL_Count tbl_DimProducto]" caption="__XL_Count tbl_DimProducto" measure="1" displayFolder="" measureGroup="tbl_DimProducto" count="0" hidden="1"/>
    <cacheHierarchy uniqueName="[Measures].[__XL_Count tbl_FactRendFecha]" caption="__XL_Count tbl_FactRendFecha" measure="1" displayFolder="" measureGroup="tbl_DimFecha" count="0" hidden="1"/>
    <cacheHierarchy uniqueName="[Measures].[__XL_Count Tabla_master_rend]" caption="__XL_Count Tabla_master_rend" measure="1" displayFolder="" measureGroup="Tabla_master_rend" count="0" hidden="1"/>
    <cacheHierarchy uniqueName="[Measures].[__XL_Count REND_TARGET]" caption="__XL_Count REND_TARGET" measure="1" displayFolder="" measureGroup="REND_TARGET" count="0" hidden="1"/>
    <cacheHierarchy uniqueName="[Measures].[__XL_Count Tabla_master_rend 1]" caption="__XL_Count Tabla_master_rend 1" measure="1" displayFolder="" measureGroup="Tabla_master_rend 1" count="0" hidden="1"/>
    <cacheHierarchy uniqueName="[Measures].[__XL_Count Tabla_Precio_Venta]" caption="__XL_Count Tabla_Precio_Venta" measure="1" displayFolder="" measureGroup="Tabla_Precio_Venta" count="0" hidden="1"/>
    <cacheHierarchy uniqueName="[Measures].[__XL_Count tbl_PrecioLeche]" caption="__XL_Count tbl_PrecioLeche" measure="1" displayFolder="" measureGroup="tbl_PrecioLeche" count="0" hidden="1"/>
    <cacheHierarchy uniqueName="[Measures].[__XL_Count Tabla_Contabilidad]" caption="__XL_Count Tabla_Contabilidad" measure="1" displayFolder="" measureGroup="Tabla_Contabilidad" count="0" hidden="1"/>
    <cacheHierarchy uniqueName="[Measures].[__No measures defined]" caption="__No measures defined" measure="1" displayFolder="" count="0" hidden="1"/>
    <cacheHierarchy uniqueName="[Measures].[Sum of Rend_Ntarget]" caption="Sum of Rend_Ntarget" measure="1" displayFolder="" measureGroup="REND_TARG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imum of Rend_Ntarget]" caption="Maximum of Rend_Ntarget" measure="1" displayFolder="" measureGroup="REND_TARG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REND_TARGET]" caption="Suma de REND_TARGET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Promedio de REND_TARGET]" caption="Promedio de REND_TARGET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RDTO_NETO]" caption="Suma de RDTO_NETO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Kg_Finos]" caption="Suma de Kg_Finos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Kg_Llenadora]" caption="Suma de Kg_Llenadora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Kg_Desmoldeo]" caption="Suma de Kg_Desmoldeo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de Merma_fab]" caption="Suma de Merma_fab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Recuento de L_Agua]" caption="Recuento de L_Agua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de %Merma_env_corr]" caption="Suma de %Merma_env_corr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Promedio de %Merma_env_corr]" caption="Promedio de %Merma_env_corr" measure="1" displayFolder="" measureGroup="Tabla_master_rend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a de Gastos Estructura (€∕mes)]" caption="Suma de Gastos Estructura (€∕mes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Gastos Estructura (€∕mes)]" caption="Promedio de Gastos Estructura (€∕mes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BITDA  (M€)]" caption="Suma de EBITDA  (M€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BITDA  (M€)]" caption="Promedio de EBITDA  (M€)" measure="1" displayFolder="" measureGroup="Tabla_Contabilida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9">
    <dimension measure="1" name="Measures" uniqueName="[Measures]" caption="Measures"/>
    <dimension name="REND_TARGET" uniqueName="[REND_TARGET]" caption="REND_TARGET"/>
    <dimension name="Tabla_Contabilidad" uniqueName="[Tabla_Contabilidad]" caption="Tabla_Contabilidad"/>
    <dimension name="Tabla_master_rend" uniqueName="[Tabla_master_rend]" caption="Tabla_master_rend"/>
    <dimension name="Tabla_master_rend 1" uniqueName="[Tabla_master_rend 1]" caption="Tabla_master_rend 1"/>
    <dimension name="Tabla_Precio_Venta" uniqueName="[Tabla_Precio_Venta]" caption="Tabla_Precio_Venta"/>
    <dimension name="tbl_DimFecha" uniqueName="[tbl_DimFecha]" caption="tbl_DimFecha"/>
    <dimension name="tbl_DimProducto" uniqueName="[tbl_DimProducto]" caption="tbl_DimProducto"/>
    <dimension name="tbl_PrecioLeche" uniqueName="[tbl_PrecioLeche]" caption="tbl_PrecioLeche"/>
  </dimensions>
  <measureGroups count="8">
    <measureGroup name="REND_TARGET" caption="REND_TARGET"/>
    <measureGroup name="Tabla_Contabilidad" caption="Tabla_Contabilidad"/>
    <measureGroup name="Tabla_master_rend" caption="Tabla_master_rend"/>
    <measureGroup name="Tabla_master_rend 1" caption="Tabla_master_rend 1"/>
    <measureGroup name="Tabla_Precio_Venta" caption="Tabla_Precio_Venta"/>
    <measureGroup name="tbl_DimFecha" caption="tbl_DimFecha"/>
    <measureGroup name="tbl_DimProducto" caption="tbl_DimProducto"/>
    <measureGroup name="tbl_PrecioLeche" caption="tbl_PrecioLeche"/>
  </measureGroups>
  <maps count="13">
    <map measureGroup="0" dimension="1"/>
    <map measureGroup="0" dimension="7"/>
    <map measureGroup="1" dimension="2"/>
    <map measureGroup="2" dimension="3"/>
    <map measureGroup="2" dimension="6"/>
    <map measureGroup="2" dimension="7"/>
    <map measureGroup="3" dimension="4"/>
    <map measureGroup="4" dimension="5"/>
    <map measureGroup="4" dimension="6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licerData="1" pivotCacheId="356859980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036D1-963B-488A-B3C1-378297C44E28}" name="Tbl_mermas" cacheId="30" applyNumberFormats="0" applyBorderFormats="0" applyFontFormats="0" applyPatternFormats="0" applyAlignmentFormats="0" applyWidthHeightFormats="1" dataCaption="Valores" tag="b5a7d536-1294-49b2-94a5-b4b0515a922b" updatedVersion="8" minRefreshableVersion="3" useAutoFormatting="1" subtotalHiddenItems="1" itemPrintTitles="1" createdVersion="8" indent="0" outline="1" outlineData="1" multipleFieldFilters="0" rowHeaderCaption="Lote">
  <location ref="AL2:AQ6" firstHeaderRow="0" firstDataRow="1" firstDataCol="1"/>
  <pivotFields count="7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name=" %Merma_env_corr" fld="4" subtotal="average" baseField="0" baseItem="0"/>
  </dataFields>
  <formats count="1">
    <format dxfId="0">
      <pivotArea outline="0" collapsedLevelsAreSubtotals="1" fieldPosition="0"/>
    </format>
  </formats>
  <pivotHierarchies count="28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l_DimFecha].[Año].&amp;[2026]"/>
      </members>
    </pivotHierarchy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 %Merma_env_corr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DimFecha]"/>
        <x15:activeTabTopLevelEntity name="[tbl_DimProducto]"/>
        <x15:activeTabTopLevelEntity name="[Tabla_master_ren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96F0D9-C5DC-4A94-AC22-AEF439ACA7AC}" name="Pivot_KPI" cacheId="29" applyNumberFormats="0" applyBorderFormats="0" applyFontFormats="0" applyPatternFormats="0" applyAlignmentFormats="0" applyWidthHeightFormats="1" dataCaption="Valores" tag="0cab0af0-e0a7-4b90-a4ab-362c4a9fd720" updatedVersion="8" minRefreshableVersion="3" useAutoFormatting="1" subtotalHiddenItems="1" itemPrintTitles="1" createdVersion="8" indent="0" outline="1" outlineData="1" multipleFieldFilters="0">
  <location ref="A2:K8" firstHeaderRow="0" firstDataRow="1" firstDataCol="1"/>
  <pivotFields count="13">
    <pivotField allDrilled="1" subtotalTop="0" showAll="0" sortType="ascending" defaultSubtotal="0" defaultAttributeDrillState="1">
      <items count="1">
        <item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ataSourceSort="1" defaultSubtotal="0" defaultAttributeDrillState="1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  <dataField fld="7" subtotal="count" baseField="0" baseItem="0"/>
    <dataField fld="1" subtotal="count" baseField="0" baseItem="0"/>
    <dataField fld="8" subtotal="count" baseField="0" baseItem="0" numFmtId="175"/>
    <dataField fld="2" subtotal="count" baseField="0" baseItem="0"/>
    <dataField fld="9" subtotal="count" baseField="0" baseItem="0"/>
    <dataField fld="10" subtotal="count" baseField="0" baseItem="0"/>
  </dataFields>
  <formats count="1">
    <format dxfId="1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</formats>
  <pivotHierarchies count="28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l_DimFecha].[Año].&amp;[2026]"/>
      </members>
    </pivotHierarchy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DimFecha]"/>
        <x15:activeTabTopLevelEntity name="[tbl_DimProducto]"/>
        <x15:activeTabTopLevelEntity name="[Tabla_master_ren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76B88-50FA-417C-9155-BF7C6AB114D9}" name="Pivot_Pareto_producto" cacheId="32" applyNumberFormats="0" applyBorderFormats="0" applyFontFormats="0" applyPatternFormats="0" applyAlignmentFormats="0" applyWidthHeightFormats="1" dataCaption="Valores" tag="a180df85-813b-4733-8d7b-9f95e57603f4" updatedVersion="8" minRefreshableVersion="3" useAutoFormatting="1" subtotalHiddenItems="1" itemPrintTitles="1" createdVersion="8" indent="0" outline="1" outlineData="1" multipleFieldFilters="0" chartFormat="2">
  <location ref="A24:F25" firstHeaderRow="0" firstDataRow="1" firstDataCol="0"/>
  <pivotFields count="7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</dataFields>
  <pivotHierarchies count="28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l_DimFecha].[Año].&amp;[2026]"/>
      </members>
    </pivotHierarchy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DimProducto]"/>
        <x15:activeTabTopLevelEntity name="[tbl_DimFecha]"/>
        <x15:activeTabTopLevelEntity name="[tbl_FactRend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19B819-2B49-4B42-B389-DB649EE2DBD9}" name="Tabla_evol_rend" cacheId="36" applyNumberFormats="0" applyBorderFormats="0" applyFontFormats="0" applyPatternFormats="0" applyAlignmentFormats="0" applyWidthHeightFormats="1" dataCaption="Valores" tag="6402bb52-5998-4770-baca-72ece69d4622" updatedVersion="8" minRefreshableVersion="3" useAutoFormatting="1" subtotalHiddenItems="1" itemPrintTitles="1" createdVersion="8" indent="0" outline="1" outlineData="1" multipleFieldFilters="0">
  <location ref="A206:B220" firstHeaderRow="1" firstDataRow="1" firstDataCol="1" rowPageCount="1" colPageCount="1"/>
  <pivotFields count="4"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2" hier="14" name="[Tabla_master_rend].[Mes_Nom].[All]" cap="All"/>
  </pageFields>
  <dataFields count="1">
    <dataField fld="1" subtotal="count" baseField="0" baseItem="0"/>
  </dataFields>
  <formats count="6"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fieldPosition="0">
        <references count="1">
          <reference field="0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</formats>
  <pivotHierarchies count="28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l_DimFecha].[Año].&amp;[2026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_master_ren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A73FD-68E1-4B89-8292-B0A937CA3146}" name="Pivot_ebitda_gastos" cacheId="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89:C395" firstHeaderRow="0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Gastos Estructura (€∕mes)" fld="2" subtotal="average" baseField="0" baseItem="0"/>
    <dataField name="Promedio de EBITDA  (M€)" fld="1" subtotal="average" baseField="0" baseItem="0"/>
  </dataFields>
  <formats count="2">
    <format dxfId="9">
      <pivotArea collapsedLevelsAreSubtotals="1" fieldPosition="0">
        <references count="1">
          <reference field="0" count="0"/>
        </references>
      </pivotArea>
    </format>
    <format dxfId="8">
      <pivotArea grandRow="1" outline="0" collapsedLevelsAreSubtotals="1" fieldPosition="0"/>
    </format>
  </formats>
  <pivotHierarchies count="28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l_DimFecha].[Año].&amp;[2026]"/>
      </members>
    </pivotHierarchy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medio de Gastos Estructura (€∕mes)"/>
    <pivotHierarchy dragToData="1"/>
    <pivotHierarchy dragToData="1" caption="Promedio de EBITDA  (M€)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_Contabilida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270A4-2A49-4C78-94BC-99B8FBE84D51}" name="Kg_por_producto" cacheId="38" applyNumberFormats="0" applyBorderFormats="0" applyFontFormats="0" applyPatternFormats="0" applyAlignmentFormats="0" applyWidthHeightFormats="1" dataCaption="Valores" tag="c8d5c7e8-d8b7-4236-b18a-ccfdd7dd99b0" updatedVersion="8" minRefreshableVersion="3" useAutoFormatting="1" subtotalHiddenItems="1" itemPrintTitles="1" createdVersion="8" indent="0" outline="1" outlineData="1" multipleFieldFilters="0" chartFormat="11">
  <location ref="A181:B187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ataSourceSort="1" defaultSubtotal="0" defaultAttributeDrillState="1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0" subtotal="count" baseField="0" baseItem="0" numFmtId="3"/>
  </dataFields>
  <formats count="1">
    <format dxfId="10">
      <pivotArea outline="0" collapsedLevelsAreSubtotals="1" fieldPosition="0"/>
    </format>
  </formats>
  <chartFormats count="1">
    <chartFormat chart="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l_DimFecha].[Año].&amp;[2026]"/>
      </members>
    </pivotHierarchy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DimProducto]"/>
        <x15:activeTabTopLevelEntity name="[tbl_DimFecha]"/>
        <x15:activeTabTopLevelEntity name="[Tabla_master_ren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03F83-F2CF-4E35-93A9-502681AB8E01}" name="Pivot_Top_lotes" cacheId="27" applyNumberFormats="0" applyBorderFormats="0" applyFontFormats="0" applyPatternFormats="0" applyAlignmentFormats="0" applyWidthHeightFormats="1" dataCaption="Valores" tag="1bf20b39-519f-452e-963c-7d383062552b" updatedVersion="8" minRefreshableVersion="3" useAutoFormatting="1" subtotalHiddenItems="1" itemPrintTitles="1" createdVersion="8" indent="0" outline="1" outlineData="1" multipleFieldFilters="0">
  <location ref="Q2:S13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llDrilled="1" subtotalTop="0" showAll="0" dataSourceSort="1" defaultSubtotal="0" defaultAttributeDrillState="1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 numFmtId="175"/>
    <dataField fld="1" subtotal="count" baseField="0" baseItem="0"/>
  </dataFields>
  <formats count="1">
    <format dxfId="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28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l_DimFecha].[Año].&amp;[2026]"/>
      </members>
    </pivotHierarchy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DimFecha]"/>
        <x15:activeTabTopLevelEntity name="[tbl_DimProducto]"/>
        <x15:activeTabTopLevelEntity name="[Tabla_master_ren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1142EA-310D-4E10-B01C-E3D27310BB90}" name="Pivot_Fallas_drivers" cacheId="33" applyNumberFormats="0" applyBorderFormats="0" applyFontFormats="0" applyPatternFormats="0" applyAlignmentFormats="0" applyWidthHeightFormats="1" dataCaption="Valores" tag="dbacf986-5da8-42a1-ac96-d9c8f3ba480b" updatedVersion="8" minRefreshableVersion="3" useAutoFormatting="1" subtotalHiddenItems="1" itemPrintTitles="1" createdVersion="8" indent="0" outline="1" outlineData="1" multipleFieldFilters="0" rowHeaderCaption="Producto">
  <location ref="Y2:AG8" firstHeaderRow="0" firstDataRow="1" firstDataCol="1"/>
  <pivotFields count="10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a de Kg_Finos" fld="8" baseField="0" baseItem="0"/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6" subtotal="count" baseField="0" baseItem="0"/>
    <dataField fld="5" subtotal="count" baseField="0" baseItem="0"/>
  </dataFields>
  <formats count="2">
    <format dxfId="13">
      <pivotArea outline="0" collapsedLevelsAreSubtotals="1" fieldPosition="0"/>
    </format>
    <format dxfId="12">
      <pivotArea collapsedLevelsAreSubtotals="1" fieldPosition="0">
        <references count="2">
          <reference field="4294967294" count="1" selected="0">
            <x v="0"/>
          </reference>
          <reference field="7" count="0"/>
        </references>
      </pivotArea>
    </format>
  </formats>
  <pivotHierarchies count="28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l_DimFecha].[Año].&amp;[2026]"/>
      </members>
    </pivotHierarchy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DimFecha]"/>
        <x15:activeTabTopLevelEntity name="[tbl_DimProducto]"/>
        <x15:activeTabTopLevelEntity name="[Tabla_master_ren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92EA6-0FEC-4A2A-9A49-509AA5D46FC1}" name="Pivot_mensual" cacheId="34" applyNumberFormats="0" applyBorderFormats="0" applyFontFormats="0" applyPatternFormats="0" applyAlignmentFormats="0" applyWidthHeightFormats="1" dataCaption="Valores" tag="04245d10-2180-4061-a6dd-d8c98dcac3a9" updatedVersion="8" minRefreshableVersion="3" useAutoFormatting="1" subtotalHiddenItems="1" itemPrintTitles="1" createdVersion="8" indent="0" outline="1" outlineData="1" multipleFieldFilters="0">
  <location ref="A51:F55" firstHeaderRow="0" firstDataRow="1" firstDataCol="1"/>
  <pivotFields count="7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1" subtotal="count" baseField="0" baseItem="0"/>
    <dataField fld="2" subtotal="count" baseField="0" baseItem="0"/>
    <dataField fld="4" subtotal="count" baseField="0" baseItem="0"/>
    <dataField fld="3" subtotal="count" baseField="0" baseItem="0" numFmtId="176"/>
    <dataField fld="5" subtotal="count" baseField="0" baseItem="0"/>
  </dataFields>
  <formats count="1">
    <format dxfId="1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Hierarchies count="28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l_DimFecha].[Año].&amp;[2026]"/>
      </members>
    </pivotHierarchy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DimFecha]"/>
        <x15:activeTabTopLevelEntity name="[tbl_DimProducto]"/>
        <x15:activeTabTopLevelEntity name="[Tabla_master_ren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627A12-92C9-474B-8DF9-E87D0C877687}" name="Pivot_balance_leche" cacheId="37" applyNumberFormats="0" applyBorderFormats="0" applyFontFormats="0" applyPatternFormats="0" applyAlignmentFormats="0" applyWidthHeightFormats="1" dataCaption="Valores" tag="9d41da0e-496b-4567-852a-d39a6e62690c" updatedVersion="8" minRefreshableVersion="3" useAutoFormatting="1" subtotalHiddenItems="1" itemPrintTitles="1" createdVersion="8" indent="0" outline="1" outlineData="1" multipleFieldFilters="0">
  <location ref="A102:F106" firstHeaderRow="0" firstDataRow="1" firstDataCol="1"/>
  <pivotFields count="7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1" subtotal="count" baseField="0" baseItem="0"/>
    <dataField fld="2" subtotal="count" baseField="0" baseItem="0"/>
    <dataField fld="3" subtotal="count" baseField="0" baseItem="0"/>
    <dataField fld="5" subtotal="count" baseField="0" baseItem="0"/>
    <dataField fld="4" subtotal="count" baseField="0" baseItem="0"/>
  </dataFields>
  <pivotHierarchies count="28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l_DimFecha].[Año].&amp;[2026]"/>
      </members>
    </pivotHierarchy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DimFecha]"/>
        <x15:activeTabTopLevelEntity name="[tbl_DimProducto]"/>
        <x15:activeTabTopLevelEntity name="[tbl_FactRend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E8B500-08EF-4AD2-9BEC-70E2381908BA}" name="Pivos_solidos" cacheId="31" applyNumberFormats="0" applyBorderFormats="0" applyFontFormats="0" applyPatternFormats="0" applyAlignmentFormats="0" applyWidthHeightFormats="1" dataCaption="Valores" tag="461cfdee-7b53-477d-9e95-2ee7793b312e" updatedVersion="8" minRefreshableVersion="3" useAutoFormatting="1" subtotalHiddenItems="1" itemPrintTitles="1" createdVersion="8" indent="0" outline="1" outlineData="1" multipleFieldFilters="0">
  <location ref="A79:E83" firstHeaderRow="0" firstDataRow="1" firstDataCol="1"/>
  <pivotFields count="6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pivotHierarchies count="28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l_DimFecha].[Año].&amp;[2026]"/>
      </members>
    </pivotHierarchy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DimFecha]"/>
        <x15:activeTabTopLevelEntity name="[tbl_DimProducto]"/>
        <x15:activeTabTopLevelEntity name="[tbl_FactRend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E83F6-6C8B-4275-8469-A9B3D9D86ACB}" name="tbl_rend_prod" cacheId="35" applyNumberFormats="0" applyBorderFormats="0" applyFontFormats="0" applyPatternFormats="0" applyAlignmentFormats="0" applyWidthHeightFormats="1" dataCaption="Valores" tag="f58138e1-6a0d-44cc-b8e6-24fb86f2ec65" updatedVersion="8" minRefreshableVersion="3" useAutoFormatting="1" subtotalHiddenItems="1" itemPrintTitles="1" createdVersion="8" indent="0" outline="1" outlineData="1" multipleFieldFilters="0" chartFormat="9">
  <location ref="A158:C164" firstHeaderRow="0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RDTO_Net_Actual" fld="0" subtotal="count" baseField="0" baseItem="0"/>
    <dataField name="REND_TARGET" fld="2" subtotal="average" baseField="0" baseItem="0"/>
  </dataFields>
  <formats count="1">
    <format dxfId="15">
      <pivotArea dataOnly="0" outline="0" axis="axisValues" fieldPosition="0"/>
    </format>
  </formats>
  <pivotHierarchies count="28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l_DimFecha].[Año].&amp;[2026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RDTO_Net_Actua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DimProducto]"/>
        <x15:activeTabTopLevelEntity name="[REND_TARGET]"/>
        <x15:activeTabTopLevelEntity name="[Tabla_master_ren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Mes" xr10:uid="{00E97C88-DEC4-430A-919F-6DEA1C12383C}" sourceName="[tbl_DimFecha].[AñoMes]">
  <pivotTables>
    <pivotTable tabId="237" name="Pivot_Pareto_producto"/>
    <pivotTable tabId="237" name="Kg_por_producto"/>
    <pivotTable tabId="237" name="Pivot_ebitda_gastos"/>
  </pivotTables>
  <data>
    <olap pivotCacheId="356859980">
      <levels count="2">
        <level uniqueName="[tbl_DimFecha].[AñoMes].[(All)]" sourceCaption="(All)" count="0"/>
        <level uniqueName="[tbl_DimFecha].[AñoMes].[AñoMes]" sourceCaption="AñoMes" count="13">
          <ranges>
            <range startItem="0">
              <i n="[tbl_DimFecha].[AñoMes].&amp;[2026-01]" c="2026-01"/>
              <i n="[tbl_DimFecha].[AñoMes].&amp;[2026-02]" c="2026-02"/>
              <i n="[tbl_DimFecha].[AñoMes].&amp;[2026-03]" c="2026-03"/>
              <i n="[tbl_DimFecha].[AñoMes].&amp;[2026-04]" c="2026-04"/>
              <i n="[tbl_DimFecha].[AñoMes].&amp;[2026-05]" c="2026-05"/>
              <i n="[tbl_DimFecha].[AñoMes].&amp;[2026-06]" c="2026-06"/>
              <i n="[tbl_DimFecha].[AñoMes].&amp;[2026-07]" c="2026-07"/>
              <i n="[tbl_DimFecha].[AñoMes].&amp;[2026-08]" c="2026-08"/>
              <i n="[tbl_DimFecha].[AñoMes].&amp;[2026-09]" c="2026-09"/>
              <i n="[tbl_DimFecha].[AñoMes].&amp;[2026-10]" c="2026-10"/>
              <i n="[tbl_DimFecha].[AñoMes].&amp;[2026-11]" c="2026-11"/>
              <i n="[tbl_DimFecha].[AñoMes].&amp;[2026-12]" c="2026-12"/>
              <i n="[tbl_DimFecha].[AñoMes].&amp;" c="(en blanco)"/>
            </range>
          </ranges>
        </level>
      </levels>
      <selections count="1">
        <selection n="[tbl_DimFecha].[AñoMes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tbl_DimFecha].[AñoMes].[AñoMes]" count="0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ía1" xr10:uid="{F5E358F4-9EE8-43F3-A41F-3964FF811A19}" sourceName="[tbl_DimProducto].[Categoría]">
  <pivotTables>
    <pivotTable tabId="237" name="Pivos_solidos"/>
    <pivotTable tabId="237" name="Pivot_balance_leche"/>
    <pivotTable tabId="237" name="Pivot_Fallas_drivers"/>
    <pivotTable tabId="237" name="Pivot_KPI"/>
    <pivotTable tabId="237" name="Pivot_mensual"/>
    <pivotTable tabId="237" name="Pivot_Pareto_producto"/>
    <pivotTable tabId="237" name="Pivot_Top_lotes"/>
    <pivotTable tabId="237" name="Kg_por_producto"/>
    <pivotTable tabId="237" name="Tbl_mermas"/>
    <pivotTable tabId="237" name="Pivot_ebitda_gastos"/>
  </pivotTables>
  <data>
    <olap pivotCacheId="356859980">
      <levels count="2">
        <level uniqueName="[tbl_DimProducto].[Categoría].[(All)]" sourceCaption="(All)" count="0"/>
        <level uniqueName="[tbl_DimProducto].[Categoría].[Categoría]" sourceCaption="Categoría" count="10">
          <ranges>
            <range startItem="0">
              <i n="[tbl_DimProducto].[Categoría].&amp;[CABRA]" c="CABRA"/>
              <i n="[tbl_DimProducto].[Categoría].&amp;[CREMOSO]" c="CREMOSO"/>
              <i n="[tbl_DimProducto].[Categoría].&amp;[OVEJA]" c="OVEJA"/>
              <i n="[tbl_DimProducto].[Categoría].&amp;" c="(en blanco)"/>
              <i n="[tbl_DimProducto].[Categoría].&amp;[CAGLIATA]" c="CAGLIATA"/>
              <i n="[tbl_DimProducto].[Categoría].&amp;[EDAM]" c="EDAM"/>
              <i n="[tbl_DimProducto].[Categoría].&amp;[EMMENTAL]" c="EMMENTAL"/>
              <i n="[tbl_DimProducto].[Categoría].&amp;[GOUDA]" c="GOUDA"/>
              <i n="[tbl_DimProducto].[Categoría].&amp;[LATINO]" c="LATINO"/>
              <i n="[tbl_DimProducto].[Categoría].&amp;[MEZCLA]" c="MEZCLA"/>
            </range>
          </ranges>
        </level>
      </levels>
      <selections count="1">
        <selection n="[tbl_DimProducto].[Categoría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tbl_DimProducto].[Categoría].[Categoría]" count="0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Mes" xr10:uid="{2B29D8D8-3E85-4C42-A0E8-A299D38F86B3}" cache="SegmentaciónDeDatos_AñoMes" caption="AñoMes" level="1" rowHeight="241300"/>
  <slicer name="Categoría" xr10:uid="{E460744A-00D5-48E5-9EF9-24FEDD35BDB5}" cache="SegmentaciónDeDatos_Categoría1" caption="Categoría" level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1817B1-1698-4907-AF25-8537DF7B6BF4}" name="Tabla_Inc_DEP" displayName="Tabla_Inc_DEP" ref="K2:R10" totalsRowShown="0" headerRowDxfId="131" dataDxfId="129" headerRowBorderDxfId="130" tableBorderDxfId="128">
  <autoFilter ref="K2:R10" xr:uid="{6C1817B1-1698-4907-AF25-8537DF7B6BF4}"/>
  <tableColumns count="8">
    <tableColumn id="1" xr3:uid="{7D37B2F7-BF61-4C12-9C2A-BA53F2D6B700}" name="DIA_INC" dataDxfId="127"/>
    <tableColumn id="2" xr3:uid="{390A323B-2D4A-4C56-B048-1526337CC725}" name="TIPO" dataDxfId="126"/>
    <tableColumn id="3" xr3:uid="{B7E747E1-1776-4A93-B028-729C42BF4C81}" name="PARÁMETRO" dataDxfId="125"/>
    <tableColumn id="4" xr3:uid="{57FBD08E-5E21-4315-B8E2-6135E618B7CA}" name="VALOR_MUESTRA" dataDxfId="124"/>
    <tableColumn id="5" xr3:uid="{6FE54B49-20C8-4189-9804-EE45CBD4E708}" name="VALOR_REFERENCIA" dataDxfId="123"/>
    <tableColumn id="6" xr3:uid="{578D89CC-661B-43C8-BD7F-879A9DAB5DBE}" name="GRAVEDAD_EXP" dataDxfId="122"/>
    <tableColumn id="7" xr3:uid="{C6D25C6A-700F-4262-84AE-4F2C99F42127}" name="COSTE" dataDxfId="121"/>
    <tableColumn id="8" xr3:uid="{93E305CC-9EE0-4E41-9BE5-769C4604BFA9}" name="VENCIMIENTO" dataDxfId="1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A2B4AF7-B9F5-4BB9-9086-2746797A369C}" name="Tabla_DQO" displayName="Tabla_DQO" ref="B2:I406" totalsRowShown="0" headerRowDxfId="119" headerRowBorderDxfId="118" tableBorderDxfId="117">
  <autoFilter ref="B2:I406" xr:uid="{2A2B4AF7-B9F5-4BB9-9086-2746797A369C}"/>
  <tableColumns count="8">
    <tableColumn id="1" xr3:uid="{37265B52-F154-4954-A18D-CE68897D0CAB}" name="DIA" dataDxfId="116"/>
    <tableColumn id="2" xr3:uid="{A01F0858-5746-44AB-8D1D-8DD7152B7BE4}" name="TURNO " dataDxfId="115"/>
    <tableColumn id="3" xr3:uid="{5DA3EE50-16EC-431F-A063-F02072D1DFD3}" name="HORA" dataDxfId="114"/>
    <tableColumn id="4" xr3:uid="{F9CFEAA3-B808-46CC-B2A7-CCE3F2CD4F4A}" name="OPERARIO" dataDxfId="113"/>
    <tableColumn id="5" xr3:uid="{0C7E1739-67E2-4FA2-9F49-CCB77AEEB6F2}" name="SALIDA DAF DQO &lt;1000 (mg O2/l)" dataDxfId="112"/>
    <tableColumn id="6" xr3:uid="{DB249D34-3131-4984-B2C3-50A34E7D2CF9}" name="DAF pH PORTATIL (5,5 - 9,5) (upH)" dataDxfId="111"/>
    <tableColumn id="7" xr3:uid="{482020D5-DEDB-4CAF-8CEB-60681099E606}" name="SALIDA DAF Tª  40 (ºC)" dataDxfId="110"/>
    <tableColumn id="8" xr3:uid="{445F2A8F-A4F0-4184-9BD6-F89EE3C57AC9}" name="SALIDA DAF CE  FIJA &lt;5000 (µS/cm)" dataDxfId="10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20EDD5B-4F28-49D0-BC5A-674D8DDB9C83}" name="Tabla_master_rend" displayName="Tabla_master_rend" ref="A2:CI247" totalsRowShown="0" headerRowDxfId="108">
  <autoFilter ref="A2:CI247" xr:uid="{620EDD5B-4F28-49D0-BC5A-674D8DDB9C83}"/>
  <sortState xmlns:xlrd2="http://schemas.microsoft.com/office/spreadsheetml/2017/richdata2" ref="A3:CI11">
    <sortCondition ref="C2:C15"/>
  </sortState>
  <tableColumns count="87">
    <tableColumn id="1" xr3:uid="{B5EB7DD7-1492-4B33-88E9-9ADAD817916B}" name="Fecha" dataDxfId="107"/>
    <tableColumn id="66" xr3:uid="{27D33991-6CA4-416D-AD78-F36D90CA2345}" name="mes" dataDxfId="106"/>
    <tableColumn id="82" xr3:uid="{19863BC5-0505-4725-AE37-753F65DEBCC7}" name="Mes_Nom" dataDxfId="105">
      <calculatedColumnFormula>+UPPER(TEXT(Tabla_master_rend[[#This Row],[Fecha]],"MMM"))</calculatedColumnFormula>
    </tableColumn>
    <tableColumn id="83" xr3:uid="{EF84FE0F-CE92-491A-B397-1B43422EA2C7}" name="Día" dataDxfId="104">
      <calculatedColumnFormula>+UPPER(TEXT(Tabla_master_rend[[#This Row],[Fecha]],"ddd"))</calculatedColumnFormula>
    </tableColumn>
    <tableColumn id="19" xr3:uid="{A074CA50-9272-4212-9131-51615AABA026}" name="Lote" dataDxfId="103"/>
    <tableColumn id="87" xr3:uid="{7C34C081-8DEB-40E6-87F1-C19EEDEB11B0}" name="Tipo_Leche" dataDxfId="102"/>
    <tableColumn id="2" xr3:uid="{CBD132CE-A250-4F56-8D2B-5805B1963597}" name="Producto" dataDxfId="101"/>
    <tableColumn id="17" xr3:uid="{AC6F797F-9B60-4B37-988F-B6F6E934EF36}" name="Cubas_prod"/>
    <tableColumn id="3" xr3:uid="{61B8C530-2801-47F4-96A7-1E133CF350B8}" name="Litros_Leche_Total" dataDxfId="100">
      <calculatedColumnFormula>+Tabla_master_rend[[#This Row],[L_Leche_ent]]+Tabla_master_rend[[#This Row],[L_desn_ext]]+Tabla_master_rend[[#This Row],[L_cabra]]+Tabla_master_rend[[#This Row],[L_oveja]]</calculatedColumnFormula>
    </tableColumn>
    <tableColumn id="52" xr3:uid="{F4EFA906-421B-4138-9C35-31DBD938D6BA}" name="L_Leche_ent"/>
    <tableColumn id="8" xr3:uid="{89A0F363-6B49-4D1A-AEF3-79D6636F0A03}" name="%MG_Leche" dataDxfId="99" dataCellStyle="Porcentaje"/>
    <tableColumn id="9" xr3:uid="{20399E43-1C18-4E8F-B06D-BD94677BA909}" name="%MP_Leche" dataDxfId="98" dataCellStyle="Porcentaje"/>
    <tableColumn id="10" xr3:uid="{3A5247E8-D09F-4FBA-A744-C3A93BD39AD3}" name="EST_%" dataDxfId="97" dataCellStyle="Porcentaje">
      <calculatedColumnFormula>0.93*K3+0.74*L3+0.048</calculatedColumnFormula>
    </tableColumn>
    <tableColumn id="4" xr3:uid="{9945B317-0379-4C29-8F13-3B8B4E706FB0}" name="Desn_en_linea" dataDxfId="96" dataCellStyle="Porcentaje"/>
    <tableColumn id="51" xr3:uid="{C11F41E2-4EC3-4997-A2AA-12AEA8A4C269}" name="L_desn_ext"/>
    <tableColumn id="64" xr3:uid="{FBD40943-FAE4-4745-9460-D8401B0C8C89}" name="L_cabra"/>
    <tableColumn id="65" xr3:uid="{4F9B397B-CA78-45E4-ACE4-B2314D0E8F53}" name="L_oveja"/>
    <tableColumn id="5" xr3:uid="{F4E7FD68-F84A-452C-95B0-72E4BE4527A3}" name="Litros_Nata"/>
    <tableColumn id="50" xr3:uid="{852224CA-140A-4165-8120-5CCE8DDB7C5E}" name="L_nata_suero"/>
    <tableColumn id="53" xr3:uid="{23AD9937-26CA-44AC-AA0A-855A6E713C3F}" name="L_suero Total"/>
    <tableColumn id="63" xr3:uid="{2CBA473A-F3D1-4451-9A5B-BAD47A703428}" name="%Suero_vs_leche" dataCellStyle="Porcentaje">
      <calculatedColumnFormula>+Tabla_master_rend[[#This Row],[L_suero Total]]/Tabla_master_rend[[#This Row],[Litros_Leche_Total]]</calculatedColumnFormula>
    </tableColumn>
    <tableColumn id="54" xr3:uid="{484535F6-9D22-45D6-B312-A96A041ACAC2}" name="MG_suero" dataDxfId="95" dataCellStyle="Porcentaje"/>
    <tableColumn id="55" xr3:uid="{7DC6162D-2617-47B8-818B-D769FC7A6A90}" name="MP_suero" dataDxfId="94" dataCellStyle="Porcentaje"/>
    <tableColumn id="32" xr3:uid="{EF87DA8D-007A-484F-9FA6-BE3BEE00F75F}" name="L_suero para con" dataDxfId="93" dataCellStyle="Porcentaje"/>
    <tableColumn id="45" xr3:uid="{0D30ABC9-98C9-4618-B0FC-06EF4F1536FA}" name="L_suero_con"/>
    <tableColumn id="20" xr3:uid="{E8520E36-F985-46EB-8868-1DC7FF085DA1}" name="Rartio_sueroC" dataDxfId="92">
      <calculatedColumnFormula>IF(Tabla_master_rend[[#This Row],[L_suero para con]]=0,0,+Tabla_master_rend[[#This Row],[L_suero para con]]/Tabla_master_rend[[#This Row],[L_suero_con]])</calculatedColumnFormula>
    </tableColumn>
    <tableColumn id="60" xr3:uid="{1AFBCFD9-F3E2-4C3C-BE94-23D55608B169}" name="L_Suero_Sobrante" dataDxfId="91">
      <calculatedColumnFormula>+Tabla_master_rend[[#This Row],[L_suero Total]]-Tabla_master_rend[[#This Row],[L_suero para con]]</calculatedColumnFormula>
    </tableColumn>
    <tableColumn id="44" xr3:uid="{A58D7630-9A97-443B-A60E-44DFEE310706}" name="MG_sueroc"/>
    <tableColumn id="43" xr3:uid="{89EFE6F6-D38D-4710-8D84-539098342D52}" name="MP_sueroc"/>
    <tableColumn id="46" xr3:uid="{21AD29DB-92A6-42F6-B122-CAB8D589D606}" name="L_LPS_Gen"/>
    <tableColumn id="48" xr3:uid="{7AEC9F0D-DE55-4416-99D7-961A8C1DD3A1}" name="L_LPS_incor"/>
    <tableColumn id="18" xr3:uid="{14E34676-78DD-4FFA-BFDB-497D98E7B0CD}" name="gr_LPS"/>
    <tableColumn id="47" xr3:uid="{F22E0902-A4AC-465D-AB12-B441445175B4}" name="MG_LPS" dataDxfId="90" dataCellStyle="Porcentaje"/>
    <tableColumn id="49" xr3:uid="{BB0D527B-4BAE-41DB-98DA-9CA5B2212309}" name="MP_LPS" dataDxfId="89" dataCellStyle="Porcentaje"/>
    <tableColumn id="6" xr3:uid="{BA5D4A6B-B748-438A-88BF-8D8A4E7F56BA}" name="Kg_Queso_Blan" dataDxfId="88">
      <calculatedColumnFormula>+Tabla_master_rend[[#This Row],[Kg_Finos]]+Tabla_master_rend[[#This Row],[Kg_Llenadora]]+Tabla_master_rend[[#This Row],[Kg_Desmoldeo]]+Tabla_master_rend[[#This Row],[L_Agua]]+Tabla_master_rend[[#This Row],[Kg_SalidaSecadero]]</calculatedColumnFormula>
    </tableColumn>
    <tableColumn id="7" xr3:uid="{65FA877F-6EFE-4AE1-B10F-137176F8A5BC}" name="RDTO_Blanco">
      <calculatedColumnFormula>+Tabla_master_rend[[#This Row],[Litros_Leche_Total]]/Tabla_master_rend[[#This Row],[Kg_Queso_Blan]]</calculatedColumnFormula>
    </tableColumn>
    <tableColumn id="25" xr3:uid="{4F6D328D-F54A-4E7E-8F02-1784C92337EA}" name="RDTO_NETO" dataDxfId="87">
      <calculatedColumnFormula>+Tabla_master_rend[[#This Row],[Litros_Leche_Total]]/(Tabla_master_rend[[#This Row],[Kg_Queso_Blan]]-Tabla_master_rend[[#This Row],[Merma_TOT]])</calculatedColumnFormula>
    </tableColumn>
    <tableColumn id="84" xr3:uid="{1053D1E4-A4BB-401F-98FC-8F3DA87DC7CC}" name="REND_TARGET" dataDxfId="86">
      <calculatedColumnFormula>VLOOKUP(G3,REND_TARGET[#All],8,FALSE)</calculatedColumnFormula>
    </tableColumn>
    <tableColumn id="11" xr3:uid="{121DDF84-9E62-4D15-9D1D-204DE877D966}" name="Kg_Solidos_leche" dataDxfId="85">
      <calculatedColumnFormula>(I3*1.03*Tabla_master_rend[[#This Row],[%MG_Leche]])+(I3*1.03*Tabla_master_rend[[#This Row],[%MP_Leche]])</calculatedColumnFormula>
    </tableColumn>
    <tableColumn id="26" xr3:uid="{072D2786-7A28-462C-8D6F-971A8FB838C6}" name="%MG_QUESO" dataDxfId="84"/>
    <tableColumn id="27" xr3:uid="{9B8B5C83-743D-42C8-8B06-06150B95DA09}" name="%PT_QUESO" dataDxfId="83"/>
    <tableColumn id="28" xr3:uid="{DC5226E6-4882-4049-9FEA-19BE9407BE1C}" name="ES_QUESO" dataDxfId="82"/>
    <tableColumn id="12" xr3:uid="{F1EB8CF4-316B-4493-B5F3-C7464501EF66}" name="Rendimiento_Solidos_%" dataCellStyle="Porcentaje">
      <calculatedColumnFormula>+Tabla_master_rend[[#This Row],[Kg_Queso_Blan]]*Tabla_master_rend[[#This Row],[ES_QUESO]]/(Tabla_master_rend[[#This Row],[Kg_Solidos_leche]])</calculatedColumnFormula>
    </tableColumn>
    <tableColumn id="13" xr3:uid="{13210F24-2BB1-483D-B999-DD896DA3A030}" name="Kg_MG_Nata" dataDxfId="81">
      <calculatedColumnFormula>R3*0.4</calculatedColumnFormula>
    </tableColumn>
    <tableColumn id="29" xr3:uid="{CE7389FD-18EA-46F9-BD13-50F0E81107A9}" name="%RECUP_MG" dataDxfId="80" dataCellStyle="Porcentaje">
      <calculatedColumnFormula>+(Tabla_master_rend[[#This Row],[Kg_Queso_Blan]]*Tabla_master_rend[[#This Row],[%MG_QUESO]]+(Tabla_master_rend[[#This Row],[Kg_MG_Nata]]))/(Tabla_master_rend[[#This Row],[Litros_Leche_Total]]*1.03*Tabla_master_rend[[#This Row],[%MG_Leche]])</calculatedColumnFormula>
    </tableColumn>
    <tableColumn id="30" xr3:uid="{D124296C-D184-40D8-9F93-D57C85C223D4}" name="%RECUP_PT" dataDxfId="79">
      <calculatedColumnFormula>+Tabla_master_rend[[#This Row],[Kg_Queso_Blan]]*Tabla_master_rend[[#This Row],[%PT_QUESO]]/(Tabla_master_rend[[#This Row],[Litros_Leche_Total]]*1.03*Tabla_master_rend[[#This Row],[%MP_Leche]])</calculatedColumnFormula>
    </tableColumn>
    <tableColumn id="14" xr3:uid="{B189F6A4-3A66-40E7-92DD-2C49C00A7342}" name="Valor_Nata_€" dataDxfId="78">
      <calculatedColumnFormula>AR3*$CO$3</calculatedColumnFormula>
    </tableColumn>
    <tableColumn id="23" xr3:uid="{CB1D60F2-C39D-49CF-9DDE-05BF9DEAEBB0}" name="Kg_Finos" dataDxfId="77"/>
    <tableColumn id="22" xr3:uid="{75EDD6A4-6E26-4798-95EB-3AFF1DE18AD7}" name="Kg_Llenadora" dataDxfId="76"/>
    <tableColumn id="21" xr3:uid="{C55B2769-01C0-4E69-A8F9-29D64B8AC13B}" name="Kg_Desmoldeo" dataDxfId="75"/>
    <tableColumn id="67" xr3:uid="{37166067-369F-4061-8E3B-8E7767FEF49E}" name="Merma_fab" dataDxfId="74">
      <calculatedColumnFormula>SUM(Tabla_master_rend[[#This Row],[Kg_Finos]:[Kg_Desmoldeo]])</calculatedColumnFormula>
    </tableColumn>
    <tableColumn id="62" xr3:uid="{605C93C3-7947-49D0-B475-5AFF6EA2403B}" name="% Merma_fab2" dataDxfId="73" dataCellStyle="Porcentaje">
      <calculatedColumnFormula>+(Tabla_master_rend[[#This Row],[Kg_Finos]]+Tabla_master_rend[[#This Row],[Kg_Llenadora]]+Tabla_master_rend[[#This Row],[Kg_Desmoldeo]])/(Tabla_master_rend[[#This Row],[Kg_Queso_Blan]])</calculatedColumnFormula>
    </tableColumn>
    <tableColumn id="31" xr3:uid="{B8AC9483-1D54-4BD9-B469-9AB6B09158B8}" name="L_Agua" dataDxfId="72"/>
    <tableColumn id="61" xr3:uid="{8520B711-BA64-4D4C-96C6-190C596F642A}" name="% oreo" dataDxfId="71" dataCellStyle="Porcentaje">
      <calculatedColumnFormula>+Tabla_master_rend[[#This Row],[L_Agua]]/(Tabla_master_rend[[#This Row],[L_Agua]]+Tabla_master_rend[[#This Row],[Kg_SalidaSecadero]])</calculatedColumnFormula>
    </tableColumn>
    <tableColumn id="41" xr3:uid="{6998682B-F331-46BF-9B03-9699D13A6A9C}" name="B_totales"/>
    <tableColumn id="57" xr3:uid="{86D59C97-FB76-4203-B966-3522261036A0}" name="B_OK_uni"/>
    <tableColumn id="56" xr3:uid="{BE2BE6BF-5204-4609-876A-0BAE1D589055}" name="B_OK_kg"/>
    <tableColumn id="37" xr3:uid="{A27AA1A2-1955-4909-A028-9587B29A63A1}" name="B_altas"/>
    <tableColumn id="38" xr3:uid="{8D7143F8-0AF9-4957-9867-4E73D0B2B386}" name="B_bajas"/>
    <tableColumn id="39" xr3:uid="{1D22CF14-9354-4752-B572-8CEDFB56ABDA}" name="B_rotas" dataDxfId="70"/>
    <tableColumn id="40" xr3:uid="{C2AE8C55-B538-44E3-8FC7-CC1A8BFB95AE}" name="B_feas" dataDxfId="69"/>
    <tableColumn id="42" xr3:uid="{E0AD0D0D-F0FF-4661-8C2A-4205C2193F02}" name="B_lab"/>
    <tableColumn id="35" xr3:uid="{4851D953-FC3C-4AD8-883E-A198B04BD57E}" name="Kg_SalidaSecadero"/>
    <tableColumn id="36" xr3:uid="{84612DDF-84CF-494F-AB97-B8F95EAF5571}" name="Kg_rebaba"/>
    <tableColumn id="34" xr3:uid="{A779CF17-4A3E-453E-9D0F-354F2D38110D}" name="Kg_mer_env_real"/>
    <tableColumn id="33" xr3:uid="{13AC9083-9605-4E21-9C0A-23C4014D3EB9}" name="kg_mer_lab_real" dataDxfId="68"/>
    <tableColumn id="68" xr3:uid="{F6B42FE5-5198-477F-B3A8-F78DEAAF968F}" name="%Merma_env" dataDxfId="67" dataCellStyle="Porcentaje">
      <calculatedColumnFormula>+SUM(Tabla_master_rend[[#This Row],[B_altas]:[B_lab]])/Tabla_master_rend[[#This Row],[Kg_SalidaSecadero]]</calculatedColumnFormula>
    </tableColumn>
    <tableColumn id="69" xr3:uid="{386C86ED-14FD-4CF3-A29D-F2D945AF7B86}" name="%Merma_env_corr" dataDxfId="66" dataCellStyle="Porcentaje">
      <calculatedColumnFormula>+(Tabla_master_rend[[#This Row],[Kg_mer_env_real]]+Tabla_master_rend[[#This Row],[kg_mer_lab_real]])/Tabla_master_rend[[#This Row],[Kg_SalidaSecadero]]</calculatedColumnFormula>
    </tableColumn>
    <tableColumn id="58" xr3:uid="{90304DC4-DBA6-4097-A36F-A3C6927F78A2}" name="% merma TOT" dataDxfId="65" dataCellStyle="Porcentaje">
      <calculatedColumnFormula>+Tabla_master_rend[[#This Row],[Merma_TOT]]/Tabla_master_rend[[#This Row],[Kg_Queso_Blan]]</calculatedColumnFormula>
    </tableColumn>
    <tableColumn id="59" xr3:uid="{A3B2E4C8-7908-4F37-B012-F6D5906339CA}" name="Merma_TOT" dataDxfId="64">
      <calculatedColumnFormula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calculatedColumnFormula>
    </tableColumn>
    <tableColumn id="24" xr3:uid="{B25BFBE6-D0BC-4F8D-883C-266C3ECCD216}" name="Kg_Env_Total" dataDxfId="63"/>
    <tableColumn id="85" xr3:uid="{0E52101D-E332-46BC-BECF-8BD5B5B9C59E}" name="Diferencia_Env_vs_Sec_kg" dataDxfId="62">
      <calculatedColumnFormula>IF(+Tabla_master_rend[[#This Row],[Kg_Env_Total]]=0,0,Tabla_master_rend[[#This Row],[Kg_Env_Total]]-Tabla_master_rend[[#This Row],[Kg_SalidaSecadero]])</calculatedColumnFormula>
    </tableColumn>
    <tableColumn id="86" xr3:uid="{5262FCCD-795F-4073-9467-6B0887956CC6}" name="Diferencia_Env_vs_Sec_%" dataDxfId="61" dataCellStyle="Porcentaje">
      <calculatedColumnFormula>+Tabla_master_rend[[#This Row],[Diferencia_Env_vs_Sec_kg]]/Tabla_master_rend[[#This Row],[Kg_SalidaSecadero]]</calculatedColumnFormula>
    </tableColumn>
    <tableColumn id="15" xr3:uid="{5487279D-786B-49F9-A062-CD1510802194}" name="Coste_Leche_€" dataDxfId="60">
      <calculatedColumnFormula>IFERROR(Tabla_master_rend[[#This Row],[Litros_Leche_Total]]*SUMIFS(tbl_PrecioLeche[PMV_eur_L],tbl_PrecioLeche[AñoMes],TEXT(Tabla_master_rend[[#This Row],[Fecha]],"yyyy-mm"),tbl_PrecioLeche[Tipo_Leche],Tabla_master_rend[[#This Row],[Tipo_Leche]]),"")</calculatedColumnFormula>
    </tableColumn>
    <tableColumn id="16" xr3:uid="{065927C1-81AC-4919-84D1-B334CDB51B02}" name="€/kg_MPQueso" dataDxfId="59">
      <calculatedColumnFormula>+(Tabla_master_rend[[#This Row],[Coste_Leche_€]]-Tabla_master_rend[[#This Row],[Kg_MG_Nata]]*$CO$3)/Tabla_master_rend[[#This Row],[Kg_Queso_Blan]]</calculatedColumnFormula>
    </tableColumn>
    <tableColumn id="70" xr3:uid="{37C68EEC-E3B2-45EF-96A7-411CEDF199F6}" name="Merma_inic">
      <calculatedColumnFormula>SUM(Tabla_master_rend[[#This Row],[Kg_Finos]:[Kg_Desmoldeo]])+Tabla_master_rend[[#This Row],[L_Agua]]+SUM(Tabla_master_rend[[#This Row],[B_altas]:[B_lab]])</calculatedColumnFormula>
    </tableColumn>
    <tableColumn id="71" xr3:uid="{3888FECF-ACA6-4AA2-ACDB-6EE0077F9F20}" name="Recup_kg">
      <calculatedColumnFormula>+BX3-Tabla_master_rend[[#This Row],[Merma_TOT]]</calculatedColumnFormula>
    </tableColumn>
    <tableColumn id="72" xr3:uid="{64F91533-396B-4BD5-9B41-EA54323F81CD}" name="Recup_%">
      <calculatedColumnFormula>+BY3/BX3</calculatedColumnFormula>
    </tableColumn>
    <tableColumn id="73" xr3:uid="{0E8D3A0A-591C-49E9-896C-4B8E5E4BDC73}" name="Merma_ppto fab">
      <calculatedColumnFormula>+Tabla_master_rend[[#This Row],[Kg_Queso_Blan]]*$CA$1</calculatedColumnFormula>
    </tableColumn>
    <tableColumn id="74" xr3:uid="{8FF9DEF5-5078-4291-A187-35072F9EBC33}" name="Merma_ppto oreo">
      <calculatedColumnFormula>+Tabla_master_rend[[#This Row],[Kg_Queso_Blan]]*($CB$1-$CA$1)</calculatedColumnFormula>
    </tableColumn>
    <tableColumn id="75" xr3:uid="{A484C5DE-213C-4B6D-9DBC-C6E51EA8D024}" name="Merma_ppto Env/Enc">
      <calculatedColumnFormula>+(Tabla_master_rend[[#This Row],[Kg_Queso_Blan]]-CA3-CB3)*$CC$1</calculatedColumnFormula>
    </tableColumn>
    <tableColumn id="76" xr3:uid="{145395A9-B707-4233-9EF3-B9529D9E3E98}" name="Merma_T ppto">
      <calculatedColumnFormula>+CA3+CB3+CC3</calculatedColumnFormula>
    </tableColumn>
    <tableColumn id="77" xr3:uid="{CD6C2CA6-64F8-45F0-8F02-A87E4E53959F}" name="Merma_T ppto %">
      <calculatedColumnFormula>+CD3/Tabla_master_rend[[#This Row],[Kg_Queso_Blan]]</calculatedColumnFormula>
    </tableColumn>
    <tableColumn id="78" xr3:uid="{0E0E9F08-0FA9-4C73-A298-CE451332B34F}" name="Merma_T real %">
      <calculatedColumnFormula>+Tabla_master_rend[[#This Row],[Merma_TOT]]/Tabla_master_rend[[#This Row],[Kg_Queso_Blan]]</calculatedColumnFormula>
    </tableColumn>
    <tableColumn id="79" xr3:uid="{A5D71FA6-1D6E-40D2-BFBF-498C6C04B2D4}" name="DIF R Vs PPTO">
      <calculatedColumnFormula>CD3-Tabla_master_rend[[#This Row],[Merma_TOT]]</calculatedColumnFormula>
    </tableColumn>
    <tableColumn id="81" xr3:uid="{66361BAC-B2ED-4400-A74C-50018856DC9D}" name="IMPACTO" dataDxfId="58">
      <calculatedColumnFormula array="1">-BR3 * IFERROR(INDEX('Precio Leche_EBITDA_Ventas'!$BD$87:$BD$110,MATCH(1,('Precio Leche_EBITDA_Ventas'!$AZ$87:$AZ$110=YEAR(A3))*('Precio Leche_EBITDA_Ventas'!$BB$87:$BB$110=C3),0)),1.3)</calculatedColumnFormula>
    </tableColumn>
    <tableColumn id="80" xr3:uid="{FD417614-CD0D-4206-9A41-9410B223508F}" name="IMPACTO_vs_PPTO">
      <calculatedColumnFormula>+CG3*$CM$2</calculatedColumnFormula>
    </tableColumn>
  </tableColumns>
  <tableStyleInfo name="TableStyleDark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784A2C-6E82-4D2A-8B2A-1171BAD5E547}" name="Tabla_REQ" displayName="Tabla_REQ" ref="A1:Q23" totalsRowShown="0" headerRowDxfId="57" dataDxfId="56">
  <autoFilter ref="A1:Q23" xr:uid="{76784A2C-6E82-4D2A-8B2A-1171BAD5E547}"/>
  <tableColumns count="17">
    <tableColumn id="1" xr3:uid="{3527711D-6879-46DF-B73E-2E308DFECA9F}" name="Fecha" dataDxfId="55"/>
    <tableColumn id="2" xr3:uid="{D0F1DCF7-1931-4077-BEEA-700DFA2A162D}" name="Mes" dataDxfId="54"/>
    <tableColumn id="3" xr3:uid="{108D99E2-9D1E-4F30-91F1-8B8C8950ECDC}" name="Mes_Nom" dataDxfId="53">
      <calculatedColumnFormula>+UPPER(TEXT(A2,"MMM"))</calculatedColumnFormula>
    </tableColumn>
    <tableColumn id="4" xr3:uid="{CF922A45-EDF8-46DD-825F-2208608F0156}" name="Dia" dataDxfId="52">
      <calculatedColumnFormula>+UPPER(TEXT(A2,"ddd"))</calculatedColumnFormula>
    </tableColumn>
    <tableColumn id="5" xr3:uid="{01C67F41-31C3-4C3F-874C-111CE3C861BD}" name="Lote" dataDxfId="51"/>
    <tableColumn id="16" xr3:uid="{39FC699D-E58F-459A-9CCF-84BE8AD0E01E}" name="Receta" dataDxfId="50"/>
    <tableColumn id="17" xr3:uid="{CC8520BB-77D4-4009-9D70-96EEDE5F864F}" name="%MG" dataDxfId="49"/>
    <tableColumn id="15" xr3:uid="{DC6E26F8-C182-44B0-A014-15391989780E}" name="%MP" dataDxfId="48"/>
    <tableColumn id="18" xr3:uid="{DAD5C6CB-6216-4463-B0B1-F2ABABF8907D}" name="%HUMEDAD" dataDxfId="47"/>
    <tableColumn id="6" xr3:uid="{12FD6B32-3555-4D71-A8F7-91E3734CA3DC}" name="KG_RQ" dataDxfId="46"/>
    <tableColumn id="7" xr3:uid="{CEC0D11F-4FF9-4431-83FE-D03C3709CBE9}" name="Nata_Propia" dataDxfId="45"/>
    <tableColumn id="8" xr3:uid="{781FA17F-201B-445F-974E-2BB03346D3AD}" name="Nata_Ext" dataDxfId="44"/>
    <tableColumn id="9" xr3:uid="{145EF98B-3505-4F18-911E-2CF8FF797DB2}" name="Litr_Suero_conc" dataDxfId="43"/>
    <tableColumn id="10" xr3:uid="{9D94D467-5144-4CB2-A7FA-0C158F2AFF16}" name="Cant_Floc" dataDxfId="42"/>
    <tableColumn id="11" xr3:uid="{57306791-C8D6-4167-8CF2-07F1A41086D0}" name="Litr/Flc" dataDxfId="41"/>
    <tableColumn id="14" xr3:uid="{892C295B-7761-4987-AB25-905EACB2D176}" name="Kg_mezcla" dataDxfId="40">
      <calculatedColumnFormula>+(Tabla_REQ[[#This Row],[Litr_Suero_conc]]*1.06+(Tabla_REQ[[#This Row],[Nata_Propia]]+Tabla_REQ[[#This Row],[Nata_Ext]])*0.97)</calculatedColumnFormula>
    </tableColumn>
    <tableColumn id="12" xr3:uid="{870BBB51-E9DA-4539-89CE-C32C93C7D00C}" name="Rend_Bruto" dataDxfId="39">
      <calculatedColumnFormula>+Tabla_REQ[[#This Row],[Kg_mezcla]]/Tabla_REQ[[#This Row],[KG_RQ]]</calculatedColumnFormula>
    </tableColumn>
  </tableColumns>
  <tableStyleInfo name="TableStyleMedium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2A24119-67E0-403F-AD7B-9737F491D5E9}" name="tbl_DimFecha" displayName="tbl_DimFecha" ref="A1:I366" totalsRowShown="0">
  <autoFilter ref="A1:I366" xr:uid="{62A24119-67E0-403F-AD7B-9737F491D5E9}"/>
  <tableColumns count="9">
    <tableColumn id="1" xr3:uid="{D2FF1DA3-6C52-4319-BF08-CD2814C6AF93}" name="Fecha" dataDxfId="38"/>
    <tableColumn id="2" xr3:uid="{72D57475-DC01-479C-B6B9-CDB614DD2CB9}" name="Año ">
      <calculatedColumnFormula>+YEAR(A2)</calculatedColumnFormula>
    </tableColumn>
    <tableColumn id="3" xr3:uid="{97191955-B319-491D-ABED-C802E29EFECB}" name="MesN" dataDxfId="37">
      <calculatedColumnFormula>+MONTH(A2)</calculatedColumnFormula>
    </tableColumn>
    <tableColumn id="4" xr3:uid="{794121DA-F9CB-49AE-A793-4962BEC7F330}" name="Mes" dataDxfId="36">
      <calculatedColumnFormula>+UPPER(TEXT(A2,"mmm"))</calculatedColumnFormula>
    </tableColumn>
    <tableColumn id="5" xr3:uid="{F6EB4D36-071B-46D3-A243-D3EB53716D25}" name="AñoMes">
      <calculatedColumnFormula>+TEXT(A2,"yyyy-mm")</calculatedColumnFormula>
    </tableColumn>
    <tableColumn id="6" xr3:uid="{72B7174E-B59B-42F2-BD70-F73FA07DC866}" name="SemanaISO">
      <calculatedColumnFormula>+_xlfn.ISOWEEKNUM(A2)</calculatedColumnFormula>
    </tableColumn>
    <tableColumn id="7" xr3:uid="{8457501F-7156-4AB0-9A2D-A5C06DDE75BE}" name="AñoSemana">
      <calculatedColumnFormula>TEXT(A2,"yyyy")&amp;"-S"&amp;TEXT(F2,"00")</calculatedColumnFormula>
    </tableColumn>
    <tableColumn id="8" xr3:uid="{C788A99D-BBE9-4ED9-BC8A-DEFA8CF5BB55}" name="DiaSemanaN">
      <calculatedColumnFormula>+WEEKDAY(A2,2)</calculatedColumnFormula>
    </tableColumn>
    <tableColumn id="9" xr3:uid="{F35B665A-7B09-4391-BE0D-A6C91104C8C6}" name="DiaSemana" dataDxfId="35">
      <calculatedColumnFormula>UPPER(TEXT(A2,"ddd"))</calculatedColumnFormula>
    </tableColumn>
  </tableColumns>
  <tableStyleInfo name="TableStyleMedium1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7352F90-E195-42A0-8589-3CA95029B0F2}" name="tbl_DimProducto" displayName="tbl_DimProducto" ref="A370:D384" totalsRowShown="0" headerRowDxfId="34" dataDxfId="33">
  <autoFilter ref="A370:D384" xr:uid="{B7352F90-E195-42A0-8589-3CA95029B0F2}"/>
  <tableColumns count="4">
    <tableColumn id="1" xr3:uid="{3B5D864C-FEEE-4EC2-B63E-B08E211732B1}" name="Producto" dataDxfId="32"/>
    <tableColumn id="2" xr3:uid="{690D89BB-8830-4677-A85A-3BAF9CA4F678}" name="Producto_id" dataDxfId="31">
      <calculatedColumnFormula>UPPER(SUBSTITUTE(TRIM(tbl_DimProducto[[#This Row],[Producto]])," ","_"))</calculatedColumnFormula>
    </tableColumn>
    <tableColumn id="3" xr3:uid="{F3CDAE51-2C7A-4FCA-970A-79849E5AAFED}" name="Categoría" dataDxfId="30"/>
    <tableColumn id="4" xr3:uid="{E5E4E58F-3CF4-4EA1-B197-4122474E09AA}" name="PesoBarra_kg" dataDxfId="29"/>
  </tableColumns>
  <tableStyleInfo name="TableStyleMedium1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C97D5B-B151-45CA-B663-4BC35053A348}" name="REND_TARGET" displayName="REND_TARGET" ref="A3:H67" totalsRowShown="0" headerRowDxfId="28" dataDxfId="26" headerRowBorderDxfId="27" tableBorderDxfId="25" totalsRowBorderDxfId="24" dataCellStyle="Porcentaje">
  <autoFilter ref="A3:H67" xr:uid="{99C97D5B-B151-45CA-B663-4BC35053A348}"/>
  <tableColumns count="8">
    <tableColumn id="1" xr3:uid="{38193AF3-662D-4E27-B85D-5E6F328DC2B6}" name="Producto" dataDxfId="23"/>
    <tableColumn id="8" xr3:uid="{DA7D86D3-C289-4FA1-ADED-3368E709C3F6}" name="Año" dataDxfId="22"/>
    <tableColumn id="2" xr3:uid="{676466F4-6047-4E93-851C-F4E674A5E291}" name="Rendimiento Blanco" dataDxfId="21"/>
    <tableColumn id="7" xr3:uid="{9C1BDF3D-1053-444B-A51B-4F78D81C24D7}" name="Coste Ing_emb" dataDxfId="20"/>
    <tableColumn id="3" xr3:uid="{62AF7FD4-5BED-4F42-8818-B23245E63223}" name="Merma Fabr" dataDxfId="19" dataCellStyle="Porcentaje"/>
    <tableColumn id="4" xr3:uid="{2520DCC8-3F84-4F64-AC05-868218860E2E}" name="Merma Oreo" dataDxfId="18" dataCellStyle="Porcentaje"/>
    <tableColumn id="5" xr3:uid="{15A09E49-839D-4BFF-8076-49D56EFB317B}" name="Merma E/E" dataDxfId="17" dataCellStyle="Porcentaje"/>
    <tableColumn id="6" xr3:uid="{044598CE-4DC6-45EF-AEA8-48E192328ECF}" name="Rend_Ntarget" dataDxfId="16">
      <calculatedColumnFormula>REND_TARGET[[#This Row],[Rendimiento Blanco]]*(1+REND_TARGET[[#This Row],[Merma Fabr]]+REND_TARGET[[#This Row],[Merma Oreo]]+REND_TARGET[[#This Row],[Merma E/E]])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45124A-C07C-49C6-AC2F-DD0252A907E7}" name="Tabla_Precio_Venta" displayName="Tabla_Precio_Venta" ref="A86:D1556" totalsRowShown="0" headerRowDxfId="183">
  <autoFilter ref="A86:D1556" xr:uid="{C745124A-C07C-49C6-AC2F-DD0252A907E7}"/>
  <tableColumns count="4">
    <tableColumn id="1" xr3:uid="{3A999141-51B0-4082-9FD1-54F674B1D9AB}" name="Fecha"/>
    <tableColumn id="2" xr3:uid="{381A9437-E17D-46C2-A836-A8A83D0529F4}" name="Producto" dataDxfId="182"/>
    <tableColumn id="4" xr3:uid="{49CCB87B-0F8E-4E95-9ED3-5E20C7C73FAF}" name="Ventas (kg)"/>
    <tableColumn id="3" xr3:uid="{396D59B9-AF39-4131-84BF-543D8F8E5AD8}" name="PV_eur_kg" dataDxfId="181"/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1633E34-485B-4632-931C-54A8D2721BBC}" name="Tabla_Contabilidad" displayName="Tabla_Contabilidad" ref="G86:L158" totalsRowShown="0">
  <autoFilter ref="G86:L158" xr:uid="{11633E34-485B-4632-931C-54A8D2721BBC}"/>
  <tableColumns count="6">
    <tableColumn id="5" xr3:uid="{1C368E90-1A94-4482-8646-4F7AC29242E1}" name="Año" dataDxfId="180"/>
    <tableColumn id="6" xr3:uid="{78769045-338D-40BD-A48F-E58683E4F0F7}" name="AñoMes" dataDxfId="179"/>
    <tableColumn id="1" xr3:uid="{6550D8AC-7D28-48DE-82C2-DC6FC3F0FCAB}" name="Mes"/>
    <tableColumn id="2" xr3:uid="{69956E24-5985-47D1-AD6E-E3B4CA015FA0}" name="Gastos Estructura (€∕mes)"/>
    <tableColumn id="3" xr3:uid="{89685E4A-7056-4B04-B110-B543F2156508}" name="EBITDA  (M€)"/>
    <tableColumn id="4" xr3:uid="{E01D2AE0-F3E8-41EF-9CB3-CAA0B976C0B9}" name="EBITDA_PPTO (M€)"/>
  </tableColumns>
  <tableStyleInfo name="TableStyleMedium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6E72AA5-C53B-4077-9745-281B4E01AD48}" name="tbl_PrecioLeche" displayName="tbl_PrecioLeche" ref="A2:H74" totalsRowShown="0" headerRowDxfId="178">
  <autoFilter ref="A2:H74" xr:uid="{D6E72AA5-C53B-4077-9745-281B4E01AD48}"/>
  <tableColumns count="8">
    <tableColumn id="1" xr3:uid="{529E7FEF-2C0A-4526-929E-E21DA926CD3D}" name="Año" dataDxfId="177"/>
    <tableColumn id="2" xr3:uid="{D9CDE4A4-0B32-4F36-9A31-CF897B5FE566}" name="AñoMes"/>
    <tableColumn id="3" xr3:uid="{359137E4-DF3B-4813-AF06-1C24C79FC375}" name="Mes"/>
    <tableColumn id="4" xr3:uid="{8362E907-A7A1-4358-8BCE-947F9BB0BC38}" name="Tipo_Leche"/>
    <tableColumn id="5" xr3:uid="{FC61BA03-5790-4550-9677-C17B8D18EA17}" name="Precio_base"/>
    <tableColumn id="6" xr3:uid="{82985A22-E564-487C-B9A2-9BB5F042A040}" name="Calidades"/>
    <tableColumn id="7" xr3:uid="{7ED45124-55D0-4F77-BC11-F423892B4AA3}" name="Transporte"/>
    <tableColumn id="8" xr3:uid="{D96BE75C-E93B-48F3-8219-15453A5E71D7}" name="PMV_eur_L" dataDxfId="176">
      <calculatedColumnFormula>SUM(E3:G3)/1000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07E25D-F9A8-46BE-BD36-67B8280836C5}" name="Tabla_NC_calidad" displayName="Tabla_NC_calidad" ref="R86:U193" totalsRowShown="0" headerRowDxfId="175" dataDxfId="173" headerRowBorderDxfId="174" tableBorderDxfId="172">
  <autoFilter ref="R86:U193" xr:uid="{6007E25D-F9A8-46BE-BD36-67B8280836C5}"/>
  <tableColumns count="4">
    <tableColumn id="1" xr3:uid="{2C01AB5D-E928-458A-8AD9-379CADCFF31F}" name="Fecha" dataDxfId="171"/>
    <tableColumn id="2" xr3:uid="{C6FDD165-3EDA-456D-A9E0-A753BA09652F}" name="Kilos Reclamados" dataDxfId="170"/>
    <tableColumn id="3" xr3:uid="{36A0BDD9-4CB0-4707-BD52-937049BBE5D6}" name="Producto" dataDxfId="169"/>
    <tableColumn id="4" xr3:uid="{DD8DCB65-9D89-4A3D-B1E7-47B91ADCC843}" name="Estado" dataDxfId="168"/>
  </tableColumns>
  <tableStyleInfo name="TableStyleMedium1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9DF97A-9F72-4D74-A1BB-41624E2DB6B8}" name="Tabla_otiff" displayName="Tabla_otiff" ref="Y86:AB110" totalsRowShown="0" headerRowDxfId="167" dataDxfId="165" headerRowBorderDxfId="166" tableBorderDxfId="164" totalsRowBorderDxfId="163">
  <autoFilter ref="Y86:AB110" xr:uid="{059DF97A-9F72-4D74-A1BB-41624E2DB6B8}"/>
  <tableColumns count="4">
    <tableColumn id="1" xr3:uid="{AE4EA406-D6C3-405A-A469-CDA493CBBA98}" name="Año" dataDxfId="162"/>
    <tableColumn id="2" xr3:uid="{16FC7778-3F1B-4498-8A4E-B5BA6C6EC7FF}" name="AñoMes" dataDxfId="161"/>
    <tableColumn id="3" xr3:uid="{421F6815-1502-464E-9F8B-146998F98E68}" name="Mes" dataDxfId="160"/>
    <tableColumn id="4" xr3:uid="{F809E1A2-48B8-4BAA-A14B-DFA87E8D9016}" name="OTIFF" dataDxfId="159"/>
  </tableColumns>
  <tableStyleInfo name="TableStyleMedium1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5079B7-15E4-4468-B023-3DD2DBA86D25}" name="Tabla_subproductos_euros" displayName="Tabla_subproductos_euros" ref="AF86:AP110" totalsRowShown="0" headerRowDxfId="158" dataDxfId="156" headerRowBorderDxfId="157" tableBorderDxfId="155" totalsRowBorderDxfId="154">
  <autoFilter ref="AF86:AP110" xr:uid="{A95079B7-15E4-4468-B023-3DD2DBA86D25}"/>
  <tableColumns count="11">
    <tableColumn id="1" xr3:uid="{7E3125DD-FFC2-4C5A-B992-4F72CB1029B3}" name="Año" dataDxfId="153"/>
    <tableColumn id="2" xr3:uid="{C2AD3368-87D4-4F95-BDD1-925C4F36AF7E}" name="AñoMes" dataDxfId="152"/>
    <tableColumn id="3" xr3:uid="{E29DB234-5865-4BED-8B27-7749B75BD4C2}" name="Mes" dataDxfId="151"/>
    <tableColumn id="4" xr3:uid="{C1146B32-E62B-4714-962A-0030CC23CAA7}" name="Venta_nata_suero_euros" dataDxfId="150"/>
    <tableColumn id="5" xr3:uid="{667B269E-627F-4CA1-B39F-0597D7EDAD34}" name="Venta_nata_leche_euros" dataDxfId="149"/>
    <tableColumn id="6" xr3:uid="{01DF19A5-3932-4D3C-8DF7-B75DE6261808}" name="Venta_suero_euros" dataDxfId="148"/>
    <tableColumn id="7" xr3:uid="{FB37CCAF-875D-4FCB-86D8-0E4DEF23535A}" name="Venta_permeado_euros" dataDxfId="147"/>
    <tableColumn id="9" xr3:uid="{29EE9445-84C1-421D-80AA-E14DB5581447}" name="Venta_nata_suero_Kg" dataDxfId="146"/>
    <tableColumn id="10" xr3:uid="{12A2BE7C-B024-410C-A449-5D8438709479}" name="Venta_nata_leche_kg" dataDxfId="145"/>
    <tableColumn id="11" xr3:uid="{A06787A4-3880-499C-9683-F0F3A8D3E6D3}" name="Venta_suero_conc_kg" dataDxfId="144"/>
    <tableColumn id="12" xr3:uid="{E2AC6AEF-F2FD-4B31-B657-98EC24FC90E7}" name="Venta_permeado_kg" dataDxfId="143"/>
  </tableColumns>
  <tableStyleInfo name="TableStyleMedium1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8152C4-F47E-4FA9-AE9B-FE79D17B0CFC}" name="Tabla_vta_req" displayName="Tabla_vta_req" ref="AS86:AX194" totalsRowShown="0" headerRowDxfId="142">
  <autoFilter ref="AS86:AX194" xr:uid="{BD8152C4-F47E-4FA9-AE9B-FE79D17B0CFC}"/>
  <tableColumns count="6">
    <tableColumn id="1" xr3:uid="{E5C4908B-E575-42EC-9285-7AD9A218D525}" name="Fecha"/>
    <tableColumn id="2" xr3:uid="{AFCA6E19-315D-473C-9FCC-738ABD2F2581}" name="Producto"/>
    <tableColumn id="3" xr3:uid="{03FB045F-20F5-4BED-9C6E-69113BAE4848}" name="Ventas_tio_resti(kg)"/>
    <tableColumn id="4" xr3:uid="{27C8D642-2E88-4349-B20E-4FF1FE4C2A41}" name="PV_eur_kg_Testi"/>
    <tableColumn id="5" xr3:uid="{825CC8F3-9D95-41A0-808C-F8459FAD4EB9}" name="Ventas_regular(kg)"/>
    <tableColumn id="6" xr3:uid="{479350D0-C1C1-4C2E-889D-0EF3F94B88B1}" name="PV_eur_kg_Regular"/>
  </tableColumns>
  <tableStyleInfo name="TableStyleMedium1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FC563AC-2BF1-4E30-8F9B-44DA4F8062F9}" name="Tabla_mermas_euros" displayName="Tabla_mermas_euros" ref="AZ86:BD110" totalsRowShown="0" headerRowDxfId="141" dataDxfId="139" headerRowBorderDxfId="140" tableBorderDxfId="138" totalsRowBorderDxfId="137">
  <autoFilter ref="AZ86:BD110" xr:uid="{2FC563AC-2BF1-4E30-8F9B-44DA4F8062F9}"/>
  <tableColumns count="5">
    <tableColumn id="1" xr3:uid="{B2AC5ADC-BC71-40C6-9699-35AF32035329}" name="Año" dataDxfId="136"/>
    <tableColumn id="2" xr3:uid="{2F2E273A-55CA-42C3-8213-2659DAC1B3D6}" name="AñoMes" dataDxfId="135"/>
    <tableColumn id="3" xr3:uid="{7B183F16-9A30-4418-8178-E4EA21B4DC30}" name="Mes" dataDxfId="134"/>
    <tableColumn id="4" xr3:uid="{3E9DD11D-C59D-4F4C-B008-F8A74CAE3185}" name="Venta_Mermas" dataDxfId="133"/>
    <tableColumn id="5" xr3:uid="{D68DD594-3C55-425B-9AA4-33EED3F1B6B3}" name="PM_Mermas" dataDxfId="13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4133C82-DE19-4A43-942F-AFC2AF34F59F}">
  <we:reference id="wa200009404" version="1.0.0.5" store="es-ES" storeType="OMEX"/>
  <we:alternateReferences>
    <we:reference id="WA200009404" version="1.0.0.5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microsoft.com/office/2007/relationships/slicer" Target="../slicers/slicer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.xml"/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B7C7-3619-45F0-8F80-9F7D633E90BA}">
  <sheetPr codeName="Hoja7">
    <pageSetUpPr fitToPage="1"/>
  </sheetPr>
  <dimension ref="B2:R406"/>
  <sheetViews>
    <sheetView tabSelected="1" topLeftCell="A396" zoomScaleNormal="100" workbookViewId="0">
      <selection activeCell="B404" sqref="B404:I406"/>
    </sheetView>
  </sheetViews>
  <sheetFormatPr baseColWidth="10" defaultColWidth="11.453125" defaultRowHeight="14.5" x14ac:dyDescent="0.35"/>
  <cols>
    <col min="5" max="5" width="17.453125" bestFit="1" customWidth="1"/>
    <col min="6" max="6" width="25.81640625" customWidth="1"/>
    <col min="7" max="7" width="26.1796875" customWidth="1"/>
    <col min="8" max="8" width="18.1796875" customWidth="1"/>
    <col min="9" max="9" width="26.81640625" customWidth="1"/>
    <col min="13" max="13" width="13.54296875" customWidth="1"/>
    <col min="14" max="14" width="17.54296875" customWidth="1"/>
    <col min="15" max="15" width="19.54296875" customWidth="1"/>
    <col min="16" max="16" width="16.453125" customWidth="1"/>
    <col min="18" max="18" width="14.81640625" customWidth="1"/>
  </cols>
  <sheetData>
    <row r="2" spans="2:18" ht="15" thickBot="1" x14ac:dyDescent="0.4">
      <c r="B2" s="173" t="s">
        <v>0</v>
      </c>
      <c r="C2" s="174" t="s">
        <v>1</v>
      </c>
      <c r="D2" s="174" t="s">
        <v>2</v>
      </c>
      <c r="E2" s="175" t="s">
        <v>3</v>
      </c>
      <c r="F2" s="176" t="s">
        <v>4</v>
      </c>
      <c r="G2" s="177" t="s">
        <v>5</v>
      </c>
      <c r="H2" s="177" t="s">
        <v>6</v>
      </c>
      <c r="I2" s="178" t="s">
        <v>7</v>
      </c>
      <c r="K2" s="151" t="s">
        <v>552</v>
      </c>
      <c r="L2" s="152" t="s">
        <v>553</v>
      </c>
      <c r="M2" s="152" t="s">
        <v>554</v>
      </c>
      <c r="N2" s="152" t="s">
        <v>555</v>
      </c>
      <c r="O2" s="152" t="s">
        <v>556</v>
      </c>
      <c r="P2" s="152" t="s">
        <v>557</v>
      </c>
      <c r="Q2" s="152" t="s">
        <v>558</v>
      </c>
      <c r="R2" s="153" t="s">
        <v>559</v>
      </c>
    </row>
    <row r="3" spans="2:18" x14ac:dyDescent="0.35">
      <c r="B3" s="145">
        <v>45659</v>
      </c>
      <c r="C3" s="14" t="s">
        <v>13</v>
      </c>
      <c r="D3" s="15">
        <v>0.3263888888888889</v>
      </c>
      <c r="E3" s="18" t="s">
        <v>14</v>
      </c>
      <c r="F3" s="27">
        <v>53</v>
      </c>
      <c r="G3" s="28">
        <v>7.44</v>
      </c>
      <c r="H3" s="23"/>
      <c r="I3" s="142">
        <v>0.95</v>
      </c>
      <c r="K3" s="143">
        <v>45659</v>
      </c>
      <c r="L3" s="19" t="s">
        <v>560</v>
      </c>
      <c r="M3" s="20" t="s">
        <v>561</v>
      </c>
      <c r="N3" s="21">
        <v>70</v>
      </c>
      <c r="O3" s="30">
        <v>40</v>
      </c>
      <c r="P3" s="31" t="s">
        <v>562</v>
      </c>
      <c r="Q3" s="12">
        <v>100</v>
      </c>
      <c r="R3" s="154">
        <v>46082</v>
      </c>
    </row>
    <row r="4" spans="2:18" x14ac:dyDescent="0.35">
      <c r="B4" s="143">
        <v>45660</v>
      </c>
      <c r="C4" s="19" t="s">
        <v>13</v>
      </c>
      <c r="D4" s="20">
        <v>0.33333333333333331</v>
      </c>
      <c r="E4" s="21" t="s">
        <v>14</v>
      </c>
      <c r="F4" s="10">
        <v>43</v>
      </c>
      <c r="G4" s="11">
        <v>7.56</v>
      </c>
      <c r="H4" s="12"/>
      <c r="I4" s="146">
        <v>0.94</v>
      </c>
      <c r="K4" s="143"/>
      <c r="L4" s="19"/>
      <c r="M4" s="20"/>
      <c r="N4" s="21"/>
      <c r="O4" s="10"/>
      <c r="P4" s="11"/>
      <c r="Q4" s="12"/>
      <c r="R4" s="146"/>
    </row>
    <row r="5" spans="2:18" x14ac:dyDescent="0.35">
      <c r="B5" s="145">
        <v>45664</v>
      </c>
      <c r="C5" s="14" t="s">
        <v>13</v>
      </c>
      <c r="D5" s="15">
        <v>0.35416666666666669</v>
      </c>
      <c r="E5" s="18" t="s">
        <v>14</v>
      </c>
      <c r="F5" s="27">
        <v>29</v>
      </c>
      <c r="G5" s="28">
        <v>7.77</v>
      </c>
      <c r="H5" s="23"/>
      <c r="I5" s="142">
        <v>0.77</v>
      </c>
      <c r="K5" s="143"/>
      <c r="L5" s="19"/>
      <c r="M5" s="20"/>
      <c r="N5" s="21"/>
      <c r="O5" s="30"/>
      <c r="P5" s="31"/>
      <c r="Q5" s="12"/>
      <c r="R5" s="155"/>
    </row>
    <row r="6" spans="2:18" x14ac:dyDescent="0.35">
      <c r="B6" s="143">
        <v>45665</v>
      </c>
      <c r="C6" s="19" t="s">
        <v>13</v>
      </c>
      <c r="D6" s="20">
        <v>0.47916666666666669</v>
      </c>
      <c r="E6" s="21" t="s">
        <v>14</v>
      </c>
      <c r="F6" s="10">
        <v>33</v>
      </c>
      <c r="G6" s="11">
        <v>7.84</v>
      </c>
      <c r="H6" s="12"/>
      <c r="I6" s="146">
        <v>0.85</v>
      </c>
      <c r="K6" s="143"/>
      <c r="L6" s="19"/>
      <c r="M6" s="20"/>
      <c r="N6" s="21"/>
      <c r="O6" s="10"/>
      <c r="P6" s="11"/>
      <c r="Q6" s="12"/>
      <c r="R6" s="146"/>
    </row>
    <row r="7" spans="2:18" x14ac:dyDescent="0.35">
      <c r="B7" s="145">
        <v>45666</v>
      </c>
      <c r="C7" s="14" t="s">
        <v>13</v>
      </c>
      <c r="D7" s="15">
        <v>0.55208333333333337</v>
      </c>
      <c r="E7" s="18" t="s">
        <v>14</v>
      </c>
      <c r="F7" s="27">
        <v>56</v>
      </c>
      <c r="G7" s="28">
        <v>7.39</v>
      </c>
      <c r="H7" s="23"/>
      <c r="I7" s="142">
        <v>0.7</v>
      </c>
      <c r="K7" s="143"/>
      <c r="L7" s="19"/>
      <c r="M7" s="20"/>
      <c r="N7" s="21"/>
      <c r="O7" s="30"/>
      <c r="P7" s="31"/>
      <c r="Q7" s="12"/>
      <c r="R7" s="155"/>
    </row>
    <row r="8" spans="2:18" x14ac:dyDescent="0.35">
      <c r="B8" s="143">
        <v>45667</v>
      </c>
      <c r="C8" s="19" t="s">
        <v>13</v>
      </c>
      <c r="D8" s="20">
        <v>0.56944444444444442</v>
      </c>
      <c r="E8" s="21" t="s">
        <v>14</v>
      </c>
      <c r="F8" s="10">
        <v>40</v>
      </c>
      <c r="G8" s="11">
        <v>7.8</v>
      </c>
      <c r="H8" s="12"/>
      <c r="I8" s="146">
        <v>1.18</v>
      </c>
      <c r="K8" s="143"/>
      <c r="L8" s="19"/>
      <c r="M8" s="20"/>
      <c r="N8" s="21"/>
      <c r="O8" s="10"/>
      <c r="P8" s="11"/>
      <c r="Q8" s="12"/>
      <c r="R8" s="146"/>
    </row>
    <row r="9" spans="2:18" x14ac:dyDescent="0.35">
      <c r="B9" s="145">
        <v>45673</v>
      </c>
      <c r="C9" s="14" t="s">
        <v>13</v>
      </c>
      <c r="D9" s="15">
        <v>0.41666666666666669</v>
      </c>
      <c r="E9" s="18" t="s">
        <v>14</v>
      </c>
      <c r="F9" s="27">
        <v>90</v>
      </c>
      <c r="G9" s="28">
        <v>7.5</v>
      </c>
      <c r="H9" s="23"/>
      <c r="I9" s="142">
        <v>0.89</v>
      </c>
      <c r="K9" s="143"/>
      <c r="L9" s="19"/>
      <c r="M9" s="20"/>
      <c r="N9" s="21"/>
      <c r="O9" s="30"/>
      <c r="P9" s="31"/>
      <c r="Q9" s="12"/>
      <c r="R9" s="155"/>
    </row>
    <row r="10" spans="2:18" x14ac:dyDescent="0.35">
      <c r="B10" s="143">
        <v>45674</v>
      </c>
      <c r="C10" s="19" t="s">
        <v>13</v>
      </c>
      <c r="D10" s="20">
        <v>0.375</v>
      </c>
      <c r="E10" s="21" t="s">
        <v>14</v>
      </c>
      <c r="F10" s="10">
        <v>140</v>
      </c>
      <c r="G10" s="11">
        <v>7.62</v>
      </c>
      <c r="H10" s="12"/>
      <c r="I10" s="146">
        <v>0.94</v>
      </c>
      <c r="K10" s="156"/>
      <c r="L10" s="157"/>
      <c r="M10" s="158"/>
      <c r="N10" s="159"/>
      <c r="O10" s="160"/>
      <c r="P10" s="161"/>
      <c r="Q10" s="162"/>
      <c r="R10" s="163"/>
    </row>
    <row r="11" spans="2:18" x14ac:dyDescent="0.35">
      <c r="B11" s="145">
        <v>45677</v>
      </c>
      <c r="C11" s="14" t="s">
        <v>13</v>
      </c>
      <c r="D11" s="15">
        <v>0.51041666666666663</v>
      </c>
      <c r="E11" s="18" t="s">
        <v>14</v>
      </c>
      <c r="F11" s="27">
        <v>94</v>
      </c>
      <c r="G11" s="28">
        <v>7.5</v>
      </c>
      <c r="H11" s="23"/>
      <c r="I11" s="142">
        <v>0.91</v>
      </c>
    </row>
    <row r="12" spans="2:18" x14ac:dyDescent="0.35">
      <c r="B12" s="143">
        <v>45678</v>
      </c>
      <c r="C12" s="19" t="s">
        <v>13</v>
      </c>
      <c r="D12" s="20">
        <v>0.47916666666666669</v>
      </c>
      <c r="E12" s="21" t="s">
        <v>14</v>
      </c>
      <c r="F12" s="10">
        <v>174</v>
      </c>
      <c r="G12" s="11">
        <v>7.3</v>
      </c>
      <c r="H12" s="12"/>
      <c r="I12" s="146">
        <v>0.98</v>
      </c>
    </row>
    <row r="13" spans="2:18" x14ac:dyDescent="0.35">
      <c r="B13" s="145">
        <v>45679</v>
      </c>
      <c r="C13" s="14" t="s">
        <v>13</v>
      </c>
      <c r="D13" s="15">
        <v>0.4375</v>
      </c>
      <c r="E13" s="18" t="s">
        <v>14</v>
      </c>
      <c r="F13" s="27">
        <v>126</v>
      </c>
      <c r="G13" s="28">
        <v>7.47</v>
      </c>
      <c r="H13" s="23"/>
      <c r="I13" s="142">
        <v>1.22</v>
      </c>
    </row>
    <row r="14" spans="2:18" x14ac:dyDescent="0.35">
      <c r="B14" s="143">
        <v>45681</v>
      </c>
      <c r="C14" s="19" t="s">
        <v>13</v>
      </c>
      <c r="D14" s="20">
        <v>0.65972222222222221</v>
      </c>
      <c r="E14" s="21" t="s">
        <v>14</v>
      </c>
      <c r="F14" s="10">
        <v>150</v>
      </c>
      <c r="G14" s="11">
        <v>7.85</v>
      </c>
      <c r="H14" s="12"/>
      <c r="I14" s="146">
        <v>1.1599999999999999</v>
      </c>
    </row>
    <row r="15" spans="2:18" x14ac:dyDescent="0.35">
      <c r="B15" s="145">
        <v>45692</v>
      </c>
      <c r="C15" s="14" t="s">
        <v>13</v>
      </c>
      <c r="D15" s="15">
        <v>0.39583333333333331</v>
      </c>
      <c r="E15" s="18" t="s">
        <v>14</v>
      </c>
      <c r="F15" s="27">
        <v>84</v>
      </c>
      <c r="G15" s="28">
        <v>7.64</v>
      </c>
      <c r="H15" s="23"/>
      <c r="I15" s="142">
        <v>0.85</v>
      </c>
    </row>
    <row r="16" spans="2:18" x14ac:dyDescent="0.35">
      <c r="B16" s="143">
        <v>45693</v>
      </c>
      <c r="C16" s="19" t="s">
        <v>13</v>
      </c>
      <c r="D16" s="20">
        <v>0.3125</v>
      </c>
      <c r="E16" s="21" t="s">
        <v>14</v>
      </c>
      <c r="F16" s="10">
        <v>95</v>
      </c>
      <c r="G16" s="11">
        <v>7.51</v>
      </c>
      <c r="H16" s="12"/>
      <c r="I16" s="146">
        <v>0.79</v>
      </c>
    </row>
    <row r="17" spans="2:9" x14ac:dyDescent="0.35">
      <c r="B17" s="145">
        <v>45695</v>
      </c>
      <c r="C17" s="14" t="s">
        <v>13</v>
      </c>
      <c r="D17" s="15">
        <v>0.39583333333333331</v>
      </c>
      <c r="E17" s="18" t="s">
        <v>14</v>
      </c>
      <c r="F17" s="27">
        <v>237</v>
      </c>
      <c r="G17" s="28">
        <v>7.37</v>
      </c>
      <c r="H17" s="23"/>
      <c r="I17" s="142">
        <v>0.9</v>
      </c>
    </row>
    <row r="18" spans="2:9" x14ac:dyDescent="0.35">
      <c r="B18" s="143">
        <v>45705</v>
      </c>
      <c r="C18" s="19" t="s">
        <v>13</v>
      </c>
      <c r="D18" s="20">
        <v>0.375</v>
      </c>
      <c r="E18" s="21" t="s">
        <v>14</v>
      </c>
      <c r="F18" s="10">
        <v>98</v>
      </c>
      <c r="G18" s="11">
        <v>7.49</v>
      </c>
      <c r="H18" s="12"/>
      <c r="I18" s="146">
        <v>0.77</v>
      </c>
    </row>
    <row r="19" spans="2:9" x14ac:dyDescent="0.35">
      <c r="B19" s="145">
        <v>45706</v>
      </c>
      <c r="C19" s="14" t="s">
        <v>13</v>
      </c>
      <c r="D19" s="15">
        <v>0.3888888888888889</v>
      </c>
      <c r="E19" s="18" t="s">
        <v>14</v>
      </c>
      <c r="F19" s="27">
        <v>87</v>
      </c>
      <c r="G19" s="28">
        <v>7.64</v>
      </c>
      <c r="H19" s="23"/>
      <c r="I19" s="142">
        <v>0.99</v>
      </c>
    </row>
    <row r="20" spans="2:9" x14ac:dyDescent="0.35">
      <c r="B20" s="143">
        <v>45707</v>
      </c>
      <c r="C20" s="19" t="s">
        <v>13</v>
      </c>
      <c r="D20" s="20">
        <v>0.39583333333333331</v>
      </c>
      <c r="E20" s="21" t="s">
        <v>14</v>
      </c>
      <c r="F20" s="10">
        <v>264</v>
      </c>
      <c r="G20" s="11">
        <v>7.45</v>
      </c>
      <c r="H20" s="12"/>
      <c r="I20" s="146">
        <v>0.98</v>
      </c>
    </row>
    <row r="21" spans="2:9" x14ac:dyDescent="0.35">
      <c r="B21" s="145">
        <v>45708</v>
      </c>
      <c r="C21" s="14" t="s">
        <v>13</v>
      </c>
      <c r="D21" s="15">
        <v>0.38958333333333334</v>
      </c>
      <c r="E21" s="18" t="s">
        <v>14</v>
      </c>
      <c r="F21" s="27">
        <v>76</v>
      </c>
      <c r="G21" s="28">
        <v>7.62</v>
      </c>
      <c r="H21" s="23"/>
      <c r="I21" s="142">
        <v>0.99</v>
      </c>
    </row>
    <row r="22" spans="2:9" x14ac:dyDescent="0.35">
      <c r="B22" s="143">
        <v>45709</v>
      </c>
      <c r="C22" s="19" t="s">
        <v>13</v>
      </c>
      <c r="D22" s="20">
        <v>0.49305555555555558</v>
      </c>
      <c r="E22" s="21" t="s">
        <v>14</v>
      </c>
      <c r="F22" s="10">
        <v>106</v>
      </c>
      <c r="G22" s="11">
        <v>7.67</v>
      </c>
      <c r="H22" s="12"/>
      <c r="I22" s="146">
        <v>0.87</v>
      </c>
    </row>
    <row r="23" spans="2:9" x14ac:dyDescent="0.35">
      <c r="B23" s="145">
        <v>45715</v>
      </c>
      <c r="C23" s="14" t="s">
        <v>13</v>
      </c>
      <c r="D23" s="15">
        <v>0.36458333333333331</v>
      </c>
      <c r="E23" s="18" t="s">
        <v>14</v>
      </c>
      <c r="F23" s="27">
        <v>74</v>
      </c>
      <c r="G23" s="28">
        <v>7.67</v>
      </c>
      <c r="H23" s="23"/>
      <c r="I23" s="142">
        <v>1.28</v>
      </c>
    </row>
    <row r="24" spans="2:9" x14ac:dyDescent="0.35">
      <c r="B24" s="143">
        <v>45716</v>
      </c>
      <c r="C24" s="19" t="s">
        <v>13</v>
      </c>
      <c r="D24" s="20">
        <v>0.46527777777777779</v>
      </c>
      <c r="E24" s="21" t="s">
        <v>14</v>
      </c>
      <c r="F24" s="10">
        <v>113</v>
      </c>
      <c r="G24" s="11">
        <v>7.45</v>
      </c>
      <c r="H24" s="12"/>
      <c r="I24" s="146">
        <v>1.21</v>
      </c>
    </row>
    <row r="25" spans="2:9" x14ac:dyDescent="0.35">
      <c r="B25" s="145">
        <v>45719</v>
      </c>
      <c r="C25" s="14" t="s">
        <v>13</v>
      </c>
      <c r="D25" s="15">
        <v>0.45833333333333331</v>
      </c>
      <c r="E25" s="18" t="s">
        <v>14</v>
      </c>
      <c r="F25" s="27">
        <v>46</v>
      </c>
      <c r="G25" s="28">
        <v>7.59</v>
      </c>
      <c r="H25" s="23"/>
      <c r="I25" s="142">
        <v>1.05</v>
      </c>
    </row>
    <row r="26" spans="2:9" x14ac:dyDescent="0.35">
      <c r="B26" s="143">
        <v>45720</v>
      </c>
      <c r="C26" s="19" t="s">
        <v>13</v>
      </c>
      <c r="D26" s="20">
        <v>0.55555555555555558</v>
      </c>
      <c r="E26" s="21" t="s">
        <v>14</v>
      </c>
      <c r="F26" s="10">
        <v>103</v>
      </c>
      <c r="G26" s="11">
        <v>7.39</v>
      </c>
      <c r="H26" s="12"/>
      <c r="I26" s="146">
        <v>1.21</v>
      </c>
    </row>
    <row r="27" spans="2:9" x14ac:dyDescent="0.35">
      <c r="B27" s="145">
        <v>45721</v>
      </c>
      <c r="C27" s="14" t="s">
        <v>13</v>
      </c>
      <c r="D27" s="15">
        <v>0.5</v>
      </c>
      <c r="E27" s="18" t="s">
        <v>14</v>
      </c>
      <c r="F27" s="27">
        <v>41</v>
      </c>
      <c r="G27" s="28">
        <v>7.27</v>
      </c>
      <c r="H27" s="23"/>
      <c r="I27" s="142">
        <v>1</v>
      </c>
    </row>
    <row r="28" spans="2:9" x14ac:dyDescent="0.35">
      <c r="B28" s="143">
        <v>45722</v>
      </c>
      <c r="C28" s="19" t="s">
        <v>13</v>
      </c>
      <c r="D28" s="20">
        <v>0.5</v>
      </c>
      <c r="E28" s="21" t="s">
        <v>14</v>
      </c>
      <c r="F28" s="10">
        <v>121</v>
      </c>
      <c r="G28" s="11">
        <v>7.4</v>
      </c>
      <c r="H28" s="12"/>
      <c r="I28" s="146">
        <v>0.97</v>
      </c>
    </row>
    <row r="29" spans="2:9" x14ac:dyDescent="0.35">
      <c r="B29" s="145">
        <v>45723</v>
      </c>
      <c r="C29" s="14" t="s">
        <v>13</v>
      </c>
      <c r="D29" s="15">
        <v>0.5</v>
      </c>
      <c r="E29" s="18" t="s">
        <v>14</v>
      </c>
      <c r="F29" s="27">
        <v>67</v>
      </c>
      <c r="G29" s="28">
        <v>7.55</v>
      </c>
      <c r="H29" s="23"/>
      <c r="I29" s="142">
        <v>1.1499999999999999</v>
      </c>
    </row>
    <row r="30" spans="2:9" x14ac:dyDescent="0.35">
      <c r="B30" s="143">
        <v>45728</v>
      </c>
      <c r="C30" s="19" t="s">
        <v>13</v>
      </c>
      <c r="D30" s="20">
        <v>0.44444444444444442</v>
      </c>
      <c r="E30" s="21" t="s">
        <v>14</v>
      </c>
      <c r="F30" s="10">
        <v>262</v>
      </c>
      <c r="G30" s="11">
        <v>7.39</v>
      </c>
      <c r="H30" s="12"/>
      <c r="I30" s="146">
        <v>2.34</v>
      </c>
    </row>
    <row r="31" spans="2:9" x14ac:dyDescent="0.35">
      <c r="B31" s="145">
        <v>45734</v>
      </c>
      <c r="C31" s="14" t="s">
        <v>13</v>
      </c>
      <c r="D31" s="15">
        <v>0.60416666666666663</v>
      </c>
      <c r="E31" s="18" t="s">
        <v>14</v>
      </c>
      <c r="F31" s="27">
        <v>188</v>
      </c>
      <c r="G31" s="28">
        <v>7.36</v>
      </c>
      <c r="H31" s="23"/>
      <c r="I31" s="142">
        <v>1.95</v>
      </c>
    </row>
    <row r="32" spans="2:9" x14ac:dyDescent="0.35">
      <c r="B32" s="143">
        <v>45735</v>
      </c>
      <c r="C32" s="19" t="s">
        <v>13</v>
      </c>
      <c r="D32" s="20">
        <v>0.34375</v>
      </c>
      <c r="E32" s="21" t="s">
        <v>14</v>
      </c>
      <c r="F32" s="10">
        <v>144</v>
      </c>
      <c r="G32" s="11">
        <v>7.49</v>
      </c>
      <c r="H32" s="12"/>
      <c r="I32" s="146">
        <v>1.63</v>
      </c>
    </row>
    <row r="33" spans="2:9" x14ac:dyDescent="0.35">
      <c r="B33" s="145">
        <v>45736</v>
      </c>
      <c r="C33" s="14" t="s">
        <v>13</v>
      </c>
      <c r="D33" s="15">
        <v>0.41666666666666669</v>
      </c>
      <c r="E33" s="18" t="s">
        <v>14</v>
      </c>
      <c r="F33" s="27">
        <v>115</v>
      </c>
      <c r="G33" s="28">
        <v>7.36</v>
      </c>
      <c r="H33" s="23"/>
      <c r="I33" s="142">
        <v>1.48</v>
      </c>
    </row>
    <row r="34" spans="2:9" x14ac:dyDescent="0.35">
      <c r="B34" s="143">
        <v>45737</v>
      </c>
      <c r="C34" s="19" t="s">
        <v>13</v>
      </c>
      <c r="D34" s="20">
        <v>0.34375</v>
      </c>
      <c r="E34" s="21" t="s">
        <v>14</v>
      </c>
      <c r="F34" s="10">
        <v>103</v>
      </c>
      <c r="G34" s="11">
        <v>7.54</v>
      </c>
      <c r="H34" s="12"/>
      <c r="I34" s="146">
        <v>1.46</v>
      </c>
    </row>
    <row r="35" spans="2:9" x14ac:dyDescent="0.35">
      <c r="B35" s="145">
        <v>45740</v>
      </c>
      <c r="C35" s="14" t="s">
        <v>13</v>
      </c>
      <c r="D35" s="15">
        <v>0.43055555555555558</v>
      </c>
      <c r="E35" s="18" t="s">
        <v>14</v>
      </c>
      <c r="F35" s="27">
        <v>90</v>
      </c>
      <c r="G35" s="28">
        <v>7.6</v>
      </c>
      <c r="H35" s="23"/>
      <c r="I35" s="142">
        <v>1.54</v>
      </c>
    </row>
    <row r="36" spans="2:9" x14ac:dyDescent="0.35">
      <c r="B36" s="143">
        <v>45748</v>
      </c>
      <c r="C36" s="19" t="s">
        <v>13</v>
      </c>
      <c r="D36" s="20">
        <v>0.34375</v>
      </c>
      <c r="E36" s="21" t="s">
        <v>14</v>
      </c>
      <c r="F36" s="10">
        <v>63</v>
      </c>
      <c r="G36" s="11">
        <v>7.66</v>
      </c>
      <c r="H36" s="12"/>
      <c r="I36" s="146">
        <v>1.06</v>
      </c>
    </row>
    <row r="37" spans="2:9" x14ac:dyDescent="0.35">
      <c r="B37" s="145">
        <v>45750</v>
      </c>
      <c r="C37" s="14" t="s">
        <v>13</v>
      </c>
      <c r="D37" s="15">
        <v>0.46875</v>
      </c>
      <c r="E37" s="18" t="s">
        <v>14</v>
      </c>
      <c r="F37" s="27">
        <v>36</v>
      </c>
      <c r="G37" s="28">
        <v>7.83</v>
      </c>
      <c r="H37" s="23"/>
      <c r="I37" s="142">
        <v>0.96</v>
      </c>
    </row>
    <row r="38" spans="2:9" x14ac:dyDescent="0.35">
      <c r="B38" s="143">
        <v>45751</v>
      </c>
      <c r="C38" s="19" t="s">
        <v>13</v>
      </c>
      <c r="D38" s="20">
        <v>0.4375</v>
      </c>
      <c r="E38" s="21" t="s">
        <v>14</v>
      </c>
      <c r="F38" s="10">
        <v>58</v>
      </c>
      <c r="G38" s="11">
        <v>7.47</v>
      </c>
      <c r="H38" s="12"/>
      <c r="I38" s="146">
        <v>0.95</v>
      </c>
    </row>
    <row r="39" spans="2:9" x14ac:dyDescent="0.35">
      <c r="B39" s="145">
        <v>45754</v>
      </c>
      <c r="C39" s="14" t="s">
        <v>13</v>
      </c>
      <c r="D39" s="15">
        <v>0.3611111111111111</v>
      </c>
      <c r="E39" s="18" t="s">
        <v>8</v>
      </c>
      <c r="F39" s="27">
        <v>13</v>
      </c>
      <c r="G39" s="28">
        <v>8</v>
      </c>
      <c r="H39" s="23"/>
      <c r="I39" s="142">
        <v>0.92</v>
      </c>
    </row>
    <row r="40" spans="2:9" x14ac:dyDescent="0.35">
      <c r="B40" s="143">
        <f>+B39+1</f>
        <v>45755</v>
      </c>
      <c r="C40" s="19" t="s">
        <v>13</v>
      </c>
      <c r="D40" s="20">
        <v>0.33333333333333331</v>
      </c>
      <c r="E40" s="21" t="s">
        <v>15</v>
      </c>
      <c r="F40" s="10">
        <v>123</v>
      </c>
      <c r="G40" s="11">
        <v>7.67</v>
      </c>
      <c r="H40" s="12"/>
      <c r="I40" s="146">
        <v>1.04</v>
      </c>
    </row>
    <row r="41" spans="2:9" x14ac:dyDescent="0.35">
      <c r="B41" s="145">
        <f>+B40+1</f>
        <v>45756</v>
      </c>
      <c r="C41" s="14" t="s">
        <v>13</v>
      </c>
      <c r="D41" s="15">
        <v>0.36805555555555558</v>
      </c>
      <c r="E41" s="18" t="s">
        <v>8</v>
      </c>
      <c r="F41" s="27">
        <v>40</v>
      </c>
      <c r="G41" s="28">
        <v>7.71</v>
      </c>
      <c r="H41" s="23"/>
      <c r="I41" s="142">
        <v>0.98</v>
      </c>
    </row>
    <row r="42" spans="2:9" x14ac:dyDescent="0.35">
      <c r="B42" s="143">
        <f>+B41+1</f>
        <v>45757</v>
      </c>
      <c r="C42" s="19" t="s">
        <v>13</v>
      </c>
      <c r="D42" s="20">
        <v>0.58333333333333337</v>
      </c>
      <c r="E42" s="21" t="s">
        <v>15</v>
      </c>
      <c r="F42" s="10">
        <v>34</v>
      </c>
      <c r="G42" s="11">
        <v>7.83</v>
      </c>
      <c r="H42" s="12"/>
      <c r="I42" s="146">
        <v>0.95</v>
      </c>
    </row>
    <row r="43" spans="2:9" x14ac:dyDescent="0.35">
      <c r="B43" s="145">
        <f>+B42+1</f>
        <v>45758</v>
      </c>
      <c r="C43" s="14" t="s">
        <v>13</v>
      </c>
      <c r="D43" s="15">
        <v>0.55555555555555558</v>
      </c>
      <c r="E43" s="18" t="s">
        <v>8</v>
      </c>
      <c r="F43" s="27">
        <v>45</v>
      </c>
      <c r="G43" s="28">
        <v>7.15</v>
      </c>
      <c r="H43" s="23"/>
      <c r="I43" s="142">
        <v>1.34</v>
      </c>
    </row>
    <row r="44" spans="2:9" x14ac:dyDescent="0.35">
      <c r="B44" s="143">
        <f>+B43+3</f>
        <v>45761</v>
      </c>
      <c r="C44" s="19" t="s">
        <v>13</v>
      </c>
      <c r="D44" s="20">
        <v>0.30208333333333331</v>
      </c>
      <c r="E44" s="21" t="s">
        <v>16</v>
      </c>
      <c r="F44" s="10">
        <v>44</v>
      </c>
      <c r="G44" s="11">
        <v>7.6</v>
      </c>
      <c r="H44" s="12"/>
      <c r="I44" s="146">
        <v>1.21</v>
      </c>
    </row>
    <row r="45" spans="2:9" x14ac:dyDescent="0.35">
      <c r="B45" s="145">
        <f>+B44+1</f>
        <v>45762</v>
      </c>
      <c r="C45" s="14" t="s">
        <v>13</v>
      </c>
      <c r="D45" s="15">
        <v>0.27083333333333331</v>
      </c>
      <c r="E45" s="18" t="s">
        <v>16</v>
      </c>
      <c r="F45" s="27">
        <v>183</v>
      </c>
      <c r="G45" s="28">
        <v>7.53</v>
      </c>
      <c r="H45" s="23"/>
      <c r="I45" s="142">
        <v>1.34</v>
      </c>
    </row>
    <row r="46" spans="2:9" x14ac:dyDescent="0.35">
      <c r="B46" s="143">
        <f>+B45+1</f>
        <v>45763</v>
      </c>
      <c r="C46" s="19" t="s">
        <v>13</v>
      </c>
      <c r="D46" s="20">
        <v>0.29166666666666669</v>
      </c>
      <c r="E46" s="21" t="s">
        <v>16</v>
      </c>
      <c r="F46" s="10">
        <v>171</v>
      </c>
      <c r="G46" s="11">
        <v>7.56</v>
      </c>
      <c r="H46" s="12"/>
      <c r="I46" s="146">
        <v>1.21</v>
      </c>
    </row>
    <row r="47" spans="2:9" x14ac:dyDescent="0.35">
      <c r="B47" s="145">
        <v>45768</v>
      </c>
      <c r="C47" s="14" t="s">
        <v>12</v>
      </c>
      <c r="D47" s="15">
        <v>0.3611111111111111</v>
      </c>
      <c r="E47" s="18" t="s">
        <v>15</v>
      </c>
      <c r="F47" s="25">
        <v>115</v>
      </c>
      <c r="G47" s="17">
        <v>7.53</v>
      </c>
      <c r="H47" s="24"/>
      <c r="I47" s="164">
        <v>0.9</v>
      </c>
    </row>
    <row r="48" spans="2:9" x14ac:dyDescent="0.35">
      <c r="B48" s="143">
        <v>45769</v>
      </c>
      <c r="C48" s="19" t="s">
        <v>12</v>
      </c>
      <c r="D48" s="20">
        <v>0.35069444444444442</v>
      </c>
      <c r="E48" s="21" t="s">
        <v>15</v>
      </c>
      <c r="F48" s="22">
        <v>256</v>
      </c>
      <c r="G48" s="11">
        <v>7.72</v>
      </c>
      <c r="H48" s="13"/>
      <c r="I48" s="146">
        <v>0.99</v>
      </c>
    </row>
    <row r="49" spans="2:9" x14ac:dyDescent="0.35">
      <c r="B49" s="145">
        <v>45771</v>
      </c>
      <c r="C49" s="14" t="s">
        <v>12</v>
      </c>
      <c r="D49" s="15">
        <v>0.47222222222222221</v>
      </c>
      <c r="E49" s="18" t="s">
        <v>8</v>
      </c>
      <c r="F49" s="26">
        <v>264</v>
      </c>
      <c r="G49" s="17">
        <v>7.32</v>
      </c>
      <c r="H49" s="24"/>
      <c r="I49" s="164">
        <v>0.91</v>
      </c>
    </row>
    <row r="50" spans="2:9" x14ac:dyDescent="0.35">
      <c r="B50" s="143">
        <v>45772</v>
      </c>
      <c r="C50" s="19" t="s">
        <v>12</v>
      </c>
      <c r="D50" s="20">
        <v>0.4375</v>
      </c>
      <c r="E50" s="21" t="s">
        <v>15</v>
      </c>
      <c r="F50" s="22">
        <v>179</v>
      </c>
      <c r="G50" s="11">
        <v>7.44</v>
      </c>
      <c r="H50" s="13"/>
      <c r="I50" s="146">
        <v>0.91</v>
      </c>
    </row>
    <row r="51" spans="2:9" x14ac:dyDescent="0.35">
      <c r="B51" s="145">
        <v>45775</v>
      </c>
      <c r="C51" s="14" t="s">
        <v>12</v>
      </c>
      <c r="D51" s="15">
        <v>0.35416666666666669</v>
      </c>
      <c r="E51" s="18" t="s">
        <v>8</v>
      </c>
      <c r="F51" s="26">
        <v>119</v>
      </c>
      <c r="G51" s="17">
        <v>7.73</v>
      </c>
      <c r="H51" s="24"/>
      <c r="I51" s="164">
        <v>0.87</v>
      </c>
    </row>
    <row r="52" spans="2:9" x14ac:dyDescent="0.35">
      <c r="B52" s="143">
        <v>45776</v>
      </c>
      <c r="C52" s="19" t="s">
        <v>12</v>
      </c>
      <c r="D52" s="20">
        <v>0.41666666666666669</v>
      </c>
      <c r="E52" s="21" t="s">
        <v>17</v>
      </c>
      <c r="F52" s="22">
        <v>358</v>
      </c>
      <c r="G52" s="11">
        <v>4.59</v>
      </c>
      <c r="H52" s="13"/>
      <c r="I52" s="146">
        <v>1.04</v>
      </c>
    </row>
    <row r="53" spans="2:9" x14ac:dyDescent="0.35">
      <c r="B53" s="145">
        <v>45777</v>
      </c>
      <c r="C53" s="14" t="s">
        <v>12</v>
      </c>
      <c r="D53" s="15">
        <v>0.33333333333333331</v>
      </c>
      <c r="E53" s="18" t="s">
        <v>8</v>
      </c>
      <c r="F53" s="26">
        <v>602</v>
      </c>
      <c r="G53" s="17">
        <v>7.47</v>
      </c>
      <c r="H53" s="24"/>
      <c r="I53" s="164">
        <v>1.26</v>
      </c>
    </row>
    <row r="54" spans="2:9" x14ac:dyDescent="0.35">
      <c r="B54" s="143">
        <v>45778</v>
      </c>
      <c r="C54" s="19" t="s">
        <v>18</v>
      </c>
      <c r="D54" s="20">
        <v>0.3611111111111111</v>
      </c>
      <c r="E54" s="21" t="s">
        <v>19</v>
      </c>
      <c r="F54" s="22">
        <v>405</v>
      </c>
      <c r="G54" s="11">
        <v>7.62</v>
      </c>
      <c r="H54" s="13"/>
      <c r="I54" s="146">
        <v>1.18</v>
      </c>
    </row>
    <row r="55" spans="2:9" x14ac:dyDescent="0.35">
      <c r="B55" s="145">
        <v>45779</v>
      </c>
      <c r="C55" s="14" t="s">
        <v>18</v>
      </c>
      <c r="D55" s="15">
        <v>0.34375</v>
      </c>
      <c r="E55" s="18" t="s">
        <v>16</v>
      </c>
      <c r="F55" s="26">
        <v>245</v>
      </c>
      <c r="G55" s="17">
        <v>7.71</v>
      </c>
      <c r="H55" s="24"/>
      <c r="I55" s="164">
        <v>1.1000000000000001</v>
      </c>
    </row>
    <row r="56" spans="2:9" x14ac:dyDescent="0.35">
      <c r="B56" s="145">
        <v>45782</v>
      </c>
      <c r="C56" s="14" t="s">
        <v>18</v>
      </c>
      <c r="D56" s="15">
        <v>0.44444444444444442</v>
      </c>
      <c r="E56" s="18" t="s">
        <v>20</v>
      </c>
      <c r="F56" s="25">
        <v>367</v>
      </c>
      <c r="G56" s="17">
        <v>7.74</v>
      </c>
      <c r="H56" s="17"/>
      <c r="I56" s="164">
        <v>1.1299999999999999</v>
      </c>
    </row>
    <row r="57" spans="2:9" x14ac:dyDescent="0.35">
      <c r="B57" s="143">
        <v>45783</v>
      </c>
      <c r="C57" s="19" t="s">
        <v>18</v>
      </c>
      <c r="D57" s="20">
        <v>0.50347222222222221</v>
      </c>
      <c r="E57" s="21" t="s">
        <v>20</v>
      </c>
      <c r="F57" s="39">
        <v>636</v>
      </c>
      <c r="G57" s="11">
        <v>7.56</v>
      </c>
      <c r="H57" s="11"/>
      <c r="I57" s="146">
        <v>1.07</v>
      </c>
    </row>
    <row r="58" spans="2:9" x14ac:dyDescent="0.35">
      <c r="B58" s="145">
        <v>45784</v>
      </c>
      <c r="C58" s="14" t="s">
        <v>18</v>
      </c>
      <c r="D58" s="15">
        <v>0.48958333333333331</v>
      </c>
      <c r="E58" s="18" t="s">
        <v>20</v>
      </c>
      <c r="F58" s="25">
        <v>868</v>
      </c>
      <c r="G58" s="17">
        <v>7.01</v>
      </c>
      <c r="H58" s="17"/>
      <c r="I58" s="164">
        <v>1.37</v>
      </c>
    </row>
    <row r="59" spans="2:9" x14ac:dyDescent="0.35">
      <c r="B59" s="143">
        <v>45785</v>
      </c>
      <c r="C59" s="19" t="s">
        <v>18</v>
      </c>
      <c r="D59" s="20">
        <v>0.46875</v>
      </c>
      <c r="E59" s="21" t="s">
        <v>20</v>
      </c>
      <c r="F59" s="22">
        <v>714</v>
      </c>
      <c r="G59" s="11">
        <v>7.5</v>
      </c>
      <c r="H59" s="11"/>
      <c r="I59" s="146">
        <v>1.58</v>
      </c>
    </row>
    <row r="60" spans="2:9" x14ac:dyDescent="0.35">
      <c r="B60" s="145">
        <v>45786</v>
      </c>
      <c r="C60" s="14" t="s">
        <v>18</v>
      </c>
      <c r="D60" s="15">
        <v>0.54166666666666663</v>
      </c>
      <c r="E60" s="18" t="s">
        <v>20</v>
      </c>
      <c r="F60" s="25">
        <v>1375</v>
      </c>
      <c r="G60" s="17">
        <v>7.27</v>
      </c>
      <c r="H60" s="17"/>
      <c r="I60" s="164">
        <v>1.52</v>
      </c>
    </row>
    <row r="61" spans="2:9" x14ac:dyDescent="0.35">
      <c r="B61" s="143">
        <v>45789</v>
      </c>
      <c r="C61" s="19" t="s">
        <v>18</v>
      </c>
      <c r="D61" s="20">
        <v>0.375</v>
      </c>
      <c r="E61" s="21" t="s">
        <v>21</v>
      </c>
      <c r="F61" s="22">
        <v>391</v>
      </c>
      <c r="G61" s="11">
        <v>7.62</v>
      </c>
      <c r="H61" s="11"/>
      <c r="I61" s="146">
        <v>0.88</v>
      </c>
    </row>
    <row r="62" spans="2:9" x14ac:dyDescent="0.35">
      <c r="B62" s="145">
        <v>45790</v>
      </c>
      <c r="C62" s="14" t="s">
        <v>18</v>
      </c>
      <c r="D62" s="15">
        <v>0.3611111111111111</v>
      </c>
      <c r="E62" s="18" t="s">
        <v>21</v>
      </c>
      <c r="F62" s="25">
        <v>495</v>
      </c>
      <c r="G62" s="17">
        <v>7.37</v>
      </c>
      <c r="H62" s="17"/>
      <c r="I62" s="164">
        <v>1.07</v>
      </c>
    </row>
    <row r="63" spans="2:9" x14ac:dyDescent="0.35">
      <c r="B63" s="143">
        <v>45791</v>
      </c>
      <c r="C63" s="19" t="s">
        <v>18</v>
      </c>
      <c r="D63" s="20">
        <v>0.375</v>
      </c>
      <c r="E63" s="21" t="s">
        <v>21</v>
      </c>
      <c r="F63" s="22">
        <v>406</v>
      </c>
      <c r="G63" s="11">
        <v>7.48</v>
      </c>
      <c r="H63" s="11"/>
      <c r="I63" s="146">
        <v>1.35</v>
      </c>
    </row>
    <row r="64" spans="2:9" x14ac:dyDescent="0.35">
      <c r="B64" s="145">
        <v>45792</v>
      </c>
      <c r="C64" s="14" t="s">
        <v>18</v>
      </c>
      <c r="D64" s="15">
        <v>0.38541666666666669</v>
      </c>
      <c r="E64" s="18" t="s">
        <v>21</v>
      </c>
      <c r="F64" s="25">
        <v>297</v>
      </c>
      <c r="G64" s="17">
        <v>7.67</v>
      </c>
      <c r="H64" s="17"/>
      <c r="I64" s="164">
        <v>1.31</v>
      </c>
    </row>
    <row r="65" spans="2:9" x14ac:dyDescent="0.35">
      <c r="B65" s="143">
        <v>45793</v>
      </c>
      <c r="C65" s="19" t="s">
        <v>18</v>
      </c>
      <c r="D65" s="20">
        <v>0.3888888888888889</v>
      </c>
      <c r="E65" s="21" t="s">
        <v>21</v>
      </c>
      <c r="F65" s="22">
        <v>386</v>
      </c>
      <c r="G65" s="11">
        <v>7.45</v>
      </c>
      <c r="H65" s="11"/>
      <c r="I65" s="146">
        <v>1.46</v>
      </c>
    </row>
    <row r="66" spans="2:9" x14ac:dyDescent="0.35">
      <c r="B66" s="145">
        <v>45796</v>
      </c>
      <c r="C66" s="14" t="s">
        <v>18</v>
      </c>
      <c r="D66" s="15">
        <v>0.45833333333333331</v>
      </c>
      <c r="E66" s="18" t="s">
        <v>20</v>
      </c>
      <c r="F66" s="25">
        <v>323</v>
      </c>
      <c r="G66" s="17">
        <v>7.55</v>
      </c>
      <c r="H66" s="17"/>
      <c r="I66" s="164">
        <v>1.2</v>
      </c>
    </row>
    <row r="67" spans="2:9" x14ac:dyDescent="0.35">
      <c r="B67" s="143">
        <v>45797</v>
      </c>
      <c r="C67" s="19" t="s">
        <v>18</v>
      </c>
      <c r="D67" s="20">
        <v>0.46180555555555558</v>
      </c>
      <c r="E67" s="21" t="s">
        <v>20</v>
      </c>
      <c r="F67" s="22">
        <v>316</v>
      </c>
      <c r="G67" s="11">
        <v>7.42</v>
      </c>
      <c r="H67" s="11"/>
      <c r="I67" s="146">
        <v>1.08</v>
      </c>
    </row>
    <row r="68" spans="2:9" x14ac:dyDescent="0.35">
      <c r="B68" s="145">
        <v>45798</v>
      </c>
      <c r="C68" s="14" t="s">
        <v>18</v>
      </c>
      <c r="D68" s="15">
        <v>0.53472222222222221</v>
      </c>
      <c r="E68" s="18" t="s">
        <v>20</v>
      </c>
      <c r="F68" s="25">
        <v>248</v>
      </c>
      <c r="G68" s="17">
        <v>7.64</v>
      </c>
      <c r="H68" s="17"/>
      <c r="I68" s="164">
        <v>1.05</v>
      </c>
    </row>
    <row r="69" spans="2:9" x14ac:dyDescent="0.35">
      <c r="B69" s="143">
        <v>45799</v>
      </c>
      <c r="C69" s="19" t="s">
        <v>18</v>
      </c>
      <c r="D69" s="20"/>
      <c r="E69" s="21" t="s">
        <v>20</v>
      </c>
      <c r="F69" s="22">
        <v>221</v>
      </c>
      <c r="G69" s="11">
        <v>7.52</v>
      </c>
      <c r="H69" s="11"/>
      <c r="I69" s="146">
        <v>0.94</v>
      </c>
    </row>
    <row r="70" spans="2:9" x14ac:dyDescent="0.35">
      <c r="B70" s="145">
        <v>45800</v>
      </c>
      <c r="C70" s="14" t="s">
        <v>18</v>
      </c>
      <c r="D70" s="29">
        <v>0.45833333333333331</v>
      </c>
      <c r="E70" s="18" t="s">
        <v>20</v>
      </c>
      <c r="F70" s="25">
        <v>203</v>
      </c>
      <c r="G70" s="17">
        <v>7.4</v>
      </c>
      <c r="H70" s="17"/>
      <c r="I70" s="164">
        <v>0.88</v>
      </c>
    </row>
    <row r="71" spans="2:9" x14ac:dyDescent="0.35">
      <c r="B71" s="143">
        <v>45803</v>
      </c>
      <c r="C71" s="19" t="s">
        <v>18</v>
      </c>
      <c r="D71" s="20">
        <v>0.375</v>
      </c>
      <c r="E71" s="21" t="s">
        <v>22</v>
      </c>
      <c r="F71" s="30">
        <v>180</v>
      </c>
      <c r="G71" s="31">
        <v>7.87</v>
      </c>
      <c r="H71" s="31"/>
      <c r="I71" s="155">
        <v>0.98</v>
      </c>
    </row>
    <row r="72" spans="2:9" x14ac:dyDescent="0.35">
      <c r="B72" s="145">
        <v>45804</v>
      </c>
      <c r="C72" s="14" t="s">
        <v>18</v>
      </c>
      <c r="D72" s="15">
        <v>0.34722222222222221</v>
      </c>
      <c r="E72" s="18" t="s">
        <v>21</v>
      </c>
      <c r="F72" s="26">
        <v>350</v>
      </c>
      <c r="G72" s="17">
        <v>7.51</v>
      </c>
      <c r="H72" s="17"/>
      <c r="I72" s="164">
        <v>1.06</v>
      </c>
    </row>
    <row r="73" spans="2:9" x14ac:dyDescent="0.35">
      <c r="B73" s="143">
        <v>45805</v>
      </c>
      <c r="C73" s="19" t="s">
        <v>18</v>
      </c>
      <c r="D73" s="20">
        <v>0.43055555555555558</v>
      </c>
      <c r="E73" s="21" t="s">
        <v>21</v>
      </c>
      <c r="F73" s="32">
        <v>457</v>
      </c>
      <c r="G73" s="33">
        <v>7.16</v>
      </c>
      <c r="H73" s="33"/>
      <c r="I73" s="165">
        <v>0.99</v>
      </c>
    </row>
    <row r="74" spans="2:9" x14ac:dyDescent="0.35">
      <c r="B74" s="145">
        <v>45810</v>
      </c>
      <c r="C74" s="14" t="s">
        <v>12</v>
      </c>
      <c r="D74" s="15">
        <v>0.3263888888888889</v>
      </c>
      <c r="E74" s="16" t="s">
        <v>15</v>
      </c>
      <c r="F74" s="25">
        <v>321</v>
      </c>
      <c r="G74" s="17">
        <v>7.87</v>
      </c>
      <c r="H74" s="17"/>
      <c r="I74" s="164">
        <v>1.17</v>
      </c>
    </row>
    <row r="75" spans="2:9" x14ac:dyDescent="0.35">
      <c r="B75" s="143">
        <v>45812</v>
      </c>
      <c r="C75" s="19" t="s">
        <v>12</v>
      </c>
      <c r="D75" s="20">
        <v>0.39583333333333331</v>
      </c>
      <c r="E75" s="21" t="s">
        <v>15</v>
      </c>
      <c r="F75" s="40">
        <v>1500</v>
      </c>
      <c r="G75" s="31">
        <v>7</v>
      </c>
      <c r="H75" s="31"/>
      <c r="I75" s="155">
        <v>1.23</v>
      </c>
    </row>
    <row r="76" spans="2:9" x14ac:dyDescent="0.35">
      <c r="B76" s="145">
        <v>45813</v>
      </c>
      <c r="C76" s="14" t="s">
        <v>12</v>
      </c>
      <c r="D76" s="15">
        <v>0.40625</v>
      </c>
      <c r="E76" s="18" t="s">
        <v>15</v>
      </c>
      <c r="F76" s="26">
        <v>461</v>
      </c>
      <c r="G76" s="17">
        <v>6.84</v>
      </c>
      <c r="H76" s="17"/>
      <c r="I76" s="164">
        <v>1.02</v>
      </c>
    </row>
    <row r="77" spans="2:9" x14ac:dyDescent="0.35">
      <c r="B77" s="143">
        <v>45814</v>
      </c>
      <c r="C77" s="19" t="s">
        <v>12</v>
      </c>
      <c r="D77" s="20">
        <v>0.45833333333333331</v>
      </c>
      <c r="E77" s="21" t="s">
        <v>15</v>
      </c>
      <c r="F77" s="32">
        <v>873</v>
      </c>
      <c r="G77" s="33">
        <v>7.42</v>
      </c>
      <c r="H77" s="33"/>
      <c r="I77" s="165">
        <v>1.22</v>
      </c>
    </row>
    <row r="78" spans="2:9" x14ac:dyDescent="0.35">
      <c r="B78" s="145">
        <v>45817</v>
      </c>
      <c r="C78" s="14" t="s">
        <v>12</v>
      </c>
      <c r="D78" s="15">
        <v>0.38194444444444442</v>
      </c>
      <c r="E78" s="18" t="s">
        <v>11</v>
      </c>
      <c r="F78" s="25">
        <v>264</v>
      </c>
      <c r="G78" s="17">
        <v>8.09</v>
      </c>
      <c r="H78" s="17"/>
      <c r="I78" s="164">
        <v>1.08</v>
      </c>
    </row>
    <row r="79" spans="2:9" x14ac:dyDescent="0.35">
      <c r="B79" s="143">
        <v>45818</v>
      </c>
      <c r="C79" s="19" t="s">
        <v>12</v>
      </c>
      <c r="D79" s="20">
        <v>0.43055555555555558</v>
      </c>
      <c r="E79" s="21" t="s">
        <v>11</v>
      </c>
      <c r="F79" s="32">
        <v>360</v>
      </c>
      <c r="G79" s="31">
        <v>7.6</v>
      </c>
      <c r="H79" s="31"/>
      <c r="I79" s="155">
        <v>0.98</v>
      </c>
    </row>
    <row r="80" spans="2:9" x14ac:dyDescent="0.35">
      <c r="B80" s="145">
        <v>45819</v>
      </c>
      <c r="C80" s="14" t="s">
        <v>12</v>
      </c>
      <c r="D80" s="15" t="s">
        <v>23</v>
      </c>
      <c r="E80" s="18" t="s">
        <v>24</v>
      </c>
      <c r="F80" s="26">
        <v>338</v>
      </c>
      <c r="G80" s="17">
        <v>7.55</v>
      </c>
      <c r="H80" s="17"/>
      <c r="I80" s="164">
        <v>0.88</v>
      </c>
    </row>
    <row r="81" spans="2:9" x14ac:dyDescent="0.35">
      <c r="B81" s="143">
        <v>45820</v>
      </c>
      <c r="C81" s="19" t="s">
        <v>12</v>
      </c>
      <c r="D81" s="20" t="s">
        <v>25</v>
      </c>
      <c r="E81" s="21" t="s">
        <v>10</v>
      </c>
      <c r="F81" s="32">
        <v>451</v>
      </c>
      <c r="G81" s="33">
        <v>7.48</v>
      </c>
      <c r="H81" s="33"/>
      <c r="I81" s="165">
        <v>0.93</v>
      </c>
    </row>
    <row r="82" spans="2:9" x14ac:dyDescent="0.35">
      <c r="B82" s="145">
        <v>45821</v>
      </c>
      <c r="C82" s="14" t="s">
        <v>12</v>
      </c>
      <c r="D82" s="15">
        <v>0.39374999999999999</v>
      </c>
      <c r="E82" s="18" t="s">
        <v>24</v>
      </c>
      <c r="F82" s="25">
        <v>386</v>
      </c>
      <c r="G82" s="17">
        <v>7.38</v>
      </c>
      <c r="H82" s="17"/>
      <c r="I82" s="164">
        <v>1.01</v>
      </c>
    </row>
    <row r="83" spans="2:9" x14ac:dyDescent="0.35">
      <c r="B83" s="143">
        <v>45824</v>
      </c>
      <c r="C83" s="19" t="s">
        <v>12</v>
      </c>
      <c r="D83" s="20">
        <v>0.45833333333333331</v>
      </c>
      <c r="E83" s="21"/>
      <c r="F83" s="32">
        <v>328</v>
      </c>
      <c r="G83" s="31">
        <v>7.91</v>
      </c>
      <c r="H83" s="31"/>
      <c r="I83" s="155">
        <v>1.32</v>
      </c>
    </row>
    <row r="84" spans="2:9" x14ac:dyDescent="0.35">
      <c r="B84" s="145">
        <v>45825</v>
      </c>
      <c r="C84" s="14" t="s">
        <v>12</v>
      </c>
      <c r="D84" s="15" t="s">
        <v>26</v>
      </c>
      <c r="E84" s="18"/>
      <c r="F84" s="26">
        <v>111</v>
      </c>
      <c r="G84" s="17">
        <v>7.67</v>
      </c>
      <c r="H84" s="17"/>
      <c r="I84" s="164">
        <v>1.17</v>
      </c>
    </row>
    <row r="85" spans="2:9" x14ac:dyDescent="0.35">
      <c r="B85" s="143">
        <v>45827</v>
      </c>
      <c r="C85" s="19" t="s">
        <v>12</v>
      </c>
      <c r="D85" s="20" t="s">
        <v>27</v>
      </c>
      <c r="E85" s="21"/>
      <c r="F85" s="32">
        <v>234</v>
      </c>
      <c r="G85" s="33">
        <v>7.61</v>
      </c>
      <c r="H85" s="33"/>
      <c r="I85" s="165">
        <v>0.98</v>
      </c>
    </row>
    <row r="86" spans="2:9" x14ac:dyDescent="0.35">
      <c r="B86" s="145">
        <v>45841</v>
      </c>
      <c r="C86" s="14" t="s">
        <v>12</v>
      </c>
      <c r="D86" s="15">
        <v>0.34722222222222221</v>
      </c>
      <c r="E86" s="18" t="s">
        <v>15</v>
      </c>
      <c r="F86" s="26">
        <v>142</v>
      </c>
      <c r="G86" s="17">
        <v>7.26</v>
      </c>
      <c r="H86" s="17"/>
      <c r="I86" s="164">
        <v>3</v>
      </c>
    </row>
    <row r="87" spans="2:9" x14ac:dyDescent="0.35">
      <c r="B87" s="143">
        <v>45842</v>
      </c>
      <c r="C87" s="19" t="s">
        <v>12</v>
      </c>
      <c r="D87" s="20">
        <v>0.36805555555555558</v>
      </c>
      <c r="E87" s="21" t="s">
        <v>15</v>
      </c>
      <c r="F87" s="32">
        <v>154</v>
      </c>
      <c r="G87" s="33">
        <v>7.94</v>
      </c>
      <c r="H87" s="33"/>
      <c r="I87" s="165">
        <v>2.27</v>
      </c>
    </row>
    <row r="88" spans="2:9" x14ac:dyDescent="0.35">
      <c r="B88" s="145">
        <v>45845</v>
      </c>
      <c r="C88" s="14" t="s">
        <v>12</v>
      </c>
      <c r="D88" s="15">
        <v>0.32291666666666669</v>
      </c>
      <c r="E88" s="18" t="s">
        <v>8</v>
      </c>
      <c r="F88" s="25">
        <v>59</v>
      </c>
      <c r="G88" s="17">
        <v>8.32</v>
      </c>
      <c r="H88" s="17"/>
      <c r="I88" s="164">
        <v>2.04</v>
      </c>
    </row>
    <row r="89" spans="2:9" x14ac:dyDescent="0.35">
      <c r="B89" s="143">
        <v>45846</v>
      </c>
      <c r="C89" s="19" t="s">
        <v>12</v>
      </c>
      <c r="D89" s="20">
        <v>0.4375</v>
      </c>
      <c r="E89" s="21" t="s">
        <v>8</v>
      </c>
      <c r="F89" s="32">
        <v>174</v>
      </c>
      <c r="G89" s="31">
        <v>7.52</v>
      </c>
      <c r="H89" s="31"/>
      <c r="I89" s="155">
        <v>1.59</v>
      </c>
    </row>
    <row r="90" spans="2:9" x14ac:dyDescent="0.35">
      <c r="B90" s="145">
        <v>45847</v>
      </c>
      <c r="C90" s="14" t="s">
        <v>12</v>
      </c>
      <c r="D90" s="15">
        <v>0.40625</v>
      </c>
      <c r="E90" s="18" t="s">
        <v>28</v>
      </c>
      <c r="F90" s="26">
        <v>80</v>
      </c>
      <c r="G90" s="17">
        <v>7.58</v>
      </c>
      <c r="H90" s="17"/>
      <c r="I90" s="164">
        <v>1.4</v>
      </c>
    </row>
    <row r="91" spans="2:9" x14ac:dyDescent="0.35">
      <c r="B91" s="143">
        <v>45848</v>
      </c>
      <c r="C91" s="19" t="s">
        <v>12</v>
      </c>
      <c r="D91" s="20">
        <v>0.39583333333333331</v>
      </c>
      <c r="E91" s="21" t="s">
        <v>24</v>
      </c>
      <c r="F91" s="32">
        <v>123</v>
      </c>
      <c r="G91" s="33">
        <v>7.75</v>
      </c>
      <c r="H91" s="33"/>
      <c r="I91" s="165">
        <v>1.72</v>
      </c>
    </row>
    <row r="92" spans="2:9" x14ac:dyDescent="0.35">
      <c r="B92" s="145">
        <v>45849</v>
      </c>
      <c r="C92" s="14" t="s">
        <v>12</v>
      </c>
      <c r="D92" s="15">
        <v>0.47916666666666669</v>
      </c>
      <c r="E92" s="18" t="s">
        <v>24</v>
      </c>
      <c r="F92" s="26">
        <v>74</v>
      </c>
      <c r="G92" s="17">
        <v>8.15</v>
      </c>
      <c r="H92" s="17"/>
      <c r="I92" s="164">
        <v>1.56</v>
      </c>
    </row>
    <row r="93" spans="2:9" x14ac:dyDescent="0.35">
      <c r="B93" s="143">
        <v>45852</v>
      </c>
      <c r="C93" s="19" t="s">
        <v>12</v>
      </c>
      <c r="D93" s="20">
        <v>0.3888888888888889</v>
      </c>
      <c r="E93" s="21" t="s">
        <v>15</v>
      </c>
      <c r="F93" s="32">
        <v>67</v>
      </c>
      <c r="G93" s="33">
        <v>8.07</v>
      </c>
      <c r="H93" s="33"/>
      <c r="I93" s="165">
        <v>1.62</v>
      </c>
    </row>
    <row r="94" spans="2:9" x14ac:dyDescent="0.35">
      <c r="B94" s="145">
        <v>45853</v>
      </c>
      <c r="C94" s="14" t="s">
        <v>12</v>
      </c>
      <c r="D94" s="15">
        <v>0.375</v>
      </c>
      <c r="E94" s="18" t="s">
        <v>15</v>
      </c>
      <c r="F94" s="25">
        <v>187</v>
      </c>
      <c r="G94" s="17">
        <v>7.98</v>
      </c>
      <c r="H94" s="17"/>
      <c r="I94" s="164">
        <v>1.77</v>
      </c>
    </row>
    <row r="95" spans="2:9" x14ac:dyDescent="0.35">
      <c r="B95" s="143">
        <v>45854</v>
      </c>
      <c r="C95" s="19" t="s">
        <v>12</v>
      </c>
      <c r="D95" s="20">
        <v>0.41666666666666669</v>
      </c>
      <c r="E95" s="21" t="s">
        <v>15</v>
      </c>
      <c r="F95" s="32">
        <v>108</v>
      </c>
      <c r="G95" s="33">
        <v>7.97</v>
      </c>
      <c r="H95" s="33"/>
      <c r="I95" s="165">
        <v>1.51</v>
      </c>
    </row>
    <row r="96" spans="2:9" x14ac:dyDescent="0.35">
      <c r="B96" s="145">
        <v>45855</v>
      </c>
      <c r="C96" s="14" t="s">
        <v>12</v>
      </c>
      <c r="D96" s="15">
        <v>0.41666666666666669</v>
      </c>
      <c r="E96" s="18" t="s">
        <v>15</v>
      </c>
      <c r="F96" s="26">
        <v>248</v>
      </c>
      <c r="G96" s="17">
        <v>7.72</v>
      </c>
      <c r="H96" s="17"/>
      <c r="I96" s="164">
        <v>1.29</v>
      </c>
    </row>
    <row r="97" spans="2:9" x14ac:dyDescent="0.35">
      <c r="B97" s="143">
        <v>45856</v>
      </c>
      <c r="C97" s="19" t="s">
        <v>12</v>
      </c>
      <c r="D97" s="20">
        <v>0.42708333333333331</v>
      </c>
      <c r="E97" s="21" t="s">
        <v>15</v>
      </c>
      <c r="F97" s="32">
        <v>240</v>
      </c>
      <c r="G97" s="33">
        <v>7.92</v>
      </c>
      <c r="H97" s="33"/>
      <c r="I97" s="165">
        <v>1.26</v>
      </c>
    </row>
    <row r="98" spans="2:9" x14ac:dyDescent="0.35">
      <c r="B98" s="145">
        <v>45859</v>
      </c>
      <c r="C98" s="14" t="s">
        <v>12</v>
      </c>
      <c r="D98" s="15">
        <v>0.52083333333333337</v>
      </c>
      <c r="E98" s="18" t="s">
        <v>29</v>
      </c>
      <c r="F98" s="25">
        <v>196</v>
      </c>
      <c r="G98" s="17">
        <v>8.06</v>
      </c>
      <c r="H98" s="17"/>
      <c r="I98" s="164">
        <v>1.25</v>
      </c>
    </row>
    <row r="99" spans="2:9" x14ac:dyDescent="0.35">
      <c r="B99" s="143">
        <v>45860</v>
      </c>
      <c r="C99" s="19" t="s">
        <v>12</v>
      </c>
      <c r="D99" s="20">
        <v>0.54166666666666663</v>
      </c>
      <c r="E99" s="21" t="s">
        <v>29</v>
      </c>
      <c r="F99" s="32">
        <v>102</v>
      </c>
      <c r="G99" s="33">
        <v>8.3800000000000008</v>
      </c>
      <c r="H99" s="33"/>
      <c r="I99" s="165">
        <v>1.55</v>
      </c>
    </row>
    <row r="100" spans="2:9" x14ac:dyDescent="0.35">
      <c r="B100" s="145">
        <v>45861</v>
      </c>
      <c r="C100" s="14" t="s">
        <v>12</v>
      </c>
      <c r="D100" s="15">
        <v>0.49305555555555558</v>
      </c>
      <c r="E100" s="18" t="s">
        <v>29</v>
      </c>
      <c r="F100" s="26">
        <v>125</v>
      </c>
      <c r="G100" s="17">
        <v>7.9</v>
      </c>
      <c r="H100" s="17"/>
      <c r="I100" s="164">
        <v>1.73</v>
      </c>
    </row>
    <row r="101" spans="2:9" x14ac:dyDescent="0.35">
      <c r="B101" s="143">
        <v>45860</v>
      </c>
      <c r="C101" s="19" t="s">
        <v>12</v>
      </c>
      <c r="D101" s="20">
        <v>0.54166666666666663</v>
      </c>
      <c r="E101" s="21" t="s">
        <v>29</v>
      </c>
      <c r="F101" s="32">
        <v>97</v>
      </c>
      <c r="G101" s="33">
        <v>8.0299999999999994</v>
      </c>
      <c r="H101" s="33"/>
      <c r="I101" s="165">
        <v>1.49</v>
      </c>
    </row>
    <row r="102" spans="2:9" x14ac:dyDescent="0.35">
      <c r="B102" s="145">
        <v>45861</v>
      </c>
      <c r="C102" s="14" t="s">
        <v>12</v>
      </c>
      <c r="D102" s="15">
        <v>0.49305555555555558</v>
      </c>
      <c r="E102" s="18" t="s">
        <v>29</v>
      </c>
      <c r="F102" s="26">
        <v>160</v>
      </c>
      <c r="G102" s="17">
        <v>7.7</v>
      </c>
      <c r="H102" s="17"/>
      <c r="I102" s="164">
        <v>1.36</v>
      </c>
    </row>
    <row r="103" spans="2:9" x14ac:dyDescent="0.35">
      <c r="B103" s="143">
        <v>45862</v>
      </c>
      <c r="C103" s="19" t="s">
        <v>12</v>
      </c>
      <c r="D103" s="20">
        <v>0.48958333333333331</v>
      </c>
      <c r="E103" s="21" t="s">
        <v>29</v>
      </c>
      <c r="F103" s="32">
        <v>97</v>
      </c>
      <c r="G103" s="33">
        <v>8.0299999999999994</v>
      </c>
      <c r="H103" s="33"/>
      <c r="I103" s="165">
        <v>1.49</v>
      </c>
    </row>
    <row r="104" spans="2:9" x14ac:dyDescent="0.35">
      <c r="B104" s="145">
        <v>45863</v>
      </c>
      <c r="C104" s="14" t="s">
        <v>12</v>
      </c>
      <c r="D104" s="15">
        <v>0.53472222222222221</v>
      </c>
      <c r="E104" s="18" t="s">
        <v>29</v>
      </c>
      <c r="F104" s="25">
        <v>160</v>
      </c>
      <c r="G104" s="17">
        <v>7.7</v>
      </c>
      <c r="H104" s="17"/>
      <c r="I104" s="164">
        <v>1.36</v>
      </c>
    </row>
    <row r="105" spans="2:9" x14ac:dyDescent="0.35">
      <c r="B105" s="143">
        <v>45866</v>
      </c>
      <c r="C105" s="19" t="s">
        <v>12</v>
      </c>
      <c r="D105" s="20">
        <v>0.44097222222222221</v>
      </c>
      <c r="E105" s="21" t="s">
        <v>30</v>
      </c>
      <c r="F105" s="32">
        <v>84</v>
      </c>
      <c r="G105" s="33">
        <v>8.17</v>
      </c>
      <c r="H105" s="33"/>
      <c r="I105" s="165">
        <v>1.1399999999999999</v>
      </c>
    </row>
    <row r="106" spans="2:9" x14ac:dyDescent="0.35">
      <c r="B106" s="145">
        <v>45867</v>
      </c>
      <c r="C106" s="14" t="s">
        <v>12</v>
      </c>
      <c r="D106" s="15">
        <v>0.44791666666666669</v>
      </c>
      <c r="E106" s="18" t="s">
        <v>30</v>
      </c>
      <c r="F106" s="26">
        <v>85</v>
      </c>
      <c r="G106" s="17">
        <v>7.85</v>
      </c>
      <c r="H106" s="17"/>
      <c r="I106" s="164">
        <v>1.23</v>
      </c>
    </row>
    <row r="107" spans="2:9" x14ac:dyDescent="0.35">
      <c r="B107" s="143">
        <v>45868</v>
      </c>
      <c r="C107" s="19" t="s">
        <v>12</v>
      </c>
      <c r="D107" s="20">
        <v>0.46180555555555558</v>
      </c>
      <c r="E107" s="21" t="s">
        <v>30</v>
      </c>
      <c r="F107" s="32">
        <v>204</v>
      </c>
      <c r="G107" s="33">
        <v>8.15</v>
      </c>
      <c r="H107" s="33"/>
      <c r="I107" s="165">
        <v>1.23</v>
      </c>
    </row>
    <row r="108" spans="2:9" x14ac:dyDescent="0.35">
      <c r="B108" s="145">
        <v>45869</v>
      </c>
      <c r="C108" s="14" t="s">
        <v>12</v>
      </c>
      <c r="D108" s="15">
        <v>0.46527777777777779</v>
      </c>
      <c r="E108" s="18" t="s">
        <v>31</v>
      </c>
      <c r="F108" s="26">
        <v>74</v>
      </c>
      <c r="G108" s="17">
        <v>8.02</v>
      </c>
      <c r="H108" s="17"/>
      <c r="I108" s="164">
        <v>1.34</v>
      </c>
    </row>
    <row r="109" spans="2:9" x14ac:dyDescent="0.35">
      <c r="B109" s="143">
        <v>45870</v>
      </c>
      <c r="C109" s="19" t="s">
        <v>12</v>
      </c>
      <c r="D109" s="20">
        <v>0.44097222222222221</v>
      </c>
      <c r="E109" s="21" t="s">
        <v>32</v>
      </c>
      <c r="F109" s="32">
        <v>68</v>
      </c>
      <c r="G109" s="33">
        <v>8.0299999999999994</v>
      </c>
      <c r="H109" s="33"/>
      <c r="I109" s="165">
        <v>1.47</v>
      </c>
    </row>
    <row r="110" spans="2:9" x14ac:dyDescent="0.35">
      <c r="B110" s="145">
        <v>45873</v>
      </c>
      <c r="C110" s="14" t="s">
        <v>12</v>
      </c>
      <c r="D110" s="15">
        <v>0.49305555555555558</v>
      </c>
      <c r="E110" s="18" t="s">
        <v>8</v>
      </c>
      <c r="F110" s="26">
        <v>49</v>
      </c>
      <c r="G110" s="17">
        <v>8.4</v>
      </c>
      <c r="H110" s="17"/>
      <c r="I110" s="164">
        <v>1.51</v>
      </c>
    </row>
    <row r="111" spans="2:9" x14ac:dyDescent="0.35">
      <c r="B111" s="143">
        <v>45874</v>
      </c>
      <c r="C111" s="19" t="s">
        <v>12</v>
      </c>
      <c r="D111" s="20">
        <v>0.46875</v>
      </c>
      <c r="E111" s="21" t="s">
        <v>8</v>
      </c>
      <c r="F111" s="32">
        <v>117</v>
      </c>
      <c r="G111" s="33">
        <v>7.57</v>
      </c>
      <c r="H111" s="33"/>
      <c r="I111" s="165">
        <v>1.56</v>
      </c>
    </row>
    <row r="112" spans="2:9" x14ac:dyDescent="0.35">
      <c r="B112" s="145">
        <v>45875</v>
      </c>
      <c r="C112" s="14" t="s">
        <v>12</v>
      </c>
      <c r="D112" s="15">
        <v>0.54166666666666663</v>
      </c>
      <c r="E112" s="18" t="s">
        <v>8</v>
      </c>
      <c r="F112" s="26">
        <v>71</v>
      </c>
      <c r="G112" s="17">
        <v>7.78</v>
      </c>
      <c r="H112" s="17"/>
      <c r="I112" s="164">
        <v>1.35</v>
      </c>
    </row>
    <row r="113" spans="2:9" x14ac:dyDescent="0.35">
      <c r="B113" s="143">
        <v>45876</v>
      </c>
      <c r="C113" s="19" t="s">
        <v>12</v>
      </c>
      <c r="D113" s="20">
        <v>0.49305555555555558</v>
      </c>
      <c r="E113" s="21" t="s">
        <v>8</v>
      </c>
      <c r="F113" s="32">
        <v>52</v>
      </c>
      <c r="G113" s="33">
        <v>7.64</v>
      </c>
      <c r="H113" s="33"/>
      <c r="I113" s="165">
        <v>1.52</v>
      </c>
    </row>
    <row r="114" spans="2:9" x14ac:dyDescent="0.35">
      <c r="B114" s="145">
        <v>45877</v>
      </c>
      <c r="C114" s="14" t="s">
        <v>12</v>
      </c>
      <c r="D114" s="15">
        <v>0.53472222222222221</v>
      </c>
      <c r="E114" s="18" t="s">
        <v>8</v>
      </c>
      <c r="F114" s="26">
        <v>46</v>
      </c>
      <c r="G114" s="17">
        <v>7.68</v>
      </c>
      <c r="H114" s="17"/>
      <c r="I114" s="164">
        <v>1.41</v>
      </c>
    </row>
    <row r="115" spans="2:9" x14ac:dyDescent="0.35">
      <c r="B115" s="143">
        <v>45880</v>
      </c>
      <c r="C115" s="19" t="s">
        <v>12</v>
      </c>
      <c r="D115" s="20">
        <v>0.30902777777777779</v>
      </c>
      <c r="E115" s="21" t="s">
        <v>33</v>
      </c>
      <c r="F115" s="32">
        <v>30</v>
      </c>
      <c r="G115" s="33">
        <v>8.27</v>
      </c>
      <c r="H115" s="33"/>
      <c r="I115" s="165">
        <v>1.33</v>
      </c>
    </row>
    <row r="116" spans="2:9" x14ac:dyDescent="0.35">
      <c r="B116" s="145">
        <v>45881</v>
      </c>
      <c r="C116" s="14" t="s">
        <v>12</v>
      </c>
      <c r="D116" s="15">
        <v>0.375</v>
      </c>
      <c r="E116" s="18" t="s">
        <v>11</v>
      </c>
      <c r="F116" s="26">
        <v>46</v>
      </c>
      <c r="G116" s="17">
        <v>7.75</v>
      </c>
      <c r="H116" s="17"/>
      <c r="I116" s="164">
        <v>1.36</v>
      </c>
    </row>
    <row r="117" spans="2:9" x14ac:dyDescent="0.35">
      <c r="B117" s="143">
        <v>45882</v>
      </c>
      <c r="C117" s="19" t="s">
        <v>12</v>
      </c>
      <c r="D117" s="20">
        <v>0.36805555555555558</v>
      </c>
      <c r="E117" s="21" t="s">
        <v>33</v>
      </c>
      <c r="F117" s="32">
        <v>91</v>
      </c>
      <c r="G117" s="33">
        <v>7.77</v>
      </c>
      <c r="H117" s="33"/>
      <c r="I117" s="165">
        <v>1.18</v>
      </c>
    </row>
    <row r="118" spans="2:9" x14ac:dyDescent="0.35">
      <c r="B118" s="145">
        <v>45883</v>
      </c>
      <c r="C118" s="14" t="s">
        <v>12</v>
      </c>
      <c r="D118" s="15">
        <v>0.3611111111111111</v>
      </c>
      <c r="E118" s="18" t="s">
        <v>33</v>
      </c>
      <c r="F118" s="26">
        <v>107</v>
      </c>
      <c r="G118" s="17">
        <v>7.84</v>
      </c>
      <c r="H118" s="17"/>
      <c r="I118" s="164">
        <v>1.28</v>
      </c>
    </row>
    <row r="119" spans="2:9" x14ac:dyDescent="0.35">
      <c r="B119" s="143">
        <v>45887</v>
      </c>
      <c r="C119" s="19" t="s">
        <v>12</v>
      </c>
      <c r="D119" s="20">
        <v>0.39583333333333331</v>
      </c>
      <c r="E119" s="21" t="s">
        <v>15</v>
      </c>
      <c r="F119" s="32">
        <v>24</v>
      </c>
      <c r="G119" s="33">
        <v>8.15</v>
      </c>
      <c r="H119" s="33"/>
      <c r="I119" s="165">
        <v>1.2</v>
      </c>
    </row>
    <row r="120" spans="2:9" x14ac:dyDescent="0.35">
      <c r="B120" s="145">
        <v>45888</v>
      </c>
      <c r="C120" s="14" t="s">
        <v>12</v>
      </c>
      <c r="D120" s="15">
        <v>0.38194444444444442</v>
      </c>
      <c r="E120" s="18" t="s">
        <v>34</v>
      </c>
      <c r="F120" s="26">
        <v>396</v>
      </c>
      <c r="G120" s="17">
        <v>7.2</v>
      </c>
      <c r="H120" s="17"/>
      <c r="I120" s="164">
        <v>1.21</v>
      </c>
    </row>
    <row r="121" spans="2:9" x14ac:dyDescent="0.35">
      <c r="B121" s="143">
        <v>45889</v>
      </c>
      <c r="C121" s="19" t="s">
        <v>12</v>
      </c>
      <c r="D121" s="20">
        <v>0.38541666666666669</v>
      </c>
      <c r="E121" s="21" t="s">
        <v>15</v>
      </c>
      <c r="F121" s="32">
        <v>1196</v>
      </c>
      <c r="G121" s="33">
        <v>7.66</v>
      </c>
      <c r="H121" s="33"/>
      <c r="I121" s="165">
        <v>1.29</v>
      </c>
    </row>
    <row r="122" spans="2:9" x14ac:dyDescent="0.35">
      <c r="B122" s="145">
        <v>45890</v>
      </c>
      <c r="C122" s="14" t="s">
        <v>12</v>
      </c>
      <c r="D122" s="15">
        <v>0.3923611111111111</v>
      </c>
      <c r="E122" s="18" t="s">
        <v>35</v>
      </c>
      <c r="F122" s="26">
        <v>45</v>
      </c>
      <c r="G122" s="17">
        <v>7.89</v>
      </c>
      <c r="H122" s="17"/>
      <c r="I122" s="164">
        <v>1.37</v>
      </c>
    </row>
    <row r="123" spans="2:9" x14ac:dyDescent="0.35">
      <c r="B123" s="143">
        <v>45891</v>
      </c>
      <c r="C123" s="19" t="s">
        <v>12</v>
      </c>
      <c r="D123" s="20">
        <v>0.46875</v>
      </c>
      <c r="E123" s="21" t="s">
        <v>35</v>
      </c>
      <c r="F123" s="32">
        <v>61</v>
      </c>
      <c r="G123" s="33">
        <v>7.89</v>
      </c>
      <c r="H123" s="33"/>
      <c r="I123" s="165">
        <v>1.31</v>
      </c>
    </row>
    <row r="124" spans="2:9" x14ac:dyDescent="0.35">
      <c r="B124" s="145">
        <v>45894</v>
      </c>
      <c r="C124" s="14" t="s">
        <v>12</v>
      </c>
      <c r="D124" s="15">
        <v>0.36805555555555558</v>
      </c>
      <c r="E124" s="18" t="s">
        <v>32</v>
      </c>
      <c r="F124" s="26">
        <v>40</v>
      </c>
      <c r="G124" s="17">
        <v>8.3000000000000007</v>
      </c>
      <c r="H124" s="17"/>
      <c r="I124" s="164">
        <v>1.1399999999999999</v>
      </c>
    </row>
    <row r="125" spans="2:9" x14ac:dyDescent="0.35">
      <c r="B125" s="143">
        <v>45895</v>
      </c>
      <c r="C125" s="19" t="s">
        <v>12</v>
      </c>
      <c r="D125" s="20">
        <v>0.37152777777777779</v>
      </c>
      <c r="E125" s="21" t="s">
        <v>32</v>
      </c>
      <c r="F125" s="32">
        <v>46</v>
      </c>
      <c r="G125" s="33">
        <v>7.59</v>
      </c>
      <c r="H125" s="33"/>
      <c r="I125" s="165">
        <v>1.57</v>
      </c>
    </row>
    <row r="126" spans="2:9" x14ac:dyDescent="0.35">
      <c r="B126" s="145">
        <v>45896</v>
      </c>
      <c r="C126" s="14" t="s">
        <v>12</v>
      </c>
      <c r="D126" s="15">
        <v>0.40972222222222221</v>
      </c>
      <c r="E126" s="18" t="s">
        <v>11</v>
      </c>
      <c r="F126" s="26">
        <v>27</v>
      </c>
      <c r="G126" s="17">
        <v>7.56</v>
      </c>
      <c r="H126" s="17"/>
      <c r="I126" s="164">
        <v>1.68</v>
      </c>
    </row>
    <row r="127" spans="2:9" x14ac:dyDescent="0.35">
      <c r="B127" s="143">
        <v>45897</v>
      </c>
      <c r="C127" s="19" t="s">
        <v>12</v>
      </c>
      <c r="D127" s="20">
        <v>0.35416666666666669</v>
      </c>
      <c r="E127" s="21" t="s">
        <v>32</v>
      </c>
      <c r="F127" s="32">
        <v>15</v>
      </c>
      <c r="G127" s="33">
        <v>8.08</v>
      </c>
      <c r="H127" s="33"/>
      <c r="I127" s="165">
        <v>1.23</v>
      </c>
    </row>
    <row r="128" spans="2:9" x14ac:dyDescent="0.35">
      <c r="B128" s="145">
        <v>45898</v>
      </c>
      <c r="C128" s="14" t="s">
        <v>12</v>
      </c>
      <c r="D128" s="15">
        <v>0.36458333333333331</v>
      </c>
      <c r="E128" s="18" t="s">
        <v>32</v>
      </c>
      <c r="F128" s="26">
        <v>22</v>
      </c>
      <c r="G128" s="17">
        <v>7.86</v>
      </c>
      <c r="H128" s="17"/>
      <c r="I128" s="164">
        <v>1.4</v>
      </c>
    </row>
    <row r="129" spans="2:9" x14ac:dyDescent="0.35">
      <c r="B129" s="143">
        <v>45901</v>
      </c>
      <c r="C129" s="19" t="s">
        <v>12</v>
      </c>
      <c r="D129" s="20">
        <v>0.33333333333333331</v>
      </c>
      <c r="E129" s="21" t="s">
        <v>30</v>
      </c>
      <c r="F129" s="32">
        <v>16</v>
      </c>
      <c r="G129" s="33">
        <v>7.98</v>
      </c>
      <c r="H129" s="33"/>
      <c r="I129" s="165">
        <v>1.32</v>
      </c>
    </row>
    <row r="130" spans="2:9" x14ac:dyDescent="0.35">
      <c r="B130" s="145">
        <v>45902</v>
      </c>
      <c r="C130" s="14" t="s">
        <v>12</v>
      </c>
      <c r="D130" s="15">
        <v>0.375</v>
      </c>
      <c r="E130" s="18" t="s">
        <v>30</v>
      </c>
      <c r="F130" s="26">
        <v>6</v>
      </c>
      <c r="G130" s="17">
        <v>7.83</v>
      </c>
      <c r="H130" s="17"/>
      <c r="I130" s="164">
        <v>1.37</v>
      </c>
    </row>
    <row r="131" spans="2:9" x14ac:dyDescent="0.35">
      <c r="B131" s="143">
        <v>45903</v>
      </c>
      <c r="C131" s="19" t="s">
        <v>12</v>
      </c>
      <c r="D131" s="20">
        <v>0.375</v>
      </c>
      <c r="E131" s="21" t="s">
        <v>30</v>
      </c>
      <c r="F131" s="32">
        <v>20</v>
      </c>
      <c r="G131" s="33">
        <v>7.68</v>
      </c>
      <c r="H131" s="33"/>
      <c r="I131" s="165">
        <v>1.45</v>
      </c>
    </row>
    <row r="132" spans="2:9" x14ac:dyDescent="0.35">
      <c r="B132" s="145">
        <v>45904</v>
      </c>
      <c r="C132" s="14" t="s">
        <v>12</v>
      </c>
      <c r="D132" s="15">
        <v>0.38541666666666669</v>
      </c>
      <c r="E132" s="18" t="s">
        <v>30</v>
      </c>
      <c r="F132" s="26">
        <v>125</v>
      </c>
      <c r="G132" s="17">
        <v>7.87</v>
      </c>
      <c r="H132" s="17"/>
      <c r="I132" s="164">
        <v>1.36</v>
      </c>
    </row>
    <row r="133" spans="2:9" x14ac:dyDescent="0.35">
      <c r="B133" s="143">
        <v>45905</v>
      </c>
      <c r="C133" s="19" t="s">
        <v>12</v>
      </c>
      <c r="D133" s="20">
        <v>0.4375</v>
      </c>
      <c r="E133" s="21" t="s">
        <v>30</v>
      </c>
      <c r="F133" s="32">
        <v>38</v>
      </c>
      <c r="G133" s="33">
        <v>8.02</v>
      </c>
      <c r="H133" s="33"/>
      <c r="I133" s="165">
        <v>1.63</v>
      </c>
    </row>
    <row r="134" spans="2:9" x14ac:dyDescent="0.35">
      <c r="B134" s="145">
        <v>45908</v>
      </c>
      <c r="C134" s="14" t="s">
        <v>12</v>
      </c>
      <c r="D134" s="15">
        <v>0.41666666666666669</v>
      </c>
      <c r="E134" s="18" t="s">
        <v>36</v>
      </c>
      <c r="F134" s="26">
        <v>13</v>
      </c>
      <c r="G134" s="17">
        <v>8.1999999999999993</v>
      </c>
      <c r="H134" s="17"/>
      <c r="I134" s="164">
        <v>1.54</v>
      </c>
    </row>
    <row r="135" spans="2:9" x14ac:dyDescent="0.35">
      <c r="B135" s="143">
        <v>45909</v>
      </c>
      <c r="C135" s="19" t="s">
        <v>12</v>
      </c>
      <c r="D135" s="20">
        <v>0.41666666666666669</v>
      </c>
      <c r="E135" s="21" t="s">
        <v>36</v>
      </c>
      <c r="F135" s="32">
        <v>32</v>
      </c>
      <c r="G135" s="33">
        <v>7.86</v>
      </c>
      <c r="H135" s="33"/>
      <c r="I135" s="165">
        <v>1.65</v>
      </c>
    </row>
    <row r="136" spans="2:9" x14ac:dyDescent="0.35">
      <c r="B136" s="145">
        <v>45910</v>
      </c>
      <c r="C136" s="14" t="s">
        <v>12</v>
      </c>
      <c r="D136" s="15">
        <v>0.41666666666666669</v>
      </c>
      <c r="E136" s="18" t="s">
        <v>36</v>
      </c>
      <c r="F136" s="26">
        <v>34</v>
      </c>
      <c r="G136" s="17">
        <v>7.93</v>
      </c>
      <c r="H136" s="17"/>
      <c r="I136" s="164">
        <v>1.6</v>
      </c>
    </row>
    <row r="137" spans="2:9" x14ac:dyDescent="0.35">
      <c r="B137" s="143">
        <v>45911</v>
      </c>
      <c r="C137" s="19" t="s">
        <v>12</v>
      </c>
      <c r="D137" s="20">
        <v>0.3888888888888889</v>
      </c>
      <c r="E137" s="21" t="s">
        <v>36</v>
      </c>
      <c r="F137" s="32">
        <v>38</v>
      </c>
      <c r="G137" s="33">
        <v>8.06</v>
      </c>
      <c r="H137" s="33"/>
      <c r="I137" s="165">
        <v>1.38</v>
      </c>
    </row>
    <row r="138" spans="2:9" x14ac:dyDescent="0.35">
      <c r="B138" s="145">
        <v>45912</v>
      </c>
      <c r="C138" s="14" t="s">
        <v>12</v>
      </c>
      <c r="D138" s="15">
        <v>0.375</v>
      </c>
      <c r="E138" s="18" t="s">
        <v>36</v>
      </c>
      <c r="F138" s="26">
        <v>57</v>
      </c>
      <c r="G138" s="17">
        <v>7.86</v>
      </c>
      <c r="H138" s="17"/>
      <c r="I138" s="164">
        <v>1.36</v>
      </c>
    </row>
    <row r="139" spans="2:9" x14ac:dyDescent="0.35">
      <c r="B139" s="143">
        <v>45916</v>
      </c>
      <c r="C139" s="19" t="s">
        <v>12</v>
      </c>
      <c r="D139" s="20">
        <v>0.375</v>
      </c>
      <c r="E139" s="21" t="s">
        <v>32</v>
      </c>
      <c r="F139" s="32">
        <v>15</v>
      </c>
      <c r="G139" s="33">
        <v>8.25</v>
      </c>
      <c r="H139" s="33"/>
      <c r="I139" s="165">
        <v>1.19</v>
      </c>
    </row>
    <row r="140" spans="2:9" x14ac:dyDescent="0.35">
      <c r="B140" s="145">
        <v>45917</v>
      </c>
      <c r="C140" s="14" t="s">
        <v>12</v>
      </c>
      <c r="D140" s="15">
        <v>0.45833333333333331</v>
      </c>
      <c r="E140" s="18" t="s">
        <v>37</v>
      </c>
      <c r="F140" s="26">
        <v>25</v>
      </c>
      <c r="G140" s="17">
        <v>7.81</v>
      </c>
      <c r="H140" s="17"/>
      <c r="I140" s="164">
        <v>1.33</v>
      </c>
    </row>
    <row r="141" spans="2:9" x14ac:dyDescent="0.35">
      <c r="B141" s="143">
        <v>45918</v>
      </c>
      <c r="C141" s="19" t="s">
        <v>12</v>
      </c>
      <c r="D141" s="20">
        <v>0.4548611111111111</v>
      </c>
      <c r="E141" s="21" t="s">
        <v>37</v>
      </c>
      <c r="F141" s="32">
        <v>31</v>
      </c>
      <c r="G141" s="33">
        <v>7.9</v>
      </c>
      <c r="H141" s="33"/>
      <c r="I141" s="165">
        <v>1.64</v>
      </c>
    </row>
    <row r="142" spans="2:9" x14ac:dyDescent="0.35">
      <c r="B142" s="145">
        <v>45919</v>
      </c>
      <c r="C142" s="14" t="s">
        <v>12</v>
      </c>
      <c r="D142" s="15">
        <v>0.45833333333333331</v>
      </c>
      <c r="E142" s="18" t="s">
        <v>37</v>
      </c>
      <c r="F142" s="26">
        <v>33</v>
      </c>
      <c r="G142" s="17">
        <v>7.73</v>
      </c>
      <c r="H142" s="17"/>
      <c r="I142" s="164">
        <v>1.65</v>
      </c>
    </row>
    <row r="143" spans="2:9" x14ac:dyDescent="0.35">
      <c r="B143" s="143">
        <v>45922</v>
      </c>
      <c r="C143" s="19" t="s">
        <v>12</v>
      </c>
      <c r="D143" s="20">
        <v>0.42708333333333331</v>
      </c>
      <c r="E143" s="21" t="s">
        <v>35</v>
      </c>
      <c r="F143" s="32">
        <v>6</v>
      </c>
      <c r="G143" s="33">
        <v>8.4</v>
      </c>
      <c r="H143" s="33" t="s">
        <v>9</v>
      </c>
      <c r="I143" s="165">
        <v>1.46</v>
      </c>
    </row>
    <row r="144" spans="2:9" x14ac:dyDescent="0.35">
      <c r="B144" s="145">
        <v>45923</v>
      </c>
      <c r="C144" s="14" t="s">
        <v>12</v>
      </c>
      <c r="D144" s="15">
        <v>0.3888888888888889</v>
      </c>
      <c r="E144" s="18" t="s">
        <v>15</v>
      </c>
      <c r="F144" s="26">
        <v>44</v>
      </c>
      <c r="G144" s="17">
        <v>7.63</v>
      </c>
      <c r="H144" s="17" t="s">
        <v>9</v>
      </c>
      <c r="I144" s="164">
        <v>1.53</v>
      </c>
    </row>
    <row r="145" spans="2:9" x14ac:dyDescent="0.35">
      <c r="B145" s="143">
        <v>45924</v>
      </c>
      <c r="C145" s="19" t="s">
        <v>12</v>
      </c>
      <c r="D145" s="20">
        <v>0.3611111111111111</v>
      </c>
      <c r="E145" s="21" t="s">
        <v>15</v>
      </c>
      <c r="F145" s="32">
        <v>42</v>
      </c>
      <c r="G145" s="33">
        <v>8.01</v>
      </c>
      <c r="H145" s="33" t="s">
        <v>9</v>
      </c>
      <c r="I145" s="165">
        <v>1.41</v>
      </c>
    </row>
    <row r="146" spans="2:9" x14ac:dyDescent="0.35">
      <c r="B146" s="145">
        <v>45925</v>
      </c>
      <c r="C146" s="14" t="s">
        <v>12</v>
      </c>
      <c r="D146" s="15">
        <v>0.43055555555555558</v>
      </c>
      <c r="E146" s="18" t="s">
        <v>15</v>
      </c>
      <c r="F146" s="26">
        <v>96</v>
      </c>
      <c r="G146" s="17">
        <v>7.78</v>
      </c>
      <c r="H146" s="17">
        <v>17</v>
      </c>
      <c r="I146" s="164">
        <v>1.39</v>
      </c>
    </row>
    <row r="147" spans="2:9" x14ac:dyDescent="0.35">
      <c r="B147" s="143">
        <v>45926</v>
      </c>
      <c r="C147" s="19" t="s">
        <v>12</v>
      </c>
      <c r="D147" s="20">
        <v>0.39583333333333331</v>
      </c>
      <c r="E147" s="21" t="s">
        <v>15</v>
      </c>
      <c r="F147" s="32">
        <v>49</v>
      </c>
      <c r="G147" s="33">
        <v>8.14</v>
      </c>
      <c r="H147" s="33">
        <v>0</v>
      </c>
      <c r="I147" s="165">
        <v>1.25</v>
      </c>
    </row>
    <row r="148" spans="2:9" x14ac:dyDescent="0.35">
      <c r="B148" s="145">
        <v>45929</v>
      </c>
      <c r="C148" s="14" t="s">
        <v>12</v>
      </c>
      <c r="D148" s="15">
        <v>0.39583333333333331</v>
      </c>
      <c r="E148" s="18" t="s">
        <v>35</v>
      </c>
      <c r="F148" s="26">
        <v>43</v>
      </c>
      <c r="G148" s="17">
        <v>7.91</v>
      </c>
      <c r="H148" s="17">
        <v>4</v>
      </c>
      <c r="I148" s="164">
        <v>1.28</v>
      </c>
    </row>
    <row r="149" spans="2:9" x14ac:dyDescent="0.35">
      <c r="B149" s="143">
        <v>45930</v>
      </c>
      <c r="C149" s="19" t="s">
        <v>12</v>
      </c>
      <c r="D149" s="20">
        <v>0.40277777777777779</v>
      </c>
      <c r="E149" s="21" t="s">
        <v>35</v>
      </c>
      <c r="F149" s="32">
        <v>54</v>
      </c>
      <c r="G149" s="33">
        <v>7.51</v>
      </c>
      <c r="H149" s="33">
        <v>3</v>
      </c>
      <c r="I149" s="165">
        <v>1.57</v>
      </c>
    </row>
    <row r="150" spans="2:9" x14ac:dyDescent="0.35">
      <c r="B150" s="145">
        <v>45931</v>
      </c>
      <c r="C150" s="14" t="s">
        <v>12</v>
      </c>
      <c r="D150" s="15">
        <v>0.39930555555555558</v>
      </c>
      <c r="E150" s="18" t="s">
        <v>35</v>
      </c>
      <c r="F150" s="26">
        <v>98</v>
      </c>
      <c r="G150" s="17">
        <v>8.0500000000000007</v>
      </c>
      <c r="H150" s="17">
        <v>0</v>
      </c>
      <c r="I150" s="164">
        <v>1.49</v>
      </c>
    </row>
    <row r="151" spans="2:9" x14ac:dyDescent="0.35">
      <c r="B151" s="143">
        <v>45932</v>
      </c>
      <c r="C151" s="19" t="s">
        <v>12</v>
      </c>
      <c r="D151" s="20">
        <v>0.3888888888888889</v>
      </c>
      <c r="E151" s="21" t="s">
        <v>35</v>
      </c>
      <c r="F151" s="32">
        <v>77</v>
      </c>
      <c r="G151" s="33">
        <v>7.97</v>
      </c>
      <c r="H151" s="33">
        <v>5</v>
      </c>
      <c r="I151" s="165">
        <v>1.55</v>
      </c>
    </row>
    <row r="152" spans="2:9" x14ac:dyDescent="0.35">
      <c r="B152" s="145">
        <v>45933</v>
      </c>
      <c r="C152" s="14" t="s">
        <v>12</v>
      </c>
      <c r="D152" s="15">
        <v>0.47569444444444442</v>
      </c>
      <c r="E152" s="18" t="s">
        <v>35</v>
      </c>
      <c r="F152" s="26">
        <v>50</v>
      </c>
      <c r="G152" s="17">
        <v>7.87</v>
      </c>
      <c r="H152" s="17">
        <v>5</v>
      </c>
      <c r="I152" s="164">
        <v>1.44</v>
      </c>
    </row>
    <row r="153" spans="2:9" x14ac:dyDescent="0.35">
      <c r="B153" s="143">
        <v>45936</v>
      </c>
      <c r="C153" s="19" t="s">
        <v>12</v>
      </c>
      <c r="D153" s="20">
        <v>0.41319444444444442</v>
      </c>
      <c r="E153" s="21" t="s">
        <v>32</v>
      </c>
      <c r="F153" s="32">
        <v>58</v>
      </c>
      <c r="G153" s="33">
        <v>7.91</v>
      </c>
      <c r="H153" s="33">
        <v>6</v>
      </c>
      <c r="I153" s="165">
        <v>1.38</v>
      </c>
    </row>
    <row r="154" spans="2:9" x14ac:dyDescent="0.35">
      <c r="B154" s="145">
        <v>45937</v>
      </c>
      <c r="C154" s="14" t="s">
        <v>12</v>
      </c>
      <c r="D154" s="15">
        <v>0.3576388888888889</v>
      </c>
      <c r="E154" s="18" t="s">
        <v>32</v>
      </c>
      <c r="F154" s="26">
        <v>79</v>
      </c>
      <c r="G154" s="17">
        <v>7.6</v>
      </c>
      <c r="H154" s="17">
        <v>18</v>
      </c>
      <c r="I154" s="164">
        <v>1.1499999999999999</v>
      </c>
    </row>
    <row r="155" spans="2:9" x14ac:dyDescent="0.35">
      <c r="B155" s="143">
        <v>45938</v>
      </c>
      <c r="C155" s="19" t="s">
        <v>12</v>
      </c>
      <c r="D155" s="20">
        <v>0.375</v>
      </c>
      <c r="E155" s="21" t="s">
        <v>38</v>
      </c>
      <c r="F155" s="32">
        <v>42</v>
      </c>
      <c r="G155" s="33">
        <v>7.61</v>
      </c>
      <c r="H155" s="33">
        <v>11</v>
      </c>
      <c r="I155" s="165">
        <v>1.27</v>
      </c>
    </row>
    <row r="156" spans="2:9" x14ac:dyDescent="0.35">
      <c r="B156" s="145">
        <v>45939</v>
      </c>
      <c r="C156" s="14" t="s">
        <v>12</v>
      </c>
      <c r="D156" s="15">
        <v>0.36805555555555558</v>
      </c>
      <c r="E156" s="18" t="s">
        <v>38</v>
      </c>
      <c r="F156" s="26">
        <v>45</v>
      </c>
      <c r="G156" s="17">
        <v>8.01</v>
      </c>
      <c r="H156" s="17">
        <v>6</v>
      </c>
      <c r="I156" s="164">
        <v>1.38</v>
      </c>
    </row>
    <row r="157" spans="2:9" x14ac:dyDescent="0.35">
      <c r="B157" s="143">
        <v>45940</v>
      </c>
      <c r="C157" s="19" t="s">
        <v>12</v>
      </c>
      <c r="D157" s="20">
        <v>0.41666666666666669</v>
      </c>
      <c r="E157" s="21" t="s">
        <v>39</v>
      </c>
      <c r="F157" s="32">
        <v>67</v>
      </c>
      <c r="G157" s="33">
        <v>7.85</v>
      </c>
      <c r="H157" s="33">
        <v>13</v>
      </c>
      <c r="I157" s="165">
        <v>1.66</v>
      </c>
    </row>
    <row r="158" spans="2:9" x14ac:dyDescent="0.35">
      <c r="B158" s="145">
        <v>45944</v>
      </c>
      <c r="C158" s="14" t="s">
        <v>12</v>
      </c>
      <c r="D158" s="15">
        <v>0.3611111111111111</v>
      </c>
      <c r="E158" s="18" t="s">
        <v>15</v>
      </c>
      <c r="F158" s="26">
        <v>60</v>
      </c>
      <c r="G158" s="17">
        <v>7.71</v>
      </c>
      <c r="H158" s="17">
        <v>7</v>
      </c>
      <c r="I158" s="164">
        <v>1.49</v>
      </c>
    </row>
    <row r="159" spans="2:9" x14ac:dyDescent="0.35">
      <c r="B159" s="143">
        <v>45945</v>
      </c>
      <c r="C159" s="19" t="s">
        <v>12</v>
      </c>
      <c r="D159" s="20">
        <v>0.44791666666666669</v>
      </c>
      <c r="E159" s="21" t="s">
        <v>35</v>
      </c>
      <c r="F159" s="32">
        <v>201</v>
      </c>
      <c r="G159" s="33">
        <v>7.04</v>
      </c>
      <c r="H159" s="33">
        <v>13</v>
      </c>
      <c r="I159" s="165">
        <v>1.46</v>
      </c>
    </row>
    <row r="160" spans="2:9" x14ac:dyDescent="0.35">
      <c r="B160" s="145">
        <v>45946</v>
      </c>
      <c r="C160" s="14" t="s">
        <v>12</v>
      </c>
      <c r="D160" s="15">
        <v>0.43055555555555558</v>
      </c>
      <c r="E160" s="18" t="s">
        <v>35</v>
      </c>
      <c r="F160" s="26">
        <v>72</v>
      </c>
      <c r="G160" s="17">
        <v>7.81</v>
      </c>
      <c r="H160" s="17">
        <v>2</v>
      </c>
      <c r="I160" s="164">
        <v>1.4</v>
      </c>
    </row>
    <row r="161" spans="2:9" x14ac:dyDescent="0.35">
      <c r="B161" s="143">
        <v>45947</v>
      </c>
      <c r="C161" s="19" t="s">
        <v>12</v>
      </c>
      <c r="D161" s="20">
        <v>0.47916666666666669</v>
      </c>
      <c r="E161" s="21" t="s">
        <v>35</v>
      </c>
      <c r="F161" s="32">
        <v>136</v>
      </c>
      <c r="G161" s="33">
        <v>7.77</v>
      </c>
      <c r="H161" s="33">
        <v>5</v>
      </c>
      <c r="I161" s="165">
        <v>1.41</v>
      </c>
    </row>
    <row r="162" spans="2:9" x14ac:dyDescent="0.35">
      <c r="B162" s="145">
        <v>45950</v>
      </c>
      <c r="C162" s="14" t="s">
        <v>12</v>
      </c>
      <c r="D162" s="15">
        <v>0.44791666666666669</v>
      </c>
      <c r="E162" s="18" t="s">
        <v>35</v>
      </c>
      <c r="F162" s="26">
        <v>66</v>
      </c>
      <c r="G162" s="17">
        <v>7.94</v>
      </c>
      <c r="H162" s="17">
        <v>3</v>
      </c>
      <c r="I162" s="164">
        <v>1.39</v>
      </c>
    </row>
    <row r="163" spans="2:9" x14ac:dyDescent="0.35">
      <c r="B163" s="143">
        <v>45951</v>
      </c>
      <c r="C163" s="19" t="s">
        <v>12</v>
      </c>
      <c r="D163" s="20">
        <v>0.41666666666666669</v>
      </c>
      <c r="E163" s="21" t="s">
        <v>35</v>
      </c>
      <c r="F163" s="32">
        <v>42</v>
      </c>
      <c r="G163" s="33">
        <v>8.01</v>
      </c>
      <c r="H163" s="33">
        <v>12</v>
      </c>
      <c r="I163" s="165">
        <v>1.82</v>
      </c>
    </row>
    <row r="164" spans="2:9" x14ac:dyDescent="0.35">
      <c r="B164" s="145">
        <v>45952</v>
      </c>
      <c r="C164" s="14" t="s">
        <v>12</v>
      </c>
      <c r="D164" s="15">
        <v>0.4201388888888889</v>
      </c>
      <c r="E164" s="18" t="s">
        <v>35</v>
      </c>
      <c r="F164" s="26">
        <v>42</v>
      </c>
      <c r="G164" s="17">
        <v>7.85</v>
      </c>
      <c r="H164" s="17">
        <v>8</v>
      </c>
      <c r="I164" s="164">
        <v>1.87</v>
      </c>
    </row>
    <row r="165" spans="2:9" x14ac:dyDescent="0.35">
      <c r="B165" s="143">
        <v>45953</v>
      </c>
      <c r="C165" s="19" t="s">
        <v>12</v>
      </c>
      <c r="D165" s="20">
        <v>0.41666666666666669</v>
      </c>
      <c r="E165" s="21" t="s">
        <v>15</v>
      </c>
      <c r="F165" s="32">
        <v>50</v>
      </c>
      <c r="G165" s="33">
        <v>8.08</v>
      </c>
      <c r="H165" s="33">
        <v>1</v>
      </c>
      <c r="I165" s="165">
        <v>1.72</v>
      </c>
    </row>
    <row r="166" spans="2:9" x14ac:dyDescent="0.35">
      <c r="B166" s="145">
        <v>45954</v>
      </c>
      <c r="C166" s="14" t="s">
        <v>12</v>
      </c>
      <c r="D166" s="15">
        <v>0.39583333333333331</v>
      </c>
      <c r="E166" s="18" t="s">
        <v>15</v>
      </c>
      <c r="F166" s="26">
        <v>43</v>
      </c>
      <c r="G166" s="17">
        <v>8.0299999999999994</v>
      </c>
      <c r="H166" s="17">
        <v>2</v>
      </c>
      <c r="I166" s="164">
        <v>1.59</v>
      </c>
    </row>
    <row r="167" spans="2:9" x14ac:dyDescent="0.35">
      <c r="B167" s="143">
        <v>45957</v>
      </c>
      <c r="C167" s="19" t="s">
        <v>12</v>
      </c>
      <c r="D167" s="20">
        <v>0.2951388888888889</v>
      </c>
      <c r="E167" s="21" t="s">
        <v>11</v>
      </c>
      <c r="F167" s="32">
        <v>54</v>
      </c>
      <c r="G167" s="33">
        <v>8.09</v>
      </c>
      <c r="H167" s="33">
        <v>4</v>
      </c>
      <c r="I167" s="165">
        <v>1.52</v>
      </c>
    </row>
    <row r="168" spans="2:9" x14ac:dyDescent="0.35">
      <c r="B168" s="145">
        <v>45958</v>
      </c>
      <c r="C168" s="14" t="s">
        <v>12</v>
      </c>
      <c r="D168" s="15">
        <v>0.4548611111111111</v>
      </c>
      <c r="E168" s="18" t="s">
        <v>11</v>
      </c>
      <c r="F168" s="26">
        <v>130</v>
      </c>
      <c r="G168" s="17">
        <v>7.59</v>
      </c>
      <c r="H168" s="17">
        <v>7</v>
      </c>
      <c r="I168" s="164">
        <v>1.52</v>
      </c>
    </row>
    <row r="169" spans="2:9" x14ac:dyDescent="0.35">
      <c r="B169" s="143">
        <v>45959</v>
      </c>
      <c r="C169" s="19" t="s">
        <v>12</v>
      </c>
      <c r="D169" s="20">
        <v>0.47222222222222221</v>
      </c>
      <c r="E169" s="21" t="s">
        <v>11</v>
      </c>
      <c r="F169" s="32">
        <v>98</v>
      </c>
      <c r="G169" s="33">
        <v>7.85</v>
      </c>
      <c r="H169" s="33">
        <v>4</v>
      </c>
      <c r="I169" s="165">
        <v>1.57</v>
      </c>
    </row>
    <row r="170" spans="2:9" x14ac:dyDescent="0.35">
      <c r="B170" s="145">
        <v>45960</v>
      </c>
      <c r="C170" s="14" t="s">
        <v>12</v>
      </c>
      <c r="D170" s="15">
        <v>0.4513888888888889</v>
      </c>
      <c r="E170" s="18" t="s">
        <v>39</v>
      </c>
      <c r="F170" s="26">
        <v>119</v>
      </c>
      <c r="G170" s="17">
        <v>7.78</v>
      </c>
      <c r="H170" s="17">
        <v>7</v>
      </c>
      <c r="I170" s="164">
        <v>2.06</v>
      </c>
    </row>
    <row r="171" spans="2:9" x14ac:dyDescent="0.35">
      <c r="B171" s="143">
        <v>45961</v>
      </c>
      <c r="C171" s="19" t="s">
        <v>12</v>
      </c>
      <c r="D171" s="20">
        <v>0.46527777777777779</v>
      </c>
      <c r="E171" s="21" t="s">
        <v>11</v>
      </c>
      <c r="F171" s="32">
        <v>112</v>
      </c>
      <c r="G171" s="33">
        <v>7.88</v>
      </c>
      <c r="H171" s="33">
        <v>1</v>
      </c>
      <c r="I171" s="165">
        <v>1.95</v>
      </c>
    </row>
    <row r="172" spans="2:9" x14ac:dyDescent="0.35">
      <c r="B172" s="145">
        <v>45964</v>
      </c>
      <c r="C172" s="14" t="s">
        <v>12</v>
      </c>
      <c r="D172" s="15">
        <v>0.41666666666666669</v>
      </c>
      <c r="E172" s="18" t="s">
        <v>34</v>
      </c>
      <c r="F172" s="26">
        <v>105</v>
      </c>
      <c r="G172" s="17">
        <v>8.18</v>
      </c>
      <c r="H172" s="17">
        <v>4</v>
      </c>
      <c r="I172" s="164">
        <v>1.77</v>
      </c>
    </row>
    <row r="173" spans="2:9" x14ac:dyDescent="0.35">
      <c r="B173" s="143">
        <v>45965</v>
      </c>
      <c r="C173" s="19" t="s">
        <v>12</v>
      </c>
      <c r="D173" s="20">
        <v>0.4236111111111111</v>
      </c>
      <c r="E173" s="21" t="s">
        <v>34</v>
      </c>
      <c r="F173" s="32">
        <v>101</v>
      </c>
      <c r="G173" s="33">
        <v>7.52</v>
      </c>
      <c r="H173" s="33">
        <v>33</v>
      </c>
      <c r="I173" s="165">
        <v>1.88</v>
      </c>
    </row>
    <row r="174" spans="2:9" x14ac:dyDescent="0.35">
      <c r="B174" s="145">
        <v>45966</v>
      </c>
      <c r="C174" s="14" t="s">
        <v>12</v>
      </c>
      <c r="D174" s="15">
        <v>0.44791666666666669</v>
      </c>
      <c r="E174" s="18" t="s">
        <v>34</v>
      </c>
      <c r="F174" s="26">
        <v>108</v>
      </c>
      <c r="G174" s="17">
        <v>7.58</v>
      </c>
      <c r="H174" s="17">
        <v>49</v>
      </c>
      <c r="I174" s="164">
        <v>1.8</v>
      </c>
    </row>
    <row r="175" spans="2:9" x14ac:dyDescent="0.35">
      <c r="B175" s="143">
        <v>45967</v>
      </c>
      <c r="C175" s="19" t="s">
        <v>12</v>
      </c>
      <c r="D175" s="20">
        <v>0.4513888888888889</v>
      </c>
      <c r="E175" s="21" t="s">
        <v>34</v>
      </c>
      <c r="F175" s="32">
        <v>71</v>
      </c>
      <c r="G175" s="33">
        <v>7.85</v>
      </c>
      <c r="H175" s="33">
        <v>22</v>
      </c>
      <c r="I175" s="165">
        <v>1.65</v>
      </c>
    </row>
    <row r="176" spans="2:9" x14ac:dyDescent="0.35">
      <c r="B176" s="145">
        <v>45968</v>
      </c>
      <c r="C176" s="14" t="s">
        <v>12</v>
      </c>
      <c r="D176" s="15">
        <v>0.45833333333333331</v>
      </c>
      <c r="E176" s="18" t="s">
        <v>34</v>
      </c>
      <c r="F176" s="26">
        <v>63</v>
      </c>
      <c r="G176" s="17">
        <v>7.62</v>
      </c>
      <c r="H176" s="17">
        <v>23</v>
      </c>
      <c r="I176" s="164">
        <v>1.85</v>
      </c>
    </row>
    <row r="177" spans="2:9" x14ac:dyDescent="0.35">
      <c r="B177" s="143">
        <v>45971</v>
      </c>
      <c r="C177" s="19" t="s">
        <v>12</v>
      </c>
      <c r="D177" s="20">
        <v>0.41666666666666669</v>
      </c>
      <c r="E177" s="21" t="s">
        <v>34</v>
      </c>
      <c r="F177" s="32">
        <v>61</v>
      </c>
      <c r="G177" s="33">
        <v>8.02</v>
      </c>
      <c r="H177" s="33">
        <v>10</v>
      </c>
      <c r="I177" s="165">
        <v>2.02</v>
      </c>
    </row>
    <row r="178" spans="2:9" x14ac:dyDescent="0.35">
      <c r="B178" s="145">
        <v>45972</v>
      </c>
      <c r="C178" s="14" t="s">
        <v>12</v>
      </c>
      <c r="D178" s="15">
        <v>0.43402777777777779</v>
      </c>
      <c r="E178" s="18" t="s">
        <v>34</v>
      </c>
      <c r="F178" s="26">
        <v>36</v>
      </c>
      <c r="G178" s="17">
        <v>7.74</v>
      </c>
      <c r="H178" s="17">
        <v>26</v>
      </c>
      <c r="I178" s="164">
        <v>1.86</v>
      </c>
    </row>
    <row r="179" spans="2:9" x14ac:dyDescent="0.35">
      <c r="B179" s="143">
        <v>45973</v>
      </c>
      <c r="C179" s="19" t="s">
        <v>12</v>
      </c>
      <c r="D179" s="20">
        <v>0.46875</v>
      </c>
      <c r="E179" s="21" t="s">
        <v>34</v>
      </c>
      <c r="F179" s="32">
        <v>52</v>
      </c>
      <c r="G179" s="33">
        <v>7.4</v>
      </c>
      <c r="H179" s="33">
        <v>20</v>
      </c>
      <c r="I179" s="165">
        <v>1.72</v>
      </c>
    </row>
    <row r="180" spans="2:9" x14ac:dyDescent="0.35">
      <c r="B180" s="145">
        <v>45974</v>
      </c>
      <c r="C180" s="14" t="s">
        <v>12</v>
      </c>
      <c r="D180" s="15">
        <v>0.46527777777777779</v>
      </c>
      <c r="E180" s="18" t="s">
        <v>34</v>
      </c>
      <c r="F180" s="26">
        <v>52</v>
      </c>
      <c r="G180" s="17">
        <v>7.84</v>
      </c>
      <c r="H180" s="17">
        <v>2</v>
      </c>
      <c r="I180" s="164">
        <v>1.56</v>
      </c>
    </row>
    <row r="181" spans="2:9" x14ac:dyDescent="0.35">
      <c r="B181" s="143">
        <v>45975</v>
      </c>
      <c r="C181" s="19" t="s">
        <v>12</v>
      </c>
      <c r="D181" s="20">
        <v>0.45833333333333331</v>
      </c>
      <c r="E181" s="21" t="s">
        <v>34</v>
      </c>
      <c r="F181" s="32">
        <v>48</v>
      </c>
      <c r="G181" s="33">
        <v>7.74</v>
      </c>
      <c r="H181" s="33">
        <v>0</v>
      </c>
      <c r="I181" s="165">
        <v>1.43</v>
      </c>
    </row>
    <row r="182" spans="2:9" x14ac:dyDescent="0.35">
      <c r="B182" s="145">
        <v>45978</v>
      </c>
      <c r="C182" s="14" t="s">
        <v>12</v>
      </c>
      <c r="D182" s="15">
        <v>0.41666666666666669</v>
      </c>
      <c r="E182" s="18" t="s">
        <v>39</v>
      </c>
      <c r="F182" s="26">
        <v>34</v>
      </c>
      <c r="G182" s="17">
        <v>7.93</v>
      </c>
      <c r="H182" s="17">
        <v>4</v>
      </c>
      <c r="I182" s="164">
        <v>1.44</v>
      </c>
    </row>
    <row r="183" spans="2:9" x14ac:dyDescent="0.35">
      <c r="B183" s="143">
        <v>45979</v>
      </c>
      <c r="C183" s="19" t="s">
        <v>12</v>
      </c>
      <c r="D183" s="20">
        <v>0.43055555555555558</v>
      </c>
      <c r="E183" s="21" t="s">
        <v>39</v>
      </c>
      <c r="F183" s="32">
        <v>28</v>
      </c>
      <c r="G183" s="33">
        <v>7.75</v>
      </c>
      <c r="H183" s="33">
        <v>9</v>
      </c>
      <c r="I183" s="165">
        <v>1.63</v>
      </c>
    </row>
    <row r="184" spans="2:9" x14ac:dyDescent="0.35">
      <c r="B184" s="145">
        <v>45980</v>
      </c>
      <c r="C184" s="14" t="s">
        <v>12</v>
      </c>
      <c r="D184" s="15">
        <v>0.4236111111111111</v>
      </c>
      <c r="E184" s="18" t="s">
        <v>39</v>
      </c>
      <c r="F184" s="26">
        <v>34</v>
      </c>
      <c r="G184" s="17">
        <v>7.95</v>
      </c>
      <c r="H184" s="17">
        <v>17</v>
      </c>
      <c r="I184" s="164">
        <v>1.67</v>
      </c>
    </row>
    <row r="185" spans="2:9" x14ac:dyDescent="0.35">
      <c r="B185" s="143">
        <v>45981</v>
      </c>
      <c r="C185" s="19" t="s">
        <v>12</v>
      </c>
      <c r="D185" s="20">
        <v>0.50694444444444442</v>
      </c>
      <c r="E185" s="21" t="s">
        <v>34</v>
      </c>
      <c r="F185" s="32">
        <v>45</v>
      </c>
      <c r="G185" s="33">
        <v>7.69</v>
      </c>
      <c r="H185" s="33">
        <v>7</v>
      </c>
      <c r="I185" s="165">
        <v>1.82</v>
      </c>
    </row>
    <row r="186" spans="2:9" x14ac:dyDescent="0.35">
      <c r="B186" s="145">
        <v>45982</v>
      </c>
      <c r="C186" s="14" t="s">
        <v>12</v>
      </c>
      <c r="D186" s="15">
        <v>0.625</v>
      </c>
      <c r="E186" s="18" t="s">
        <v>34</v>
      </c>
      <c r="F186" s="26">
        <v>40</v>
      </c>
      <c r="G186" s="17">
        <v>7.51</v>
      </c>
      <c r="H186" s="17">
        <v>2</v>
      </c>
      <c r="I186" s="164">
        <v>1.71</v>
      </c>
    </row>
    <row r="187" spans="2:9" x14ac:dyDescent="0.35">
      <c r="B187" s="143">
        <v>45985</v>
      </c>
      <c r="C187" s="19" t="s">
        <v>12</v>
      </c>
      <c r="D187" s="20">
        <v>0.375</v>
      </c>
      <c r="E187" s="21" t="s">
        <v>15</v>
      </c>
      <c r="F187" s="32">
        <v>47</v>
      </c>
      <c r="G187" s="33">
        <v>7.78</v>
      </c>
      <c r="H187" s="33">
        <v>2</v>
      </c>
      <c r="I187" s="165">
        <v>1.67</v>
      </c>
    </row>
    <row r="188" spans="2:9" x14ac:dyDescent="0.35">
      <c r="B188" s="145">
        <v>45986</v>
      </c>
      <c r="C188" s="14" t="s">
        <v>12</v>
      </c>
      <c r="D188" s="15">
        <v>0.41666666666666669</v>
      </c>
      <c r="E188" s="18" t="s">
        <v>15</v>
      </c>
      <c r="F188" s="26">
        <v>46</v>
      </c>
      <c r="G188" s="17">
        <v>7.52</v>
      </c>
      <c r="H188" s="17">
        <v>5</v>
      </c>
      <c r="I188" s="164">
        <v>2.09</v>
      </c>
    </row>
    <row r="189" spans="2:9" x14ac:dyDescent="0.35">
      <c r="B189" s="143">
        <v>45987</v>
      </c>
      <c r="C189" s="19" t="s">
        <v>12</v>
      </c>
      <c r="D189" s="20">
        <v>0.375</v>
      </c>
      <c r="E189" s="21" t="s">
        <v>15</v>
      </c>
      <c r="F189" s="32">
        <v>38</v>
      </c>
      <c r="G189" s="33">
        <v>7.47</v>
      </c>
      <c r="H189" s="33">
        <v>11</v>
      </c>
      <c r="I189" s="165">
        <v>1.58</v>
      </c>
    </row>
    <row r="190" spans="2:9" x14ac:dyDescent="0.35">
      <c r="B190" s="145">
        <v>45988</v>
      </c>
      <c r="C190" s="14" t="s">
        <v>12</v>
      </c>
      <c r="D190" s="15">
        <v>0.41666666666666669</v>
      </c>
      <c r="E190" s="18" t="s">
        <v>15</v>
      </c>
      <c r="F190" s="26">
        <v>32</v>
      </c>
      <c r="G190" s="17">
        <v>7.84</v>
      </c>
      <c r="H190" s="17">
        <v>1</v>
      </c>
      <c r="I190" s="164">
        <v>1.72</v>
      </c>
    </row>
    <row r="191" spans="2:9" x14ac:dyDescent="0.35">
      <c r="B191" s="143">
        <v>45989</v>
      </c>
      <c r="C191" s="19" t="s">
        <v>12</v>
      </c>
      <c r="D191" s="20">
        <v>0.3888888888888889</v>
      </c>
      <c r="E191" s="21" t="s">
        <v>15</v>
      </c>
      <c r="F191" s="32">
        <v>32</v>
      </c>
      <c r="G191" s="33">
        <v>7.89</v>
      </c>
      <c r="H191" s="33">
        <v>11</v>
      </c>
      <c r="I191" s="165">
        <v>1.86</v>
      </c>
    </row>
    <row r="192" spans="2:9" x14ac:dyDescent="0.35">
      <c r="B192" s="145">
        <v>45992</v>
      </c>
      <c r="C192" s="14" t="s">
        <v>12</v>
      </c>
      <c r="D192" s="15">
        <v>0.4375</v>
      </c>
      <c r="E192" s="18" t="s">
        <v>34</v>
      </c>
      <c r="F192" s="26">
        <v>42</v>
      </c>
      <c r="G192" s="17">
        <v>7.48</v>
      </c>
      <c r="H192" s="17">
        <v>16</v>
      </c>
      <c r="I192" s="164">
        <v>2.15</v>
      </c>
    </row>
    <row r="193" spans="2:9" x14ac:dyDescent="0.35">
      <c r="B193" s="143">
        <v>45993</v>
      </c>
      <c r="C193" s="19" t="s">
        <v>12</v>
      </c>
      <c r="D193" s="20">
        <v>0.4513888888888889</v>
      </c>
      <c r="E193" s="21" t="s">
        <v>34</v>
      </c>
      <c r="F193" s="32">
        <v>63</v>
      </c>
      <c r="G193" s="33">
        <v>7.4</v>
      </c>
      <c r="H193" s="33">
        <v>10</v>
      </c>
      <c r="I193" s="165">
        <v>1.85</v>
      </c>
    </row>
    <row r="194" spans="2:9" x14ac:dyDescent="0.35">
      <c r="B194" s="145">
        <v>45994</v>
      </c>
      <c r="C194" s="14" t="s">
        <v>12</v>
      </c>
      <c r="D194" s="15">
        <v>0.41666666666666669</v>
      </c>
      <c r="E194" s="18" t="s">
        <v>15</v>
      </c>
      <c r="F194" s="26">
        <v>78</v>
      </c>
      <c r="G194" s="17">
        <v>7.57</v>
      </c>
      <c r="H194" s="17">
        <v>3</v>
      </c>
      <c r="I194" s="164">
        <v>1.71</v>
      </c>
    </row>
    <row r="195" spans="2:9" x14ac:dyDescent="0.35">
      <c r="B195" s="143">
        <v>45995</v>
      </c>
      <c r="C195" s="19" t="s">
        <v>12</v>
      </c>
      <c r="D195" s="20">
        <v>0.41666666666666669</v>
      </c>
      <c r="E195" s="21" t="s">
        <v>34</v>
      </c>
      <c r="F195" s="32">
        <v>76</v>
      </c>
      <c r="G195" s="33">
        <v>7.77</v>
      </c>
      <c r="H195" s="33">
        <v>0</v>
      </c>
      <c r="I195" s="165">
        <v>1.65</v>
      </c>
    </row>
    <row r="196" spans="2:9" x14ac:dyDescent="0.35">
      <c r="B196" s="145">
        <v>45996</v>
      </c>
      <c r="C196" s="14" t="s">
        <v>12</v>
      </c>
      <c r="D196" s="15">
        <v>0.47916666666666669</v>
      </c>
      <c r="E196" s="18" t="s">
        <v>34</v>
      </c>
      <c r="F196" s="26">
        <v>74</v>
      </c>
      <c r="G196" s="17">
        <v>7.45</v>
      </c>
      <c r="H196" s="17">
        <v>3</v>
      </c>
      <c r="I196" s="164">
        <v>1.58</v>
      </c>
    </row>
    <row r="197" spans="2:9" x14ac:dyDescent="0.35">
      <c r="B197" s="143">
        <v>46000</v>
      </c>
      <c r="C197" s="19" t="s">
        <v>12</v>
      </c>
      <c r="D197" s="20">
        <v>0.37152777777777779</v>
      </c>
      <c r="E197" s="21" t="s">
        <v>11</v>
      </c>
      <c r="F197" s="32">
        <v>36</v>
      </c>
      <c r="G197" s="33">
        <v>7.85</v>
      </c>
      <c r="H197" s="33">
        <v>2</v>
      </c>
      <c r="I197" s="165">
        <v>1.49</v>
      </c>
    </row>
    <row r="198" spans="2:9" x14ac:dyDescent="0.35">
      <c r="B198" s="145">
        <v>46001</v>
      </c>
      <c r="C198" s="14" t="s">
        <v>12</v>
      </c>
      <c r="D198" s="15">
        <v>0.49305555555555558</v>
      </c>
      <c r="E198" s="18" t="s">
        <v>39</v>
      </c>
      <c r="F198" s="26">
        <v>63</v>
      </c>
      <c r="G198" s="17">
        <v>7.29</v>
      </c>
      <c r="H198" s="17">
        <v>0</v>
      </c>
      <c r="I198" s="164">
        <v>1.44</v>
      </c>
    </row>
    <row r="199" spans="2:9" x14ac:dyDescent="0.35">
      <c r="B199" s="143">
        <v>46002</v>
      </c>
      <c r="C199" s="19" t="s">
        <v>12</v>
      </c>
      <c r="D199" s="20">
        <v>0.4861111111111111</v>
      </c>
      <c r="E199" s="21" t="s">
        <v>39</v>
      </c>
      <c r="F199" s="32">
        <v>59</v>
      </c>
      <c r="G199" s="33">
        <v>7.74</v>
      </c>
      <c r="H199" s="33">
        <v>3</v>
      </c>
      <c r="I199" s="165">
        <v>1.48</v>
      </c>
    </row>
    <row r="200" spans="2:9" x14ac:dyDescent="0.35">
      <c r="B200" s="145">
        <v>46003</v>
      </c>
      <c r="C200" s="14" t="s">
        <v>12</v>
      </c>
      <c r="D200" s="15">
        <v>0.42708333333333331</v>
      </c>
      <c r="E200" s="18" t="s">
        <v>39</v>
      </c>
      <c r="F200" s="26">
        <v>120</v>
      </c>
      <c r="G200" s="17">
        <v>7.56</v>
      </c>
      <c r="H200" s="17">
        <v>3</v>
      </c>
      <c r="I200" s="164">
        <v>1.62</v>
      </c>
    </row>
    <row r="201" spans="2:9" x14ac:dyDescent="0.35">
      <c r="B201" s="143">
        <v>46006</v>
      </c>
      <c r="C201" s="19" t="s">
        <v>12</v>
      </c>
      <c r="D201" s="20">
        <v>0.41666666666666669</v>
      </c>
      <c r="E201" s="21" t="s">
        <v>15</v>
      </c>
      <c r="F201" s="32">
        <v>38</v>
      </c>
      <c r="G201" s="33">
        <v>7.78</v>
      </c>
      <c r="H201" s="33">
        <v>2</v>
      </c>
      <c r="I201" s="165">
        <v>1.6</v>
      </c>
    </row>
    <row r="202" spans="2:9" x14ac:dyDescent="0.35">
      <c r="B202" s="145">
        <v>46007</v>
      </c>
      <c r="C202" s="14" t="s">
        <v>12</v>
      </c>
      <c r="D202" s="15">
        <v>0.40277777777777779</v>
      </c>
      <c r="E202" s="18" t="s">
        <v>15</v>
      </c>
      <c r="F202" s="26">
        <v>52</v>
      </c>
      <c r="G202" s="17">
        <v>7.63</v>
      </c>
      <c r="H202" s="17">
        <v>8</v>
      </c>
      <c r="I202" s="164">
        <v>1.57</v>
      </c>
    </row>
    <row r="203" spans="2:9" x14ac:dyDescent="0.35">
      <c r="B203" s="143">
        <v>46008</v>
      </c>
      <c r="C203" s="19" t="s">
        <v>12</v>
      </c>
      <c r="D203" s="20">
        <v>0.41666666666666669</v>
      </c>
      <c r="E203" s="21" t="s">
        <v>34</v>
      </c>
      <c r="F203" s="32">
        <v>49</v>
      </c>
      <c r="G203" s="33">
        <v>7.6</v>
      </c>
      <c r="H203" s="33">
        <v>2</v>
      </c>
      <c r="I203" s="165">
        <v>1.48</v>
      </c>
    </row>
    <row r="204" spans="2:9" x14ac:dyDescent="0.35">
      <c r="B204" s="145">
        <v>46009</v>
      </c>
      <c r="C204" s="14" t="s">
        <v>12</v>
      </c>
      <c r="D204" s="15">
        <v>0.40972222222222221</v>
      </c>
      <c r="E204" s="18" t="s">
        <v>34</v>
      </c>
      <c r="F204" s="26">
        <v>51</v>
      </c>
      <c r="G204" s="17">
        <v>7.71</v>
      </c>
      <c r="H204" s="17">
        <v>1</v>
      </c>
      <c r="I204" s="164">
        <v>1.56</v>
      </c>
    </row>
    <row r="205" spans="2:9" x14ac:dyDescent="0.35">
      <c r="B205" s="143">
        <v>46010</v>
      </c>
      <c r="C205" s="19" t="s">
        <v>12</v>
      </c>
      <c r="D205" s="20">
        <v>0.4375</v>
      </c>
      <c r="E205" s="21" t="s">
        <v>34</v>
      </c>
      <c r="F205" s="32">
        <v>70</v>
      </c>
      <c r="G205" s="33">
        <v>7.6</v>
      </c>
      <c r="H205" s="33">
        <v>3</v>
      </c>
      <c r="I205" s="165">
        <v>1.44</v>
      </c>
    </row>
    <row r="206" spans="2:9" x14ac:dyDescent="0.35">
      <c r="B206" s="145">
        <v>46013</v>
      </c>
      <c r="C206" s="14" t="s">
        <v>12</v>
      </c>
      <c r="D206" s="15">
        <v>0.29166666666666669</v>
      </c>
      <c r="E206" s="18" t="s">
        <v>8</v>
      </c>
      <c r="F206" s="26">
        <v>42</v>
      </c>
      <c r="G206" s="17">
        <v>7.87</v>
      </c>
      <c r="H206" s="17">
        <v>0</v>
      </c>
      <c r="I206" s="164">
        <v>1.36</v>
      </c>
    </row>
    <row r="207" spans="2:9" x14ac:dyDescent="0.35">
      <c r="B207" s="143">
        <v>46014</v>
      </c>
      <c r="C207" s="19" t="s">
        <v>12</v>
      </c>
      <c r="D207" s="20">
        <v>0.33333333333333331</v>
      </c>
      <c r="E207" s="21" t="s">
        <v>15</v>
      </c>
      <c r="F207" s="32">
        <v>36</v>
      </c>
      <c r="G207" s="33">
        <v>7.64</v>
      </c>
      <c r="H207" s="33">
        <v>12</v>
      </c>
      <c r="I207" s="165">
        <v>1.53</v>
      </c>
    </row>
    <row r="208" spans="2:9" x14ac:dyDescent="0.35">
      <c r="B208" s="145">
        <v>46015</v>
      </c>
      <c r="C208" s="14" t="s">
        <v>12</v>
      </c>
      <c r="D208" s="15">
        <v>0.5</v>
      </c>
      <c r="E208" s="18" t="s">
        <v>34</v>
      </c>
      <c r="F208" s="26">
        <v>50</v>
      </c>
      <c r="G208" s="17">
        <v>7.5</v>
      </c>
      <c r="H208" s="17">
        <v>13</v>
      </c>
      <c r="I208" s="164">
        <v>1.83</v>
      </c>
    </row>
    <row r="209" spans="2:9" x14ac:dyDescent="0.35">
      <c r="B209" s="143">
        <v>46017</v>
      </c>
      <c r="C209" s="19" t="s">
        <v>12</v>
      </c>
      <c r="D209" s="20">
        <v>0.38541666666666669</v>
      </c>
      <c r="E209" s="21" t="s">
        <v>8</v>
      </c>
      <c r="F209" s="32">
        <v>26</v>
      </c>
      <c r="G209" s="33">
        <v>7.61</v>
      </c>
      <c r="H209" s="33">
        <v>5</v>
      </c>
      <c r="I209" s="165">
        <v>1.18</v>
      </c>
    </row>
    <row r="210" spans="2:9" x14ac:dyDescent="0.35">
      <c r="B210" s="145">
        <v>46020</v>
      </c>
      <c r="C210" s="14" t="s">
        <v>12</v>
      </c>
      <c r="D210" s="15">
        <v>0.3263888888888889</v>
      </c>
      <c r="E210" s="18" t="s">
        <v>8</v>
      </c>
      <c r="F210" s="26">
        <v>16</v>
      </c>
      <c r="G210" s="17">
        <v>7.75</v>
      </c>
      <c r="H210" s="17">
        <v>16</v>
      </c>
      <c r="I210" s="164">
        <v>1.42</v>
      </c>
    </row>
    <row r="211" spans="2:9" x14ac:dyDescent="0.35">
      <c r="B211" s="143">
        <v>46021</v>
      </c>
      <c r="C211" s="19" t="s">
        <v>12</v>
      </c>
      <c r="D211" s="20">
        <v>0.2986111111111111</v>
      </c>
      <c r="E211" s="21" t="s">
        <v>8</v>
      </c>
      <c r="F211" s="32">
        <v>31</v>
      </c>
      <c r="G211" s="33">
        <v>7.38</v>
      </c>
      <c r="H211" s="33">
        <v>17</v>
      </c>
      <c r="I211" s="165">
        <v>1.24</v>
      </c>
    </row>
    <row r="212" spans="2:9" x14ac:dyDescent="0.35">
      <c r="B212" s="145">
        <v>46022</v>
      </c>
      <c r="C212" s="14" t="s">
        <v>12</v>
      </c>
      <c r="D212" s="15">
        <v>0.47222222222222221</v>
      </c>
      <c r="E212" s="18" t="s">
        <v>34</v>
      </c>
      <c r="F212" s="26">
        <v>37</v>
      </c>
      <c r="G212" s="17">
        <v>7.4</v>
      </c>
      <c r="H212" s="17">
        <v>10</v>
      </c>
      <c r="I212" s="164">
        <v>1.18</v>
      </c>
    </row>
    <row r="213" spans="2:9" x14ac:dyDescent="0.35">
      <c r="B213" s="143">
        <v>46024</v>
      </c>
      <c r="C213" s="19" t="s">
        <v>12</v>
      </c>
      <c r="D213" s="20">
        <v>0.45833333333333331</v>
      </c>
      <c r="E213" s="21" t="s">
        <v>125</v>
      </c>
      <c r="F213" s="32">
        <v>39</v>
      </c>
      <c r="G213" s="33">
        <v>7.41</v>
      </c>
      <c r="H213" s="33">
        <v>3</v>
      </c>
      <c r="I213" s="165">
        <v>1.05</v>
      </c>
    </row>
    <row r="214" spans="2:9" x14ac:dyDescent="0.35">
      <c r="B214" s="145">
        <v>46027</v>
      </c>
      <c r="C214" s="14" t="s">
        <v>12</v>
      </c>
      <c r="D214" s="15">
        <v>0.29166666666666669</v>
      </c>
      <c r="E214" s="18" t="s">
        <v>8</v>
      </c>
      <c r="F214" s="26">
        <v>23</v>
      </c>
      <c r="G214" s="17">
        <v>7.58</v>
      </c>
      <c r="H214" s="17">
        <v>2</v>
      </c>
      <c r="I214" s="164">
        <v>1.1299999999999999</v>
      </c>
    </row>
    <row r="215" spans="2:9" x14ac:dyDescent="0.35">
      <c r="B215" s="143">
        <v>46029</v>
      </c>
      <c r="C215" s="19" t="s">
        <v>12</v>
      </c>
      <c r="D215" s="20">
        <v>0.47222222222222221</v>
      </c>
      <c r="E215" s="21" t="s">
        <v>20</v>
      </c>
      <c r="F215" s="32">
        <v>47</v>
      </c>
      <c r="G215" s="33">
        <v>7.88</v>
      </c>
      <c r="H215" s="33">
        <v>24</v>
      </c>
      <c r="I215" s="165">
        <v>1.34</v>
      </c>
    </row>
    <row r="216" spans="2:9" x14ac:dyDescent="0.35">
      <c r="B216" s="166">
        <v>46030</v>
      </c>
      <c r="C216" s="167" t="s">
        <v>12</v>
      </c>
      <c r="D216" s="168">
        <v>0.47916666666666669</v>
      </c>
      <c r="E216" s="169" t="s">
        <v>20</v>
      </c>
      <c r="F216" s="170">
        <v>65</v>
      </c>
      <c r="G216" s="171">
        <v>7.33</v>
      </c>
      <c r="H216" s="171">
        <v>16</v>
      </c>
      <c r="I216" s="172">
        <v>1.56</v>
      </c>
    </row>
    <row r="217" spans="2:9" x14ac:dyDescent="0.35">
      <c r="B217" s="145">
        <v>46031</v>
      </c>
      <c r="C217" s="14" t="s">
        <v>12</v>
      </c>
      <c r="D217" s="15">
        <v>0.45833333333333331</v>
      </c>
      <c r="E217" s="18" t="s">
        <v>20</v>
      </c>
      <c r="F217" s="26">
        <v>52</v>
      </c>
      <c r="G217" s="17">
        <v>7.52</v>
      </c>
      <c r="H217" s="17">
        <v>10</v>
      </c>
      <c r="I217" s="164">
        <v>1.2</v>
      </c>
    </row>
    <row r="218" spans="2:9" x14ac:dyDescent="0.35">
      <c r="B218" s="145">
        <v>46034</v>
      </c>
      <c r="C218" s="14" t="s">
        <v>12</v>
      </c>
      <c r="D218" s="15">
        <v>0.41666666666666669</v>
      </c>
      <c r="E218" s="18" t="s">
        <v>15</v>
      </c>
      <c r="F218" s="26">
        <v>58</v>
      </c>
      <c r="G218" s="17">
        <v>7.43</v>
      </c>
      <c r="H218" s="17">
        <v>9</v>
      </c>
      <c r="I218" s="164">
        <v>1.04</v>
      </c>
    </row>
    <row r="219" spans="2:9" x14ac:dyDescent="0.35">
      <c r="B219" s="145">
        <v>46035</v>
      </c>
      <c r="C219" s="14" t="s">
        <v>12</v>
      </c>
      <c r="D219" s="15">
        <v>0.44444444444444442</v>
      </c>
      <c r="E219" s="18" t="s">
        <v>20</v>
      </c>
      <c r="F219" s="26">
        <v>53</v>
      </c>
      <c r="G219" s="17">
        <v>7.24</v>
      </c>
      <c r="H219" s="17">
        <v>7</v>
      </c>
      <c r="I219" s="164">
        <v>0.9</v>
      </c>
    </row>
    <row r="220" spans="2:9" x14ac:dyDescent="0.35">
      <c r="B220" s="145">
        <v>46036</v>
      </c>
      <c r="C220" s="14" t="s">
        <v>12</v>
      </c>
      <c r="D220" s="15">
        <v>0.4236111111111111</v>
      </c>
      <c r="E220" s="18" t="s">
        <v>20</v>
      </c>
      <c r="F220" s="26">
        <v>52</v>
      </c>
      <c r="G220" s="17">
        <v>7.36</v>
      </c>
      <c r="H220" s="17">
        <v>4</v>
      </c>
      <c r="I220" s="164">
        <v>0.97</v>
      </c>
    </row>
    <row r="221" spans="2:9" x14ac:dyDescent="0.35">
      <c r="B221" s="145">
        <v>46037</v>
      </c>
      <c r="C221" s="14" t="s">
        <v>12</v>
      </c>
      <c r="D221" s="15">
        <v>0.3923611111111111</v>
      </c>
      <c r="E221" s="18" t="s">
        <v>8</v>
      </c>
      <c r="F221" s="26">
        <v>77</v>
      </c>
      <c r="G221" s="17">
        <v>7.16</v>
      </c>
      <c r="H221" s="17">
        <v>3</v>
      </c>
      <c r="I221" s="164">
        <v>0.93</v>
      </c>
    </row>
    <row r="222" spans="2:9" x14ac:dyDescent="0.35">
      <c r="B222" s="145">
        <v>46038</v>
      </c>
      <c r="C222" s="14" t="s">
        <v>12</v>
      </c>
      <c r="D222" s="15">
        <v>0.3263888888888889</v>
      </c>
      <c r="E222" s="18" t="s">
        <v>8</v>
      </c>
      <c r="F222" s="26">
        <v>84</v>
      </c>
      <c r="G222" s="17">
        <v>7.31</v>
      </c>
      <c r="H222" s="17">
        <v>4</v>
      </c>
      <c r="I222" s="164">
        <v>1.01</v>
      </c>
    </row>
    <row r="223" spans="2:9" x14ac:dyDescent="0.35">
      <c r="B223" s="145">
        <v>46041</v>
      </c>
      <c r="C223" s="14" t="s">
        <v>12</v>
      </c>
      <c r="D223" s="15">
        <v>0.4861111111111111</v>
      </c>
      <c r="E223" s="18" t="s">
        <v>125</v>
      </c>
      <c r="F223" s="26">
        <v>43</v>
      </c>
      <c r="G223" s="17">
        <v>6.92</v>
      </c>
      <c r="H223" s="17">
        <v>4</v>
      </c>
      <c r="I223" s="164">
        <v>1.04</v>
      </c>
    </row>
    <row r="224" spans="2:9" x14ac:dyDescent="0.35">
      <c r="B224" s="145">
        <v>46036</v>
      </c>
      <c r="C224" s="14" t="s">
        <v>12</v>
      </c>
      <c r="D224" s="15">
        <v>0.4236111111111111</v>
      </c>
      <c r="E224" s="18" t="s">
        <v>20</v>
      </c>
      <c r="F224" s="26">
        <v>52</v>
      </c>
      <c r="G224" s="17">
        <v>7.36</v>
      </c>
      <c r="H224" s="17">
        <v>4</v>
      </c>
      <c r="I224" s="164">
        <v>0.97</v>
      </c>
    </row>
    <row r="225" spans="2:9" x14ac:dyDescent="0.35">
      <c r="B225" s="145">
        <v>46037</v>
      </c>
      <c r="C225" s="14" t="s">
        <v>12</v>
      </c>
      <c r="D225" s="15">
        <v>0.3923611111111111</v>
      </c>
      <c r="E225" s="18" t="s">
        <v>8</v>
      </c>
      <c r="F225" s="26">
        <v>77</v>
      </c>
      <c r="G225" s="17">
        <v>7.16</v>
      </c>
      <c r="H225" s="17">
        <v>3</v>
      </c>
      <c r="I225" s="164">
        <v>0.93</v>
      </c>
    </row>
    <row r="226" spans="2:9" x14ac:dyDescent="0.35">
      <c r="B226" s="145">
        <v>46038</v>
      </c>
      <c r="C226" s="14" t="s">
        <v>12</v>
      </c>
      <c r="D226" s="15">
        <v>0.3263888888888889</v>
      </c>
      <c r="E226" s="18" t="s">
        <v>8</v>
      </c>
      <c r="F226" s="26">
        <v>84</v>
      </c>
      <c r="G226" s="17">
        <v>7.31</v>
      </c>
      <c r="H226" s="17">
        <v>4</v>
      </c>
      <c r="I226" s="164">
        <v>1.01</v>
      </c>
    </row>
    <row r="227" spans="2:9" x14ac:dyDescent="0.35">
      <c r="B227" s="145">
        <v>46041</v>
      </c>
      <c r="C227" s="14" t="s">
        <v>12</v>
      </c>
      <c r="D227" s="15">
        <v>0.4861111111111111</v>
      </c>
      <c r="E227" s="18" t="s">
        <v>125</v>
      </c>
      <c r="F227" s="26">
        <v>43</v>
      </c>
      <c r="G227" s="17">
        <v>6.92</v>
      </c>
      <c r="H227" s="17">
        <v>4</v>
      </c>
      <c r="I227" s="164">
        <v>1.04</v>
      </c>
    </row>
    <row r="228" spans="2:9" x14ac:dyDescent="0.35">
      <c r="B228" s="145">
        <v>46042</v>
      </c>
      <c r="C228" s="14" t="s">
        <v>12</v>
      </c>
      <c r="D228" s="15">
        <v>0.43055555555555558</v>
      </c>
      <c r="E228" s="18" t="s">
        <v>125</v>
      </c>
      <c r="F228" s="26">
        <v>65</v>
      </c>
      <c r="G228" s="17">
        <v>7.83</v>
      </c>
      <c r="H228" s="17">
        <v>19</v>
      </c>
      <c r="I228" s="164">
        <v>1.6</v>
      </c>
    </row>
    <row r="229" spans="2:9" x14ac:dyDescent="0.35">
      <c r="B229" s="145">
        <v>46043</v>
      </c>
      <c r="C229" s="14" t="s">
        <v>12</v>
      </c>
      <c r="D229" s="15">
        <v>0.44444444444444442</v>
      </c>
      <c r="E229" s="18" t="s">
        <v>125</v>
      </c>
      <c r="F229" s="26">
        <v>85</v>
      </c>
      <c r="G229" s="17">
        <v>7.46</v>
      </c>
      <c r="H229" s="17">
        <v>9</v>
      </c>
      <c r="I229" s="164">
        <v>1.47</v>
      </c>
    </row>
    <row r="230" spans="2:9" x14ac:dyDescent="0.35">
      <c r="B230" s="145">
        <v>46044</v>
      </c>
      <c r="C230" s="14" t="s">
        <v>12</v>
      </c>
      <c r="D230" s="15">
        <v>0.42708333333333331</v>
      </c>
      <c r="E230" s="18" t="s">
        <v>125</v>
      </c>
      <c r="F230" s="26">
        <v>76</v>
      </c>
      <c r="G230" s="17">
        <v>7.49</v>
      </c>
      <c r="H230" s="17">
        <v>12</v>
      </c>
      <c r="I230" s="164">
        <v>1.1399999999999999</v>
      </c>
    </row>
    <row r="231" spans="2:9" x14ac:dyDescent="0.35">
      <c r="B231" s="145">
        <v>46045</v>
      </c>
      <c r="C231" s="14" t="s">
        <v>12</v>
      </c>
      <c r="D231" s="15">
        <v>0.46875</v>
      </c>
      <c r="E231" s="18" t="s">
        <v>11</v>
      </c>
      <c r="F231" s="26">
        <v>72</v>
      </c>
      <c r="G231" s="17">
        <v>7.44</v>
      </c>
      <c r="H231" s="17">
        <v>14</v>
      </c>
      <c r="I231" s="164">
        <v>1</v>
      </c>
    </row>
    <row r="232" spans="2:9" x14ac:dyDescent="0.35">
      <c r="B232" s="145">
        <v>46048</v>
      </c>
      <c r="C232" s="14" t="s">
        <v>12</v>
      </c>
      <c r="D232" s="15">
        <v>0.46875</v>
      </c>
      <c r="E232" s="18" t="s">
        <v>585</v>
      </c>
      <c r="F232" s="26">
        <v>69</v>
      </c>
      <c r="G232" s="17">
        <v>7.57</v>
      </c>
      <c r="H232" s="17">
        <v>5</v>
      </c>
      <c r="I232" s="164">
        <v>0.99</v>
      </c>
    </row>
    <row r="233" spans="2:9" x14ac:dyDescent="0.35">
      <c r="B233" s="145">
        <v>46049</v>
      </c>
      <c r="C233" s="14" t="s">
        <v>12</v>
      </c>
      <c r="D233" s="15">
        <v>0.38194444444444442</v>
      </c>
      <c r="E233" s="18" t="s">
        <v>585</v>
      </c>
      <c r="F233" s="26">
        <v>93</v>
      </c>
      <c r="G233" s="17">
        <v>7.43</v>
      </c>
      <c r="H233" s="17">
        <v>26</v>
      </c>
      <c r="I233" s="164">
        <v>1.37</v>
      </c>
    </row>
    <row r="234" spans="2:9" x14ac:dyDescent="0.35">
      <c r="B234" s="145">
        <v>46050</v>
      </c>
      <c r="C234" s="14" t="s">
        <v>12</v>
      </c>
      <c r="D234" s="15">
        <v>0.36458333333333331</v>
      </c>
      <c r="E234" s="18" t="s">
        <v>15</v>
      </c>
      <c r="F234" s="26">
        <v>62</v>
      </c>
      <c r="G234" s="17">
        <v>7.7</v>
      </c>
      <c r="H234" s="17">
        <v>14</v>
      </c>
      <c r="I234" s="164">
        <v>1.4</v>
      </c>
    </row>
    <row r="235" spans="2:9" x14ac:dyDescent="0.35">
      <c r="B235" s="145">
        <v>46051</v>
      </c>
      <c r="C235" s="14" t="s">
        <v>12</v>
      </c>
      <c r="D235" s="15">
        <v>0.41666666666666669</v>
      </c>
      <c r="E235" s="18" t="s">
        <v>585</v>
      </c>
      <c r="F235" s="26">
        <v>75</v>
      </c>
      <c r="G235" s="17">
        <v>7.24</v>
      </c>
      <c r="H235" s="17">
        <v>14</v>
      </c>
      <c r="I235" s="164">
        <v>1.33</v>
      </c>
    </row>
    <row r="236" spans="2:9" x14ac:dyDescent="0.35">
      <c r="B236" s="145">
        <v>46052</v>
      </c>
      <c r="C236" s="14" t="s">
        <v>12</v>
      </c>
      <c r="D236" s="15" t="s">
        <v>586</v>
      </c>
      <c r="E236" s="18" t="s">
        <v>585</v>
      </c>
      <c r="F236" s="26">
        <v>98</v>
      </c>
      <c r="G236" s="17">
        <v>7.41</v>
      </c>
      <c r="H236" s="17">
        <v>0</v>
      </c>
      <c r="I236" s="164">
        <v>1.17</v>
      </c>
    </row>
    <row r="237" spans="2:9" x14ac:dyDescent="0.35">
      <c r="B237" s="145">
        <v>46055</v>
      </c>
      <c r="C237" s="14" t="s">
        <v>12</v>
      </c>
      <c r="D237" s="15">
        <v>0.35416666666666669</v>
      </c>
      <c r="E237" s="18" t="s">
        <v>15</v>
      </c>
      <c r="F237" s="26">
        <v>36</v>
      </c>
      <c r="G237" s="17">
        <v>7.61</v>
      </c>
      <c r="H237" s="17">
        <v>6</v>
      </c>
      <c r="I237" s="164">
        <v>1.08</v>
      </c>
    </row>
    <row r="238" spans="2:9" x14ac:dyDescent="0.35">
      <c r="B238" s="145">
        <v>46056</v>
      </c>
      <c r="C238" s="14" t="s">
        <v>12</v>
      </c>
      <c r="D238" s="15">
        <v>0.36805555555555558</v>
      </c>
      <c r="E238" s="18" t="s">
        <v>15</v>
      </c>
      <c r="F238" s="26">
        <v>78</v>
      </c>
      <c r="G238" s="17">
        <v>7.67</v>
      </c>
      <c r="H238" s="17">
        <v>19</v>
      </c>
      <c r="I238" s="164">
        <v>1.2</v>
      </c>
    </row>
    <row r="239" spans="2:9" x14ac:dyDescent="0.35">
      <c r="B239" s="145">
        <v>46057</v>
      </c>
      <c r="C239" s="14" t="s">
        <v>12</v>
      </c>
      <c r="D239" s="15">
        <v>0.375</v>
      </c>
      <c r="E239" s="18" t="s">
        <v>15</v>
      </c>
      <c r="F239" s="26">
        <v>64</v>
      </c>
      <c r="G239" s="17">
        <v>7.86</v>
      </c>
      <c r="H239" s="17">
        <v>26</v>
      </c>
      <c r="I239" s="164">
        <v>1.3</v>
      </c>
    </row>
    <row r="240" spans="2:9" x14ac:dyDescent="0.35">
      <c r="B240" s="145">
        <v>46058</v>
      </c>
      <c r="C240" s="14" t="s">
        <v>12</v>
      </c>
      <c r="D240" s="15">
        <v>0.41666666666666669</v>
      </c>
      <c r="E240" s="18" t="s">
        <v>15</v>
      </c>
      <c r="F240" s="26">
        <v>96</v>
      </c>
      <c r="G240" s="17">
        <v>7.71</v>
      </c>
      <c r="H240" s="17">
        <v>18</v>
      </c>
      <c r="I240" s="164">
        <v>1.22</v>
      </c>
    </row>
    <row r="241" spans="2:9" x14ac:dyDescent="0.35">
      <c r="B241" s="145">
        <v>46059</v>
      </c>
      <c r="C241" s="14" t="s">
        <v>12</v>
      </c>
      <c r="D241" s="15">
        <v>0.39583333333333331</v>
      </c>
      <c r="E241" s="18" t="s">
        <v>15</v>
      </c>
      <c r="F241" s="26">
        <v>577</v>
      </c>
      <c r="G241" s="17">
        <v>7.49</v>
      </c>
      <c r="H241" s="17">
        <v>36</v>
      </c>
      <c r="I241" s="164">
        <v>1.1200000000000001</v>
      </c>
    </row>
    <row r="242" spans="2:9" x14ac:dyDescent="0.35">
      <c r="B242" s="145">
        <v>46062</v>
      </c>
      <c r="C242" s="14" t="s">
        <v>12</v>
      </c>
      <c r="D242" s="15">
        <v>0.5</v>
      </c>
      <c r="E242" s="18" t="s">
        <v>125</v>
      </c>
      <c r="F242" s="26" t="s">
        <v>9</v>
      </c>
      <c r="G242" s="17" t="s">
        <v>9</v>
      </c>
      <c r="H242" s="17" t="s">
        <v>9</v>
      </c>
      <c r="I242" s="164" t="s">
        <v>9</v>
      </c>
    </row>
    <row r="243" spans="2:9" x14ac:dyDescent="0.35">
      <c r="B243" s="145">
        <v>46063</v>
      </c>
      <c r="C243" s="14" t="s">
        <v>12</v>
      </c>
      <c r="D243" s="15">
        <v>0.51736111111111116</v>
      </c>
      <c r="E243" s="18" t="s">
        <v>125</v>
      </c>
      <c r="F243" s="26" t="s">
        <v>9</v>
      </c>
      <c r="G243" s="17" t="s">
        <v>9</v>
      </c>
      <c r="H243" s="17" t="s">
        <v>9</v>
      </c>
      <c r="I243" s="164" t="s">
        <v>9</v>
      </c>
    </row>
    <row r="244" spans="2:9" x14ac:dyDescent="0.35">
      <c r="B244" s="145">
        <v>46064</v>
      </c>
      <c r="C244" s="14" t="s">
        <v>12</v>
      </c>
      <c r="D244" s="15">
        <v>0.51388888888888884</v>
      </c>
      <c r="E244" s="18" t="s">
        <v>125</v>
      </c>
      <c r="F244" s="26">
        <v>66</v>
      </c>
      <c r="G244" s="17">
        <v>7.7</v>
      </c>
      <c r="H244" s="17">
        <v>19</v>
      </c>
      <c r="I244" s="164">
        <v>1.1299999999999999</v>
      </c>
    </row>
    <row r="245" spans="2:9" x14ac:dyDescent="0.35">
      <c r="B245" s="145">
        <v>46065</v>
      </c>
      <c r="C245" s="14" t="s">
        <v>12</v>
      </c>
      <c r="D245" s="15">
        <v>0.4861111111111111</v>
      </c>
      <c r="E245" s="18" t="s">
        <v>125</v>
      </c>
      <c r="F245" s="26">
        <v>68</v>
      </c>
      <c r="G245" s="17">
        <v>7.38</v>
      </c>
      <c r="H245" s="17">
        <v>15</v>
      </c>
      <c r="I245" s="164">
        <v>1.23</v>
      </c>
    </row>
    <row r="246" spans="2:9" x14ac:dyDescent="0.35">
      <c r="B246" s="145">
        <v>46066</v>
      </c>
      <c r="C246" s="14" t="s">
        <v>12</v>
      </c>
      <c r="D246" s="15">
        <v>0.47916666666666669</v>
      </c>
      <c r="E246" s="18" t="s">
        <v>125</v>
      </c>
      <c r="F246" s="26">
        <v>49</v>
      </c>
      <c r="G246" s="17">
        <v>7.46</v>
      </c>
      <c r="H246" s="17">
        <v>9</v>
      </c>
      <c r="I246" s="164">
        <v>1.45</v>
      </c>
    </row>
    <row r="247" spans="2:9" x14ac:dyDescent="0.35">
      <c r="B247" s="145">
        <v>46069</v>
      </c>
      <c r="C247" s="14" t="s">
        <v>12</v>
      </c>
      <c r="D247" s="15">
        <v>0.43055555555555558</v>
      </c>
      <c r="E247" s="18" t="s">
        <v>585</v>
      </c>
      <c r="F247" s="26" t="s">
        <v>9</v>
      </c>
      <c r="G247" s="17" t="s">
        <v>9</v>
      </c>
      <c r="H247" s="17" t="s">
        <v>9</v>
      </c>
      <c r="I247" s="164" t="s">
        <v>9</v>
      </c>
    </row>
    <row r="248" spans="2:9" x14ac:dyDescent="0.35">
      <c r="B248" s="145">
        <v>46070</v>
      </c>
      <c r="C248" s="14" t="s">
        <v>12</v>
      </c>
      <c r="D248" s="15">
        <v>0.43055555555555558</v>
      </c>
      <c r="E248" s="18" t="s">
        <v>585</v>
      </c>
      <c r="F248" s="26">
        <v>45</v>
      </c>
      <c r="G248" s="17">
        <v>7.51</v>
      </c>
      <c r="H248" s="17">
        <v>19</v>
      </c>
      <c r="I248" s="164">
        <v>2.4300000000000002</v>
      </c>
    </row>
    <row r="249" spans="2:9" x14ac:dyDescent="0.35">
      <c r="B249" s="145">
        <v>46071</v>
      </c>
      <c r="C249" s="14" t="s">
        <v>12</v>
      </c>
      <c r="D249" s="15">
        <v>9.5</v>
      </c>
      <c r="E249" s="18" t="s">
        <v>15</v>
      </c>
      <c r="F249" s="26">
        <v>76</v>
      </c>
      <c r="G249" s="17">
        <v>7.55</v>
      </c>
      <c r="H249" s="17">
        <v>20</v>
      </c>
      <c r="I249" s="164">
        <v>3.32</v>
      </c>
    </row>
    <row r="250" spans="2:9" x14ac:dyDescent="0.35">
      <c r="B250" s="145">
        <v>46072</v>
      </c>
      <c r="C250" s="14" t="s">
        <v>12</v>
      </c>
      <c r="D250" s="15">
        <v>0.4375</v>
      </c>
      <c r="E250" s="18" t="s">
        <v>585</v>
      </c>
      <c r="F250" s="26">
        <v>44</v>
      </c>
      <c r="G250" s="17">
        <v>7.55</v>
      </c>
      <c r="H250" s="17">
        <v>17</v>
      </c>
      <c r="I250" s="164">
        <v>2.8</v>
      </c>
    </row>
    <row r="251" spans="2:9" x14ac:dyDescent="0.35">
      <c r="B251" s="145">
        <v>46073</v>
      </c>
      <c r="C251" s="14" t="s">
        <v>12</v>
      </c>
      <c r="D251" s="15">
        <v>0.4375</v>
      </c>
      <c r="E251" s="18" t="s">
        <v>585</v>
      </c>
      <c r="F251" s="26">
        <v>38</v>
      </c>
      <c r="G251" s="17">
        <v>7.72</v>
      </c>
      <c r="H251" s="17">
        <v>3</v>
      </c>
      <c r="I251" s="164">
        <v>2.13</v>
      </c>
    </row>
    <row r="252" spans="2:9" x14ac:dyDescent="0.35">
      <c r="B252" s="145">
        <v>46076</v>
      </c>
      <c r="C252" s="14" t="s">
        <v>12</v>
      </c>
      <c r="D252" s="15">
        <v>0.41666666666666669</v>
      </c>
      <c r="E252" s="18" t="s">
        <v>585</v>
      </c>
      <c r="F252" s="26" t="s">
        <v>9</v>
      </c>
      <c r="G252" s="17" t="s">
        <v>9</v>
      </c>
      <c r="H252" s="17" t="s">
        <v>9</v>
      </c>
      <c r="I252" s="164" t="s">
        <v>9</v>
      </c>
    </row>
    <row r="253" spans="2:9" x14ac:dyDescent="0.35">
      <c r="B253" s="145">
        <v>46077</v>
      </c>
      <c r="C253" s="14" t="s">
        <v>12</v>
      </c>
      <c r="D253" s="15">
        <v>0.41666666666666669</v>
      </c>
      <c r="E253" s="18" t="s">
        <v>585</v>
      </c>
      <c r="F253" s="26">
        <v>68</v>
      </c>
      <c r="G253" s="17">
        <v>7.36</v>
      </c>
      <c r="H253" s="17">
        <v>26</v>
      </c>
      <c r="I253" s="164">
        <v>2.38</v>
      </c>
    </row>
    <row r="254" spans="2:9" x14ac:dyDescent="0.35">
      <c r="B254" s="145">
        <v>46078</v>
      </c>
      <c r="C254" s="14" t="s">
        <v>12</v>
      </c>
      <c r="D254" s="15">
        <v>0.4375</v>
      </c>
      <c r="E254" s="18" t="s">
        <v>585</v>
      </c>
      <c r="F254" s="26">
        <v>60</v>
      </c>
      <c r="G254" s="17">
        <v>7.22</v>
      </c>
      <c r="H254" s="17">
        <v>41</v>
      </c>
      <c r="I254" s="164">
        <v>2.46</v>
      </c>
    </row>
    <row r="255" spans="2:9" x14ac:dyDescent="0.35">
      <c r="B255" s="145">
        <v>46079</v>
      </c>
      <c r="C255" s="14" t="s">
        <v>12</v>
      </c>
      <c r="D255" s="15">
        <v>0.41666666666666669</v>
      </c>
      <c r="E255" s="18" t="s">
        <v>585</v>
      </c>
      <c r="F255" s="26">
        <v>51</v>
      </c>
      <c r="G255" s="17">
        <v>7.19</v>
      </c>
      <c r="H255" s="17">
        <v>33</v>
      </c>
      <c r="I255" s="164">
        <v>1.97</v>
      </c>
    </row>
    <row r="256" spans="2:9" x14ac:dyDescent="0.35">
      <c r="B256" s="145">
        <v>46080</v>
      </c>
      <c r="C256" s="14" t="s">
        <v>12</v>
      </c>
      <c r="D256" s="15">
        <v>0.375</v>
      </c>
      <c r="E256" s="18" t="s">
        <v>585</v>
      </c>
      <c r="F256" s="26" t="s">
        <v>9</v>
      </c>
      <c r="G256" s="17" t="s">
        <v>9</v>
      </c>
      <c r="H256" s="17" t="s">
        <v>9</v>
      </c>
      <c r="I256" s="164" t="s">
        <v>9</v>
      </c>
    </row>
    <row r="257" spans="2:9" x14ac:dyDescent="0.35">
      <c r="B257" s="145">
        <v>46083</v>
      </c>
      <c r="C257" s="14" t="s">
        <v>12</v>
      </c>
      <c r="D257" s="15">
        <v>0.30555555555555558</v>
      </c>
      <c r="E257" s="18" t="s">
        <v>8</v>
      </c>
      <c r="F257" s="26" t="s">
        <v>9</v>
      </c>
      <c r="G257" s="17" t="s">
        <v>9</v>
      </c>
      <c r="H257" s="17" t="s">
        <v>9</v>
      </c>
      <c r="I257" s="164" t="s">
        <v>9</v>
      </c>
    </row>
    <row r="258" spans="2:9" x14ac:dyDescent="0.35">
      <c r="B258" s="145">
        <v>46084</v>
      </c>
      <c r="C258" s="14" t="s">
        <v>12</v>
      </c>
      <c r="D258" s="15">
        <v>0.3125</v>
      </c>
      <c r="E258" s="18" t="s">
        <v>8</v>
      </c>
      <c r="F258" s="26">
        <v>49</v>
      </c>
      <c r="G258" s="17">
        <v>6.97</v>
      </c>
      <c r="H258" s="17">
        <v>54</v>
      </c>
      <c r="I258" s="164">
        <v>1.97</v>
      </c>
    </row>
    <row r="259" spans="2:9" x14ac:dyDescent="0.35">
      <c r="B259" s="145">
        <v>46085</v>
      </c>
      <c r="C259" s="14" t="s">
        <v>12</v>
      </c>
      <c r="D259" s="15">
        <v>0.3888888888888889</v>
      </c>
      <c r="E259" s="18" t="s">
        <v>8</v>
      </c>
      <c r="F259" s="26">
        <v>64</v>
      </c>
      <c r="G259" s="17">
        <v>6.15</v>
      </c>
      <c r="H259" s="17">
        <v>53</v>
      </c>
      <c r="I259" s="164">
        <v>1.79</v>
      </c>
    </row>
    <row r="260" spans="2:9" x14ac:dyDescent="0.35">
      <c r="B260" s="145">
        <v>46086</v>
      </c>
      <c r="C260" s="14" t="s">
        <v>12</v>
      </c>
      <c r="D260" s="15">
        <v>0.31944444444444442</v>
      </c>
      <c r="E260" s="18" t="s">
        <v>8</v>
      </c>
      <c r="F260" s="26">
        <v>48</v>
      </c>
      <c r="G260" s="17">
        <v>7.3</v>
      </c>
      <c r="H260" s="17">
        <v>23</v>
      </c>
      <c r="I260" s="164">
        <v>1.57</v>
      </c>
    </row>
    <row r="261" spans="2:9" x14ac:dyDescent="0.35">
      <c r="B261" s="145">
        <v>46087</v>
      </c>
      <c r="C261" s="14" t="s">
        <v>12</v>
      </c>
      <c r="D261" s="15">
        <v>0.34027777777777779</v>
      </c>
      <c r="E261" s="18" t="s">
        <v>8</v>
      </c>
      <c r="F261" s="26">
        <v>48</v>
      </c>
      <c r="G261" s="17">
        <v>7.48</v>
      </c>
      <c r="H261" s="17">
        <v>12</v>
      </c>
      <c r="I261" s="164">
        <v>1.4</v>
      </c>
    </row>
    <row r="262" spans="2:9" x14ac:dyDescent="0.35">
      <c r="B262" s="145">
        <v>46090</v>
      </c>
      <c r="C262" s="14" t="s">
        <v>12</v>
      </c>
      <c r="D262" s="15">
        <v>0.41666666666666669</v>
      </c>
      <c r="E262" s="18" t="s">
        <v>587</v>
      </c>
      <c r="F262" s="26">
        <v>43</v>
      </c>
      <c r="G262" s="17">
        <v>7.55</v>
      </c>
      <c r="H262" s="17">
        <v>4</v>
      </c>
      <c r="I262" s="164">
        <v>1.28</v>
      </c>
    </row>
    <row r="263" spans="2:9" x14ac:dyDescent="0.35">
      <c r="B263" s="145">
        <v>46091</v>
      </c>
      <c r="C263" s="14" t="s">
        <v>12</v>
      </c>
      <c r="D263" s="15">
        <v>0.43055555555555558</v>
      </c>
      <c r="E263" s="18" t="s">
        <v>585</v>
      </c>
      <c r="F263" s="26">
        <v>56</v>
      </c>
      <c r="G263" s="17">
        <v>7.41</v>
      </c>
      <c r="H263" s="17">
        <v>20</v>
      </c>
      <c r="I263" s="164">
        <v>1.25</v>
      </c>
    </row>
    <row r="264" spans="2:9" x14ac:dyDescent="0.35">
      <c r="B264" s="145">
        <v>46092</v>
      </c>
      <c r="C264" s="14" t="s">
        <v>12</v>
      </c>
      <c r="D264" s="15">
        <v>0.4375</v>
      </c>
      <c r="E264" s="18" t="s">
        <v>588</v>
      </c>
      <c r="F264" s="26">
        <v>47</v>
      </c>
      <c r="G264" s="17">
        <v>6.93</v>
      </c>
      <c r="H264" s="17">
        <v>17</v>
      </c>
      <c r="I264" s="164">
        <v>1.03</v>
      </c>
    </row>
    <row r="265" spans="2:9" x14ac:dyDescent="0.35">
      <c r="B265" s="145">
        <v>46093</v>
      </c>
      <c r="C265" s="14" t="s">
        <v>12</v>
      </c>
      <c r="D265" s="15">
        <v>0.39583333333333331</v>
      </c>
      <c r="E265" s="18" t="s">
        <v>585</v>
      </c>
      <c r="F265" s="26">
        <v>43</v>
      </c>
      <c r="G265" s="17">
        <v>7.56</v>
      </c>
      <c r="H265" s="17">
        <v>2</v>
      </c>
      <c r="I265" s="164">
        <v>0.99</v>
      </c>
    </row>
    <row r="266" spans="2:9" x14ac:dyDescent="0.35">
      <c r="B266" s="145">
        <v>46094</v>
      </c>
      <c r="C266" s="14" t="s">
        <v>12</v>
      </c>
      <c r="D266" s="15">
        <v>0.41666666666666669</v>
      </c>
      <c r="E266" s="18" t="s">
        <v>8</v>
      </c>
      <c r="F266" s="26">
        <v>41</v>
      </c>
      <c r="G266" s="17">
        <v>7.13</v>
      </c>
      <c r="H266" s="17">
        <v>4</v>
      </c>
      <c r="I266" s="164">
        <v>0.96</v>
      </c>
    </row>
    <row r="267" spans="2:9" x14ac:dyDescent="0.35">
      <c r="B267" s="145">
        <v>46097</v>
      </c>
      <c r="C267" s="14" t="s">
        <v>12</v>
      </c>
      <c r="D267" s="15">
        <v>0.4375</v>
      </c>
      <c r="E267" s="18" t="s">
        <v>8</v>
      </c>
      <c r="F267" s="26">
        <v>66</v>
      </c>
      <c r="G267" s="17">
        <v>7.2</v>
      </c>
      <c r="H267" s="17">
        <v>6</v>
      </c>
      <c r="I267" s="164">
        <v>0.91</v>
      </c>
    </row>
    <row r="268" spans="2:9" x14ac:dyDescent="0.35">
      <c r="B268" s="145">
        <v>46098</v>
      </c>
      <c r="C268" s="14" t="s">
        <v>12</v>
      </c>
      <c r="D268" s="15">
        <v>0.4375</v>
      </c>
      <c r="E268" s="18" t="s">
        <v>585</v>
      </c>
      <c r="F268" s="26">
        <v>48</v>
      </c>
      <c r="G268" s="17">
        <v>7.3</v>
      </c>
      <c r="H268" s="17">
        <v>26</v>
      </c>
      <c r="I268" s="164">
        <v>1.18</v>
      </c>
    </row>
    <row r="269" spans="2:9" x14ac:dyDescent="0.35">
      <c r="B269" s="145">
        <v>46099</v>
      </c>
      <c r="C269" s="14" t="s">
        <v>12</v>
      </c>
      <c r="D269" s="15">
        <v>0.47222222222222221</v>
      </c>
      <c r="E269" s="18" t="s">
        <v>585</v>
      </c>
      <c r="F269" s="26">
        <v>84</v>
      </c>
      <c r="G269" s="17">
        <v>7.38</v>
      </c>
      <c r="H269" s="17">
        <v>0</v>
      </c>
      <c r="I269" s="164">
        <v>1.28</v>
      </c>
    </row>
    <row r="270" spans="2:9" x14ac:dyDescent="0.35">
      <c r="B270" s="145">
        <v>46100</v>
      </c>
      <c r="C270" s="14" t="s">
        <v>12</v>
      </c>
      <c r="D270" s="15">
        <v>0.43055555555555558</v>
      </c>
      <c r="E270" s="18" t="s">
        <v>585</v>
      </c>
      <c r="F270" s="26">
        <v>46</v>
      </c>
      <c r="G270" s="17">
        <v>7.65</v>
      </c>
      <c r="H270" s="17">
        <v>5</v>
      </c>
      <c r="I270" s="164">
        <v>1.24</v>
      </c>
    </row>
    <row r="271" spans="2:9" x14ac:dyDescent="0.35">
      <c r="B271" s="145">
        <v>46101</v>
      </c>
      <c r="C271" s="14" t="s">
        <v>12</v>
      </c>
      <c r="D271" s="15">
        <v>0.40972222222222221</v>
      </c>
      <c r="E271" s="18" t="s">
        <v>15</v>
      </c>
      <c r="F271" s="26">
        <v>33</v>
      </c>
      <c r="G271" s="17">
        <v>7.22</v>
      </c>
      <c r="H271" s="17">
        <v>5</v>
      </c>
      <c r="I271" s="164">
        <v>1.08</v>
      </c>
    </row>
    <row r="272" spans="2:9" x14ac:dyDescent="0.35">
      <c r="B272" s="145">
        <v>46104</v>
      </c>
      <c r="C272" s="14" t="s">
        <v>12</v>
      </c>
      <c r="D272" s="15">
        <v>0.39583333333333331</v>
      </c>
      <c r="E272" s="18" t="s">
        <v>11</v>
      </c>
      <c r="F272" s="26">
        <v>45</v>
      </c>
      <c r="G272" s="17">
        <v>7.68</v>
      </c>
      <c r="H272" s="17">
        <v>2</v>
      </c>
      <c r="I272" s="164">
        <v>0.93</v>
      </c>
    </row>
    <row r="273" spans="2:9" x14ac:dyDescent="0.35">
      <c r="B273" s="145">
        <v>46105</v>
      </c>
      <c r="C273" s="14" t="s">
        <v>12</v>
      </c>
      <c r="D273" s="15">
        <v>0.44444444444444442</v>
      </c>
      <c r="E273" s="18" t="s">
        <v>125</v>
      </c>
      <c r="F273" s="26">
        <v>51</v>
      </c>
      <c r="G273" s="17">
        <v>7.37</v>
      </c>
      <c r="H273" s="17">
        <v>20</v>
      </c>
      <c r="I273" s="164">
        <v>1.04</v>
      </c>
    </row>
    <row r="274" spans="2:9" x14ac:dyDescent="0.35">
      <c r="B274" s="145">
        <v>46106</v>
      </c>
      <c r="C274" s="14" t="s">
        <v>12</v>
      </c>
      <c r="D274" s="15">
        <v>0.45833333333333331</v>
      </c>
      <c r="E274" s="18" t="s">
        <v>125</v>
      </c>
      <c r="F274" s="26">
        <v>41</v>
      </c>
      <c r="G274" s="17">
        <v>7.38</v>
      </c>
      <c r="H274" s="17">
        <v>1</v>
      </c>
      <c r="I274" s="164">
        <v>0.94</v>
      </c>
    </row>
    <row r="275" spans="2:9" x14ac:dyDescent="0.35">
      <c r="B275" s="145">
        <v>46107</v>
      </c>
      <c r="C275" s="14" t="s">
        <v>12</v>
      </c>
      <c r="D275" s="15">
        <v>0.46875</v>
      </c>
      <c r="E275" s="18" t="s">
        <v>125</v>
      </c>
      <c r="F275" s="26">
        <v>46</v>
      </c>
      <c r="G275" s="17">
        <v>7.56</v>
      </c>
      <c r="H275" s="17">
        <v>1</v>
      </c>
      <c r="I275" s="164">
        <v>0.94</v>
      </c>
    </row>
    <row r="276" spans="2:9" x14ac:dyDescent="0.35">
      <c r="B276" s="145">
        <v>46108</v>
      </c>
      <c r="C276" s="14" t="s">
        <v>12</v>
      </c>
      <c r="D276" s="15">
        <v>0.55555555555555558</v>
      </c>
      <c r="E276" s="18" t="s">
        <v>125</v>
      </c>
      <c r="F276" s="26" t="s">
        <v>9</v>
      </c>
      <c r="G276" s="17" t="s">
        <v>9</v>
      </c>
      <c r="H276" s="17" t="s">
        <v>9</v>
      </c>
      <c r="I276" s="164" t="s">
        <v>9</v>
      </c>
    </row>
    <row r="277" spans="2:9" x14ac:dyDescent="0.35">
      <c r="B277" s="145">
        <v>46111</v>
      </c>
      <c r="C277" s="14" t="s">
        <v>12</v>
      </c>
      <c r="D277" s="15">
        <v>0.3263888888888889</v>
      </c>
      <c r="E277" s="18" t="s">
        <v>8</v>
      </c>
      <c r="F277" s="26">
        <v>55</v>
      </c>
      <c r="G277" s="17">
        <v>7.53</v>
      </c>
      <c r="H277" s="17">
        <v>4</v>
      </c>
      <c r="I277" s="164">
        <v>1.1100000000000001</v>
      </c>
    </row>
    <row r="278" spans="2:9" x14ac:dyDescent="0.35">
      <c r="B278" s="145">
        <v>46112</v>
      </c>
      <c r="C278" s="14" t="s">
        <v>12</v>
      </c>
      <c r="D278" s="15">
        <v>0.58333333333333337</v>
      </c>
      <c r="E278" s="18" t="s">
        <v>8</v>
      </c>
      <c r="F278" s="26">
        <v>34</v>
      </c>
      <c r="G278" s="17">
        <v>7.35</v>
      </c>
      <c r="H278" s="17">
        <v>6</v>
      </c>
      <c r="I278" s="164">
        <v>1.1399999999999999</v>
      </c>
    </row>
    <row r="279" spans="2:9" x14ac:dyDescent="0.35">
      <c r="B279" s="145">
        <v>46113</v>
      </c>
      <c r="C279" s="14" t="s">
        <v>12</v>
      </c>
      <c r="D279" s="15">
        <v>0.34027777777777779</v>
      </c>
      <c r="E279" s="18" t="s">
        <v>8</v>
      </c>
      <c r="F279" s="26">
        <v>40</v>
      </c>
      <c r="G279" s="17">
        <v>7.18</v>
      </c>
      <c r="H279" s="17">
        <v>14</v>
      </c>
      <c r="I279" s="164">
        <v>1.26</v>
      </c>
    </row>
    <row r="280" spans="2:9" x14ac:dyDescent="0.35">
      <c r="B280" s="145">
        <v>46118</v>
      </c>
      <c r="C280" s="14" t="s">
        <v>12</v>
      </c>
      <c r="D280" s="15">
        <v>0.44791666666666669</v>
      </c>
      <c r="E280" s="18" t="s">
        <v>585</v>
      </c>
      <c r="F280" s="26">
        <v>31</v>
      </c>
      <c r="G280" s="17">
        <v>7.5</v>
      </c>
      <c r="H280" s="17">
        <v>4</v>
      </c>
      <c r="I280" s="164">
        <v>1.45</v>
      </c>
    </row>
    <row r="281" spans="2:9" x14ac:dyDescent="0.35">
      <c r="B281" s="145">
        <v>46119</v>
      </c>
      <c r="C281" s="14" t="s">
        <v>12</v>
      </c>
      <c r="D281" s="15">
        <v>0.4236111111111111</v>
      </c>
      <c r="E281" s="18" t="s">
        <v>585</v>
      </c>
      <c r="F281" s="26">
        <v>51</v>
      </c>
      <c r="G281" s="17">
        <v>7.33</v>
      </c>
      <c r="H281" s="17">
        <v>11</v>
      </c>
      <c r="I281" s="164">
        <v>1.43</v>
      </c>
    </row>
    <row r="282" spans="2:9" x14ac:dyDescent="0.35">
      <c r="B282" s="145">
        <v>46120</v>
      </c>
      <c r="C282" s="14" t="s">
        <v>12</v>
      </c>
      <c r="D282" s="15">
        <v>0.44444444444444442</v>
      </c>
      <c r="E282" s="18" t="s">
        <v>585</v>
      </c>
      <c r="F282" s="26">
        <v>69</v>
      </c>
      <c r="G282" s="17">
        <v>7.3</v>
      </c>
      <c r="H282" s="17">
        <v>6</v>
      </c>
      <c r="I282" s="164">
        <v>1.05</v>
      </c>
    </row>
    <row r="283" spans="2:9" x14ac:dyDescent="0.35">
      <c r="B283" s="145">
        <v>46121</v>
      </c>
      <c r="C283" s="14" t="s">
        <v>12</v>
      </c>
      <c r="D283" s="15">
        <v>0.4375</v>
      </c>
      <c r="E283" s="18" t="s">
        <v>585</v>
      </c>
      <c r="F283" s="26">
        <v>45</v>
      </c>
      <c r="G283" s="17">
        <v>7.6</v>
      </c>
      <c r="H283" s="17">
        <v>1</v>
      </c>
      <c r="I283" s="164">
        <v>1.05</v>
      </c>
    </row>
    <row r="284" spans="2:9" x14ac:dyDescent="0.35">
      <c r="B284" s="145">
        <v>46122</v>
      </c>
      <c r="C284" s="14" t="s">
        <v>12</v>
      </c>
      <c r="D284" s="15">
        <v>0.47916666666666669</v>
      </c>
      <c r="E284" s="18" t="s">
        <v>585</v>
      </c>
      <c r="F284" s="26">
        <v>51</v>
      </c>
      <c r="G284" s="17">
        <v>7.09</v>
      </c>
      <c r="H284" s="17">
        <v>3</v>
      </c>
      <c r="I284" s="164">
        <v>0.91</v>
      </c>
    </row>
    <row r="285" spans="2:9" x14ac:dyDescent="0.35">
      <c r="B285" s="145">
        <v>46125</v>
      </c>
      <c r="C285" s="14" t="s">
        <v>12</v>
      </c>
      <c r="D285" s="15">
        <v>0.4375</v>
      </c>
      <c r="E285" s="18" t="s">
        <v>125</v>
      </c>
      <c r="F285" s="26">
        <v>49</v>
      </c>
      <c r="G285" s="17">
        <v>7.86</v>
      </c>
      <c r="H285" s="17">
        <v>4</v>
      </c>
      <c r="I285" s="164">
        <v>0.86</v>
      </c>
    </row>
    <row r="286" spans="2:9" x14ac:dyDescent="0.35">
      <c r="B286" s="145">
        <v>46126</v>
      </c>
      <c r="C286" s="14" t="s">
        <v>12</v>
      </c>
      <c r="D286" s="15">
        <v>0.4375</v>
      </c>
      <c r="E286" s="18" t="s">
        <v>125</v>
      </c>
      <c r="F286" s="26" t="s">
        <v>9</v>
      </c>
      <c r="G286" s="17" t="s">
        <v>9</v>
      </c>
      <c r="H286" s="17" t="s">
        <v>9</v>
      </c>
      <c r="I286" s="164" t="s">
        <v>9</v>
      </c>
    </row>
    <row r="287" spans="2:9" x14ac:dyDescent="0.35">
      <c r="B287" s="145">
        <v>46127</v>
      </c>
      <c r="C287" s="14" t="s">
        <v>12</v>
      </c>
      <c r="D287" s="15">
        <v>0.53125</v>
      </c>
      <c r="E287" s="18" t="s">
        <v>125</v>
      </c>
      <c r="F287" s="26">
        <v>64</v>
      </c>
      <c r="G287" s="17">
        <v>7.23</v>
      </c>
      <c r="H287" s="17">
        <v>5</v>
      </c>
      <c r="I287" s="164">
        <v>0.96</v>
      </c>
    </row>
    <row r="288" spans="2:9" x14ac:dyDescent="0.35">
      <c r="B288" s="145">
        <v>46128</v>
      </c>
      <c r="C288" s="14" t="s">
        <v>12</v>
      </c>
      <c r="D288" s="15">
        <v>0.49305555555555558</v>
      </c>
      <c r="E288" s="18" t="s">
        <v>125</v>
      </c>
      <c r="F288" s="26">
        <v>77</v>
      </c>
      <c r="G288" s="17">
        <v>7.42</v>
      </c>
      <c r="H288" s="17">
        <v>2</v>
      </c>
      <c r="I288" s="164">
        <v>1.21</v>
      </c>
    </row>
    <row r="289" spans="2:9" x14ac:dyDescent="0.35">
      <c r="B289" s="145">
        <v>46129</v>
      </c>
      <c r="C289" s="14" t="s">
        <v>12</v>
      </c>
      <c r="D289" s="15">
        <v>0.52083333333333337</v>
      </c>
      <c r="E289" s="18" t="s">
        <v>125</v>
      </c>
      <c r="F289" s="26">
        <v>56</v>
      </c>
      <c r="G289" s="17">
        <v>7.25</v>
      </c>
      <c r="H289" s="17">
        <v>3</v>
      </c>
      <c r="I289" s="164">
        <v>1.1499999999999999</v>
      </c>
    </row>
    <row r="290" spans="2:9" x14ac:dyDescent="0.35">
      <c r="B290" s="145">
        <v>46132</v>
      </c>
      <c r="C290" s="14" t="s">
        <v>12</v>
      </c>
      <c r="D290" s="15">
        <v>0.43055555555555558</v>
      </c>
      <c r="E290" s="18" t="s">
        <v>585</v>
      </c>
      <c r="F290" s="26">
        <v>56</v>
      </c>
      <c r="G290" s="17">
        <v>7.58</v>
      </c>
      <c r="H290" s="17">
        <v>4</v>
      </c>
      <c r="I290" s="164">
        <v>1.05</v>
      </c>
    </row>
    <row r="291" spans="2:9" x14ac:dyDescent="0.35">
      <c r="B291" s="145">
        <v>46133</v>
      </c>
      <c r="C291" s="14" t="s">
        <v>12</v>
      </c>
      <c r="D291" s="15">
        <v>0.41666666666666669</v>
      </c>
      <c r="E291" s="18" t="s">
        <v>585</v>
      </c>
      <c r="F291" s="26">
        <v>66</v>
      </c>
      <c r="G291" s="17">
        <v>7.35</v>
      </c>
      <c r="H291" s="17">
        <v>9</v>
      </c>
      <c r="I291" s="164">
        <v>1.07</v>
      </c>
    </row>
    <row r="292" spans="2:9" x14ac:dyDescent="0.35">
      <c r="B292" s="145">
        <v>46134</v>
      </c>
      <c r="C292" s="14" t="s">
        <v>12</v>
      </c>
      <c r="D292" s="15">
        <v>0.4375</v>
      </c>
      <c r="E292" s="18" t="s">
        <v>585</v>
      </c>
      <c r="F292" s="26" t="s">
        <v>9</v>
      </c>
      <c r="G292" s="17" t="s">
        <v>9</v>
      </c>
      <c r="H292" s="17" t="s">
        <v>9</v>
      </c>
      <c r="I292" s="164" t="s">
        <v>9</v>
      </c>
    </row>
    <row r="293" spans="2:9" x14ac:dyDescent="0.35">
      <c r="B293" s="145">
        <v>46135</v>
      </c>
      <c r="C293" s="14" t="s">
        <v>12</v>
      </c>
      <c r="D293" s="15">
        <v>0.4375</v>
      </c>
      <c r="E293" s="18" t="s">
        <v>19</v>
      </c>
      <c r="F293" s="26">
        <v>71</v>
      </c>
      <c r="G293" s="17">
        <v>7.4</v>
      </c>
      <c r="H293" s="17">
        <v>5</v>
      </c>
      <c r="I293" s="164">
        <v>0.98</v>
      </c>
    </row>
    <row r="294" spans="2:9" x14ac:dyDescent="0.35">
      <c r="B294" s="145">
        <v>46136</v>
      </c>
      <c r="C294" s="14" t="s">
        <v>12</v>
      </c>
      <c r="D294" s="15">
        <v>0.39583333333333331</v>
      </c>
      <c r="E294" s="18" t="s">
        <v>15</v>
      </c>
      <c r="F294" s="26">
        <v>82</v>
      </c>
      <c r="G294" s="17">
        <v>7.38</v>
      </c>
      <c r="H294" s="17">
        <v>6</v>
      </c>
      <c r="I294" s="164">
        <v>1.05</v>
      </c>
    </row>
    <row r="295" spans="2:9" x14ac:dyDescent="0.35">
      <c r="B295" s="145">
        <v>46139</v>
      </c>
      <c r="C295" s="14" t="s">
        <v>12</v>
      </c>
      <c r="D295" s="15">
        <v>0.5</v>
      </c>
      <c r="E295" s="18" t="s">
        <v>585</v>
      </c>
      <c r="F295" s="26">
        <v>72</v>
      </c>
      <c r="G295" s="17">
        <v>7.33</v>
      </c>
      <c r="H295" s="17">
        <v>5</v>
      </c>
      <c r="I295" s="164">
        <v>1.1100000000000001</v>
      </c>
    </row>
    <row r="296" spans="2:9" x14ac:dyDescent="0.35">
      <c r="B296" s="145">
        <v>46140</v>
      </c>
      <c r="C296" s="14" t="s">
        <v>12</v>
      </c>
      <c r="D296" s="15">
        <v>0.43055555555555558</v>
      </c>
      <c r="E296" s="18" t="s">
        <v>585</v>
      </c>
      <c r="F296" s="26">
        <v>82</v>
      </c>
      <c r="G296" s="17">
        <v>7.32</v>
      </c>
      <c r="H296" s="17">
        <v>4</v>
      </c>
      <c r="I296" s="164">
        <v>1.06</v>
      </c>
    </row>
    <row r="297" spans="2:9" x14ac:dyDescent="0.35">
      <c r="B297" s="145">
        <v>46141</v>
      </c>
      <c r="C297" s="14" t="s">
        <v>12</v>
      </c>
      <c r="D297" s="15">
        <v>0.44444444444444442</v>
      </c>
      <c r="E297" s="18" t="s">
        <v>585</v>
      </c>
      <c r="F297" s="26">
        <v>326</v>
      </c>
      <c r="G297" s="17">
        <v>7.29</v>
      </c>
      <c r="H297" s="17">
        <v>14</v>
      </c>
      <c r="I297" s="164">
        <v>1.17</v>
      </c>
    </row>
    <row r="298" spans="2:9" x14ac:dyDescent="0.35">
      <c r="B298" s="166">
        <v>46142</v>
      </c>
      <c r="C298" s="167" t="s">
        <v>12</v>
      </c>
      <c r="D298" s="168">
        <v>0.44444444444444442</v>
      </c>
      <c r="E298" s="169" t="s">
        <v>585</v>
      </c>
      <c r="F298" s="170">
        <v>209</v>
      </c>
      <c r="G298" s="171">
        <v>7.53</v>
      </c>
      <c r="H298" s="171">
        <v>11</v>
      </c>
      <c r="I298" s="172">
        <v>1.1599999999999999</v>
      </c>
    </row>
    <row r="299" spans="2:9" x14ac:dyDescent="0.35">
      <c r="B299" s="145">
        <v>46143</v>
      </c>
      <c r="C299" s="14" t="s">
        <v>12</v>
      </c>
      <c r="D299" s="15">
        <v>0.4375</v>
      </c>
      <c r="E299" s="18" t="s">
        <v>8</v>
      </c>
      <c r="F299" s="26">
        <v>218</v>
      </c>
      <c r="G299" s="17">
        <v>7.53</v>
      </c>
      <c r="H299" s="17" t="s">
        <v>9</v>
      </c>
      <c r="I299" s="164">
        <v>1.08</v>
      </c>
    </row>
    <row r="300" spans="2:9" x14ac:dyDescent="0.35">
      <c r="B300" s="145">
        <v>46146</v>
      </c>
      <c r="C300" s="14" t="s">
        <v>12</v>
      </c>
      <c r="D300" s="15">
        <v>0.4375</v>
      </c>
      <c r="E300" s="18" t="s">
        <v>125</v>
      </c>
      <c r="F300" s="26" t="s">
        <v>9</v>
      </c>
      <c r="G300" s="17" t="s">
        <v>9</v>
      </c>
      <c r="H300" s="17" t="s">
        <v>9</v>
      </c>
      <c r="I300" s="164" t="s">
        <v>9</v>
      </c>
    </row>
    <row r="301" spans="2:9" x14ac:dyDescent="0.35">
      <c r="B301" s="145">
        <v>46147</v>
      </c>
      <c r="C301" s="14" t="s">
        <v>12</v>
      </c>
      <c r="D301" s="15">
        <v>0.44791666666666669</v>
      </c>
      <c r="E301" s="18" t="s">
        <v>125</v>
      </c>
      <c r="F301" s="26" t="s">
        <v>9</v>
      </c>
      <c r="G301" s="17" t="s">
        <v>9</v>
      </c>
      <c r="H301" s="17" t="s">
        <v>9</v>
      </c>
      <c r="I301" s="164" t="s">
        <v>9</v>
      </c>
    </row>
    <row r="302" spans="2:9" x14ac:dyDescent="0.35">
      <c r="B302" s="145">
        <v>46148</v>
      </c>
      <c r="C302" s="14" t="s">
        <v>12</v>
      </c>
      <c r="D302" s="15">
        <v>0.51388888888888884</v>
      </c>
      <c r="E302" s="18" t="s">
        <v>125</v>
      </c>
      <c r="F302" s="26">
        <v>159</v>
      </c>
      <c r="G302" s="17">
        <v>7.57</v>
      </c>
      <c r="H302" s="17">
        <v>10</v>
      </c>
      <c r="I302" s="164">
        <v>1.05</v>
      </c>
    </row>
    <row r="303" spans="2:9" x14ac:dyDescent="0.35">
      <c r="B303" s="145">
        <v>46149</v>
      </c>
      <c r="C303" s="14" t="s">
        <v>12</v>
      </c>
      <c r="D303" s="15">
        <v>0.47916666666666669</v>
      </c>
      <c r="E303" s="18" t="s">
        <v>125</v>
      </c>
      <c r="F303" s="26">
        <v>121</v>
      </c>
      <c r="G303" s="17">
        <v>7.35</v>
      </c>
      <c r="H303" s="17">
        <v>6</v>
      </c>
      <c r="I303" s="164">
        <v>1.08</v>
      </c>
    </row>
    <row r="304" spans="2:9" x14ac:dyDescent="0.35">
      <c r="B304" s="145">
        <v>46150</v>
      </c>
      <c r="C304" s="14" t="s">
        <v>12</v>
      </c>
      <c r="D304" s="15">
        <v>0.45833333333333331</v>
      </c>
      <c r="E304" s="18" t="s">
        <v>8</v>
      </c>
      <c r="F304" s="26">
        <v>171</v>
      </c>
      <c r="G304" s="17">
        <v>7.37</v>
      </c>
      <c r="H304" s="17">
        <v>11</v>
      </c>
      <c r="I304" s="164">
        <v>1.04</v>
      </c>
    </row>
    <row r="305" spans="2:9" x14ac:dyDescent="0.35">
      <c r="B305" s="145">
        <v>46153</v>
      </c>
      <c r="C305" s="14" t="s">
        <v>12</v>
      </c>
      <c r="D305" s="15">
        <v>0.38194444444444442</v>
      </c>
      <c r="E305" s="18" t="s">
        <v>15</v>
      </c>
      <c r="F305" s="26">
        <v>117</v>
      </c>
      <c r="G305" s="17">
        <v>7.52</v>
      </c>
      <c r="H305" s="17">
        <v>8</v>
      </c>
      <c r="I305" s="164">
        <v>1.04</v>
      </c>
    </row>
    <row r="306" spans="2:9" x14ac:dyDescent="0.35">
      <c r="B306" s="145">
        <v>46154</v>
      </c>
      <c r="C306" s="14" t="s">
        <v>12</v>
      </c>
      <c r="D306" s="15">
        <v>0.41666666666666669</v>
      </c>
      <c r="E306" s="18" t="s">
        <v>585</v>
      </c>
      <c r="F306" s="26">
        <v>63</v>
      </c>
      <c r="G306" s="17">
        <v>7.65</v>
      </c>
      <c r="H306" s="17">
        <v>2</v>
      </c>
      <c r="I306" s="164">
        <v>1.01</v>
      </c>
    </row>
    <row r="307" spans="2:9" x14ac:dyDescent="0.35">
      <c r="B307" s="145">
        <v>46155</v>
      </c>
      <c r="C307" s="14" t="s">
        <v>12</v>
      </c>
      <c r="D307" s="15">
        <v>0.40972222222222221</v>
      </c>
      <c r="E307" s="18" t="s">
        <v>585</v>
      </c>
      <c r="F307" s="26">
        <v>56</v>
      </c>
      <c r="G307" s="17">
        <v>7.42</v>
      </c>
      <c r="H307" s="17">
        <v>6</v>
      </c>
      <c r="I307" s="164">
        <v>0.95</v>
      </c>
    </row>
    <row r="308" spans="2:9" x14ac:dyDescent="0.35">
      <c r="B308" s="145">
        <v>46156</v>
      </c>
      <c r="C308" s="14" t="s">
        <v>12</v>
      </c>
      <c r="D308" s="15">
        <v>0.48958333333333331</v>
      </c>
      <c r="E308" s="18" t="s">
        <v>585</v>
      </c>
      <c r="F308" s="26">
        <v>47</v>
      </c>
      <c r="G308" s="17">
        <v>7.27</v>
      </c>
      <c r="H308" s="17">
        <v>0</v>
      </c>
      <c r="I308" s="164">
        <v>1.18</v>
      </c>
    </row>
    <row r="309" spans="2:9" x14ac:dyDescent="0.35">
      <c r="B309" s="145">
        <v>46157</v>
      </c>
      <c r="C309" s="14" t="s">
        <v>12</v>
      </c>
      <c r="D309" s="15">
        <v>0.44791666666666669</v>
      </c>
      <c r="E309" s="18" t="s">
        <v>15</v>
      </c>
      <c r="F309" s="26">
        <v>68</v>
      </c>
      <c r="G309" s="17">
        <v>7.05</v>
      </c>
      <c r="H309" s="17">
        <v>3</v>
      </c>
      <c r="I309" s="164">
        <v>1.0900000000000001</v>
      </c>
    </row>
    <row r="310" spans="2:9" x14ac:dyDescent="0.35">
      <c r="B310" s="145">
        <v>46160</v>
      </c>
      <c r="C310" s="14" t="s">
        <v>12</v>
      </c>
      <c r="D310" s="15">
        <v>0.4375</v>
      </c>
      <c r="E310" s="18" t="s">
        <v>585</v>
      </c>
      <c r="F310" s="26">
        <v>64</v>
      </c>
      <c r="G310" s="17">
        <v>7.44</v>
      </c>
      <c r="H310" s="17">
        <v>3</v>
      </c>
      <c r="I310" s="164">
        <v>0.99</v>
      </c>
    </row>
    <row r="311" spans="2:9" x14ac:dyDescent="0.35">
      <c r="B311" s="145">
        <v>46161</v>
      </c>
      <c r="C311" s="14" t="s">
        <v>12</v>
      </c>
      <c r="D311" s="15">
        <v>0.40277777777777779</v>
      </c>
      <c r="E311" s="18" t="s">
        <v>15</v>
      </c>
      <c r="F311" s="26">
        <v>42</v>
      </c>
      <c r="G311" s="17">
        <v>7.44</v>
      </c>
      <c r="H311" s="17">
        <v>4</v>
      </c>
      <c r="I311" s="164">
        <v>1.03</v>
      </c>
    </row>
    <row r="312" spans="2:9" x14ac:dyDescent="0.35">
      <c r="B312" s="145">
        <v>46162</v>
      </c>
      <c r="C312" s="14" t="s">
        <v>12</v>
      </c>
      <c r="D312" s="15">
        <v>0.45833333333333331</v>
      </c>
      <c r="E312" s="18" t="s">
        <v>585</v>
      </c>
      <c r="F312" s="26">
        <v>61</v>
      </c>
      <c r="G312" s="17">
        <v>7.66</v>
      </c>
      <c r="H312" s="17">
        <v>5</v>
      </c>
      <c r="I312" s="164">
        <v>0.96</v>
      </c>
    </row>
    <row r="313" spans="2:9" x14ac:dyDescent="0.35">
      <c r="B313" s="145">
        <v>46163</v>
      </c>
      <c r="C313" s="14" t="s">
        <v>12</v>
      </c>
      <c r="D313" s="15">
        <v>0.44444444444444442</v>
      </c>
      <c r="E313" s="18" t="s">
        <v>585</v>
      </c>
      <c r="F313" s="26">
        <v>55</v>
      </c>
      <c r="G313" s="17">
        <v>7.53</v>
      </c>
      <c r="H313" s="17">
        <v>4</v>
      </c>
      <c r="I313" s="164">
        <v>1.29</v>
      </c>
    </row>
    <row r="314" spans="2:9" x14ac:dyDescent="0.35">
      <c r="B314" s="145">
        <v>46164</v>
      </c>
      <c r="C314" s="14" t="s">
        <v>12</v>
      </c>
      <c r="D314" s="15">
        <v>0.44791666666666669</v>
      </c>
      <c r="E314" s="18" t="s">
        <v>585</v>
      </c>
      <c r="F314" s="26">
        <v>58</v>
      </c>
      <c r="G314" s="17">
        <v>7.64</v>
      </c>
      <c r="H314" s="17">
        <v>6</v>
      </c>
      <c r="I314" s="164">
        <v>1.28</v>
      </c>
    </row>
    <row r="315" spans="2:9" x14ac:dyDescent="0.35">
      <c r="B315" s="145">
        <v>46167</v>
      </c>
      <c r="C315" s="14" t="s">
        <v>12</v>
      </c>
      <c r="D315" s="15">
        <v>0.45833333333333331</v>
      </c>
      <c r="E315" s="18" t="s">
        <v>125</v>
      </c>
      <c r="F315" s="26">
        <v>54</v>
      </c>
      <c r="G315" s="17">
        <v>7.87</v>
      </c>
      <c r="H315" s="17">
        <v>3</v>
      </c>
      <c r="I315" s="164">
        <v>1.26</v>
      </c>
    </row>
    <row r="316" spans="2:9" x14ac:dyDescent="0.35">
      <c r="B316" s="145">
        <v>46168</v>
      </c>
      <c r="C316" s="14" t="s">
        <v>12</v>
      </c>
      <c r="D316" s="15">
        <v>0.52777777777777779</v>
      </c>
      <c r="E316" s="18" t="s">
        <v>125</v>
      </c>
      <c r="F316" s="26">
        <v>85</v>
      </c>
      <c r="G316" s="17">
        <v>7.42</v>
      </c>
      <c r="H316" s="17">
        <v>18</v>
      </c>
      <c r="I316" s="164">
        <v>1.05</v>
      </c>
    </row>
    <row r="317" spans="2:9" x14ac:dyDescent="0.35">
      <c r="B317" s="145">
        <v>46169</v>
      </c>
      <c r="C317" s="14" t="s">
        <v>12</v>
      </c>
      <c r="D317" s="15">
        <v>0.52083333333333337</v>
      </c>
      <c r="E317" s="18" t="s">
        <v>125</v>
      </c>
      <c r="F317" s="26">
        <v>56</v>
      </c>
      <c r="G317" s="17">
        <v>7.83</v>
      </c>
      <c r="H317" s="17">
        <v>3</v>
      </c>
      <c r="I317" s="164">
        <v>1.1599999999999999</v>
      </c>
    </row>
    <row r="318" spans="2:9" x14ac:dyDescent="0.35">
      <c r="B318" s="145">
        <v>46170</v>
      </c>
      <c r="C318" s="14" t="s">
        <v>12</v>
      </c>
      <c r="D318" s="15">
        <v>0.51041666666666663</v>
      </c>
      <c r="E318" s="18" t="s">
        <v>125</v>
      </c>
      <c r="F318" s="26">
        <v>54</v>
      </c>
      <c r="G318" s="17">
        <v>7.34</v>
      </c>
      <c r="H318" s="17">
        <v>0</v>
      </c>
      <c r="I318" s="164">
        <v>1.2</v>
      </c>
    </row>
    <row r="319" spans="2:9" x14ac:dyDescent="0.35">
      <c r="B319" s="166">
        <v>46171</v>
      </c>
      <c r="C319" s="167" t="s">
        <v>12</v>
      </c>
      <c r="D319" s="168">
        <v>0.53472222222222221</v>
      </c>
      <c r="E319" s="169" t="s">
        <v>125</v>
      </c>
      <c r="F319" s="170">
        <v>51</v>
      </c>
      <c r="G319" s="171">
        <v>7.58</v>
      </c>
      <c r="H319" s="171">
        <v>7</v>
      </c>
      <c r="I319" s="172">
        <v>1.1599999999999999</v>
      </c>
    </row>
    <row r="320" spans="2:9" x14ac:dyDescent="0.35">
      <c r="B320" s="145">
        <v>46174</v>
      </c>
      <c r="C320" s="14" t="s">
        <v>12</v>
      </c>
      <c r="D320" s="15">
        <v>0.36458333333333331</v>
      </c>
      <c r="E320" s="18" t="s">
        <v>15</v>
      </c>
      <c r="F320" s="26">
        <v>69</v>
      </c>
      <c r="G320" s="17">
        <v>7.68</v>
      </c>
      <c r="H320" s="17">
        <v>11</v>
      </c>
      <c r="I320" s="164">
        <v>1.34</v>
      </c>
    </row>
    <row r="321" spans="2:9" x14ac:dyDescent="0.35">
      <c r="B321" s="145">
        <v>46175</v>
      </c>
      <c r="C321" s="14" t="s">
        <v>12</v>
      </c>
      <c r="D321" s="15">
        <v>0.375</v>
      </c>
      <c r="E321" s="18" t="s">
        <v>15</v>
      </c>
      <c r="F321" s="26">
        <v>64</v>
      </c>
      <c r="G321" s="17">
        <v>7.48</v>
      </c>
      <c r="H321" s="17">
        <v>14</v>
      </c>
      <c r="I321" s="164">
        <v>1.63</v>
      </c>
    </row>
    <row r="322" spans="2:9" x14ac:dyDescent="0.35">
      <c r="B322" s="145">
        <v>46176</v>
      </c>
      <c r="C322" s="14" t="s">
        <v>12</v>
      </c>
      <c r="D322" s="15">
        <v>0.3888888888888889</v>
      </c>
      <c r="E322" s="18" t="s">
        <v>15</v>
      </c>
      <c r="F322" s="26">
        <v>69</v>
      </c>
      <c r="G322" s="17">
        <v>7.56</v>
      </c>
      <c r="H322" s="17">
        <v>4</v>
      </c>
      <c r="I322" s="164">
        <v>1.46</v>
      </c>
    </row>
    <row r="323" spans="2:9" x14ac:dyDescent="0.35">
      <c r="B323" s="145">
        <v>46177</v>
      </c>
      <c r="C323" s="14" t="s">
        <v>12</v>
      </c>
      <c r="D323" s="15">
        <v>0.41666666666666669</v>
      </c>
      <c r="E323" s="18" t="s">
        <v>15</v>
      </c>
      <c r="F323" s="26">
        <v>369</v>
      </c>
      <c r="G323" s="17">
        <v>7.45</v>
      </c>
      <c r="H323" s="17">
        <v>2</v>
      </c>
      <c r="I323" s="164">
        <v>1.66</v>
      </c>
    </row>
    <row r="324" spans="2:9" x14ac:dyDescent="0.35">
      <c r="B324" s="145">
        <v>46178</v>
      </c>
      <c r="C324" s="14" t="s">
        <v>12</v>
      </c>
      <c r="D324" s="15">
        <v>0.42708333333333331</v>
      </c>
      <c r="E324" s="18" t="s">
        <v>15</v>
      </c>
      <c r="F324" s="26">
        <v>53</v>
      </c>
      <c r="G324" s="17">
        <v>7.57</v>
      </c>
      <c r="H324" s="17">
        <v>3</v>
      </c>
      <c r="I324" s="164">
        <v>1.32</v>
      </c>
    </row>
    <row r="325" spans="2:9" x14ac:dyDescent="0.35">
      <c r="B325" s="145">
        <v>46181</v>
      </c>
      <c r="C325" s="14" t="s">
        <v>12</v>
      </c>
      <c r="D325" s="15">
        <v>0.38194444444444442</v>
      </c>
      <c r="E325" s="18" t="s">
        <v>15</v>
      </c>
      <c r="F325" s="26">
        <v>63</v>
      </c>
      <c r="G325" s="17">
        <v>7.76</v>
      </c>
      <c r="H325" s="17">
        <v>4</v>
      </c>
      <c r="I325" s="164">
        <v>1.21</v>
      </c>
    </row>
    <row r="326" spans="2:9" x14ac:dyDescent="0.35">
      <c r="B326" s="145">
        <v>46182</v>
      </c>
      <c r="C326" s="14" t="s">
        <v>12</v>
      </c>
      <c r="D326" s="15">
        <v>0.43055555555555558</v>
      </c>
      <c r="E326" s="18" t="s">
        <v>15</v>
      </c>
      <c r="F326" s="26">
        <v>112</v>
      </c>
      <c r="G326" s="17">
        <v>7.29</v>
      </c>
      <c r="H326" s="17">
        <v>18</v>
      </c>
      <c r="I326" s="164">
        <v>1.37</v>
      </c>
    </row>
    <row r="327" spans="2:9" x14ac:dyDescent="0.35">
      <c r="B327" s="145">
        <v>46183</v>
      </c>
      <c r="C327" s="14" t="s">
        <v>12</v>
      </c>
      <c r="D327" s="15">
        <v>0.40972222222222221</v>
      </c>
      <c r="E327" s="18" t="s">
        <v>15</v>
      </c>
      <c r="F327" s="26" t="s">
        <v>9</v>
      </c>
      <c r="G327" s="17" t="s">
        <v>9</v>
      </c>
      <c r="H327" s="17" t="s">
        <v>9</v>
      </c>
      <c r="I327" s="164" t="s">
        <v>9</v>
      </c>
    </row>
    <row r="328" spans="2:9" x14ac:dyDescent="0.35">
      <c r="B328" s="145">
        <v>46184</v>
      </c>
      <c r="C328" s="14" t="s">
        <v>12</v>
      </c>
      <c r="D328" s="15" t="s">
        <v>586</v>
      </c>
      <c r="E328" s="18" t="s">
        <v>15</v>
      </c>
      <c r="F328" s="26">
        <v>34</v>
      </c>
      <c r="G328" s="17">
        <v>7.42</v>
      </c>
      <c r="H328" s="17">
        <v>0</v>
      </c>
      <c r="I328" s="164">
        <v>1.39</v>
      </c>
    </row>
    <row r="329" spans="2:9" x14ac:dyDescent="0.35">
      <c r="B329" s="145">
        <v>46185</v>
      </c>
      <c r="C329" s="14" t="s">
        <v>12</v>
      </c>
      <c r="D329" s="15" t="s">
        <v>598</v>
      </c>
      <c r="E329" s="18" t="s">
        <v>15</v>
      </c>
      <c r="F329" s="26">
        <v>32</v>
      </c>
      <c r="G329" s="17">
        <v>7.53</v>
      </c>
      <c r="H329" s="17">
        <v>3</v>
      </c>
      <c r="I329" s="164">
        <v>1.28</v>
      </c>
    </row>
    <row r="330" spans="2:9" x14ac:dyDescent="0.35">
      <c r="B330" s="166">
        <v>46188</v>
      </c>
      <c r="C330" s="167" t="s">
        <v>12</v>
      </c>
      <c r="D330" s="168">
        <v>0.40277777777777779</v>
      </c>
      <c r="E330" s="169" t="s">
        <v>11</v>
      </c>
      <c r="F330" s="170" t="s">
        <v>9</v>
      </c>
      <c r="G330" s="171" t="s">
        <v>9</v>
      </c>
      <c r="H330" s="171" t="s">
        <v>9</v>
      </c>
      <c r="I330" s="172" t="s">
        <v>9</v>
      </c>
    </row>
    <row r="331" spans="2:9" x14ac:dyDescent="0.35">
      <c r="B331" s="145">
        <v>46189</v>
      </c>
      <c r="C331" s="14" t="s">
        <v>12</v>
      </c>
      <c r="D331" s="15">
        <v>0.41666666666666669</v>
      </c>
      <c r="E331" s="18" t="s">
        <v>11</v>
      </c>
      <c r="F331" s="26" t="s">
        <v>9</v>
      </c>
      <c r="G331" s="17" t="s">
        <v>9</v>
      </c>
      <c r="H331" s="17" t="s">
        <v>9</v>
      </c>
      <c r="I331" s="164" t="s">
        <v>9</v>
      </c>
    </row>
    <row r="332" spans="2:9" x14ac:dyDescent="0.35">
      <c r="B332" s="145">
        <v>46190</v>
      </c>
      <c r="C332" s="14" t="s">
        <v>12</v>
      </c>
      <c r="D332" s="15">
        <v>0.40277777777777779</v>
      </c>
      <c r="E332" s="18" t="s">
        <v>11</v>
      </c>
      <c r="F332" s="26">
        <v>46</v>
      </c>
      <c r="G332" s="17">
        <v>7.23</v>
      </c>
      <c r="H332" s="17">
        <v>33</v>
      </c>
      <c r="I332" s="164">
        <v>2.89</v>
      </c>
    </row>
    <row r="333" spans="2:9" x14ac:dyDescent="0.35">
      <c r="B333" s="145">
        <v>46191</v>
      </c>
      <c r="C333" s="14" t="s">
        <v>12</v>
      </c>
      <c r="D333" s="15">
        <v>0.43402777777777779</v>
      </c>
      <c r="E333" s="18" t="s">
        <v>11</v>
      </c>
      <c r="F333" s="26">
        <v>47</v>
      </c>
      <c r="G333" s="17">
        <v>7.67</v>
      </c>
      <c r="H333" s="17">
        <v>10</v>
      </c>
      <c r="I333" s="164">
        <v>2.77</v>
      </c>
    </row>
    <row r="334" spans="2:9" x14ac:dyDescent="0.35">
      <c r="B334" s="145">
        <v>46192</v>
      </c>
      <c r="C334" s="14" t="s">
        <v>12</v>
      </c>
      <c r="D334" s="15">
        <v>0.44791666666666669</v>
      </c>
      <c r="E334" s="18" t="s">
        <v>11</v>
      </c>
      <c r="F334" s="26">
        <v>77</v>
      </c>
      <c r="G334" s="17">
        <v>7.73</v>
      </c>
      <c r="H334" s="17">
        <v>7</v>
      </c>
      <c r="I334" s="164">
        <v>2.37</v>
      </c>
    </row>
    <row r="335" spans="2:9" x14ac:dyDescent="0.35">
      <c r="B335" s="166">
        <v>46195</v>
      </c>
      <c r="C335" s="167" t="s">
        <v>12</v>
      </c>
      <c r="D335" s="168">
        <v>0.37152777777777779</v>
      </c>
      <c r="E335" s="169" t="s">
        <v>15</v>
      </c>
      <c r="F335" s="170" t="s">
        <v>9</v>
      </c>
      <c r="G335" s="171" t="s">
        <v>9</v>
      </c>
      <c r="H335" s="171" t="s">
        <v>9</v>
      </c>
      <c r="I335" s="172" t="s">
        <v>9</v>
      </c>
    </row>
    <row r="336" spans="2:9" x14ac:dyDescent="0.35">
      <c r="B336" s="145">
        <v>46196</v>
      </c>
      <c r="C336" s="14" t="s">
        <v>12</v>
      </c>
      <c r="D336" s="15">
        <v>0.38541666666666669</v>
      </c>
      <c r="E336" s="18" t="s">
        <v>15</v>
      </c>
      <c r="F336" s="26">
        <v>45</v>
      </c>
      <c r="G336" s="17">
        <v>6.98</v>
      </c>
      <c r="H336" s="17">
        <v>47</v>
      </c>
      <c r="I336" s="164">
        <v>2.2799999999999998</v>
      </c>
    </row>
    <row r="337" spans="2:10" x14ac:dyDescent="0.35">
      <c r="B337" s="145">
        <v>46197</v>
      </c>
      <c r="C337" s="14" t="s">
        <v>12</v>
      </c>
      <c r="D337" s="15">
        <v>0.39930555555555558</v>
      </c>
      <c r="E337" s="18" t="s">
        <v>15</v>
      </c>
      <c r="F337" s="26">
        <v>56</v>
      </c>
      <c r="G337" s="17">
        <v>7.24</v>
      </c>
      <c r="H337" s="17">
        <v>34</v>
      </c>
      <c r="I337" s="164">
        <v>1.95</v>
      </c>
    </row>
    <row r="338" spans="2:10" x14ac:dyDescent="0.35">
      <c r="B338" s="145">
        <v>46198</v>
      </c>
      <c r="C338" s="14" t="s">
        <v>12</v>
      </c>
      <c r="D338" s="15">
        <v>0.36805555555555558</v>
      </c>
      <c r="E338" s="18" t="s">
        <v>15</v>
      </c>
      <c r="F338" s="26">
        <v>43</v>
      </c>
      <c r="G338" s="17">
        <v>7.59</v>
      </c>
      <c r="H338" s="17">
        <v>17</v>
      </c>
      <c r="I338" s="164">
        <v>1.76</v>
      </c>
    </row>
    <row r="339" spans="2:10" x14ac:dyDescent="0.35">
      <c r="B339" s="145">
        <v>46199</v>
      </c>
      <c r="C339" s="14" t="s">
        <v>12</v>
      </c>
      <c r="D339" s="15">
        <v>0.375</v>
      </c>
      <c r="E339" s="18" t="s">
        <v>15</v>
      </c>
      <c r="F339" s="26">
        <v>39</v>
      </c>
      <c r="G339" s="17">
        <v>7.44</v>
      </c>
      <c r="H339" s="17">
        <v>0</v>
      </c>
      <c r="I339" s="164">
        <v>1.52</v>
      </c>
    </row>
    <row r="340" spans="2:10" x14ac:dyDescent="0.35">
      <c r="B340" s="166">
        <v>46202</v>
      </c>
      <c r="C340" s="167" t="s">
        <v>12</v>
      </c>
      <c r="D340" s="168">
        <v>0.3888888888888889</v>
      </c>
      <c r="E340" s="169" t="s">
        <v>15</v>
      </c>
      <c r="F340" s="170">
        <v>26</v>
      </c>
      <c r="G340" s="171">
        <v>7.62</v>
      </c>
      <c r="H340" s="171">
        <v>14</v>
      </c>
      <c r="I340" s="172">
        <v>1.5</v>
      </c>
    </row>
    <row r="341" spans="2:10" x14ac:dyDescent="0.35">
      <c r="B341" s="145">
        <v>46203</v>
      </c>
      <c r="C341" s="14" t="s">
        <v>12</v>
      </c>
      <c r="D341" s="15">
        <v>0.35069444444444442</v>
      </c>
      <c r="E341" s="18" t="s">
        <v>15</v>
      </c>
      <c r="F341" s="26" t="s">
        <v>9</v>
      </c>
      <c r="G341" s="17" t="s">
        <v>9</v>
      </c>
      <c r="H341" s="17" t="s">
        <v>9</v>
      </c>
      <c r="I341" s="164" t="s">
        <v>9</v>
      </c>
    </row>
    <row r="342" spans="2:10" x14ac:dyDescent="0.35">
      <c r="B342" s="145">
        <v>46204</v>
      </c>
      <c r="C342" s="14" t="s">
        <v>12</v>
      </c>
      <c r="D342" s="15">
        <v>0.375</v>
      </c>
      <c r="E342" s="18" t="s">
        <v>15</v>
      </c>
      <c r="F342" s="26">
        <v>65</v>
      </c>
      <c r="G342" s="17">
        <v>7.31</v>
      </c>
      <c r="H342" s="17" t="s">
        <v>9</v>
      </c>
      <c r="I342" s="164">
        <v>1.1100000000000001</v>
      </c>
      <c r="J342" t="s">
        <v>608</v>
      </c>
    </row>
    <row r="343" spans="2:10" x14ac:dyDescent="0.35">
      <c r="B343" s="145">
        <v>46205</v>
      </c>
      <c r="C343" s="14" t="s">
        <v>12</v>
      </c>
      <c r="D343" s="15">
        <v>0.41319444444444442</v>
      </c>
      <c r="E343" s="18" t="s">
        <v>15</v>
      </c>
      <c r="F343" s="26" t="s">
        <v>9</v>
      </c>
      <c r="G343" s="17" t="s">
        <v>9</v>
      </c>
      <c r="H343" s="17" t="s">
        <v>9</v>
      </c>
      <c r="I343" s="164" t="s">
        <v>9</v>
      </c>
    </row>
    <row r="344" spans="2:10" x14ac:dyDescent="0.35">
      <c r="B344" s="145">
        <v>46206</v>
      </c>
      <c r="C344" s="14" t="s">
        <v>12</v>
      </c>
      <c r="D344" s="15">
        <v>0.3888888888888889</v>
      </c>
      <c r="E344" s="18" t="s">
        <v>15</v>
      </c>
      <c r="F344" s="26" t="s">
        <v>9</v>
      </c>
      <c r="G344" s="17" t="s">
        <v>9</v>
      </c>
      <c r="H344" s="17" t="s">
        <v>9</v>
      </c>
      <c r="I344" s="164" t="s">
        <v>9</v>
      </c>
    </row>
    <row r="345" spans="2:10" x14ac:dyDescent="0.35">
      <c r="B345" s="166">
        <v>46209</v>
      </c>
      <c r="C345" s="167" t="s">
        <v>12</v>
      </c>
      <c r="D345" s="168">
        <v>0.375</v>
      </c>
      <c r="E345" s="169" t="s">
        <v>607</v>
      </c>
      <c r="F345" s="170">
        <v>83</v>
      </c>
      <c r="G345" s="171">
        <v>7.59</v>
      </c>
      <c r="H345" s="171" t="s">
        <v>9</v>
      </c>
      <c r="I345" s="172">
        <v>1.56</v>
      </c>
      <c r="J345" t="s">
        <v>608</v>
      </c>
    </row>
    <row r="346" spans="2:10" x14ac:dyDescent="0.35">
      <c r="B346" s="145">
        <v>46210</v>
      </c>
      <c r="C346" s="14" t="s">
        <v>12</v>
      </c>
      <c r="D346" s="15">
        <v>0.36805555555555558</v>
      </c>
      <c r="E346" s="18" t="s">
        <v>607</v>
      </c>
      <c r="F346" s="26" t="s">
        <v>9</v>
      </c>
      <c r="G346" s="17" t="s">
        <v>9</v>
      </c>
      <c r="H346" s="17" t="s">
        <v>9</v>
      </c>
      <c r="I346" s="164" t="s">
        <v>9</v>
      </c>
    </row>
    <row r="347" spans="2:10" x14ac:dyDescent="0.35">
      <c r="B347" s="145">
        <v>46211</v>
      </c>
      <c r="C347" s="14" t="s">
        <v>12</v>
      </c>
      <c r="D347" s="15">
        <v>0.375</v>
      </c>
      <c r="E347" s="18" t="s">
        <v>607</v>
      </c>
      <c r="F347" s="26">
        <v>41</v>
      </c>
      <c r="G347" s="17">
        <v>7.53</v>
      </c>
      <c r="H347" s="17">
        <v>64</v>
      </c>
      <c r="I347" s="164">
        <v>1.78</v>
      </c>
    </row>
    <row r="348" spans="2:10" x14ac:dyDescent="0.35">
      <c r="B348" s="145">
        <v>46212</v>
      </c>
      <c r="C348" s="14" t="s">
        <v>12</v>
      </c>
      <c r="D348" s="15">
        <v>0.375</v>
      </c>
      <c r="E348" s="18" t="s">
        <v>607</v>
      </c>
      <c r="F348" s="26" t="s">
        <v>9</v>
      </c>
      <c r="G348" s="17" t="s">
        <v>9</v>
      </c>
      <c r="H348" s="17" t="s">
        <v>9</v>
      </c>
      <c r="I348" s="164" t="s">
        <v>9</v>
      </c>
    </row>
    <row r="349" spans="2:10" x14ac:dyDescent="0.35">
      <c r="B349" s="145">
        <v>46213</v>
      </c>
      <c r="C349" s="14" t="s">
        <v>12</v>
      </c>
      <c r="D349" s="15">
        <v>0.40277777777777779</v>
      </c>
      <c r="E349" s="18" t="s">
        <v>607</v>
      </c>
      <c r="F349" s="26">
        <v>33</v>
      </c>
      <c r="G349" s="17">
        <v>7.4</v>
      </c>
      <c r="H349" s="17">
        <v>42</v>
      </c>
      <c r="I349" s="164">
        <v>1.64</v>
      </c>
    </row>
    <row r="350" spans="2:10" x14ac:dyDescent="0.35">
      <c r="B350" s="166">
        <v>46216</v>
      </c>
      <c r="C350" s="167" t="s">
        <v>12</v>
      </c>
      <c r="D350" s="168">
        <v>0.3888888888888889</v>
      </c>
      <c r="E350" s="169" t="s">
        <v>15</v>
      </c>
      <c r="F350" s="170" t="s">
        <v>9</v>
      </c>
      <c r="G350" s="171" t="s">
        <v>9</v>
      </c>
      <c r="H350" s="171" t="s">
        <v>9</v>
      </c>
      <c r="I350" s="172" t="s">
        <v>9</v>
      </c>
    </row>
    <row r="351" spans="2:10" x14ac:dyDescent="0.35">
      <c r="B351" s="145">
        <v>46217</v>
      </c>
      <c r="C351" s="14" t="s">
        <v>12</v>
      </c>
      <c r="D351" s="15">
        <v>0.3888888888888889</v>
      </c>
      <c r="E351" s="18" t="s">
        <v>15</v>
      </c>
      <c r="F351" s="26" t="s">
        <v>9</v>
      </c>
      <c r="G351" s="17" t="s">
        <v>9</v>
      </c>
      <c r="H351" s="17" t="s">
        <v>9</v>
      </c>
      <c r="I351" s="164" t="s">
        <v>9</v>
      </c>
    </row>
    <row r="352" spans="2:10" x14ac:dyDescent="0.35">
      <c r="B352" s="145">
        <v>46218</v>
      </c>
      <c r="C352" s="14" t="s">
        <v>12</v>
      </c>
      <c r="D352" s="15">
        <v>0.375</v>
      </c>
      <c r="E352" s="18" t="s">
        <v>15</v>
      </c>
      <c r="F352" s="26" t="s">
        <v>9</v>
      </c>
      <c r="G352" s="17" t="s">
        <v>9</v>
      </c>
      <c r="H352" s="17" t="s">
        <v>9</v>
      </c>
      <c r="I352" s="164" t="s">
        <v>9</v>
      </c>
    </row>
    <row r="353" spans="2:9" x14ac:dyDescent="0.35">
      <c r="B353" s="145">
        <v>46219</v>
      </c>
      <c r="C353" s="14" t="s">
        <v>12</v>
      </c>
      <c r="D353" s="15">
        <v>0.3576388888888889</v>
      </c>
      <c r="E353" s="18" t="s">
        <v>15</v>
      </c>
      <c r="F353" s="26" t="s">
        <v>9</v>
      </c>
      <c r="G353" s="17" t="s">
        <v>9</v>
      </c>
      <c r="H353" s="17" t="s">
        <v>9</v>
      </c>
      <c r="I353" s="164" t="s">
        <v>9</v>
      </c>
    </row>
    <row r="354" spans="2:9" x14ac:dyDescent="0.35">
      <c r="B354" s="145">
        <v>46220</v>
      </c>
      <c r="C354" s="14" t="s">
        <v>12</v>
      </c>
      <c r="D354" s="15">
        <v>0.51388888888888884</v>
      </c>
      <c r="E354" s="18" t="s">
        <v>15</v>
      </c>
      <c r="F354" s="26">
        <v>41</v>
      </c>
      <c r="G354" s="17">
        <v>7.86</v>
      </c>
      <c r="H354" s="17">
        <v>38</v>
      </c>
      <c r="I354" s="164">
        <v>1.42</v>
      </c>
    </row>
    <row r="355" spans="2:9" x14ac:dyDescent="0.35">
      <c r="B355" s="145">
        <v>46223</v>
      </c>
      <c r="C355" s="14" t="s">
        <v>12</v>
      </c>
      <c r="D355" s="15">
        <v>0.35416666666666669</v>
      </c>
      <c r="E355" s="18" t="s">
        <v>15</v>
      </c>
      <c r="F355" s="26" t="s">
        <v>9</v>
      </c>
      <c r="G355" s="17" t="s">
        <v>9</v>
      </c>
      <c r="H355" s="17" t="s">
        <v>9</v>
      </c>
      <c r="I355" s="164" t="s">
        <v>9</v>
      </c>
    </row>
    <row r="356" spans="2:9" x14ac:dyDescent="0.35">
      <c r="B356" s="166">
        <v>46224</v>
      </c>
      <c r="C356" s="167" t="s">
        <v>12</v>
      </c>
      <c r="D356" s="168">
        <v>0.34722222222222221</v>
      </c>
      <c r="E356" s="169" t="s">
        <v>15</v>
      </c>
      <c r="F356" s="170">
        <v>48</v>
      </c>
      <c r="G356" s="171">
        <v>8.16</v>
      </c>
      <c r="H356" s="171">
        <v>43</v>
      </c>
      <c r="I356" s="172">
        <v>1.66</v>
      </c>
    </row>
    <row r="357" spans="2:9" x14ac:dyDescent="0.35">
      <c r="B357" s="145">
        <v>46225</v>
      </c>
      <c r="C357" s="14" t="s">
        <v>12</v>
      </c>
      <c r="D357" s="15">
        <v>0.31944444444444442</v>
      </c>
      <c r="E357" s="18" t="s">
        <v>15</v>
      </c>
      <c r="F357" s="26" t="s">
        <v>9</v>
      </c>
      <c r="G357" s="17" t="s">
        <v>9</v>
      </c>
      <c r="H357" s="17" t="s">
        <v>9</v>
      </c>
      <c r="I357" s="164" t="s">
        <v>9</v>
      </c>
    </row>
    <row r="358" spans="2:9" x14ac:dyDescent="0.35">
      <c r="B358" s="145">
        <v>46226</v>
      </c>
      <c r="C358" s="14" t="s">
        <v>12</v>
      </c>
      <c r="D358" s="15">
        <v>0.3611111111111111</v>
      </c>
      <c r="E358" s="18" t="s">
        <v>15</v>
      </c>
      <c r="F358" s="26">
        <v>40</v>
      </c>
      <c r="G358" s="17">
        <v>7.7</v>
      </c>
      <c r="H358" s="17">
        <v>49</v>
      </c>
      <c r="I358" s="164">
        <v>1.99</v>
      </c>
    </row>
    <row r="359" spans="2:9" x14ac:dyDescent="0.35">
      <c r="B359" s="145">
        <v>46227</v>
      </c>
      <c r="C359" s="14" t="s">
        <v>12</v>
      </c>
      <c r="D359" s="15">
        <v>0.44097222222222221</v>
      </c>
      <c r="E359" s="18" t="s">
        <v>15</v>
      </c>
      <c r="F359" s="26" t="s">
        <v>9</v>
      </c>
      <c r="G359" s="17" t="s">
        <v>9</v>
      </c>
      <c r="H359" s="17" t="s">
        <v>9</v>
      </c>
      <c r="I359" s="164" t="s">
        <v>9</v>
      </c>
    </row>
    <row r="360" spans="2:9" x14ac:dyDescent="0.35">
      <c r="B360" s="145">
        <v>46230</v>
      </c>
      <c r="C360" s="14" t="s">
        <v>12</v>
      </c>
      <c r="D360" s="15">
        <v>0.36458333333333331</v>
      </c>
      <c r="E360" s="18" t="s">
        <v>32</v>
      </c>
      <c r="F360" s="26">
        <v>28</v>
      </c>
      <c r="G360" s="17">
        <v>8.09</v>
      </c>
      <c r="H360" s="17">
        <v>27</v>
      </c>
      <c r="I360" s="164">
        <v>1.3</v>
      </c>
    </row>
    <row r="361" spans="2:9" x14ac:dyDescent="0.35">
      <c r="B361" s="166">
        <v>46231</v>
      </c>
      <c r="C361" s="167" t="s">
        <v>12</v>
      </c>
      <c r="D361" s="168">
        <v>0.3576388888888889</v>
      </c>
      <c r="E361" s="169" t="s">
        <v>32</v>
      </c>
      <c r="F361" s="170">
        <v>42</v>
      </c>
      <c r="G361" s="171">
        <v>8.01</v>
      </c>
      <c r="H361" s="171">
        <v>26</v>
      </c>
      <c r="I361" s="172">
        <v>1.46</v>
      </c>
    </row>
    <row r="362" spans="2:9" x14ac:dyDescent="0.35">
      <c r="B362" s="145">
        <v>46232</v>
      </c>
      <c r="C362" s="14" t="s">
        <v>12</v>
      </c>
      <c r="D362" s="15">
        <v>0.33333333333333331</v>
      </c>
      <c r="E362" s="18" t="s">
        <v>32</v>
      </c>
      <c r="F362" s="26">
        <v>48</v>
      </c>
      <c r="G362" s="17">
        <v>7.79</v>
      </c>
      <c r="H362" s="17">
        <v>38</v>
      </c>
      <c r="I362" s="164">
        <v>1.56</v>
      </c>
    </row>
    <row r="363" spans="2:9" x14ac:dyDescent="0.35">
      <c r="B363" s="145">
        <v>46233</v>
      </c>
      <c r="C363" s="14" t="s">
        <v>12</v>
      </c>
      <c r="D363" s="15">
        <v>0.34722222222222221</v>
      </c>
      <c r="E363" s="18" t="s">
        <v>32</v>
      </c>
      <c r="F363" s="26">
        <v>42</v>
      </c>
      <c r="G363" s="17">
        <v>8.15</v>
      </c>
      <c r="H363" s="17">
        <v>8</v>
      </c>
      <c r="I363" s="164">
        <v>1.22</v>
      </c>
    </row>
    <row r="364" spans="2:9" x14ac:dyDescent="0.35">
      <c r="B364" s="166">
        <v>46234</v>
      </c>
      <c r="C364" s="167" t="s">
        <v>12</v>
      </c>
      <c r="D364" s="168">
        <v>0.37152777777777779</v>
      </c>
      <c r="E364" s="169" t="s">
        <v>32</v>
      </c>
      <c r="F364" s="170">
        <v>36</v>
      </c>
      <c r="G364" s="171">
        <v>8.1</v>
      </c>
      <c r="H364" s="171">
        <v>0</v>
      </c>
      <c r="I364" s="172">
        <v>1.41</v>
      </c>
    </row>
    <row r="365" spans="2:9" x14ac:dyDescent="0.35">
      <c r="B365" s="145">
        <v>46237</v>
      </c>
      <c r="C365" s="14" t="s">
        <v>12</v>
      </c>
      <c r="D365" s="15">
        <v>0.35069444444444442</v>
      </c>
      <c r="E365" s="18" t="s">
        <v>11</v>
      </c>
      <c r="F365" s="26" t="s">
        <v>9</v>
      </c>
      <c r="G365" s="17" t="s">
        <v>9</v>
      </c>
      <c r="H365" s="17" t="s">
        <v>9</v>
      </c>
      <c r="I365" s="164" t="s">
        <v>9</v>
      </c>
    </row>
    <row r="366" spans="2:9" x14ac:dyDescent="0.35">
      <c r="B366" s="145">
        <v>46238</v>
      </c>
      <c r="C366" s="14" t="s">
        <v>12</v>
      </c>
      <c r="D366" s="15">
        <v>0.40625</v>
      </c>
      <c r="E366" s="18" t="s">
        <v>11</v>
      </c>
      <c r="F366" s="26" t="s">
        <v>9</v>
      </c>
      <c r="G366" s="17" t="s">
        <v>9</v>
      </c>
      <c r="H366" s="17" t="s">
        <v>9</v>
      </c>
      <c r="I366" s="164" t="s">
        <v>9</v>
      </c>
    </row>
    <row r="367" spans="2:9" x14ac:dyDescent="0.35">
      <c r="B367" s="145">
        <v>46239</v>
      </c>
      <c r="C367" s="14" t="s">
        <v>12</v>
      </c>
      <c r="D367" s="15" t="s">
        <v>586</v>
      </c>
      <c r="E367" s="18" t="s">
        <v>11</v>
      </c>
      <c r="F367" s="26" t="s">
        <v>9</v>
      </c>
      <c r="G367" s="17" t="s">
        <v>9</v>
      </c>
      <c r="H367" s="17" t="s">
        <v>9</v>
      </c>
      <c r="I367" s="164" t="s">
        <v>9</v>
      </c>
    </row>
    <row r="368" spans="2:9" x14ac:dyDescent="0.35">
      <c r="B368" s="145">
        <v>46240</v>
      </c>
      <c r="C368" s="14" t="s">
        <v>12</v>
      </c>
      <c r="D368" s="15">
        <v>0.52083333333333337</v>
      </c>
      <c r="E368" s="18" t="s">
        <v>11</v>
      </c>
      <c r="F368" s="26">
        <v>34</v>
      </c>
      <c r="G368" s="17">
        <v>8.08</v>
      </c>
      <c r="H368" s="17">
        <v>35</v>
      </c>
      <c r="I368" s="164">
        <v>1.63</v>
      </c>
    </row>
    <row r="369" spans="2:9" x14ac:dyDescent="0.35">
      <c r="B369" s="145">
        <v>46241</v>
      </c>
      <c r="C369" s="14" t="s">
        <v>12</v>
      </c>
      <c r="D369" s="15">
        <v>0.52083333333333337</v>
      </c>
      <c r="E369" s="18" t="s">
        <v>619</v>
      </c>
      <c r="F369" s="26">
        <v>37</v>
      </c>
      <c r="G369" s="17">
        <v>7.78</v>
      </c>
      <c r="H369" s="17">
        <v>17</v>
      </c>
      <c r="I369" s="164">
        <v>1.57</v>
      </c>
    </row>
    <row r="370" spans="2:9" x14ac:dyDescent="0.35">
      <c r="B370" s="145">
        <v>46244</v>
      </c>
      <c r="C370" s="14" t="s">
        <v>12</v>
      </c>
      <c r="D370" s="15">
        <v>0.34375</v>
      </c>
      <c r="E370" s="18" t="s">
        <v>620</v>
      </c>
      <c r="F370" s="26" t="s">
        <v>9</v>
      </c>
      <c r="G370" s="17" t="s">
        <v>9</v>
      </c>
      <c r="H370" s="17" t="s">
        <v>9</v>
      </c>
      <c r="I370" s="164" t="s">
        <v>9</v>
      </c>
    </row>
    <row r="371" spans="2:9" x14ac:dyDescent="0.35">
      <c r="B371" s="166">
        <v>46245</v>
      </c>
      <c r="C371" s="167" t="s">
        <v>12</v>
      </c>
      <c r="D371" s="168">
        <v>0.39930555555555558</v>
      </c>
      <c r="E371" s="169" t="s">
        <v>620</v>
      </c>
      <c r="F371" s="170" t="s">
        <v>9</v>
      </c>
      <c r="G371" s="171" t="s">
        <v>9</v>
      </c>
      <c r="H371" s="171" t="s">
        <v>9</v>
      </c>
      <c r="I371" s="172" t="s">
        <v>9</v>
      </c>
    </row>
    <row r="372" spans="2:9" x14ac:dyDescent="0.35">
      <c r="B372" s="145">
        <v>46246</v>
      </c>
      <c r="C372" s="14" t="s">
        <v>12</v>
      </c>
      <c r="D372" s="15">
        <v>0.41666666666666669</v>
      </c>
      <c r="E372" s="18" t="s">
        <v>620</v>
      </c>
      <c r="F372" s="26">
        <v>37</v>
      </c>
      <c r="G372" s="17">
        <v>7.7</v>
      </c>
      <c r="H372" s="17">
        <v>12</v>
      </c>
      <c r="I372" s="164">
        <v>1.7</v>
      </c>
    </row>
    <row r="373" spans="2:9" x14ac:dyDescent="0.35">
      <c r="B373" s="145">
        <v>46247</v>
      </c>
      <c r="C373" s="14" t="s">
        <v>12</v>
      </c>
      <c r="D373" s="15">
        <v>0.4236111111111111</v>
      </c>
      <c r="E373" s="18" t="s">
        <v>620</v>
      </c>
      <c r="F373" s="26">
        <v>30</v>
      </c>
      <c r="G373" s="17">
        <v>8.14</v>
      </c>
      <c r="H373" s="17">
        <v>5</v>
      </c>
      <c r="I373" s="164">
        <v>1.66</v>
      </c>
    </row>
    <row r="374" spans="2:9" x14ac:dyDescent="0.35">
      <c r="B374" s="166">
        <v>46248</v>
      </c>
      <c r="C374" s="167" t="s">
        <v>12</v>
      </c>
      <c r="D374" s="168">
        <v>0.43055555555555558</v>
      </c>
      <c r="E374" s="169" t="s">
        <v>620</v>
      </c>
      <c r="F374" s="170">
        <v>34</v>
      </c>
      <c r="G374" s="171">
        <v>7.96</v>
      </c>
      <c r="H374" s="171">
        <v>10</v>
      </c>
      <c r="I374" s="172">
        <v>1.48</v>
      </c>
    </row>
    <row r="375" spans="2:9" x14ac:dyDescent="0.35">
      <c r="B375" s="145">
        <v>46251</v>
      </c>
      <c r="C375" s="14" t="s">
        <v>12</v>
      </c>
      <c r="D375" s="15">
        <v>0.34722222222222221</v>
      </c>
      <c r="E375" s="18" t="s">
        <v>15</v>
      </c>
      <c r="F375" s="26" t="s">
        <v>9</v>
      </c>
      <c r="G375" s="17" t="s">
        <v>9</v>
      </c>
      <c r="H375" s="17" t="s">
        <v>9</v>
      </c>
      <c r="I375" s="164" t="s">
        <v>9</v>
      </c>
    </row>
    <row r="376" spans="2:9" x14ac:dyDescent="0.35">
      <c r="B376" s="145">
        <v>46252</v>
      </c>
      <c r="C376" s="14" t="s">
        <v>12</v>
      </c>
      <c r="D376" s="15">
        <v>0.3611111111111111</v>
      </c>
      <c r="E376" s="18" t="s">
        <v>15</v>
      </c>
      <c r="F376" s="26">
        <v>27</v>
      </c>
      <c r="G376" s="17">
        <v>8.61</v>
      </c>
      <c r="H376" s="17">
        <v>9</v>
      </c>
      <c r="I376" s="164">
        <v>1.9</v>
      </c>
    </row>
    <row r="377" spans="2:9" x14ac:dyDescent="0.35">
      <c r="B377" s="166">
        <v>46253</v>
      </c>
      <c r="C377" s="167" t="s">
        <v>12</v>
      </c>
      <c r="D377" s="168">
        <v>0.33333333333333331</v>
      </c>
      <c r="E377" s="169" t="s">
        <v>15</v>
      </c>
      <c r="F377" s="170" t="s">
        <v>9</v>
      </c>
      <c r="G377" s="171" t="s">
        <v>9</v>
      </c>
      <c r="H377" s="171" t="s">
        <v>9</v>
      </c>
      <c r="I377" s="172" t="s">
        <v>9</v>
      </c>
    </row>
    <row r="378" spans="2:9" x14ac:dyDescent="0.35">
      <c r="B378" s="145">
        <v>46254</v>
      </c>
      <c r="C378" s="14" t="s">
        <v>12</v>
      </c>
      <c r="D378" s="15">
        <v>0.31944444444444442</v>
      </c>
      <c r="E378" s="18" t="s">
        <v>15</v>
      </c>
      <c r="F378" s="26">
        <v>27</v>
      </c>
      <c r="G378" s="17">
        <v>8.5</v>
      </c>
      <c r="H378" s="17">
        <v>10</v>
      </c>
      <c r="I378" s="164">
        <v>2.2799999999999998</v>
      </c>
    </row>
    <row r="379" spans="2:9" x14ac:dyDescent="0.35">
      <c r="B379" s="145">
        <v>46255</v>
      </c>
      <c r="C379" s="14" t="s">
        <v>12</v>
      </c>
      <c r="D379" s="15">
        <v>0.33333333333333331</v>
      </c>
      <c r="E379" s="18" t="s">
        <v>15</v>
      </c>
      <c r="F379" s="26">
        <v>33</v>
      </c>
      <c r="G379" s="17">
        <v>7.94</v>
      </c>
      <c r="H379" s="17">
        <v>0</v>
      </c>
      <c r="I379" s="164">
        <v>2.04</v>
      </c>
    </row>
    <row r="380" spans="2:9" x14ac:dyDescent="0.35">
      <c r="B380" s="145">
        <v>46258</v>
      </c>
      <c r="C380" s="14" t="s">
        <v>12</v>
      </c>
      <c r="D380" s="15">
        <v>0.36805555555555558</v>
      </c>
      <c r="E380" s="18" t="s">
        <v>607</v>
      </c>
      <c r="F380" s="26" t="s">
        <v>9</v>
      </c>
      <c r="G380" s="17" t="s">
        <v>9</v>
      </c>
      <c r="H380" s="17" t="s">
        <v>9</v>
      </c>
      <c r="I380" s="164" t="s">
        <v>9</v>
      </c>
    </row>
    <row r="381" spans="2:9" x14ac:dyDescent="0.35">
      <c r="B381" s="166">
        <v>46259</v>
      </c>
      <c r="C381" s="167" t="s">
        <v>12</v>
      </c>
      <c r="D381" s="168">
        <v>0.3611111111111111</v>
      </c>
      <c r="E381" s="169" t="s">
        <v>607</v>
      </c>
      <c r="F381" s="170" t="s">
        <v>9</v>
      </c>
      <c r="G381" s="171" t="s">
        <v>9</v>
      </c>
      <c r="H381" s="171" t="s">
        <v>9</v>
      </c>
      <c r="I381" s="172" t="s">
        <v>9</v>
      </c>
    </row>
    <row r="382" spans="2:9" x14ac:dyDescent="0.35">
      <c r="B382" s="145">
        <v>46260</v>
      </c>
      <c r="C382" s="14" t="s">
        <v>12</v>
      </c>
      <c r="D382" s="15">
        <v>0.34722222222222221</v>
      </c>
      <c r="E382" s="18" t="s">
        <v>607</v>
      </c>
      <c r="F382" s="26">
        <v>29</v>
      </c>
      <c r="G382" s="17">
        <v>8.7100000000000009</v>
      </c>
      <c r="H382" s="17">
        <v>19</v>
      </c>
      <c r="I382" s="164">
        <v>1.65</v>
      </c>
    </row>
    <row r="383" spans="2:9" x14ac:dyDescent="0.35">
      <c r="B383" s="145">
        <v>46261</v>
      </c>
      <c r="C383" s="14" t="s">
        <v>12</v>
      </c>
      <c r="D383" s="15">
        <v>0.34722222222222221</v>
      </c>
      <c r="E383" s="18" t="s">
        <v>607</v>
      </c>
      <c r="F383" s="26">
        <v>22</v>
      </c>
      <c r="G383" s="17">
        <v>8.0399999999999991</v>
      </c>
      <c r="H383" s="17">
        <v>15</v>
      </c>
      <c r="I383" s="164">
        <v>1.74</v>
      </c>
    </row>
    <row r="384" spans="2:9" x14ac:dyDescent="0.35">
      <c r="B384" s="145">
        <v>46262</v>
      </c>
      <c r="C384" s="14" t="s">
        <v>12</v>
      </c>
      <c r="D384" s="15">
        <v>0.4513888888888889</v>
      </c>
      <c r="E384" s="18" t="s">
        <v>15</v>
      </c>
      <c r="F384" s="26">
        <v>36</v>
      </c>
      <c r="G384" s="17">
        <v>8</v>
      </c>
      <c r="H384" s="17">
        <v>23</v>
      </c>
      <c r="I384" s="164">
        <v>1.94</v>
      </c>
    </row>
    <row r="385" spans="2:9" x14ac:dyDescent="0.35">
      <c r="B385" s="166">
        <v>46265</v>
      </c>
      <c r="C385" s="167" t="s">
        <v>12</v>
      </c>
      <c r="D385" s="168">
        <v>0.38194444444444442</v>
      </c>
      <c r="E385" s="169" t="s">
        <v>607</v>
      </c>
      <c r="F385" s="170">
        <v>26</v>
      </c>
      <c r="G385" s="171">
        <v>8.5299999999999994</v>
      </c>
      <c r="H385" s="171">
        <v>11</v>
      </c>
      <c r="I385" s="172">
        <v>1.75</v>
      </c>
    </row>
    <row r="386" spans="2:9" x14ac:dyDescent="0.35">
      <c r="B386" s="145">
        <v>46266</v>
      </c>
      <c r="C386" s="14" t="s">
        <v>12</v>
      </c>
      <c r="D386" s="15">
        <v>0.36458333333333331</v>
      </c>
      <c r="E386" s="18" t="s">
        <v>607</v>
      </c>
      <c r="F386" s="26" t="s">
        <v>9</v>
      </c>
      <c r="G386" s="17" t="s">
        <v>9</v>
      </c>
      <c r="H386" s="17" t="s">
        <v>9</v>
      </c>
      <c r="I386" s="164" t="s">
        <v>9</v>
      </c>
    </row>
    <row r="387" spans="2:9" x14ac:dyDescent="0.35">
      <c r="B387" s="145">
        <v>46267</v>
      </c>
      <c r="C387" s="14" t="s">
        <v>12</v>
      </c>
      <c r="D387" s="15">
        <v>0.40625</v>
      </c>
      <c r="E387" s="18" t="s">
        <v>607</v>
      </c>
      <c r="F387" s="26" t="s">
        <v>9</v>
      </c>
      <c r="G387" s="17" t="s">
        <v>9</v>
      </c>
      <c r="H387" s="17" t="s">
        <v>9</v>
      </c>
      <c r="I387" s="164" t="s">
        <v>9</v>
      </c>
    </row>
    <row r="388" spans="2:9" x14ac:dyDescent="0.35">
      <c r="B388" s="145">
        <v>46268</v>
      </c>
      <c r="C388" s="14" t="s">
        <v>12</v>
      </c>
      <c r="D388" s="15">
        <v>0.36805555555555558</v>
      </c>
      <c r="E388" s="18" t="s">
        <v>607</v>
      </c>
      <c r="F388" s="26">
        <v>35</v>
      </c>
      <c r="G388" s="17">
        <v>8.44</v>
      </c>
      <c r="H388" s="17">
        <v>28</v>
      </c>
      <c r="I388" s="164">
        <v>1.79</v>
      </c>
    </row>
    <row r="389" spans="2:9" x14ac:dyDescent="0.35">
      <c r="B389" s="145">
        <v>46269</v>
      </c>
      <c r="C389" s="14" t="s">
        <v>12</v>
      </c>
      <c r="D389" s="15">
        <v>0.3611111111111111</v>
      </c>
      <c r="E389" s="18" t="s">
        <v>607</v>
      </c>
      <c r="F389" s="26" t="s">
        <v>9</v>
      </c>
      <c r="G389" s="17" t="s">
        <v>9</v>
      </c>
      <c r="H389" s="17" t="s">
        <v>9</v>
      </c>
      <c r="I389" s="164" t="s">
        <v>9</v>
      </c>
    </row>
    <row r="390" spans="2:9" x14ac:dyDescent="0.35">
      <c r="B390" s="145">
        <v>46272</v>
      </c>
      <c r="C390" s="14" t="s">
        <v>12</v>
      </c>
      <c r="D390" s="15">
        <v>0.43055555555555558</v>
      </c>
      <c r="E390" s="18" t="s">
        <v>620</v>
      </c>
      <c r="F390" s="26" t="s">
        <v>9</v>
      </c>
      <c r="G390" s="17" t="s">
        <v>9</v>
      </c>
      <c r="H390" s="17" t="s">
        <v>9</v>
      </c>
      <c r="I390" s="164" t="s">
        <v>9</v>
      </c>
    </row>
    <row r="391" spans="2:9" x14ac:dyDescent="0.35">
      <c r="B391" s="145">
        <v>46273</v>
      </c>
      <c r="C391" s="14" t="s">
        <v>12</v>
      </c>
      <c r="D391" s="15">
        <v>0.44791666666666669</v>
      </c>
      <c r="E391" s="18" t="s">
        <v>620</v>
      </c>
      <c r="F391" s="26" t="s">
        <v>9</v>
      </c>
      <c r="G391" s="17" t="s">
        <v>9</v>
      </c>
      <c r="H391" s="17" t="s">
        <v>9</v>
      </c>
      <c r="I391" s="164" t="s">
        <v>9</v>
      </c>
    </row>
    <row r="392" spans="2:9" x14ac:dyDescent="0.35">
      <c r="B392" s="166">
        <v>46274</v>
      </c>
      <c r="C392" s="167" t="s">
        <v>12</v>
      </c>
      <c r="D392" s="168">
        <v>0.44791666666666669</v>
      </c>
      <c r="E392" s="169" t="s">
        <v>620</v>
      </c>
      <c r="F392" s="170" t="s">
        <v>9</v>
      </c>
      <c r="G392" s="171" t="s">
        <v>9</v>
      </c>
      <c r="H392" s="171" t="s">
        <v>9</v>
      </c>
      <c r="I392" s="172" t="s">
        <v>9</v>
      </c>
    </row>
    <row r="393" spans="2:9" x14ac:dyDescent="0.35">
      <c r="B393" s="145">
        <v>46275</v>
      </c>
      <c r="C393" s="14" t="s">
        <v>12</v>
      </c>
      <c r="D393" s="15">
        <v>0.44444444444444442</v>
      </c>
      <c r="E393" s="18" t="s">
        <v>10</v>
      </c>
      <c r="F393" s="26">
        <v>36</v>
      </c>
      <c r="G393" s="17">
        <v>7.95</v>
      </c>
      <c r="H393" s="17">
        <v>51</v>
      </c>
      <c r="I393" s="164">
        <v>1.77</v>
      </c>
    </row>
    <row r="394" spans="2:9" x14ac:dyDescent="0.35">
      <c r="B394" s="145">
        <v>46276</v>
      </c>
      <c r="C394" s="14" t="s">
        <v>12</v>
      </c>
      <c r="D394" s="15">
        <v>0.4236111111111111</v>
      </c>
      <c r="E394" s="18" t="s">
        <v>10</v>
      </c>
      <c r="F394" s="26">
        <v>36</v>
      </c>
      <c r="G394" s="17">
        <v>8.06</v>
      </c>
      <c r="H394" s="17">
        <v>49</v>
      </c>
      <c r="I394" s="164">
        <v>1.62</v>
      </c>
    </row>
    <row r="395" spans="2:9" x14ac:dyDescent="0.35">
      <c r="B395" s="145">
        <v>46280</v>
      </c>
      <c r="C395" s="14" t="s">
        <v>12</v>
      </c>
      <c r="D395" s="15">
        <v>0.37847222222222221</v>
      </c>
      <c r="E395" s="18" t="s">
        <v>32</v>
      </c>
      <c r="F395" s="26" t="s">
        <v>9</v>
      </c>
      <c r="G395" s="17" t="s">
        <v>9</v>
      </c>
      <c r="H395" s="17" t="s">
        <v>9</v>
      </c>
      <c r="I395" s="164" t="s">
        <v>9</v>
      </c>
    </row>
    <row r="396" spans="2:9" x14ac:dyDescent="0.35">
      <c r="B396" s="166">
        <v>46281</v>
      </c>
      <c r="C396" s="167" t="s">
        <v>12</v>
      </c>
      <c r="D396" s="168">
        <v>0.35069444444444442</v>
      </c>
      <c r="E396" s="169" t="s">
        <v>32</v>
      </c>
      <c r="F396" s="170" t="s">
        <v>9</v>
      </c>
      <c r="G396" s="171" t="s">
        <v>9</v>
      </c>
      <c r="H396" s="171" t="s">
        <v>9</v>
      </c>
      <c r="I396" s="172" t="s">
        <v>9</v>
      </c>
    </row>
    <row r="397" spans="2:9" x14ac:dyDescent="0.35">
      <c r="B397" s="145">
        <v>46282</v>
      </c>
      <c r="C397" s="14" t="s">
        <v>12</v>
      </c>
      <c r="D397" s="15">
        <v>0.36805555555555558</v>
      </c>
      <c r="E397" s="18" t="s">
        <v>32</v>
      </c>
      <c r="F397" s="26" t="s">
        <v>9</v>
      </c>
      <c r="G397" s="17" t="s">
        <v>9</v>
      </c>
      <c r="H397" s="17" t="s">
        <v>9</v>
      </c>
      <c r="I397" s="164" t="s">
        <v>9</v>
      </c>
    </row>
    <row r="398" spans="2:9" x14ac:dyDescent="0.35">
      <c r="B398" s="145">
        <v>46283</v>
      </c>
      <c r="C398" s="14" t="s">
        <v>12</v>
      </c>
      <c r="D398" s="15">
        <v>0.35416666666666669</v>
      </c>
      <c r="E398" s="18" t="s">
        <v>32</v>
      </c>
      <c r="F398" s="26">
        <v>40</v>
      </c>
      <c r="G398" s="17">
        <v>7.97</v>
      </c>
      <c r="H398" s="17">
        <v>55</v>
      </c>
      <c r="I398" s="164">
        <v>1.75</v>
      </c>
    </row>
    <row r="399" spans="2:9" x14ac:dyDescent="0.35">
      <c r="B399" s="145">
        <v>46286</v>
      </c>
      <c r="C399" s="14" t="s">
        <v>12</v>
      </c>
      <c r="D399" s="15">
        <v>0.39583333333333331</v>
      </c>
      <c r="E399" s="18" t="s">
        <v>627</v>
      </c>
      <c r="F399" s="26">
        <v>37</v>
      </c>
      <c r="G399" s="17">
        <v>7.96</v>
      </c>
      <c r="H399" s="17">
        <v>72</v>
      </c>
      <c r="I399" s="164">
        <v>1.96</v>
      </c>
    </row>
    <row r="400" spans="2:9" x14ac:dyDescent="0.35">
      <c r="B400" s="166">
        <v>46287</v>
      </c>
      <c r="C400" s="167" t="s">
        <v>12</v>
      </c>
      <c r="D400" s="168">
        <v>0.38541666666666669</v>
      </c>
      <c r="E400" s="169" t="s">
        <v>627</v>
      </c>
      <c r="F400" s="170">
        <v>41</v>
      </c>
      <c r="G400" s="171">
        <v>7.65</v>
      </c>
      <c r="H400" s="171">
        <v>72</v>
      </c>
      <c r="I400" s="172">
        <v>2.0099999999999998</v>
      </c>
    </row>
    <row r="401" spans="2:9" x14ac:dyDescent="0.35">
      <c r="B401" s="145">
        <v>46288</v>
      </c>
      <c r="C401" s="14" t="s">
        <v>12</v>
      </c>
      <c r="D401" s="15">
        <v>0.44444444444444442</v>
      </c>
      <c r="E401" s="18" t="s">
        <v>627</v>
      </c>
      <c r="F401" s="26">
        <v>38</v>
      </c>
      <c r="G401" s="17">
        <v>7.2</v>
      </c>
      <c r="H401" s="17">
        <v>74</v>
      </c>
      <c r="I401" s="164">
        <v>1.91</v>
      </c>
    </row>
    <row r="402" spans="2:9" x14ac:dyDescent="0.35">
      <c r="B402" s="145">
        <v>46289</v>
      </c>
      <c r="C402" s="14" t="s">
        <v>12</v>
      </c>
      <c r="D402" s="15">
        <v>0.43055555555555558</v>
      </c>
      <c r="E402" s="18" t="s">
        <v>627</v>
      </c>
      <c r="F402" s="26">
        <v>57</v>
      </c>
      <c r="G402" s="17">
        <v>7.51</v>
      </c>
      <c r="H402" s="17">
        <v>49</v>
      </c>
      <c r="I402" s="164">
        <v>1.51</v>
      </c>
    </row>
    <row r="403" spans="2:9" x14ac:dyDescent="0.35">
      <c r="B403" s="145">
        <v>46290</v>
      </c>
      <c r="C403" s="14" t="s">
        <v>12</v>
      </c>
      <c r="D403" s="15">
        <v>0.40277777777777779</v>
      </c>
      <c r="E403" s="18" t="s">
        <v>627</v>
      </c>
      <c r="F403" s="26" t="s">
        <v>9</v>
      </c>
      <c r="G403" s="17" t="s">
        <v>9</v>
      </c>
      <c r="H403" s="17" t="s">
        <v>9</v>
      </c>
      <c r="I403" s="164" t="s">
        <v>9</v>
      </c>
    </row>
    <row r="404" spans="2:9" x14ac:dyDescent="0.35">
      <c r="B404" s="166">
        <v>46293</v>
      </c>
      <c r="C404" s="167" t="s">
        <v>12</v>
      </c>
      <c r="D404" s="168">
        <v>0.43402777777777779</v>
      </c>
      <c r="E404" s="169" t="s">
        <v>10</v>
      </c>
      <c r="F404" s="170" t="s">
        <v>9</v>
      </c>
      <c r="G404" s="171" t="s">
        <v>9</v>
      </c>
      <c r="H404" s="171" t="s">
        <v>9</v>
      </c>
      <c r="I404" s="172" t="s">
        <v>9</v>
      </c>
    </row>
    <row r="405" spans="2:9" x14ac:dyDescent="0.35">
      <c r="B405" s="166">
        <v>46294</v>
      </c>
      <c r="C405" s="167" t="s">
        <v>12</v>
      </c>
      <c r="D405" s="168">
        <v>0.47569444444444398</v>
      </c>
      <c r="E405" s="169" t="s">
        <v>10</v>
      </c>
      <c r="F405" s="170" t="s">
        <v>9</v>
      </c>
      <c r="G405" s="171" t="s">
        <v>9</v>
      </c>
      <c r="H405" s="171" t="s">
        <v>9</v>
      </c>
      <c r="I405" s="172" t="s">
        <v>9</v>
      </c>
    </row>
    <row r="406" spans="2:9" x14ac:dyDescent="0.35">
      <c r="B406" s="166">
        <v>46295</v>
      </c>
      <c r="C406" s="167" t="s">
        <v>12</v>
      </c>
      <c r="D406" s="168">
        <v>0.51736111111111105</v>
      </c>
      <c r="E406" s="169" t="s">
        <v>10</v>
      </c>
      <c r="F406" s="170" t="s">
        <v>9</v>
      </c>
      <c r="G406" s="171" t="s">
        <v>9</v>
      </c>
      <c r="H406" s="171" t="s">
        <v>9</v>
      </c>
      <c r="I406" s="172" t="s">
        <v>9</v>
      </c>
    </row>
  </sheetData>
  <pageMargins left="0.70866141732283472" right="0.70866141732283472" top="0.74803149606299213" bottom="0.74803149606299213" header="0.31496062992125984" footer="0.31496062992125984"/>
  <pageSetup paperSize="9" scale="67" orientation="landscape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82388-9B41-46CD-B168-EE4FB35E75C7}">
  <sheetPr codeName="Hoja5"/>
  <dimension ref="A1:CR253"/>
  <sheetViews>
    <sheetView zoomScaleNormal="100" workbookViewId="0">
      <pane xSplit="7" ySplit="2" topLeftCell="H223" activePane="bottomRight" state="frozen"/>
      <selection pane="topRight" activeCell="G1" sqref="G1"/>
      <selection pane="bottomLeft" activeCell="A3" sqref="A3"/>
      <selection pane="bottomRight" activeCell="A247" sqref="A247"/>
    </sheetView>
  </sheetViews>
  <sheetFormatPr baseColWidth="10" defaultColWidth="8.7265625" defaultRowHeight="14.5" x14ac:dyDescent="0.35"/>
  <cols>
    <col min="1" max="1" width="10.7265625" style="9" bestFit="1" customWidth="1"/>
    <col min="2" max="2" width="4.81640625" style="7" customWidth="1"/>
    <col min="3" max="3" width="9.453125" style="9" customWidth="1"/>
    <col min="4" max="4" width="7.54296875" style="9" customWidth="1"/>
    <col min="5" max="5" width="12.26953125" style="3" bestFit="1" customWidth="1"/>
    <col min="6" max="6" width="12.26953125" style="3" customWidth="1"/>
    <col min="7" max="7" width="12.26953125" style="84" customWidth="1"/>
    <col min="8" max="8" width="6" customWidth="1"/>
    <col min="9" max="10" width="10.81640625" customWidth="1"/>
    <col min="12" max="12" width="13" style="5" customWidth="1"/>
    <col min="13" max="13" width="8.81640625" style="5" bestFit="1" customWidth="1"/>
    <col min="15" max="17" width="10.7265625" style="3" customWidth="1"/>
    <col min="18" max="18" width="10.81640625" customWidth="1"/>
    <col min="20" max="20" width="10.81640625" customWidth="1"/>
    <col min="21" max="21" width="10.81640625" style="38" customWidth="1"/>
    <col min="23" max="23" width="13" style="5" customWidth="1"/>
    <col min="24" max="24" width="13.54296875" style="3" bestFit="1" customWidth="1"/>
    <col min="25" max="25" width="10.81640625" customWidth="1"/>
    <col min="26" max="26" width="9.81640625" customWidth="1"/>
    <col min="27" max="27" width="11.54296875" bestFit="1" customWidth="1"/>
    <col min="28" max="29" width="12.26953125" customWidth="1"/>
    <col min="30" max="31" width="10.7265625" style="3" customWidth="1"/>
    <col min="32" max="32" width="8.1796875" style="3" customWidth="1"/>
    <col min="33" max="33" width="12.81640625" customWidth="1"/>
    <col min="34" max="34" width="10.1796875" style="5" customWidth="1"/>
    <col min="35" max="35" width="11" customWidth="1"/>
    <col min="36" max="36" width="13.26953125" customWidth="1"/>
    <col min="37" max="37" width="12.7265625" customWidth="1"/>
    <col min="38" max="38" width="12.7265625" style="37" customWidth="1"/>
    <col min="39" max="39" width="12.81640625" customWidth="1"/>
    <col min="40" max="40" width="6.7265625" customWidth="1"/>
    <col min="41" max="42" width="8.7265625" customWidth="1"/>
    <col min="43" max="43" width="12.81640625" customWidth="1"/>
    <col min="44" max="44" width="10.54296875" customWidth="1"/>
    <col min="45" max="46" width="11.54296875" customWidth="1"/>
    <col min="47" max="47" width="10.54296875" customWidth="1"/>
    <col min="48" max="48" width="11.1796875" customWidth="1"/>
    <col min="49" max="49" width="9.7265625" style="38" customWidth="1"/>
    <col min="50" max="50" width="10" customWidth="1"/>
    <col min="51" max="51" width="14.453125" customWidth="1"/>
    <col min="52" max="52" width="14.1796875" style="60" customWidth="1"/>
    <col min="53" max="53" width="10" customWidth="1"/>
    <col min="54" max="54" width="10" style="60" customWidth="1"/>
    <col min="55" max="57" width="9.26953125" customWidth="1"/>
    <col min="58" max="58" width="9.54296875" customWidth="1"/>
    <col min="59" max="59" width="8" customWidth="1"/>
    <col min="60" max="60" width="9.81640625" customWidth="1"/>
    <col min="61" max="61" width="9.1796875" customWidth="1"/>
    <col min="62" max="62" width="8.1796875" customWidth="1"/>
    <col min="63" max="63" width="12.453125" customWidth="1"/>
    <col min="64" max="64" width="6" customWidth="1"/>
    <col min="65" max="65" width="9.54296875" customWidth="1"/>
    <col min="66" max="66" width="9.453125" customWidth="1"/>
    <col min="67" max="67" width="12.453125" style="60" customWidth="1"/>
    <col min="68" max="68" width="9.7265625" style="60" customWidth="1"/>
    <col min="69" max="69" width="11.54296875" style="60" customWidth="1"/>
    <col min="70" max="70" width="10.54296875" customWidth="1"/>
    <col min="71" max="71" width="11.7265625" bestFit="1" customWidth="1"/>
    <col min="72" max="72" width="9.1796875" customWidth="1"/>
    <col min="73" max="73" width="9" customWidth="1"/>
    <col min="74" max="74" width="14" customWidth="1"/>
    <col min="75" max="75" width="16.453125" customWidth="1"/>
    <col min="76" max="78" width="8.7265625" customWidth="1"/>
    <col min="79" max="79" width="14.7265625" customWidth="1"/>
    <col min="80" max="80" width="11.54296875" customWidth="1"/>
    <col min="81" max="81" width="10.81640625" customWidth="1"/>
    <col min="82" max="82" width="15.453125" customWidth="1"/>
    <col min="83" max="83" width="14.1796875" customWidth="1"/>
    <col min="84" max="84" width="12.1796875" customWidth="1"/>
    <col min="85" max="85" width="8.7265625" customWidth="1"/>
    <col min="86" max="86" width="11.1796875" style="69" customWidth="1"/>
    <col min="87" max="87" width="9" customWidth="1"/>
    <col min="89" max="92" width="8.7265625" customWidth="1"/>
    <col min="93" max="93" width="12.453125" customWidth="1"/>
  </cols>
  <sheetData>
    <row r="1" spans="1:96" x14ac:dyDescent="0.35">
      <c r="A1" s="82">
        <f>3045*0.42</f>
        <v>1278.8999999999999</v>
      </c>
      <c r="B1" s="122"/>
      <c r="C1" s="34"/>
      <c r="D1" s="34"/>
      <c r="G1" s="56">
        <f>+E1+A1</f>
        <v>1278.8999999999999</v>
      </c>
      <c r="H1" s="3"/>
      <c r="I1" s="41">
        <f>SUBTOTAL(9,I2:I323)</f>
        <v>47855848.153846152</v>
      </c>
      <c r="J1" s="41">
        <f>SUBTOTAL(9,J2:J323)</f>
        <v>47263334.153846152</v>
      </c>
      <c r="K1" s="44"/>
      <c r="L1" s="35"/>
      <c r="M1" s="3"/>
      <c r="N1" s="3"/>
      <c r="O1" s="41">
        <f>SUBTOTAL(9,O2:O323)</f>
        <v>554214</v>
      </c>
      <c r="P1" s="41"/>
      <c r="Q1" s="41"/>
      <c r="R1" s="45">
        <f>SUBTOTAL(9,R2:R323)/J1</f>
        <v>2.2494371568017767E-2</v>
      </c>
      <c r="S1" s="41">
        <f>SUBTOTAL(9,S2:S323)</f>
        <v>14008.659999999998</v>
      </c>
      <c r="T1" s="35">
        <f>SUBTOTAL(9,T2:T323)/I1</f>
        <v>0.88617173628739976</v>
      </c>
      <c r="U1" s="36">
        <f>+T1</f>
        <v>0.88617173628739976</v>
      </c>
      <c r="V1" s="41">
        <f>SUMPRODUCT(Tabla_master_rend[MG_suero],Tabla_master_rend[L_suero Total])</f>
        <v>62427.91720500002</v>
      </c>
      <c r="W1" s="41">
        <f>SUMPRODUCT(Tabla_master_rend[MP_suero],Tabla_master_rend[L_suero Total])</f>
        <v>372620.08822999982</v>
      </c>
      <c r="X1" s="41">
        <f>SUBTOTAL(9,X2:X323)</f>
        <v>33659758.250011571</v>
      </c>
      <c r="Y1" s="41">
        <f>SUBTOTAL(9,Y2:Y323)</f>
        <v>11266351</v>
      </c>
      <c r="Z1" s="45">
        <f>+X1/Y1</f>
        <v>2.9876362142464381</v>
      </c>
      <c r="AA1" s="41">
        <f>SUBTOTAL(9,AA2:AA323)</f>
        <v>8748741.7999884337</v>
      </c>
      <c r="AB1" s="3"/>
      <c r="AC1" s="34"/>
      <c r="AD1" s="41">
        <f>SUBTOTAL(9,AD2:AD323)</f>
        <v>850930</v>
      </c>
      <c r="AE1" s="41">
        <f>SUBTOTAL(9,AE2:AE323)</f>
        <v>0</v>
      </c>
      <c r="AF1" s="41"/>
      <c r="AG1" s="41"/>
      <c r="AH1" s="35">
        <f>+G1/15224</f>
        <v>8.4005517603783497E-2</v>
      </c>
      <c r="AI1" s="41">
        <f>SUBTOTAL(9,AI2:AI323)</f>
        <v>5384399.0900000026</v>
      </c>
      <c r="AJ1" s="4">
        <f>+I1/AI1</f>
        <v>8.8878716740601273</v>
      </c>
      <c r="AK1" s="4">
        <f>+I1/(AI1-BR1)</f>
        <v>9.1812136675621119</v>
      </c>
      <c r="AL1" s="34"/>
      <c r="AM1" s="41">
        <f>SUBTOTAL(9,AM2:AM323)</f>
        <v>3535676.0347106927</v>
      </c>
      <c r="AN1" s="3"/>
      <c r="AO1" s="3"/>
      <c r="AP1" s="3"/>
      <c r="AQ1" s="4"/>
      <c r="AR1" s="41">
        <f>SUBTOTAL(9,AR2:AR323)</f>
        <v>425263.60000000009</v>
      </c>
      <c r="AS1" s="36"/>
      <c r="AT1" s="3"/>
      <c r="AU1" s="41">
        <f>SUBTOTAL(9,AU2:AU323)</f>
        <v>3189477</v>
      </c>
      <c r="AV1" s="41">
        <f>SUBTOTAL(9,AV2:AV323)</f>
        <v>9391.8399999999965</v>
      </c>
      <c r="AW1" s="41">
        <f>SUBTOTAL(9,AW2:AW323)</f>
        <v>21347.099999999995</v>
      </c>
      <c r="AX1" s="41">
        <f>SUBTOTAL(9,AX2:AX323)</f>
        <v>8546.8999999999905</v>
      </c>
      <c r="AY1" s="41">
        <f>SUBTOTAL(9,AY2:AY323)</f>
        <v>39285.840000000004</v>
      </c>
      <c r="AZ1" s="67">
        <f>+(AV1+AW1+AX1)/(AI1)</f>
        <v>7.2962347967412576E-3</v>
      </c>
      <c r="BA1" s="42">
        <f>SUBTOTAL(9,BA2:BA323)</f>
        <v>59701</v>
      </c>
      <c r="BB1" s="67">
        <f>+BA1/(BA1+BK1)</f>
        <v>1.1169267554808121E-2</v>
      </c>
      <c r="BC1" s="41">
        <f t="shared" ref="BC1:BN1" si="0">SUBTOTAL(9,BC2:BC323)</f>
        <v>742777</v>
      </c>
      <c r="BD1" s="41">
        <f t="shared" si="0"/>
        <v>722503</v>
      </c>
      <c r="BE1" s="41">
        <f t="shared" si="0"/>
        <v>5225397</v>
      </c>
      <c r="BF1" s="41">
        <f t="shared" si="0"/>
        <v>41843</v>
      </c>
      <c r="BG1" s="41">
        <f t="shared" si="0"/>
        <v>44643.100000000013</v>
      </c>
      <c r="BH1" s="41">
        <f t="shared" si="0"/>
        <v>6265.5999999999985</v>
      </c>
      <c r="BI1" s="41">
        <f t="shared" si="0"/>
        <v>51996.199999999968</v>
      </c>
      <c r="BJ1" s="41">
        <f t="shared" si="0"/>
        <v>20660</v>
      </c>
      <c r="BK1" s="41">
        <f t="shared" si="0"/>
        <v>5285412.2500000009</v>
      </c>
      <c r="BL1" s="41">
        <f t="shared" si="0"/>
        <v>249.42999999999992</v>
      </c>
      <c r="BM1" s="41">
        <f t="shared" si="0"/>
        <v>68017.520999999993</v>
      </c>
      <c r="BN1" s="41">
        <f t="shared" si="0"/>
        <v>4779.0600000000004</v>
      </c>
      <c r="BO1" s="67">
        <f>+BM1/BK1</f>
        <v>1.2868915002798501E-2</v>
      </c>
      <c r="BP1" s="67">
        <f>+BO1*(1-BZ1)</f>
        <v>8.3733743614116448E-3</v>
      </c>
      <c r="BQ1" s="67">
        <f>+BR1/AI1</f>
        <v>3.1950241452106017E-2</v>
      </c>
      <c r="BR1" s="41">
        <f>SUBTOTAL(9,BR2:BR323)</f>
        <v>172032.851</v>
      </c>
      <c r="BS1" s="41">
        <f>SUBTOTAL(9,BS2:BS323)</f>
        <v>2713819.669999999</v>
      </c>
      <c r="BT1" s="41">
        <f>SUBTOTAL(9,BT2:BT591)</f>
        <v>-24776.579999999965</v>
      </c>
      <c r="BU1" s="60">
        <f>+BT1/BK1</f>
        <v>-4.6877289467817688E-3</v>
      </c>
      <c r="BV1" s="3"/>
      <c r="BW1" s="2" t="s">
        <v>49</v>
      </c>
      <c r="BX1" s="41">
        <f>SUBTOTAL(9,BX2:BX323)</f>
        <v>264394.73999999993</v>
      </c>
      <c r="BY1" s="41">
        <f>SUBTOTAL(9,BY2:BY323)</f>
        <v>92361.889000000068</v>
      </c>
      <c r="BZ1" s="46">
        <f>+BY1/BX1</f>
        <v>0.3493333074629249</v>
      </c>
      <c r="CA1" s="47">
        <v>6.4999999999999997E-3</v>
      </c>
      <c r="CB1" s="47">
        <v>0.01</v>
      </c>
      <c r="CC1" s="47">
        <v>1.0500000000000001E-2</v>
      </c>
      <c r="CD1" s="41">
        <f>SUBTOTAL(9,CD2:CD323)</f>
        <v>109814.81944054992</v>
      </c>
      <c r="CE1" s="46">
        <f>+CD1/AI1</f>
        <v>2.0394999999999976E-2</v>
      </c>
      <c r="CF1" s="46">
        <f>+BR1/AI1</f>
        <v>3.1950241452106017E-2</v>
      </c>
      <c r="CG1" s="41">
        <f>SUBTOTAL(9,CG2:CG323)</f>
        <v>-62218.031559449963</v>
      </c>
      <c r="CH1" s="78"/>
      <c r="CI1" s="41">
        <f>SUBTOTAL(9,CI2:CI323)</f>
        <v>-80883.441027285095</v>
      </c>
      <c r="CK1" s="46"/>
    </row>
    <row r="2" spans="1:96" s="2" customFormat="1" ht="30" customHeight="1" x14ac:dyDescent="0.35">
      <c r="A2" s="48" t="s">
        <v>47</v>
      </c>
      <c r="B2" s="123" t="s">
        <v>126</v>
      </c>
      <c r="C2" s="95" t="s">
        <v>192</v>
      </c>
      <c r="D2" s="95" t="s">
        <v>193</v>
      </c>
      <c r="E2" s="1" t="s">
        <v>48</v>
      </c>
      <c r="F2" s="1" t="s">
        <v>306</v>
      </c>
      <c r="G2" s="83" t="s">
        <v>50</v>
      </c>
      <c r="H2" s="2" t="s">
        <v>51</v>
      </c>
      <c r="I2" s="49" t="s">
        <v>52</v>
      </c>
      <c r="J2" s="50" t="s">
        <v>53</v>
      </c>
      <c r="K2" s="51" t="s">
        <v>54</v>
      </c>
      <c r="L2" s="51" t="s">
        <v>55</v>
      </c>
      <c r="M2" s="49" t="s">
        <v>56</v>
      </c>
      <c r="N2" s="76" t="s">
        <v>175</v>
      </c>
      <c r="O2" s="50" t="s">
        <v>57</v>
      </c>
      <c r="P2" s="50" t="s">
        <v>58</v>
      </c>
      <c r="Q2" s="50" t="s">
        <v>59</v>
      </c>
      <c r="R2" s="50" t="s">
        <v>60</v>
      </c>
      <c r="S2" s="2" t="s">
        <v>61</v>
      </c>
      <c r="T2" s="50" t="s">
        <v>62</v>
      </c>
      <c r="U2" s="52" t="s">
        <v>63</v>
      </c>
      <c r="V2" s="51" t="s">
        <v>64</v>
      </c>
      <c r="W2" s="51" t="s">
        <v>65</v>
      </c>
      <c r="X2" s="50" t="s">
        <v>66</v>
      </c>
      <c r="Y2" s="50" t="s">
        <v>67</v>
      </c>
      <c r="Z2" s="49" t="s">
        <v>68</v>
      </c>
      <c r="AA2" s="49" t="s">
        <v>69</v>
      </c>
      <c r="AB2" s="53" t="s">
        <v>70</v>
      </c>
      <c r="AC2" s="53" t="s">
        <v>71</v>
      </c>
      <c r="AD2" s="50" t="s">
        <v>72</v>
      </c>
      <c r="AE2" s="50" t="s">
        <v>73</v>
      </c>
      <c r="AF2" s="50" t="s">
        <v>74</v>
      </c>
      <c r="AG2" s="51" t="s">
        <v>75</v>
      </c>
      <c r="AH2" s="51" t="s">
        <v>76</v>
      </c>
      <c r="AI2" s="49" t="s">
        <v>77</v>
      </c>
      <c r="AJ2" s="49" t="s">
        <v>78</v>
      </c>
      <c r="AK2" s="49" t="s">
        <v>79</v>
      </c>
      <c r="AL2" s="106" t="s">
        <v>201</v>
      </c>
      <c r="AM2" s="49" t="s">
        <v>80</v>
      </c>
      <c r="AN2" s="2" t="s">
        <v>81</v>
      </c>
      <c r="AO2" s="2" t="s">
        <v>82</v>
      </c>
      <c r="AP2" s="2" t="s">
        <v>83</v>
      </c>
      <c r="AQ2" s="49" t="s">
        <v>84</v>
      </c>
      <c r="AR2" s="49" t="s">
        <v>85</v>
      </c>
      <c r="AS2" s="49" t="s">
        <v>86</v>
      </c>
      <c r="AT2" s="49" t="s">
        <v>87</v>
      </c>
      <c r="AU2" s="49" t="s">
        <v>88</v>
      </c>
      <c r="AV2" s="2" t="s">
        <v>89</v>
      </c>
      <c r="AW2" s="2" t="s">
        <v>90</v>
      </c>
      <c r="AX2" s="50" t="s">
        <v>91</v>
      </c>
      <c r="AY2" s="54" t="s">
        <v>128</v>
      </c>
      <c r="AZ2" s="54" t="s">
        <v>127</v>
      </c>
      <c r="BA2" s="50" t="s">
        <v>92</v>
      </c>
      <c r="BB2" s="54" t="s">
        <v>93</v>
      </c>
      <c r="BC2" s="50" t="s">
        <v>94</v>
      </c>
      <c r="BD2" s="50" t="s">
        <v>95</v>
      </c>
      <c r="BE2" s="50" t="s">
        <v>96</v>
      </c>
      <c r="BF2" s="50" t="s">
        <v>97</v>
      </c>
      <c r="BG2" s="50" t="s">
        <v>98</v>
      </c>
      <c r="BH2" s="50" t="s">
        <v>99</v>
      </c>
      <c r="BI2" s="50" t="s">
        <v>100</v>
      </c>
      <c r="BJ2" s="50" t="s">
        <v>101</v>
      </c>
      <c r="BK2" s="50" t="s">
        <v>102</v>
      </c>
      <c r="BL2" s="2" t="s">
        <v>103</v>
      </c>
      <c r="BM2" s="2" t="s">
        <v>104</v>
      </c>
      <c r="BN2" s="50" t="s">
        <v>105</v>
      </c>
      <c r="BO2" s="54" t="s">
        <v>129</v>
      </c>
      <c r="BP2" s="54" t="s">
        <v>130</v>
      </c>
      <c r="BQ2" s="54" t="s">
        <v>106</v>
      </c>
      <c r="BR2" s="49" t="s">
        <v>107</v>
      </c>
      <c r="BS2" s="50" t="s">
        <v>108</v>
      </c>
      <c r="BT2" s="49" t="s">
        <v>511</v>
      </c>
      <c r="BU2" s="49" t="s">
        <v>512</v>
      </c>
      <c r="BV2" s="49" t="s">
        <v>109</v>
      </c>
      <c r="BW2" s="49" t="s">
        <v>110</v>
      </c>
      <c r="BX2" s="72" t="s">
        <v>111</v>
      </c>
      <c r="BY2" s="72" t="s">
        <v>112</v>
      </c>
      <c r="BZ2" s="72" t="s">
        <v>113</v>
      </c>
      <c r="CA2" s="72" t="s">
        <v>114</v>
      </c>
      <c r="CB2" s="72" t="s">
        <v>115</v>
      </c>
      <c r="CC2" s="72" t="s">
        <v>116</v>
      </c>
      <c r="CD2" s="72" t="s">
        <v>117</v>
      </c>
      <c r="CE2" s="72" t="s">
        <v>118</v>
      </c>
      <c r="CF2" s="72" t="s">
        <v>119</v>
      </c>
      <c r="CG2" s="72" t="s">
        <v>120</v>
      </c>
      <c r="CH2" s="79" t="s">
        <v>121</v>
      </c>
      <c r="CI2" s="77" t="s">
        <v>177</v>
      </c>
      <c r="CK2" s="2" t="s">
        <v>122</v>
      </c>
      <c r="CM2" s="55">
        <v>1.3</v>
      </c>
      <c r="CO2" s="2" t="s">
        <v>49</v>
      </c>
    </row>
    <row r="3" spans="1:96" x14ac:dyDescent="0.35">
      <c r="A3" s="9">
        <v>45659</v>
      </c>
      <c r="B3" s="7">
        <v>1</v>
      </c>
      <c r="C3" s="7" t="str">
        <f>+UPPER(TEXT(Tabla_master_rend[[#This Row],[Fecha]],"MMM"))</f>
        <v>ENE</v>
      </c>
      <c r="D3" s="7" t="str">
        <f>+UPPER(TEXT(Tabla_master_rend[[#This Row],[Fecha]],"ddd"))</f>
        <v>JU</v>
      </c>
      <c r="E3" s="3" t="s">
        <v>459</v>
      </c>
      <c r="F3" s="3" t="s">
        <v>244</v>
      </c>
      <c r="G3" s="84" t="s">
        <v>579</v>
      </c>
      <c r="H3">
        <v>2</v>
      </c>
      <c r="I3" s="8">
        <f>+Tabla_master_rend[[#This Row],[L_Leche_ent]]+Tabla_master_rend[[#This Row],[L_desn_ext]]+Tabla_master_rend[[#This Row],[L_cabra]]+Tabla_master_rend[[#This Row],[L_oveja]]</f>
        <v>31269</v>
      </c>
      <c r="J3" s="8">
        <v>31269</v>
      </c>
      <c r="K3" s="5">
        <v>4.24E-2</v>
      </c>
      <c r="L3" s="5">
        <v>3.5099999999999999E-2</v>
      </c>
      <c r="M3" s="5">
        <f t="shared" ref="M3:M11" si="1">0.93*K3+0.74*L3+0.048</f>
        <v>0.11340600000000001</v>
      </c>
      <c r="N3" s="3" t="s">
        <v>43</v>
      </c>
      <c r="O3" s="8">
        <v>0</v>
      </c>
      <c r="P3" s="8">
        <v>0</v>
      </c>
      <c r="Q3" s="8">
        <v>0</v>
      </c>
      <c r="R3" s="8">
        <v>1953.3000000000002</v>
      </c>
      <c r="T3" s="8">
        <v>27600</v>
      </c>
      <c r="U3" s="38">
        <f>+Tabla_master_rend[[#This Row],[L_suero Total]]/Tabla_master_rend[[#This Row],[Litros_Leche_Total]]</f>
        <v>0.88266334068886121</v>
      </c>
      <c r="V3" s="66">
        <v>2.3E-3</v>
      </c>
      <c r="W3" s="66">
        <v>9.8999999999999991E-3</v>
      </c>
      <c r="X3" s="8">
        <f>112998/(211440+27600)*27600</f>
        <v>13046.957831325302</v>
      </c>
      <c r="Y3" s="57">
        <f>(8475+25405)/(211440+27600)*27600</f>
        <v>3911.8473895582333</v>
      </c>
      <c r="Z3" s="58">
        <f>IF(Tabla_master_rend[[#This Row],[L_suero para con]]=0,0,+Tabla_master_rend[[#This Row],[L_suero para con]]/Tabla_master_rend[[#This Row],[L_suero_con]])</f>
        <v>3.335242030696576</v>
      </c>
      <c r="AA3" s="8">
        <f>+Tabla_master_rend[[#This Row],[L_suero Total]]-Tabla_master_rend[[#This Row],[L_suero para con]]</f>
        <v>14553.042168674698</v>
      </c>
      <c r="AD3" s="8">
        <v>0</v>
      </c>
      <c r="AE3" s="8">
        <v>0</v>
      </c>
      <c r="AF3" s="8">
        <v>0</v>
      </c>
      <c r="AG3" s="5">
        <v>0</v>
      </c>
      <c r="AH3" s="5">
        <v>0</v>
      </c>
      <c r="AI3" s="8">
        <f>+Tabla_master_rend[[#This Row],[Kg_Finos]]+Tabla_master_rend[[#This Row],[Kg_Llenadora]]+Tabla_master_rend[[#This Row],[Kg_Desmoldeo]]+Tabla_master_rend[[#This Row],[L_Agua]]+Tabla_master_rend[[#This Row],[Kg_SalidaSecadero]]</f>
        <v>2909.7115938606848</v>
      </c>
      <c r="AJ3" s="59">
        <f>+Tabla_master_rend[[#This Row],[Litros_Leche_Total]]/Tabla_master_rend[[#This Row],[Kg_Queso_Blan]]</f>
        <v>10.746425888385534</v>
      </c>
      <c r="AK3" s="59">
        <f>+Tabla_master_rend[[#This Row],[Litros_Leche_Total]]/(Tabla_master_rend[[#This Row],[Kg_Queso_Blan]]-Tabla_master_rend[[#This Row],[Merma_TOT]])</f>
        <v>11.537439765037524</v>
      </c>
      <c r="AL3" s="59" t="e">
        <f>VLOOKUP(G3,REND_TARGET[#All],8,FALSE)</f>
        <v>#N/A</v>
      </c>
      <c r="AM3" s="8">
        <f>(I3*1.03*Tabla_master_rend[[#This Row],[%MG_Leche]])+(I3*1.03*Tabla_master_rend[[#This Row],[%MP_Leche]])</f>
        <v>2496.0479249999999</v>
      </c>
      <c r="AN3" s="38">
        <v>0.17920000000000003</v>
      </c>
      <c r="AO3" s="38">
        <v>0.28089999999999998</v>
      </c>
      <c r="AP3" s="60">
        <v>0.51229999999999998</v>
      </c>
      <c r="AQ3" s="60">
        <f>+Tabla_master_rend[[#This Row],[Kg_Queso_Blan]]*Tabla_master_rend[[#This Row],[ES_QUESO]]/(Tabla_master_rend[[#This Row],[Kg_Solidos_leche]])</f>
        <v>0.59720217492812311</v>
      </c>
      <c r="AR3" s="8">
        <f t="shared" ref="AR3:AR11" si="2">R3*0.4</f>
        <v>781.32000000000016</v>
      </c>
      <c r="AS3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0.95398331767012157</v>
      </c>
      <c r="AT3" s="62">
        <f>+Tabla_master_rend[[#This Row],[Kg_Queso_Blan]]*Tabla_master_rend[[#This Row],[%PT_QUESO]]/(Tabla_master_rend[[#This Row],[Litros_Leche_Total]]*1.03*Tabla_master_rend[[#This Row],[%MP_Leche]])</f>
        <v>0.72300841174022235</v>
      </c>
      <c r="AU3" s="63">
        <f>AR3*$CO$3</f>
        <v>5859.9000000000015</v>
      </c>
      <c r="AV3" s="8">
        <v>7.1115938606847697</v>
      </c>
      <c r="AW3" s="8">
        <v>9.3000000000000007</v>
      </c>
      <c r="AX3" s="8">
        <v>20.3</v>
      </c>
      <c r="AY3" s="8">
        <f>SUM(Tabla_master_rend[[#This Row],[Kg_Finos]:[Kg_Desmoldeo]])</f>
        <v>36.711593860684772</v>
      </c>
      <c r="AZ3" s="60">
        <f>+(Tabla_master_rend[[#This Row],[Kg_Finos]]+Tabla_master_rend[[#This Row],[Kg_Llenadora]]+Tabla_master_rend[[#This Row],[Kg_Desmoldeo]])/(Tabla_master_rend[[#This Row],[Kg_Queso_Blan]])</f>
        <v>1.2616918438976568E-2</v>
      </c>
      <c r="BA3" s="8">
        <v>30</v>
      </c>
      <c r="BB3" s="60">
        <f>+Tabla_master_rend[[#This Row],[L_Agua]]/(Tabla_master_rend[[#This Row],[L_Agua]]+Tabla_master_rend[[#This Row],[Kg_SalidaSecadero]])</f>
        <v>1.0442046641141664E-2</v>
      </c>
      <c r="BC3" s="8">
        <v>423</v>
      </c>
      <c r="BD3" s="8">
        <v>385</v>
      </c>
      <c r="BE3" s="8">
        <v>2650</v>
      </c>
      <c r="BF3" s="8">
        <v>0</v>
      </c>
      <c r="BG3" s="8">
        <v>0</v>
      </c>
      <c r="BH3" s="8">
        <f>11*5.8</f>
        <v>63.8</v>
      </c>
      <c r="BI3" s="8">
        <f>22*5.8</f>
        <v>127.6</v>
      </c>
      <c r="BJ3" s="8">
        <v>30</v>
      </c>
      <c r="BK3" s="8">
        <v>2843</v>
      </c>
      <c r="BL3" s="8">
        <v>1.1599999999999999</v>
      </c>
      <c r="BM3" s="8">
        <v>127.41</v>
      </c>
      <c r="BN3" s="8">
        <v>4.21</v>
      </c>
      <c r="BO3" s="68">
        <f>+SUM(Tabla_master_rend[[#This Row],[B_altas]:[B_lab]])/Tabla_master_rend[[#This Row],[Kg_SalidaSecadero]]</f>
        <v>7.7875483644037985E-2</v>
      </c>
      <c r="BP3" s="68">
        <f>+(Tabla_master_rend[[#This Row],[Kg_mer_env_real]]+Tabla_master_rend[[#This Row],[kg_mer_lab_real]])/Tabla_master_rend[[#This Row],[Kg_SalidaSecadero]]</f>
        <v>4.6296166021807951E-2</v>
      </c>
      <c r="BQ3" s="64">
        <f>+Tabla_master_rend[[#This Row],[Merma_TOT]]/Tabla_master_rend[[#This Row],[Kg_Queso_Blan]]</f>
        <v>6.8560607271730967E-2</v>
      </c>
      <c r="BR3" s="8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199.49159386068479</v>
      </c>
      <c r="BS3" s="8"/>
      <c r="BT3" s="63">
        <f>IF(+Tabla_master_rend[[#This Row],[Kg_Env_Total]]=0,0,Tabla_master_rend[[#This Row],[Kg_Env_Total]]-Tabla_master_rend[[#This Row],[Kg_SalidaSecadero]])</f>
        <v>0</v>
      </c>
      <c r="BU3" s="60">
        <f>+Tabla_master_rend[[#This Row],[Diferencia_Env_vs_Sec_kg]]/Tabla_master_rend[[#This Row],[Kg_SalidaSecadero]]</f>
        <v>0</v>
      </c>
      <c r="BV3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3" s="65">
        <f>+(Tabla_master_rend[[#This Row],[Coste_Leche_€]]-Tabla_master_rend[[#This Row],[Kg_MG_Nata]]*$CO$3)/Tabla_master_rend[[#This Row],[Kg_Queso_Blan]]</f>
        <v>-2.013910936178017</v>
      </c>
      <c r="BX3" s="8">
        <f>SUM(Tabla_master_rend[[#This Row],[Kg_Finos]:[Kg_Desmoldeo]])+Tabla_master_rend[[#This Row],[L_Agua]]+SUM(Tabla_master_rend[[#This Row],[B_altas]:[B_lab]])</f>
        <v>288.11159386068476</v>
      </c>
      <c r="BY3" s="8">
        <f>+BX3-Tabla_master_rend[[#This Row],[Merma_TOT]]</f>
        <v>88.619999999999976</v>
      </c>
      <c r="BZ3" s="62">
        <f t="shared" ref="BZ3:BZ11" si="3">+BY3/BX3</f>
        <v>0.30758914909495738</v>
      </c>
      <c r="CA3" s="8">
        <f>+Tabla_master_rend[[#This Row],[Kg_Queso_Blan]]*$CA$1</f>
        <v>18.913125360094451</v>
      </c>
      <c r="CB3" s="8">
        <f>+Tabla_master_rend[[#This Row],[Kg_Queso_Blan]]*($CB$1-$CA$1)</f>
        <v>10.183990578512399</v>
      </c>
      <c r="CC3" s="8">
        <f>+(Tabla_master_rend[[#This Row],[Kg_Queso_Blan]]-CA3-CB3)*$CC$1</f>
        <v>30.24645201818182</v>
      </c>
      <c r="CD3" s="8">
        <f t="shared" ref="CD3:CD11" si="4">+CA3+CB3+CC3</f>
        <v>59.343567956788668</v>
      </c>
      <c r="CE3" s="80">
        <f>+CD3/Tabla_master_rend[[#This Row],[Kg_Queso_Blan]]</f>
        <v>2.0395E-2</v>
      </c>
      <c r="CF3" s="62">
        <f>+Tabla_master_rend[[#This Row],[Merma_TOT]]/Tabla_master_rend[[#This Row],[Kg_Queso_Blan]]</f>
        <v>6.8560607271730967E-2</v>
      </c>
      <c r="CG3" s="8">
        <f>CD3-Tabla_master_rend[[#This Row],[Merma_TOT]]</f>
        <v>-140.14802590389613</v>
      </c>
      <c r="CH3" s="81" cm="1">
        <f t="array" ref="CH3">-BR3 * IFERROR(INDEX('Precio Leche_EBITDA_Ventas'!$BD$87:$BD$110,MATCH(1,('Precio Leche_EBITDA_Ventas'!$AZ$87:$AZ$110=YEAR(A3))*('Precio Leche_EBITDA_Ventas'!$BB$87:$BB$110=C3),0)),1.3)</f>
        <v>-698.22057851239674</v>
      </c>
      <c r="CI3" s="81">
        <f t="shared" ref="CI3:CI11" si="5">+CG3*$CM$2</f>
        <v>-182.19243367506496</v>
      </c>
      <c r="CJ3" s="38"/>
      <c r="CK3" t="s">
        <v>123</v>
      </c>
      <c r="CM3" s="58">
        <v>4.7750000000000004</v>
      </c>
      <c r="CO3">
        <v>7.5</v>
      </c>
      <c r="CQ3" s="8"/>
      <c r="CR3" s="8"/>
    </row>
    <row r="4" spans="1:96" x14ac:dyDescent="0.35">
      <c r="A4" s="9">
        <v>45659</v>
      </c>
      <c r="B4" s="7">
        <v>1</v>
      </c>
      <c r="C4" s="7" t="str">
        <f>+UPPER(TEXT(Tabla_master_rend[[#This Row],[Fecha]],"MMM"))</f>
        <v>ENE</v>
      </c>
      <c r="D4" s="7" t="str">
        <f>+UPPER(TEXT(Tabla_master_rend[[#This Row],[Fecha]],"ddd"))</f>
        <v>JU</v>
      </c>
      <c r="E4" s="3" t="s">
        <v>460</v>
      </c>
      <c r="F4" s="3" t="s">
        <v>244</v>
      </c>
      <c r="G4" s="84" t="s">
        <v>190</v>
      </c>
      <c r="H4">
        <v>15</v>
      </c>
      <c r="I4" s="8">
        <f>+Tabla_master_rend[[#This Row],[L_Leche_ent]]+Tabla_master_rend[[#This Row],[L_desn_ext]]+Tabla_master_rend[[#This Row],[L_cabra]]+Tabla_master_rend[[#This Row],[L_oveja]]</f>
        <v>229311</v>
      </c>
      <c r="J4" s="8">
        <v>229311</v>
      </c>
      <c r="K4" s="5">
        <v>4.0199999999999993E-2</v>
      </c>
      <c r="L4" s="5">
        <v>3.39E-2</v>
      </c>
      <c r="M4" s="5">
        <f t="shared" si="1"/>
        <v>0.110472</v>
      </c>
      <c r="N4" s="3" t="s">
        <v>43</v>
      </c>
      <c r="O4" s="8">
        <v>0</v>
      </c>
      <c r="P4" s="8">
        <v>0</v>
      </c>
      <c r="Q4" s="8">
        <v>0</v>
      </c>
      <c r="R4" s="8">
        <v>3791.7000000000003</v>
      </c>
      <c r="T4" s="8">
        <v>211440</v>
      </c>
      <c r="U4" s="38">
        <f>+Tabla_master_rend[[#This Row],[L_suero Total]]/Tabla_master_rend[[#This Row],[Litros_Leche_Total]]</f>
        <v>0.92206653845650666</v>
      </c>
      <c r="V4" s="66">
        <v>2.3E-3</v>
      </c>
      <c r="W4" s="66">
        <v>9.8999999999999991E-3</v>
      </c>
      <c r="X4" s="8">
        <f>112998/(211440+27600)*211440</f>
        <v>99951.042168674699</v>
      </c>
      <c r="Y4" s="57">
        <f>(8475+25405)/(211440+27600)*211440</f>
        <v>29968.152610441772</v>
      </c>
      <c r="Z4" s="58">
        <f>IF(Tabla_master_rend[[#This Row],[L_suero para con]]=0,0,+Tabla_master_rend[[#This Row],[L_suero para con]]/Tabla_master_rend[[#This Row],[L_suero_con]])</f>
        <v>3.3352420306965755</v>
      </c>
      <c r="AA4" s="8">
        <f>+Tabla_master_rend[[#This Row],[L_suero Total]]-Tabla_master_rend[[#This Row],[L_suero para con]]</f>
        <v>111488.9578313253</v>
      </c>
      <c r="AD4" s="8">
        <v>5516</v>
      </c>
      <c r="AE4" s="8">
        <v>0</v>
      </c>
      <c r="AF4" s="8">
        <v>0</v>
      </c>
      <c r="AG4" s="66">
        <v>1.1699999999999999E-2</v>
      </c>
      <c r="AH4" s="66">
        <v>5.7999999999999996E-2</v>
      </c>
      <c r="AI4" s="8">
        <f>+Tabla_master_rend[[#This Row],[Kg_Finos]]+Tabla_master_rend[[#This Row],[Kg_Llenadora]]+Tabla_master_rend[[#This Row],[Kg_Desmoldeo]]+Tabla_master_rend[[#This Row],[L_Agua]]+Tabla_master_rend[[#This Row],[Kg_SalidaSecadero]]</f>
        <v>26762.988406139317</v>
      </c>
      <c r="AJ4" s="59">
        <f>+Tabla_master_rend[[#This Row],[Litros_Leche_Total]]/Tabla_master_rend[[#This Row],[Kg_Queso_Blan]]</f>
        <v>8.568213553737408</v>
      </c>
      <c r="AK4" s="59">
        <f>+Tabla_master_rend[[#This Row],[Litros_Leche_Total]]/(Tabla_master_rend[[#This Row],[Kg_Queso_Blan]]-Tabla_master_rend[[#This Row],[Merma_TOT]])</f>
        <v>8.8494834125490698</v>
      </c>
      <c r="AL4" s="59">
        <f>VLOOKUP(G4,REND_TARGET[#All],8,FALSE)</f>
        <v>8.4943170000000006</v>
      </c>
      <c r="AM4" s="8">
        <f>(I4*1.03*Tabla_master_rend[[#This Row],[%MG_Leche]])+(I4*1.03*Tabla_master_rend[[#This Row],[%MP_Leche]])</f>
        <v>17501.703453000002</v>
      </c>
      <c r="AN4" s="38">
        <v>0.28460000000000002</v>
      </c>
      <c r="AO4" s="38">
        <v>0.23230000000000001</v>
      </c>
      <c r="AP4" s="60">
        <v>0.56679999999999997</v>
      </c>
      <c r="AQ4" s="60">
        <f>+Tabla_master_rend[[#This Row],[Kg_Queso_Blan]]*Tabla_master_rend[[#This Row],[ES_QUESO]]/(Tabla_master_rend[[#This Row],[Kg_Solidos_leche]])</f>
        <v>0.86673059392967655</v>
      </c>
      <c r="AR4" s="8">
        <f t="shared" si="2"/>
        <v>1516.6800000000003</v>
      </c>
      <c r="AS4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0.96193465748042084</v>
      </c>
      <c r="AT4" s="62">
        <f>+Tabla_master_rend[[#This Row],[Kg_Queso_Blan]]*Tabla_master_rend[[#This Row],[%PT_QUESO]]/(Tabla_master_rend[[#This Row],[Litros_Leche_Total]]*1.03*Tabla_master_rend[[#This Row],[%MP_Leche]])</f>
        <v>0.77646521523654588</v>
      </c>
      <c r="AU4" s="63">
        <f t="shared" ref="AU4:AU11" si="6">AR4*$CO$3</f>
        <v>11375.100000000002</v>
      </c>
      <c r="AV4" s="8">
        <v>64.088406139315225</v>
      </c>
      <c r="AW4" s="8">
        <v>99.9</v>
      </c>
      <c r="AX4" s="8">
        <v>6</v>
      </c>
      <c r="AY4" s="8">
        <f>SUM(Tabla_master_rend[[#This Row],[Kg_Finos]:[Kg_Desmoldeo]])</f>
        <v>169.98840613931523</v>
      </c>
      <c r="AZ4" s="60">
        <f>+(Tabla_master_rend[[#This Row],[Kg_Finos]]+Tabla_master_rend[[#This Row],[Kg_Llenadora]]+Tabla_master_rend[[#This Row],[Kg_Desmoldeo]])/(Tabla_master_rend[[#This Row],[Kg_Queso_Blan]])</f>
        <v>6.3516227545172277E-3</v>
      </c>
      <c r="BA4" s="8">
        <v>545</v>
      </c>
      <c r="BB4" s="60">
        <f>+Tabla_master_rend[[#This Row],[L_Agua]]/(Tabla_master_rend[[#This Row],[L_Agua]]+Tabla_master_rend[[#This Row],[Kg_SalidaSecadero]])</f>
        <v>2.0494114992667244E-2</v>
      </c>
      <c r="BC4" s="8">
        <v>3812</v>
      </c>
      <c r="BD4" s="8">
        <v>3773</v>
      </c>
      <c r="BE4" s="8">
        <v>26343</v>
      </c>
      <c r="BF4" s="8">
        <v>0</v>
      </c>
      <c r="BG4" s="8">
        <v>0</v>
      </c>
      <c r="BH4" s="8">
        <f>10*6.7</f>
        <v>67</v>
      </c>
      <c r="BI4" s="8">
        <f>14*6.7</f>
        <v>93.8</v>
      </c>
      <c r="BJ4" s="8">
        <v>90</v>
      </c>
      <c r="BK4" s="8">
        <v>26048</v>
      </c>
      <c r="BL4" s="8">
        <v>5</v>
      </c>
      <c r="BM4" s="8">
        <v>116.46</v>
      </c>
      <c r="BN4" s="8">
        <v>14.18</v>
      </c>
      <c r="BO4" s="68">
        <f>+SUM(Tabla_master_rend[[#This Row],[B_altas]:[B_lab]])/Tabla_master_rend[[#This Row],[Kg_SalidaSecadero]]</f>
        <v>9.6283783783783789E-3</v>
      </c>
      <c r="BP4" s="68">
        <f>+(Tabla_master_rend[[#This Row],[Kg_mer_env_real]]+Tabla_master_rend[[#This Row],[kg_mer_lab_real]])/Tabla_master_rend[[#This Row],[Kg_SalidaSecadero]]</f>
        <v>5.0153562653562651E-3</v>
      </c>
      <c r="BQ4" s="64">
        <f>+Tabla_master_rend[[#This Row],[Merma_TOT]]/Tabla_master_rend[[#This Row],[Kg_Queso_Blan]]</f>
        <v>3.1783760215065689E-2</v>
      </c>
      <c r="BR4" s="8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850.62840613931519</v>
      </c>
      <c r="BS4" s="8"/>
      <c r="BT4" s="63">
        <f>IF(+Tabla_master_rend[[#This Row],[Kg_Env_Total]]=0,0,Tabla_master_rend[[#This Row],[Kg_Env_Total]]-Tabla_master_rend[[#This Row],[Kg_SalidaSecadero]])</f>
        <v>0</v>
      </c>
      <c r="BU4" s="60">
        <f>+Tabla_master_rend[[#This Row],[Diferencia_Env_vs_Sec_kg]]/Tabla_master_rend[[#This Row],[Kg_SalidaSecadero]]</f>
        <v>0</v>
      </c>
      <c r="BV4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4" s="65">
        <f>+(Tabla_master_rend[[#This Row],[Coste_Leche_€]]-Tabla_master_rend[[#This Row],[Kg_MG_Nata]]*$CO$3)/Tabla_master_rend[[#This Row],[Kg_Queso_Blan]]</f>
        <v>-0.42503101026605095</v>
      </c>
      <c r="BX4" s="8">
        <f>SUM(Tabla_master_rend[[#This Row],[Kg_Finos]:[Kg_Desmoldeo]])+Tabla_master_rend[[#This Row],[L_Agua]]+SUM(Tabla_master_rend[[#This Row],[B_altas]:[B_lab]])</f>
        <v>965.78840613931516</v>
      </c>
      <c r="BY4" s="8">
        <f>+BX4-Tabla_master_rend[[#This Row],[Merma_TOT]]</f>
        <v>115.15999999999997</v>
      </c>
      <c r="BZ4" s="62">
        <f t="shared" si="3"/>
        <v>0.11923936885963002</v>
      </c>
      <c r="CA4" s="8">
        <f>+Tabla_master_rend[[#This Row],[Kg_Queso_Blan]]*$CA$1</f>
        <v>173.95942463990556</v>
      </c>
      <c r="CB4" s="8">
        <f>+Tabla_master_rend[[#This Row],[Kg_Queso_Blan]]*($CB$1-$CA$1)</f>
        <v>93.670459421487621</v>
      </c>
      <c r="CC4" s="8">
        <f>+(Tabla_master_rend[[#This Row],[Kg_Queso_Blan]]-CA4-CB4)*$CC$1</f>
        <v>278.20126448181821</v>
      </c>
      <c r="CD4" s="8">
        <f t="shared" si="4"/>
        <v>545.83114854321138</v>
      </c>
      <c r="CE4" s="80">
        <f>+CD4/Tabla_master_rend[[#This Row],[Kg_Queso_Blan]]</f>
        <v>2.0395E-2</v>
      </c>
      <c r="CF4" s="62">
        <f>+Tabla_master_rend[[#This Row],[Merma_TOT]]/Tabla_master_rend[[#This Row],[Kg_Queso_Blan]]</f>
        <v>3.1783760215065689E-2</v>
      </c>
      <c r="CG4" s="8">
        <f>CD4-Tabla_master_rend[[#This Row],[Merma_TOT]]</f>
        <v>-304.7972575961038</v>
      </c>
      <c r="CH4" s="81" cm="1">
        <f t="array" ref="CH4">-BR4 * IFERROR(INDEX('Precio Leche_EBITDA_Ventas'!$BD$87:$BD$110,MATCH(1,('Precio Leche_EBITDA_Ventas'!$AZ$87:$AZ$110=YEAR(A4))*('Precio Leche_EBITDA_Ventas'!$BB$87:$BB$110=C4),0)),1.3)</f>
        <v>-2977.1994214876031</v>
      </c>
      <c r="CI4" s="81">
        <f t="shared" si="5"/>
        <v>-396.23643487493496</v>
      </c>
      <c r="CK4" t="s">
        <v>124</v>
      </c>
      <c r="CM4" s="58">
        <v>3.4750000000000001</v>
      </c>
      <c r="CQ4" s="8"/>
      <c r="CR4" s="8"/>
    </row>
    <row r="5" spans="1:96" x14ac:dyDescent="0.35">
      <c r="A5" s="9">
        <v>45664</v>
      </c>
      <c r="B5" s="7">
        <v>1</v>
      </c>
      <c r="C5" s="7" t="str">
        <f>+UPPER(TEXT(Tabla_master_rend[[#This Row],[Fecha]],"MMM"))</f>
        <v>ENE</v>
      </c>
      <c r="D5" s="7" t="str">
        <f>+UPPER(TEXT(Tabla_master_rend[[#This Row],[Fecha]],"ddd"))</f>
        <v>MA</v>
      </c>
      <c r="E5" s="3" t="s">
        <v>461</v>
      </c>
      <c r="F5" s="3" t="s">
        <v>244</v>
      </c>
      <c r="G5" s="84" t="s">
        <v>189</v>
      </c>
      <c r="H5">
        <v>17</v>
      </c>
      <c r="I5" s="8">
        <f>+Tabla_master_rend[[#This Row],[L_Leche_ent]]+Tabla_master_rend[[#This Row],[L_desn_ext]]+Tabla_master_rend[[#This Row],[L_cabra]]+Tabla_master_rend[[#This Row],[L_oveja]]</f>
        <v>254077</v>
      </c>
      <c r="J5" s="8">
        <v>254077</v>
      </c>
      <c r="K5" s="5">
        <v>3.9100000000000003E-2</v>
      </c>
      <c r="L5" s="5">
        <v>3.3799999999999997E-2</v>
      </c>
      <c r="M5" s="5">
        <f t="shared" si="1"/>
        <v>0.109375</v>
      </c>
      <c r="N5" s="3" t="s">
        <v>43</v>
      </c>
      <c r="O5" s="8">
        <v>0</v>
      </c>
      <c r="P5" s="8">
        <v>0</v>
      </c>
      <c r="Q5" s="8">
        <v>0</v>
      </c>
      <c r="R5" s="8">
        <v>7660</v>
      </c>
      <c r="T5" s="8">
        <v>235530</v>
      </c>
      <c r="U5" s="38">
        <f>+Tabla_master_rend[[#This Row],[L_suero Total]]/Tabla_master_rend[[#This Row],[Litros_Leche_Total]]</f>
        <v>0.92700244414094934</v>
      </c>
      <c r="V5" s="5">
        <v>1.7000000000000001E-3</v>
      </c>
      <c r="W5" s="5">
        <v>0.01</v>
      </c>
      <c r="X5" s="8">
        <v>152821</v>
      </c>
      <c r="Y5" s="57">
        <v>49494</v>
      </c>
      <c r="Z5" s="58">
        <f>IF(Tabla_master_rend[[#This Row],[L_suero para con]]=0,0,+Tabla_master_rend[[#This Row],[L_suero para con]]/Tabla_master_rend[[#This Row],[L_suero_con]])</f>
        <v>3.0876671919828667</v>
      </c>
      <c r="AA5" s="8">
        <f>+Tabla_master_rend[[#This Row],[L_suero Total]]-Tabla_master_rend[[#This Row],[L_suero para con]]</f>
        <v>82709</v>
      </c>
      <c r="AD5" s="8">
        <v>0</v>
      </c>
      <c r="AE5" s="8">
        <v>0</v>
      </c>
      <c r="AF5" s="8">
        <v>0</v>
      </c>
      <c r="AG5" s="5">
        <v>0</v>
      </c>
      <c r="AH5" s="5">
        <v>0</v>
      </c>
      <c r="AI5" s="8">
        <f>+Tabla_master_rend[[#This Row],[Kg_Finos]]+Tabla_master_rend[[#This Row],[Kg_Llenadora]]+Tabla_master_rend[[#This Row],[Kg_Desmoldeo]]+Tabla_master_rend[[#This Row],[L_Agua]]+Tabla_master_rend[[#This Row],[Kg_SalidaSecadero]]</f>
        <v>29718.7</v>
      </c>
      <c r="AJ5" s="59">
        <f>+Tabla_master_rend[[#This Row],[Litros_Leche_Total]]/Tabla_master_rend[[#This Row],[Kg_Queso_Blan]]</f>
        <v>8.5493981903649896</v>
      </c>
      <c r="AK5" s="59">
        <f>+Tabla_master_rend[[#This Row],[Litros_Leche_Total]]/(Tabla_master_rend[[#This Row],[Kg_Queso_Blan]]-Tabla_master_rend[[#This Row],[Merma_TOT]])</f>
        <v>9.0595861665674207</v>
      </c>
      <c r="AL5" s="59">
        <f>VLOOKUP(G5,REND_TARGET[#All],8,FALSE)</f>
        <v>9.1957579999999997</v>
      </c>
      <c r="AM5" s="8">
        <f>(I5*1.03*Tabla_master_rend[[#This Row],[%MG_Leche]])+(I5*1.03*Tabla_master_rend[[#This Row],[%MP_Leche]])</f>
        <v>19077.879698999997</v>
      </c>
      <c r="AN5" s="38">
        <v>0.2329</v>
      </c>
      <c r="AO5" s="38">
        <v>0.2339</v>
      </c>
      <c r="AP5" s="60">
        <v>0.51990000000000003</v>
      </c>
      <c r="AQ5" s="60">
        <f>+Tabla_master_rend[[#This Row],[Kg_Queso_Blan]]*Tabla_master_rend[[#This Row],[ES_QUESO]]/(Tabla_master_rend[[#This Row],[Kg_Solidos_leche]])</f>
        <v>0.80987784668806151</v>
      </c>
      <c r="AR5" s="8">
        <f t="shared" si="2"/>
        <v>3064</v>
      </c>
      <c r="AS5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0.9758652170851897</v>
      </c>
      <c r="AT5" s="62">
        <f>+Tabla_master_rend[[#This Row],[Kg_Queso_Blan]]*Tabla_master_rend[[#This Row],[%PT_QUESO]]/(Tabla_master_rend[[#This Row],[Litros_Leche_Total]]*1.03*Tabla_master_rend[[#This Row],[%MP_Leche]])</f>
        <v>0.78585198029722425</v>
      </c>
      <c r="AU5" s="63">
        <f t="shared" si="6"/>
        <v>22980</v>
      </c>
      <c r="AV5" s="8">
        <v>76.7</v>
      </c>
      <c r="AW5" s="8">
        <v>218</v>
      </c>
      <c r="AX5" s="8">
        <v>52</v>
      </c>
      <c r="AY5" s="8">
        <f>SUM(Tabla_master_rend[[#This Row],[Kg_Finos]:[Kg_Desmoldeo]])</f>
        <v>346.7</v>
      </c>
      <c r="AZ5" s="60">
        <f>+(Tabla_master_rend[[#This Row],[Kg_Finos]]+Tabla_master_rend[[#This Row],[Kg_Llenadora]]+Tabla_master_rend[[#This Row],[Kg_Desmoldeo]])/(Tabla_master_rend[[#This Row],[Kg_Queso_Blan]])</f>
        <v>1.1666055379272983E-2</v>
      </c>
      <c r="BA5" s="8">
        <v>570</v>
      </c>
      <c r="BB5" s="60">
        <f>+Tabla_master_rend[[#This Row],[L_Agua]]/(Tabla_master_rend[[#This Row],[L_Agua]]+Tabla_master_rend[[#This Row],[Kg_SalidaSecadero]])</f>
        <v>1.9406237232738661E-2</v>
      </c>
      <c r="BC5" s="8">
        <v>3994</v>
      </c>
      <c r="BD5" s="8">
        <v>3806</v>
      </c>
      <c r="BE5" s="8">
        <v>28079</v>
      </c>
      <c r="BF5" s="8">
        <v>0</v>
      </c>
      <c r="BG5" s="8">
        <v>0</v>
      </c>
      <c r="BH5" s="8">
        <f>6*6.9</f>
        <v>41.400000000000006</v>
      </c>
      <c r="BI5" s="8">
        <f>165*6.9</f>
        <v>1138.5</v>
      </c>
      <c r="BJ5" s="8">
        <v>111</v>
      </c>
      <c r="BK5" s="8">
        <v>28802</v>
      </c>
      <c r="BL5" s="8">
        <v>1.36</v>
      </c>
      <c r="BM5" s="8">
        <v>725.88</v>
      </c>
      <c r="BN5" s="8">
        <v>29.66</v>
      </c>
      <c r="BO5" s="68">
        <f>+SUM(Tabla_master_rend[[#This Row],[B_altas]:[B_lab]])/Tabla_master_rend[[#This Row],[Kg_SalidaSecadero]]</f>
        <v>4.4819804180265266E-2</v>
      </c>
      <c r="BP5" s="68">
        <f>+(Tabla_master_rend[[#This Row],[Kg_mer_env_real]]+Tabla_master_rend[[#This Row],[kg_mer_lab_real]])/Tabla_master_rend[[#This Row],[Kg_SalidaSecadero]]</f>
        <v>2.6232206096798834E-2</v>
      </c>
      <c r="BQ5" s="64">
        <f>+Tabla_master_rend[[#This Row],[Merma_TOT]]/Tabla_master_rend[[#This Row],[Kg_Queso_Blan]]</f>
        <v>5.6314710939576768E-2</v>
      </c>
      <c r="BR5" s="8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1673.6000000000001</v>
      </c>
      <c r="BS5" s="8"/>
      <c r="BT5" s="63">
        <f>IF(+Tabla_master_rend[[#This Row],[Kg_Env_Total]]=0,0,Tabla_master_rend[[#This Row],[Kg_Env_Total]]-Tabla_master_rend[[#This Row],[Kg_SalidaSecadero]])</f>
        <v>0</v>
      </c>
      <c r="BU5" s="60">
        <f>+Tabla_master_rend[[#This Row],[Diferencia_Env_vs_Sec_kg]]/Tabla_master_rend[[#This Row],[Kg_SalidaSecadero]]</f>
        <v>0</v>
      </c>
      <c r="BV5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5" s="65">
        <f>+(Tabla_master_rend[[#This Row],[Coste_Leche_€]]-Tabla_master_rend[[#This Row],[Kg_MG_Nata]]*$CO$3)/Tabla_master_rend[[#This Row],[Kg_Queso_Blan]]</f>
        <v>-0.77325051230370101</v>
      </c>
      <c r="BX5" s="8">
        <f>SUM(Tabla_master_rend[[#This Row],[Kg_Finos]:[Kg_Desmoldeo]])+Tabla_master_rend[[#This Row],[L_Agua]]+SUM(Tabla_master_rend[[#This Row],[B_altas]:[B_lab]])</f>
        <v>2207.6000000000004</v>
      </c>
      <c r="BY5" s="8">
        <f>+BX5-Tabla_master_rend[[#This Row],[Merma_TOT]]</f>
        <v>534.00000000000023</v>
      </c>
      <c r="BZ5" s="62">
        <f t="shared" si="3"/>
        <v>0.24189164703750685</v>
      </c>
      <c r="CA5" s="8">
        <f>+Tabla_master_rend[[#This Row],[Kg_Queso_Blan]]*$CA$1</f>
        <v>193.17155</v>
      </c>
      <c r="CB5" s="8">
        <f>+Tabla_master_rend[[#This Row],[Kg_Queso_Blan]]*($CB$1-$CA$1)</f>
        <v>104.01545000000002</v>
      </c>
      <c r="CC5" s="8">
        <f>+(Tabla_master_rend[[#This Row],[Kg_Queso_Blan]]-CA5-CB5)*$CC$1</f>
        <v>308.92588650000005</v>
      </c>
      <c r="CD5" s="8">
        <f t="shared" si="4"/>
        <v>606.11288650000006</v>
      </c>
      <c r="CE5" s="80">
        <f>+CD5/Tabla_master_rend[[#This Row],[Kg_Queso_Blan]]</f>
        <v>2.0395E-2</v>
      </c>
      <c r="CF5" s="62">
        <f>+Tabla_master_rend[[#This Row],[Merma_TOT]]/Tabla_master_rend[[#This Row],[Kg_Queso_Blan]]</f>
        <v>5.6314710939576768E-2</v>
      </c>
      <c r="CG5" s="8">
        <f>CD5-Tabla_master_rend[[#This Row],[Merma_TOT]]</f>
        <v>-1067.4871135000001</v>
      </c>
      <c r="CH5" s="81" cm="1">
        <f t="array" ref="CH5">-BR5 * IFERROR(INDEX('Precio Leche_EBITDA_Ventas'!$BD$87:$BD$110,MATCH(1,('Precio Leche_EBITDA_Ventas'!$AZ$87:$AZ$110=YEAR(A5))*('Precio Leche_EBITDA_Ventas'!$BB$87:$BB$110=C5),0)),1.3)</f>
        <v>-5857.6</v>
      </c>
      <c r="CI5" s="81">
        <f t="shared" si="5"/>
        <v>-1387.7332475500002</v>
      </c>
      <c r="CQ5" s="8"/>
      <c r="CR5" s="8"/>
    </row>
    <row r="6" spans="1:96" x14ac:dyDescent="0.35">
      <c r="A6" s="9">
        <v>45665</v>
      </c>
      <c r="B6" s="7">
        <v>1</v>
      </c>
      <c r="C6" s="7" t="str">
        <f>+UPPER(TEXT(Tabla_master_rend[[#This Row],[Fecha]],"MMM"))</f>
        <v>ENE</v>
      </c>
      <c r="D6" s="7" t="str">
        <f>+UPPER(TEXT(Tabla_master_rend[[#This Row],[Fecha]],"ddd"))</f>
        <v>MI</v>
      </c>
      <c r="E6" s="3" t="s">
        <v>462</v>
      </c>
      <c r="F6" s="3" t="s">
        <v>244</v>
      </c>
      <c r="G6" s="84" t="s">
        <v>189</v>
      </c>
      <c r="H6">
        <v>15</v>
      </c>
      <c r="I6" s="8">
        <f>+Tabla_master_rend[[#This Row],[L_Leche_ent]]+Tabla_master_rend[[#This Row],[L_desn_ext]]+Tabla_master_rend[[#This Row],[L_cabra]]+Tabla_master_rend[[#This Row],[L_oveja]]</f>
        <v>224034</v>
      </c>
      <c r="J6" s="8">
        <v>224034</v>
      </c>
      <c r="K6" s="5">
        <v>3.8599999999999995E-2</v>
      </c>
      <c r="L6" s="5">
        <v>3.3799999999999997E-2</v>
      </c>
      <c r="M6" s="5">
        <f t="shared" si="1"/>
        <v>0.10890999999999999</v>
      </c>
      <c r="N6" s="3" t="s">
        <v>43</v>
      </c>
      <c r="O6" s="8">
        <v>0</v>
      </c>
      <c r="P6" s="8">
        <v>0</v>
      </c>
      <c r="Q6" s="8">
        <v>0</v>
      </c>
      <c r="R6" s="8">
        <v>6660</v>
      </c>
      <c r="T6" s="8">
        <v>208090</v>
      </c>
      <c r="U6" s="38">
        <f>+Tabla_master_rend[[#This Row],[L_suero Total]]/Tabla_master_rend[[#This Row],[Litros_Leche_Total]]</f>
        <v>0.92883223082210731</v>
      </c>
      <c r="V6" s="5">
        <v>1.7000000000000001E-3</v>
      </c>
      <c r="W6" s="5">
        <v>1.01E-2</v>
      </c>
      <c r="X6" s="8">
        <v>160816</v>
      </c>
      <c r="Y6" s="57">
        <v>49678</v>
      </c>
      <c r="Z6" s="58">
        <f>IF(Tabla_master_rend[[#This Row],[L_suero para con]]=0,0,+Tabla_master_rend[[#This Row],[L_suero para con]]/Tabla_master_rend[[#This Row],[L_suero_con]])</f>
        <v>3.2371673577841298</v>
      </c>
      <c r="AA6" s="8">
        <f>+Tabla_master_rend[[#This Row],[L_suero Total]]-Tabla_master_rend[[#This Row],[L_suero para con]]</f>
        <v>47274</v>
      </c>
      <c r="AD6" s="8">
        <v>8862</v>
      </c>
      <c r="AE6" s="8">
        <v>0</v>
      </c>
      <c r="AF6" s="8">
        <v>0</v>
      </c>
      <c r="AG6" s="5"/>
      <c r="AI6" s="8">
        <f>+Tabla_master_rend[[#This Row],[Kg_Finos]]+Tabla_master_rend[[#This Row],[Kg_Llenadora]]+Tabla_master_rend[[#This Row],[Kg_Desmoldeo]]+Tabla_master_rend[[#This Row],[L_Agua]]+Tabla_master_rend[[#This Row],[Kg_SalidaSecadero]]</f>
        <v>25124.080000000002</v>
      </c>
      <c r="AJ6" s="59">
        <f>+Tabla_master_rend[[#This Row],[Litros_Leche_Total]]/Tabla_master_rend[[#This Row],[Kg_Queso_Blan]]</f>
        <v>8.9171026361960308</v>
      </c>
      <c r="AK6" s="59">
        <f>+Tabla_master_rend[[#This Row],[Litros_Leche_Total]]/(Tabla_master_rend[[#This Row],[Kg_Queso_Blan]]-Tabla_master_rend[[#This Row],[Merma_TOT]])</f>
        <v>9.5233844372406438</v>
      </c>
      <c r="AL6" s="59">
        <f>VLOOKUP(G6,REND_TARGET[#All],8,FALSE)</f>
        <v>9.1957579999999997</v>
      </c>
      <c r="AM6" s="8">
        <f>(I6*1.03*Tabla_master_rend[[#This Row],[%MG_Leche]])+(I6*1.03*Tabla_master_rend[[#This Row],[%MP_Leche]])</f>
        <v>16706.663447999999</v>
      </c>
      <c r="AN6" s="38">
        <v>0.2404</v>
      </c>
      <c r="AO6" s="38">
        <v>0.23870000000000002</v>
      </c>
      <c r="AP6" s="60">
        <v>0.52990000000000004</v>
      </c>
      <c r="AQ6" s="60">
        <f>+Tabla_master_rend[[#This Row],[Kg_Queso_Blan]]*Tabla_master_rend[[#This Row],[ES_QUESO]]/(Tabla_master_rend[[#This Row],[Kg_Solidos_leche]])</f>
        <v>0.79688263508975932</v>
      </c>
      <c r="AR6" s="8">
        <f t="shared" si="2"/>
        <v>2664</v>
      </c>
      <c r="AS6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0.97717394653052192</v>
      </c>
      <c r="AT6" s="62">
        <f>+Tabla_master_rend[[#This Row],[Kg_Queso_Blan]]*Tabla_master_rend[[#This Row],[%PT_QUESO]]/(Tabla_master_rend[[#This Row],[Litros_Leche_Total]]*1.03*Tabla_master_rend[[#This Row],[%MP_Leche]])</f>
        <v>0.76890861811065203</v>
      </c>
      <c r="AU6" s="63">
        <f t="shared" si="6"/>
        <v>19980</v>
      </c>
      <c r="AV6" s="8">
        <v>46.58</v>
      </c>
      <c r="AW6" s="8">
        <v>155</v>
      </c>
      <c r="AX6" s="8">
        <v>102.5</v>
      </c>
      <c r="AY6" s="8">
        <f>SUM(Tabla_master_rend[[#This Row],[Kg_Finos]:[Kg_Desmoldeo]])</f>
        <v>304.08</v>
      </c>
      <c r="AZ6" s="60">
        <f>+(Tabla_master_rend[[#This Row],[Kg_Finos]]+Tabla_master_rend[[#This Row],[Kg_Llenadora]]+Tabla_master_rend[[#This Row],[Kg_Desmoldeo]])/(Tabla_master_rend[[#This Row],[Kg_Queso_Blan]])</f>
        <v>1.2103129746442455E-2</v>
      </c>
      <c r="BA6" s="8">
        <v>520</v>
      </c>
      <c r="BB6" s="60">
        <f>+Tabla_master_rend[[#This Row],[L_Agua]]/(Tabla_master_rend[[#This Row],[L_Agua]]+Tabla_master_rend[[#This Row],[Kg_SalidaSecadero]])</f>
        <v>2.0950846091861403E-2</v>
      </c>
      <c r="BC6" s="8">
        <v>3417</v>
      </c>
      <c r="BD6" s="8">
        <v>3203</v>
      </c>
      <c r="BE6" s="8">
        <v>23386</v>
      </c>
      <c r="BF6" s="8">
        <v>0</v>
      </c>
      <c r="BG6" s="8">
        <v>0</v>
      </c>
      <c r="BH6" s="8">
        <f>16*6.7</f>
        <v>107.2</v>
      </c>
      <c r="BI6" s="8">
        <f>177*6.7</f>
        <v>1185.9000000000001</v>
      </c>
      <c r="BJ6" s="8">
        <v>96</v>
      </c>
      <c r="BK6" s="8">
        <v>24300</v>
      </c>
      <c r="BL6" s="8">
        <v>1.26</v>
      </c>
      <c r="BM6" s="8">
        <v>753.62</v>
      </c>
      <c r="BN6" s="8">
        <v>20.5</v>
      </c>
      <c r="BO6" s="68">
        <f>+SUM(Tabla_master_rend[[#This Row],[B_altas]:[B_lab]])/Tabla_master_rend[[#This Row],[Kg_SalidaSecadero]]</f>
        <v>5.7164609053497947E-2</v>
      </c>
      <c r="BP6" s="68">
        <f>+(Tabla_master_rend[[#This Row],[Kg_mer_env_real]]+Tabla_master_rend[[#This Row],[kg_mer_lab_real]])/Tabla_master_rend[[#This Row],[Kg_SalidaSecadero]]</f>
        <v>3.1856790123456789E-2</v>
      </c>
      <c r="BQ6" s="64">
        <f>+Tabla_master_rend[[#This Row],[Merma_TOT]]/Tabla_master_rend[[#This Row],[Kg_Queso_Blan]]</f>
        <v>6.3662430624325347E-2</v>
      </c>
      <c r="BR6" s="8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1599.46</v>
      </c>
      <c r="BS6" s="8"/>
      <c r="BT6" s="63">
        <f>IF(+Tabla_master_rend[[#This Row],[Kg_Env_Total]]=0,0,Tabla_master_rend[[#This Row],[Kg_Env_Total]]-Tabla_master_rend[[#This Row],[Kg_SalidaSecadero]])</f>
        <v>0</v>
      </c>
      <c r="BU6" s="60">
        <f>+Tabla_master_rend[[#This Row],[Diferencia_Env_vs_Sec_kg]]/Tabla_master_rend[[#This Row],[Kg_SalidaSecadero]]</f>
        <v>0</v>
      </c>
      <c r="BV6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6" s="65">
        <f>+(Tabla_master_rend[[#This Row],[Coste_Leche_€]]-Tabla_master_rend[[#This Row],[Kg_MG_Nata]]*$CO$3)/Tabla_master_rend[[#This Row],[Kg_Queso_Blan]]</f>
        <v>-0.79525300030886703</v>
      </c>
      <c r="BX6" s="8">
        <f>SUM(Tabla_master_rend[[#This Row],[Kg_Finos]:[Kg_Desmoldeo]])+Tabla_master_rend[[#This Row],[L_Agua]]+SUM(Tabla_master_rend[[#This Row],[B_altas]:[B_lab]])</f>
        <v>2213.1800000000003</v>
      </c>
      <c r="BY6" s="8">
        <f>+BX6-Tabla_master_rend[[#This Row],[Merma_TOT]]</f>
        <v>613.72000000000025</v>
      </c>
      <c r="BZ6" s="62">
        <f t="shared" si="3"/>
        <v>0.27730234323462177</v>
      </c>
      <c r="CA6" s="8">
        <f>+Tabla_master_rend[[#This Row],[Kg_Queso_Blan]]*$CA$1</f>
        <v>163.30652000000001</v>
      </c>
      <c r="CB6" s="8">
        <f>+Tabla_master_rend[[#This Row],[Kg_Queso_Blan]]*($CB$1-$CA$1)</f>
        <v>87.934280000000015</v>
      </c>
      <c r="CC6" s="8">
        <f>+(Tabla_master_rend[[#This Row],[Kg_Queso_Blan]]-CA6-CB6)*$CC$1</f>
        <v>261.16481160000006</v>
      </c>
      <c r="CD6" s="8">
        <f t="shared" si="4"/>
        <v>512.40561160000016</v>
      </c>
      <c r="CE6" s="80">
        <f>+CD6/Tabla_master_rend[[#This Row],[Kg_Queso_Blan]]</f>
        <v>2.0395000000000003E-2</v>
      </c>
      <c r="CF6" s="62">
        <f>+Tabla_master_rend[[#This Row],[Merma_TOT]]/Tabla_master_rend[[#This Row],[Kg_Queso_Blan]]</f>
        <v>6.3662430624325347E-2</v>
      </c>
      <c r="CG6" s="8">
        <f>CD6-Tabla_master_rend[[#This Row],[Merma_TOT]]</f>
        <v>-1087.0543883999999</v>
      </c>
      <c r="CH6" s="81" cm="1">
        <f t="array" ref="CH6">-BR6 * IFERROR(INDEX('Precio Leche_EBITDA_Ventas'!$BD$87:$BD$110,MATCH(1,('Precio Leche_EBITDA_Ventas'!$AZ$87:$AZ$110=YEAR(A6))*('Precio Leche_EBITDA_Ventas'!$BB$87:$BB$110=C6),0)),1.3)</f>
        <v>-5598.1100000000006</v>
      </c>
      <c r="CI6" s="81">
        <f t="shared" si="5"/>
        <v>-1413.1707049199999</v>
      </c>
      <c r="CQ6" s="8"/>
      <c r="CR6" s="8"/>
    </row>
    <row r="7" spans="1:96" x14ac:dyDescent="0.35">
      <c r="A7" s="9">
        <v>45667</v>
      </c>
      <c r="B7" s="7">
        <v>1</v>
      </c>
      <c r="C7" s="7" t="str">
        <f>+UPPER(TEXT(Tabla_master_rend[[#This Row],[Fecha]],"MMM"))</f>
        <v>ENE</v>
      </c>
      <c r="D7" s="7" t="str">
        <f>+UPPER(TEXT(Tabla_master_rend[[#This Row],[Fecha]],"ddd"))</f>
        <v>VI</v>
      </c>
      <c r="E7" s="3" t="s">
        <v>463</v>
      </c>
      <c r="F7" s="3" t="s">
        <v>244</v>
      </c>
      <c r="G7" s="84" t="s">
        <v>301</v>
      </c>
      <c r="H7">
        <v>13</v>
      </c>
      <c r="I7" s="8">
        <f>+Tabla_master_rend[[#This Row],[L_Leche_ent]]+Tabla_master_rend[[#This Row],[L_desn_ext]]+Tabla_master_rend[[#This Row],[L_cabra]]+Tabla_master_rend[[#This Row],[L_oveja]]</f>
        <v>204429</v>
      </c>
      <c r="J7" s="8">
        <v>204429</v>
      </c>
      <c r="K7" s="5">
        <v>3.8800000000000001E-2</v>
      </c>
      <c r="L7" s="5">
        <v>3.3500000000000002E-2</v>
      </c>
      <c r="M7" s="5">
        <f t="shared" si="1"/>
        <v>0.108874</v>
      </c>
      <c r="N7" s="35" t="s">
        <v>188</v>
      </c>
      <c r="O7" s="8">
        <v>0</v>
      </c>
      <c r="P7" s="8">
        <v>0</v>
      </c>
      <c r="Q7" s="8">
        <v>0</v>
      </c>
      <c r="R7" s="8">
        <v>3045</v>
      </c>
      <c r="T7" s="8">
        <v>182000</v>
      </c>
      <c r="U7" s="38">
        <f>+Tabla_master_rend[[#This Row],[L_suero Total]]/Tabla_master_rend[[#This Row],[Litros_Leche_Total]]</f>
        <v>0.89028464650318695</v>
      </c>
      <c r="V7" s="5">
        <v>1.8E-3</v>
      </c>
      <c r="W7" s="5">
        <v>9.0000000000000011E-3</v>
      </c>
      <c r="X7" s="8">
        <v>149545</v>
      </c>
      <c r="Y7" s="57">
        <v>49146</v>
      </c>
      <c r="Z7" s="58">
        <f>IF(Tabla_master_rend[[#This Row],[L_suero para con]]=0,0,+Tabla_master_rend[[#This Row],[L_suero para con]]/Tabla_master_rend[[#This Row],[L_suero_con]])</f>
        <v>3.0428722581695355</v>
      </c>
      <c r="AA7" s="8">
        <f>+Tabla_master_rend[[#This Row],[L_suero Total]]-Tabla_master_rend[[#This Row],[L_suero para con]]</f>
        <v>32455</v>
      </c>
      <c r="AD7" s="8">
        <v>0</v>
      </c>
      <c r="AE7" s="8">
        <v>0</v>
      </c>
      <c r="AF7" s="8">
        <v>0</v>
      </c>
      <c r="AG7" s="5">
        <v>0</v>
      </c>
      <c r="AH7" s="5">
        <v>0</v>
      </c>
      <c r="AI7" s="8">
        <f>+Tabla_master_rend[[#This Row],[Kg_Finos]]+Tabla_master_rend[[#This Row],[Kg_Llenadora]]+Tabla_master_rend[[#This Row],[Kg_Desmoldeo]]+Tabla_master_rend[[#This Row],[L_Agua]]+Tabla_master_rend[[#This Row],[Kg_SalidaSecadero]]</f>
        <v>22880.11</v>
      </c>
      <c r="AJ7" s="59">
        <f>+Tabla_master_rend[[#This Row],[Litros_Leche_Total]]/Tabla_master_rend[[#This Row],[Kg_Queso_Blan]]</f>
        <v>8.9347909603581446</v>
      </c>
      <c r="AK7" s="59">
        <f>+Tabla_master_rend[[#This Row],[Litros_Leche_Total]]/(Tabla_master_rend[[#This Row],[Kg_Queso_Blan]]-Tabla_master_rend[[#This Row],[Merma_TOT]])</f>
        <v>9.3994061374380777</v>
      </c>
      <c r="AL7" s="59">
        <f>VLOOKUP(G7,REND_TARGET[#All],8,FALSE)</f>
        <v>9.3549429999999987</v>
      </c>
      <c r="AM7" s="8">
        <f>(I7*1.03*Tabla_master_rend[[#This Row],[%MG_Leche]])+(I7*1.03*Tabla_master_rend[[#This Row],[%MP_Leche]])</f>
        <v>15223.623201</v>
      </c>
      <c r="AN7" s="38">
        <v>0.29149999999999998</v>
      </c>
      <c r="AO7" s="38">
        <v>0.23829999999999998</v>
      </c>
      <c r="AP7" s="60">
        <v>0.57820000000000005</v>
      </c>
      <c r="AQ7" s="60">
        <f>+Tabla_master_rend[[#This Row],[Kg_Queso_Blan]]*Tabla_master_rend[[#This Row],[ES_QUESO]]/(Tabla_master_rend[[#This Row],[Kg_Solidos_leche]])</f>
        <v>0.86899678396736746</v>
      </c>
      <c r="AR7" s="8">
        <f t="shared" si="2"/>
        <v>1218</v>
      </c>
      <c r="AS7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0.96545221770527634</v>
      </c>
      <c r="AT7" s="62">
        <f>+Tabla_master_rend[[#This Row],[Kg_Queso_Blan]]*Tabla_master_rend[[#This Row],[%PT_QUESO]]/(Tabla_master_rend[[#This Row],[Litros_Leche_Total]]*1.03*Tabla_master_rend[[#This Row],[%MP_Leche]])</f>
        <v>0.77296105776983282</v>
      </c>
      <c r="AU7" s="63">
        <f t="shared" si="6"/>
        <v>9135</v>
      </c>
      <c r="AV7" s="8">
        <v>44.11</v>
      </c>
      <c r="AW7" s="7">
        <v>85</v>
      </c>
      <c r="AX7" s="7">
        <v>44</v>
      </c>
      <c r="AY7" s="8">
        <f>SUM(Tabla_master_rend[[#This Row],[Kg_Finos]:[Kg_Desmoldeo]])</f>
        <v>173.11</v>
      </c>
      <c r="AZ7" s="60">
        <f>+(Tabla_master_rend[[#This Row],[Kg_Finos]]+Tabla_master_rend[[#This Row],[Kg_Llenadora]]+Tabla_master_rend[[#This Row],[Kg_Desmoldeo]])/(Tabla_master_rend[[#This Row],[Kg_Queso_Blan]])</f>
        <v>7.565960128688193E-3</v>
      </c>
      <c r="BA7" s="7">
        <v>450</v>
      </c>
      <c r="BB7" s="60">
        <f>+Tabla_master_rend[[#This Row],[L_Agua]]/(Tabla_master_rend[[#This Row],[L_Agua]]+Tabla_master_rend[[#This Row],[Kg_SalidaSecadero]])</f>
        <v>1.9817677368212445E-2</v>
      </c>
      <c r="BC7" s="8">
        <v>3084</v>
      </c>
      <c r="BD7" s="8">
        <v>2957</v>
      </c>
      <c r="BE7" s="8">
        <v>21824</v>
      </c>
      <c r="BF7" s="8">
        <v>0</v>
      </c>
      <c r="BG7" s="8">
        <v>0</v>
      </c>
      <c r="BH7" s="7">
        <f>4*6.9</f>
        <v>27.6</v>
      </c>
      <c r="BI7" s="7">
        <f>112*6.9</f>
        <v>772.80000000000007</v>
      </c>
      <c r="BJ7" s="8">
        <v>83</v>
      </c>
      <c r="BK7" s="8">
        <v>22257</v>
      </c>
      <c r="BL7" s="8">
        <v>3.89</v>
      </c>
      <c r="BM7" s="8">
        <v>497.26</v>
      </c>
      <c r="BN7" s="8">
        <v>6.71</v>
      </c>
      <c r="BO7" s="68">
        <f>+SUM(Tabla_master_rend[[#This Row],[B_altas]:[B_lab]])/Tabla_master_rend[[#This Row],[Kg_SalidaSecadero]]</f>
        <v>3.96908837669048E-2</v>
      </c>
      <c r="BP7" s="68">
        <f>+(Tabla_master_rend[[#This Row],[Kg_mer_env_real]]+Tabla_master_rend[[#This Row],[kg_mer_lab_real]])/Tabla_master_rend[[#This Row],[Kg_SalidaSecadero]]</f>
        <v>2.2643213371074267E-2</v>
      </c>
      <c r="BQ7" s="64">
        <f>+Tabla_master_rend[[#This Row],[Merma_TOT]]/Tabla_master_rend[[#This Row],[Kg_Queso_Blan]]</f>
        <v>4.9430269347481272E-2</v>
      </c>
      <c r="BR7" s="8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1130.9699999999998</v>
      </c>
      <c r="BS7" s="8"/>
      <c r="BT7" s="63">
        <f>IF(+Tabla_master_rend[[#This Row],[Kg_Env_Total]]=0,0,Tabla_master_rend[[#This Row],[Kg_Env_Total]]-Tabla_master_rend[[#This Row],[Kg_SalidaSecadero]])</f>
        <v>0</v>
      </c>
      <c r="BU7" s="60">
        <f>+Tabla_master_rend[[#This Row],[Diferencia_Env_vs_Sec_kg]]/Tabla_master_rend[[#This Row],[Kg_SalidaSecadero]]</f>
        <v>0</v>
      </c>
      <c r="BV7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7" s="65">
        <f>+(Tabla_master_rend[[#This Row],[Coste_Leche_€]]-Tabla_master_rend[[#This Row],[Kg_MG_Nata]]*$CO$3)/Tabla_master_rend[[#This Row],[Kg_Queso_Blan]]</f>
        <v>-0.39925507351144729</v>
      </c>
      <c r="BX7" s="8">
        <f>SUM(Tabla_master_rend[[#This Row],[Kg_Finos]:[Kg_Desmoldeo]])+Tabla_master_rend[[#This Row],[L_Agua]]+SUM(Tabla_master_rend[[#This Row],[B_altas]:[B_lab]])</f>
        <v>1506.5100000000002</v>
      </c>
      <c r="BY7" s="8">
        <f>+BX7-Tabla_master_rend[[#This Row],[Merma_TOT]]</f>
        <v>375.54000000000042</v>
      </c>
      <c r="BZ7" s="62">
        <f t="shared" si="3"/>
        <v>0.24927813290320036</v>
      </c>
      <c r="CA7" s="8">
        <f>+Tabla_master_rend[[#This Row],[Kg_Queso_Blan]]*$CA$1</f>
        <v>148.72071499999998</v>
      </c>
      <c r="CB7" s="8">
        <f>+Tabla_master_rend[[#This Row],[Kg_Queso_Blan]]*($CB$1-$CA$1)</f>
        <v>80.080385000000007</v>
      </c>
      <c r="CC7" s="8">
        <f>+(Tabla_master_rend[[#This Row],[Kg_Queso_Blan]]-CA7-CB7)*$CC$1</f>
        <v>237.83874345000001</v>
      </c>
      <c r="CD7" s="8">
        <f t="shared" si="4"/>
        <v>466.63984345</v>
      </c>
      <c r="CE7" s="80">
        <f>+CD7/Tabla_master_rend[[#This Row],[Kg_Queso_Blan]]</f>
        <v>2.0395E-2</v>
      </c>
      <c r="CF7" s="62">
        <f>+Tabla_master_rend[[#This Row],[Merma_TOT]]/Tabla_master_rend[[#This Row],[Kg_Queso_Blan]]</f>
        <v>4.9430269347481272E-2</v>
      </c>
      <c r="CG7" s="8">
        <f>CD7-Tabla_master_rend[[#This Row],[Merma_TOT]]</f>
        <v>-664.33015654999986</v>
      </c>
      <c r="CH7" s="81" cm="1">
        <f t="array" ref="CH7">-BR7 * IFERROR(INDEX('Precio Leche_EBITDA_Ventas'!$BD$87:$BD$110,MATCH(1,('Precio Leche_EBITDA_Ventas'!$AZ$87:$AZ$110=YEAR(A7))*('Precio Leche_EBITDA_Ventas'!$BB$87:$BB$110=C7),0)),1.3)</f>
        <v>-3958.3949999999995</v>
      </c>
      <c r="CI7" s="81">
        <f t="shared" si="5"/>
        <v>-863.62920351499986</v>
      </c>
      <c r="CQ7" s="8"/>
      <c r="CR7" s="8"/>
    </row>
    <row r="8" spans="1:96" x14ac:dyDescent="0.35">
      <c r="A8" s="9">
        <v>45670</v>
      </c>
      <c r="B8" s="7">
        <v>1</v>
      </c>
      <c r="C8" s="7" t="str">
        <f>+UPPER(TEXT(Tabla_master_rend[[#This Row],[Fecha]],"MMM"))</f>
        <v>ENE</v>
      </c>
      <c r="D8" s="7" t="str">
        <f>+UPPER(TEXT(Tabla_master_rend[[#This Row],[Fecha]],"ddd"))</f>
        <v>LU</v>
      </c>
      <c r="E8" s="3">
        <v>130125316</v>
      </c>
      <c r="F8" s="3" t="s">
        <v>244</v>
      </c>
      <c r="G8" s="84" t="s">
        <v>299</v>
      </c>
      <c r="H8">
        <v>16</v>
      </c>
      <c r="I8" s="8">
        <f>+Tabla_master_rend[[#This Row],[L_Leche_ent]]+Tabla_master_rend[[#This Row],[L_desn_ext]]+Tabla_master_rend[[#This Row],[L_cabra]]+Tabla_master_rend[[#This Row],[L_oveja]]</f>
        <v>259322</v>
      </c>
      <c r="J8" s="8">
        <v>259322</v>
      </c>
      <c r="K8" s="5">
        <v>3.7200000000000004E-2</v>
      </c>
      <c r="L8" s="5">
        <v>3.3399999999999999E-2</v>
      </c>
      <c r="M8" s="5">
        <f t="shared" si="1"/>
        <v>0.107312</v>
      </c>
      <c r="N8" s="35" t="s">
        <v>43</v>
      </c>
      <c r="O8" s="8">
        <v>0</v>
      </c>
      <c r="P8" s="8">
        <v>0</v>
      </c>
      <c r="Q8" s="8">
        <v>0</v>
      </c>
      <c r="R8" s="8">
        <v>7727</v>
      </c>
      <c r="T8" s="8">
        <v>223450</v>
      </c>
      <c r="U8" s="38">
        <f>+Tabla_master_rend[[#This Row],[L_suero Total]]/Tabla_master_rend[[#This Row],[Litros_Leche_Total]]</f>
        <v>0.86167004727713037</v>
      </c>
      <c r="V8" s="5">
        <v>1.1000000000000001E-3</v>
      </c>
      <c r="W8" s="5">
        <v>9.1000000000000004E-3</v>
      </c>
      <c r="X8" s="8">
        <v>134124</v>
      </c>
      <c r="Y8" s="57">
        <v>38013</v>
      </c>
      <c r="Z8" s="58">
        <f>IF(Tabla_master_rend[[#This Row],[L_suero para con]]=0,0,+Tabla_master_rend[[#This Row],[L_suero para con]]/Tabla_master_rend[[#This Row],[L_suero_con]])</f>
        <v>3.5283718727803648</v>
      </c>
      <c r="AA8" s="8">
        <f>+Tabla_master_rend[[#This Row],[L_suero Total]]-Tabla_master_rend[[#This Row],[L_suero para con]]</f>
        <v>89326</v>
      </c>
      <c r="AD8" s="8">
        <v>0</v>
      </c>
      <c r="AE8" s="8">
        <v>0</v>
      </c>
      <c r="AF8" s="8">
        <v>0</v>
      </c>
      <c r="AG8" s="5">
        <v>0</v>
      </c>
      <c r="AH8" s="5">
        <v>0</v>
      </c>
      <c r="AI8" s="8">
        <f>+Tabla_master_rend[[#This Row],[Kg_Finos]]+Tabla_master_rend[[#This Row],[Kg_Llenadora]]+Tabla_master_rend[[#This Row],[Kg_Desmoldeo]]+Tabla_master_rend[[#This Row],[L_Agua]]+Tabla_master_rend[[#This Row],[Kg_SalidaSecadero]]</f>
        <v>28427.919999999998</v>
      </c>
      <c r="AJ8" s="59">
        <f>+Tabla_master_rend[[#This Row],[Litros_Leche_Total]]/Tabla_master_rend[[#This Row],[Kg_Queso_Blan]]</f>
        <v>9.1220884257448311</v>
      </c>
      <c r="AK8" s="59">
        <f>+Tabla_master_rend[[#This Row],[Litros_Leche_Total]]/(Tabla_master_rend[[#This Row],[Kg_Queso_Blan]]-Tabla_master_rend[[#This Row],[Merma_TOT]])</f>
        <v>10.262488464089483</v>
      </c>
      <c r="AL8" s="59">
        <f>VLOOKUP(G8,REND_TARGET[#All],8,FALSE)</f>
        <v>9.8078500000000002</v>
      </c>
      <c r="AM8" s="8">
        <f>(I8*1.03*Tabla_master_rend[[#This Row],[%MG_Leche]])+(I8*1.03*Tabla_master_rend[[#This Row],[%MP_Leche]])</f>
        <v>18857.377196000001</v>
      </c>
      <c r="AN8" s="38">
        <v>0.23649999999999999</v>
      </c>
      <c r="AO8" s="38">
        <v>0.254</v>
      </c>
      <c r="AP8" s="60">
        <v>0.5423</v>
      </c>
      <c r="AQ8" s="60">
        <f>+Tabla_master_rend[[#This Row],[Kg_Queso_Blan]]*Tabla_master_rend[[#This Row],[ES_QUESO]]/(Tabla_master_rend[[#This Row],[Kg_Solidos_leche]])</f>
        <v>0.81752943984543702</v>
      </c>
      <c r="AR8" s="8">
        <f t="shared" si="2"/>
        <v>3090.8</v>
      </c>
      <c r="AS8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0.98770365971059149</v>
      </c>
      <c r="AT8" s="62">
        <f>+Tabla_master_rend[[#This Row],[Kg_Queso_Blan]]*Tabla_master_rend[[#This Row],[%PT_QUESO]]/(Tabla_master_rend[[#This Row],[Litros_Leche_Total]]*1.03*Tabla_master_rend[[#This Row],[%MP_Leche]])</f>
        <v>0.80938611033976571</v>
      </c>
      <c r="AU8" s="63">
        <f t="shared" si="6"/>
        <v>23181</v>
      </c>
      <c r="AV8" s="8">
        <v>52.92</v>
      </c>
      <c r="AW8" s="7">
        <v>88.4</v>
      </c>
      <c r="AX8" s="7">
        <v>282.60000000000002</v>
      </c>
      <c r="AY8" s="8">
        <f>SUM(Tabla_master_rend[[#This Row],[Kg_Finos]:[Kg_Desmoldeo]])</f>
        <v>423.92</v>
      </c>
      <c r="AZ8" s="60">
        <f>+(Tabla_master_rend[[#This Row],[Kg_Finos]]+Tabla_master_rend[[#This Row],[Kg_Llenadora]]+Tabla_master_rend[[#This Row],[Kg_Desmoldeo]])/(Tabla_master_rend[[#This Row],[Kg_Queso_Blan]])</f>
        <v>1.4912100498383282E-2</v>
      </c>
      <c r="BA8" s="7">
        <v>575</v>
      </c>
      <c r="BB8" s="60">
        <f>+Tabla_master_rend[[#This Row],[L_Agua]]/(Tabla_master_rend[[#This Row],[L_Agua]]+Tabla_master_rend[[#This Row],[Kg_SalidaSecadero]])</f>
        <v>2.0532781031281245E-2</v>
      </c>
      <c r="BC8" s="8">
        <v>3973</v>
      </c>
      <c r="BD8" s="8">
        <v>3367</v>
      </c>
      <c r="BE8" s="8">
        <v>23363</v>
      </c>
      <c r="BF8" s="8">
        <v>0</v>
      </c>
      <c r="BG8" s="8">
        <v>0</v>
      </c>
      <c r="BH8" s="7">
        <f>4*7.7</f>
        <v>30.8</v>
      </c>
      <c r="BI8" s="7">
        <f>588*7.7</f>
        <v>4527.6000000000004</v>
      </c>
      <c r="BJ8" s="8">
        <v>86</v>
      </c>
      <c r="BK8" s="8">
        <v>27429</v>
      </c>
      <c r="BL8" s="8">
        <v>4.2300000000000004</v>
      </c>
      <c r="BM8" s="8">
        <v>2137.88</v>
      </c>
      <c r="BN8" s="8">
        <v>17.97</v>
      </c>
      <c r="BO8" s="68">
        <f>+SUM(Tabla_master_rend[[#This Row],[B_altas]:[B_lab]])/Tabla_master_rend[[#This Row],[Kg_SalidaSecadero]]</f>
        <v>0.16932443763899524</v>
      </c>
      <c r="BP8" s="68">
        <f>+(Tabla_master_rend[[#This Row],[Kg_mer_env_real]]+Tabla_master_rend[[#This Row],[kg_mer_lab_real]])/Tabla_master_rend[[#This Row],[Kg_SalidaSecadero]]</f>
        <v>7.8597469831200556E-2</v>
      </c>
      <c r="BQ8" s="64">
        <f>+Tabla_master_rend[[#This Row],[Merma_TOT]]/Tabla_master_rend[[#This Row],[Kg_Queso_Blan]]</f>
        <v>0.11112314935457818</v>
      </c>
      <c r="BR8" s="8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3159</v>
      </c>
      <c r="BS8" s="8"/>
      <c r="BT8" s="63">
        <f>IF(+Tabla_master_rend[[#This Row],[Kg_Env_Total]]=0,0,Tabla_master_rend[[#This Row],[Kg_Env_Total]]-Tabla_master_rend[[#This Row],[Kg_SalidaSecadero]])</f>
        <v>0</v>
      </c>
      <c r="BU8" s="60">
        <f>+Tabla_master_rend[[#This Row],[Diferencia_Env_vs_Sec_kg]]/Tabla_master_rend[[#This Row],[Kg_SalidaSecadero]]</f>
        <v>0</v>
      </c>
      <c r="BV8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8" s="65">
        <f>+(Tabla_master_rend[[#This Row],[Coste_Leche_€]]-Tabla_master_rend[[#This Row],[Kg_MG_Nata]]*$CO$3)/Tabla_master_rend[[#This Row],[Kg_Queso_Blan]]</f>
        <v>-0.81543074554874229</v>
      </c>
      <c r="BX8" s="8">
        <f>SUM(Tabla_master_rend[[#This Row],[Kg_Finos]:[Kg_Desmoldeo]])+Tabla_master_rend[[#This Row],[L_Agua]]+SUM(Tabla_master_rend[[#This Row],[B_altas]:[B_lab]])</f>
        <v>5643.3200000000006</v>
      </c>
      <c r="BY8" s="8">
        <f>+BX8-Tabla_master_rend[[#This Row],[Merma_TOT]]</f>
        <v>2484.3200000000006</v>
      </c>
      <c r="BZ8" s="62">
        <f t="shared" si="3"/>
        <v>0.44022313106469246</v>
      </c>
      <c r="CA8" s="8">
        <f>+Tabla_master_rend[[#This Row],[Kg_Queso_Blan]]*$CA$1</f>
        <v>184.78147999999999</v>
      </c>
      <c r="CB8" s="8">
        <f>+Tabla_master_rend[[#This Row],[Kg_Queso_Blan]]*($CB$1-$CA$1)</f>
        <v>99.497720000000015</v>
      </c>
      <c r="CC8" s="8">
        <f>+(Tabla_master_rend[[#This Row],[Kg_Queso_Blan]]-CA8-CB8)*$CC$1</f>
        <v>295.50822840000001</v>
      </c>
      <c r="CD8" s="8">
        <f t="shared" si="4"/>
        <v>579.78742839999995</v>
      </c>
      <c r="CE8" s="80">
        <f>+CD8/Tabla_master_rend[[#This Row],[Kg_Queso_Blan]]</f>
        <v>2.0395E-2</v>
      </c>
      <c r="CF8" s="62">
        <f>+Tabla_master_rend[[#This Row],[Merma_TOT]]/Tabla_master_rend[[#This Row],[Kg_Queso_Blan]]</f>
        <v>0.11112314935457818</v>
      </c>
      <c r="CG8" s="8">
        <f>CD8-Tabla_master_rend[[#This Row],[Merma_TOT]]</f>
        <v>-2579.2125716</v>
      </c>
      <c r="CH8" s="81" cm="1">
        <f t="array" ref="CH8">-BR8 * IFERROR(INDEX('Precio Leche_EBITDA_Ventas'!$BD$87:$BD$110,MATCH(1,('Precio Leche_EBITDA_Ventas'!$AZ$87:$AZ$110=YEAR(A8))*('Precio Leche_EBITDA_Ventas'!$BB$87:$BB$110=C8),0)),1.3)</f>
        <v>-11056.5</v>
      </c>
      <c r="CI8" s="81">
        <f t="shared" si="5"/>
        <v>-3352.9763430800003</v>
      </c>
      <c r="CQ8" s="8"/>
      <c r="CR8" s="8"/>
    </row>
    <row r="9" spans="1:96" x14ac:dyDescent="0.35">
      <c r="A9" s="9">
        <v>45673</v>
      </c>
      <c r="B9" s="7">
        <v>1</v>
      </c>
      <c r="C9" s="7" t="str">
        <f>+UPPER(TEXT(Tabla_master_rend[[#This Row],[Fecha]],"MMM"))</f>
        <v>ENE</v>
      </c>
      <c r="D9" s="7" t="str">
        <f>+UPPER(TEXT(Tabla_master_rend[[#This Row],[Fecha]],"ddd"))</f>
        <v>JU</v>
      </c>
      <c r="E9" s="3">
        <v>160125026</v>
      </c>
      <c r="F9" s="3" t="s">
        <v>244</v>
      </c>
      <c r="G9" s="84" t="s">
        <v>190</v>
      </c>
      <c r="H9">
        <v>17</v>
      </c>
      <c r="I9" s="8">
        <f>+Tabla_master_rend[[#This Row],[L_Leche_ent]]+Tabla_master_rend[[#This Row],[L_desn_ext]]+Tabla_master_rend[[#This Row],[L_cabra]]+Tabla_master_rend[[#This Row],[L_oveja]]</f>
        <v>242694</v>
      </c>
      <c r="J9" s="8">
        <v>242694</v>
      </c>
      <c r="K9" s="5">
        <v>3.9300000000000002E-2</v>
      </c>
      <c r="L9" s="5">
        <v>3.4500000000000003E-2</v>
      </c>
      <c r="M9" s="5">
        <f t="shared" si="1"/>
        <v>0.11007900000000001</v>
      </c>
      <c r="N9" s="35" t="s">
        <v>188</v>
      </c>
      <c r="O9" s="8">
        <v>0</v>
      </c>
      <c r="P9" s="8">
        <v>0</v>
      </c>
      <c r="Q9" s="8">
        <v>0</v>
      </c>
      <c r="R9" s="8">
        <v>2715</v>
      </c>
      <c r="T9" s="8">
        <v>223400</v>
      </c>
      <c r="U9" s="38">
        <f>+Tabla_master_rend[[#This Row],[L_suero Total]]/Tabla_master_rend[[#This Row],[Litros_Leche_Total]]</f>
        <v>0.92050071283179646</v>
      </c>
      <c r="V9" s="5">
        <v>2.5999999999999999E-3</v>
      </c>
      <c r="W9" s="5">
        <v>1.01E-2</v>
      </c>
      <c r="X9" s="8">
        <v>142428</v>
      </c>
      <c r="Y9" s="57">
        <v>43435</v>
      </c>
      <c r="Z9" s="58">
        <f>IF(Tabla_master_rend[[#This Row],[L_suero para con]]=0,0,+Tabla_master_rend[[#This Row],[L_suero para con]]/Tabla_master_rend[[#This Row],[L_suero_con]])</f>
        <v>3.2791067111776218</v>
      </c>
      <c r="AA9" s="8">
        <f>+Tabla_master_rend[[#This Row],[L_suero Total]]-Tabla_master_rend[[#This Row],[L_suero para con]]</f>
        <v>80972</v>
      </c>
      <c r="AD9" s="8">
        <v>0</v>
      </c>
      <c r="AE9" s="8">
        <v>0</v>
      </c>
      <c r="AF9" s="8">
        <v>0</v>
      </c>
      <c r="AG9" s="5">
        <v>0</v>
      </c>
      <c r="AH9" s="5">
        <v>0</v>
      </c>
      <c r="AI9" s="8">
        <f>+Tabla_master_rend[[#This Row],[Kg_Finos]]+Tabla_master_rend[[#This Row],[Kg_Llenadora]]+Tabla_master_rend[[#This Row],[Kg_Desmoldeo]]+Tabla_master_rend[[#This Row],[L_Agua]]+Tabla_master_rend[[#This Row],[Kg_SalidaSecadero]]</f>
        <v>30210.38</v>
      </c>
      <c r="AJ9" s="59">
        <f>+Tabla_master_rend[[#This Row],[Litros_Leche_Total]]/Tabla_master_rend[[#This Row],[Kg_Queso_Blan]]</f>
        <v>8.0334639948256186</v>
      </c>
      <c r="AK9" s="59">
        <f>+Tabla_master_rend[[#This Row],[Litros_Leche_Total]]/(Tabla_master_rend[[#This Row],[Kg_Queso_Blan]]-Tabla_master_rend[[#This Row],[Merma_TOT]])</f>
        <v>8.2873143247396275</v>
      </c>
      <c r="AL9" s="59">
        <f>VLOOKUP(G9,REND_TARGET[#All],8,FALSE)</f>
        <v>8.4943170000000006</v>
      </c>
      <c r="AM9" s="8">
        <f>(I9*1.03*Tabla_master_rend[[#This Row],[%MG_Leche]])+(I9*1.03*Tabla_master_rend[[#This Row],[%MP_Leche]])</f>
        <v>18448.141716000002</v>
      </c>
      <c r="AN9" s="38">
        <v>0.28539999999999999</v>
      </c>
      <c r="AO9" s="38">
        <v>0.22649999999999998</v>
      </c>
      <c r="AP9" s="60">
        <v>0.56240000000000001</v>
      </c>
      <c r="AQ9" s="60">
        <f>+Tabla_master_rend[[#This Row],[Kg_Queso_Blan]]*Tabla_master_rend[[#This Row],[ES_QUESO]]/(Tabla_master_rend[[#This Row],[Kg_Solidos_leche]])</f>
        <v>0.92097718965723052</v>
      </c>
      <c r="AR9" s="8">
        <f t="shared" si="2"/>
        <v>1086</v>
      </c>
      <c r="AS9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0.98819545491390326</v>
      </c>
      <c r="AT9" s="62">
        <f>+Tabla_master_rend[[#This Row],[Kg_Queso_Blan]]*Tabla_master_rend[[#This Row],[%PT_QUESO]]/(Tabla_master_rend[[#This Row],[Litros_Leche_Total]]*1.03*Tabla_master_rend[[#This Row],[%MP_Leche]])</f>
        <v>0.79343076304210569</v>
      </c>
      <c r="AU9" s="63">
        <f t="shared" si="6"/>
        <v>8145</v>
      </c>
      <c r="AV9" s="8">
        <v>88.28</v>
      </c>
      <c r="AW9" s="7">
        <v>133.9</v>
      </c>
      <c r="AX9" s="7">
        <v>17.2</v>
      </c>
      <c r="AY9" s="8">
        <f>SUM(Tabla_master_rend[[#This Row],[Kg_Finos]:[Kg_Desmoldeo]])</f>
        <v>239.38</v>
      </c>
      <c r="AZ9" s="60">
        <f>+(Tabla_master_rend[[#This Row],[Kg_Finos]]+Tabla_master_rend[[#This Row],[Kg_Llenadora]]+Tabla_master_rend[[#This Row],[Kg_Desmoldeo]])/(Tabla_master_rend[[#This Row],[Kg_Queso_Blan]])</f>
        <v>7.9237665994270831E-3</v>
      </c>
      <c r="BA9" s="7">
        <v>580</v>
      </c>
      <c r="BB9" s="60">
        <f>+Tabla_master_rend[[#This Row],[L_Agua]]/(Tabla_master_rend[[#This Row],[L_Agua]]+Tabla_master_rend[[#This Row],[Kg_SalidaSecadero]])</f>
        <v>1.9352040305628773E-2</v>
      </c>
      <c r="BC9" s="8">
        <v>4022</v>
      </c>
      <c r="BD9" s="8">
        <v>3996</v>
      </c>
      <c r="BE9" s="8">
        <v>29803</v>
      </c>
      <c r="BF9" s="8">
        <v>0</v>
      </c>
      <c r="BG9" s="8">
        <v>0</v>
      </c>
      <c r="BH9" s="7">
        <f>2*6.4</f>
        <v>12.8</v>
      </c>
      <c r="BI9" s="7">
        <f>11*6.4</f>
        <v>70.400000000000006</v>
      </c>
      <c r="BJ9" s="8">
        <v>85</v>
      </c>
      <c r="BK9" s="8">
        <v>29391</v>
      </c>
      <c r="BL9" s="8">
        <v>1.8</v>
      </c>
      <c r="BM9" s="8">
        <v>82.13</v>
      </c>
      <c r="BN9" s="8">
        <v>22.07</v>
      </c>
      <c r="BO9" s="68">
        <f>+SUM(Tabla_master_rend[[#This Row],[B_altas]:[B_lab]])/Tabla_master_rend[[#This Row],[Kg_SalidaSecadero]]</f>
        <v>5.7228403252696401E-3</v>
      </c>
      <c r="BP9" s="68">
        <f>+(Tabla_master_rend[[#This Row],[Kg_mer_env_real]]+Tabla_master_rend[[#This Row],[kg_mer_lab_real]])/Tabla_master_rend[[#This Row],[Kg_SalidaSecadero]]</f>
        <v>3.5453029839066378E-3</v>
      </c>
      <c r="BQ9" s="64">
        <f>+Tabla_master_rend[[#This Row],[Merma_TOT]]/Tabla_master_rend[[#This Row],[Kg_Queso_Blan]]</f>
        <v>3.0631193649335094E-2</v>
      </c>
      <c r="BR9" s="8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925.38</v>
      </c>
      <c r="BS9" s="8"/>
      <c r="BT9" s="63">
        <f>IF(+Tabla_master_rend[[#This Row],[Kg_Env_Total]]=0,0,Tabla_master_rend[[#This Row],[Kg_Env_Total]]-Tabla_master_rend[[#This Row],[Kg_SalidaSecadero]])</f>
        <v>0</v>
      </c>
      <c r="BU9" s="60">
        <f>+Tabla_master_rend[[#This Row],[Diferencia_Env_vs_Sec_kg]]/Tabla_master_rend[[#This Row],[Kg_SalidaSecadero]]</f>
        <v>0</v>
      </c>
      <c r="BV9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9" s="65">
        <f>+(Tabla_master_rend[[#This Row],[Coste_Leche_€]]-Tabla_master_rend[[#This Row],[Kg_MG_Nata]]*$CO$3)/Tabla_master_rend[[#This Row],[Kg_Queso_Blan]]</f>
        <v>-0.2696093197106425</v>
      </c>
      <c r="BX9" s="8">
        <f>SUM(Tabla_master_rend[[#This Row],[Kg_Finos]:[Kg_Desmoldeo]])+Tabla_master_rend[[#This Row],[L_Agua]]+SUM(Tabla_master_rend[[#This Row],[B_altas]:[B_lab]])</f>
        <v>987.57999999999993</v>
      </c>
      <c r="BY9" s="8">
        <f>+BX9-Tabla_master_rend[[#This Row],[Merma_TOT]]</f>
        <v>62.199999999999932</v>
      </c>
      <c r="BZ9" s="62">
        <f t="shared" si="3"/>
        <v>6.29822394135158E-2</v>
      </c>
      <c r="CA9" s="8">
        <f>+Tabla_master_rend[[#This Row],[Kg_Queso_Blan]]*$CA$1</f>
        <v>196.36747</v>
      </c>
      <c r="CB9" s="8">
        <f>+Tabla_master_rend[[#This Row],[Kg_Queso_Blan]]*($CB$1-$CA$1)</f>
        <v>105.73633000000002</v>
      </c>
      <c r="CC9" s="8">
        <f>+(Tabla_master_rend[[#This Row],[Kg_Queso_Blan]]-CA9-CB9)*$CC$1</f>
        <v>314.03690010000003</v>
      </c>
      <c r="CD9" s="8">
        <f t="shared" si="4"/>
        <v>616.1407001</v>
      </c>
      <c r="CE9" s="80">
        <f>+CD9/Tabla_master_rend[[#This Row],[Kg_Queso_Blan]]</f>
        <v>2.0395E-2</v>
      </c>
      <c r="CF9" s="62">
        <f>+Tabla_master_rend[[#This Row],[Merma_TOT]]/Tabla_master_rend[[#This Row],[Kg_Queso_Blan]]</f>
        <v>3.0631193649335094E-2</v>
      </c>
      <c r="CG9" s="8">
        <f>CD9-Tabla_master_rend[[#This Row],[Merma_TOT]]</f>
        <v>-309.23929989999999</v>
      </c>
      <c r="CH9" s="81" cm="1">
        <f t="array" ref="CH9">-BR9 * IFERROR(INDEX('Precio Leche_EBITDA_Ventas'!$BD$87:$BD$110,MATCH(1,('Precio Leche_EBITDA_Ventas'!$AZ$87:$AZ$110=YEAR(A9))*('Precio Leche_EBITDA_Ventas'!$BB$87:$BB$110=C9),0)),1.3)</f>
        <v>-3238.83</v>
      </c>
      <c r="CI9" s="81">
        <f t="shared" si="5"/>
        <v>-402.01108986999998</v>
      </c>
      <c r="CQ9" s="8"/>
      <c r="CR9" s="8"/>
    </row>
    <row r="10" spans="1:96" x14ac:dyDescent="0.35">
      <c r="A10" s="9">
        <v>45677</v>
      </c>
      <c r="B10" s="7">
        <v>1</v>
      </c>
      <c r="C10" s="7" t="str">
        <f>+UPPER(TEXT(Tabla_master_rend[[#This Row],[Fecha]],"MMM"))</f>
        <v>ENE</v>
      </c>
      <c r="D10" s="7" t="str">
        <f>+UPPER(TEXT(Tabla_master_rend[[#This Row],[Fecha]],"ddd"))</f>
        <v>LU</v>
      </c>
      <c r="E10" s="3">
        <v>200125016</v>
      </c>
      <c r="F10" s="3" t="s">
        <v>244</v>
      </c>
      <c r="G10" s="84" t="s">
        <v>189</v>
      </c>
      <c r="H10">
        <v>3</v>
      </c>
      <c r="I10" s="8">
        <f>+Tabla_master_rend[[#This Row],[L_Leche_ent]]+Tabla_master_rend[[#This Row],[L_desn_ext]]+Tabla_master_rend[[#This Row],[L_cabra]]+Tabla_master_rend[[#This Row],[L_oveja]]</f>
        <v>43234</v>
      </c>
      <c r="J10" s="8">
        <v>43234</v>
      </c>
      <c r="K10" s="5">
        <v>3.8300000000000001E-2</v>
      </c>
      <c r="L10" s="5">
        <v>3.4300000000000004E-2</v>
      </c>
      <c r="M10" s="5">
        <f t="shared" si="1"/>
        <v>0.10900100000000001</v>
      </c>
      <c r="N10" s="35" t="s">
        <v>43</v>
      </c>
      <c r="O10" s="8">
        <v>0</v>
      </c>
      <c r="P10" s="8">
        <v>0</v>
      </c>
      <c r="Q10" s="8">
        <v>0</v>
      </c>
      <c r="R10" s="8">
        <v>1103</v>
      </c>
      <c r="T10" s="8">
        <v>43300</v>
      </c>
      <c r="U10" s="38">
        <f>+Tabla_master_rend[[#This Row],[L_suero Total]]/Tabla_master_rend[[#This Row],[Litros_Leche_Total]]</f>
        <v>1.0015265763056853</v>
      </c>
      <c r="V10" s="5">
        <v>2E-3</v>
      </c>
      <c r="W10" s="5">
        <v>1.0700000000000001E-2</v>
      </c>
      <c r="X10" s="8">
        <v>40841</v>
      </c>
      <c r="Y10" s="57">
        <v>11435</v>
      </c>
      <c r="Z10" s="58">
        <f>IF(Tabla_master_rend[[#This Row],[L_suero para con]]=0,0,+Tabla_master_rend[[#This Row],[L_suero para con]]/Tabla_master_rend[[#This Row],[L_suero_con]])</f>
        <v>3.5715784871010059</v>
      </c>
      <c r="AA10" s="8">
        <f>+Tabla_master_rend[[#This Row],[L_suero Total]]-Tabla_master_rend[[#This Row],[L_suero para con]]</f>
        <v>2459</v>
      </c>
      <c r="AD10" s="8">
        <v>8210</v>
      </c>
      <c r="AE10" s="8">
        <v>0</v>
      </c>
      <c r="AF10" s="8">
        <v>0</v>
      </c>
      <c r="AG10" s="5"/>
      <c r="AI10" s="8">
        <f>+Tabla_master_rend[[#This Row],[Kg_Finos]]+Tabla_master_rend[[#This Row],[Kg_Llenadora]]+Tabla_master_rend[[#This Row],[Kg_Desmoldeo]]+Tabla_master_rend[[#This Row],[L_Agua]]+Tabla_master_rend[[#This Row],[Kg_SalidaSecadero]]</f>
        <v>4858.46</v>
      </c>
      <c r="AJ10" s="59">
        <f>+Tabla_master_rend[[#This Row],[Litros_Leche_Total]]/Tabla_master_rend[[#This Row],[Kg_Queso_Blan]]</f>
        <v>8.8987045277721748</v>
      </c>
      <c r="AK10" s="59">
        <f>+Tabla_master_rend[[#This Row],[Litros_Leche_Total]]/(Tabla_master_rend[[#This Row],[Kg_Queso_Blan]]-Tabla_master_rend[[#This Row],[Merma_TOT]])</f>
        <v>9.4562968341943741</v>
      </c>
      <c r="AL10" s="59">
        <f>VLOOKUP(G10,REND_TARGET[#All],8,FALSE)</f>
        <v>9.1957579999999997</v>
      </c>
      <c r="AM10" s="8">
        <f>(I10*1.03*Tabla_master_rend[[#This Row],[%MG_Leche]])+(I10*1.03*Tabla_master_rend[[#This Row],[%MP_Leche]])</f>
        <v>3232.9520520000005</v>
      </c>
      <c r="AN10" s="38">
        <v>0.23559999999999998</v>
      </c>
      <c r="AO10" s="38">
        <v>0.23879999999999998</v>
      </c>
      <c r="AP10" s="60">
        <v>0.52800000000000002</v>
      </c>
      <c r="AQ10" s="60">
        <f>+Tabla_master_rend[[#This Row],[Kg_Queso_Blan]]*Tabla_master_rend[[#This Row],[ES_QUESO]]/(Tabla_master_rend[[#This Row],[Kg_Solidos_leche]])</f>
        <v>0.79347507749551982</v>
      </c>
      <c r="AR10" s="8">
        <f t="shared" si="2"/>
        <v>441.20000000000005</v>
      </c>
      <c r="AS10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0.929825729260504</v>
      </c>
      <c r="AT10" s="62">
        <f>+Tabla_master_rend[[#This Row],[Kg_Queso_Blan]]*Tabla_master_rend[[#This Row],[%PT_QUESO]]/(Tabla_master_rend[[#This Row],[Litros_Leche_Total]]*1.03*Tabla_master_rend[[#This Row],[%MP_Leche]])</f>
        <v>0.75958466966662941</v>
      </c>
      <c r="AU10" s="63">
        <f t="shared" si="6"/>
        <v>3309.0000000000005</v>
      </c>
      <c r="AV10" s="8">
        <v>10.46</v>
      </c>
      <c r="AW10" s="7">
        <v>55</v>
      </c>
      <c r="AX10" s="7">
        <v>27</v>
      </c>
      <c r="AY10" s="8">
        <f>SUM(Tabla_master_rend[[#This Row],[Kg_Finos]:[Kg_Desmoldeo]])</f>
        <v>92.460000000000008</v>
      </c>
      <c r="AZ10" s="60">
        <f>+(Tabla_master_rend[[#This Row],[Kg_Finos]]+Tabla_master_rend[[#This Row],[Kg_Llenadora]]+Tabla_master_rend[[#This Row],[Kg_Desmoldeo]])/(Tabla_master_rend[[#This Row],[Kg_Queso_Blan]])</f>
        <v>1.9030721669006229E-2</v>
      </c>
      <c r="BA10" s="7">
        <v>100</v>
      </c>
      <c r="BB10" s="60">
        <f>+Tabla_master_rend[[#This Row],[L_Agua]]/(Tabla_master_rend[[#This Row],[L_Agua]]+Tabla_master_rend[[#This Row],[Kg_SalidaSecadero]])</f>
        <v>2.0981955518254301E-2</v>
      </c>
      <c r="BC10" s="8">
        <v>644</v>
      </c>
      <c r="BD10" s="8">
        <v>610</v>
      </c>
      <c r="BE10" s="8">
        <v>4548</v>
      </c>
      <c r="BF10" s="8">
        <v>0</v>
      </c>
      <c r="BG10" s="8">
        <f>13*6.5</f>
        <v>84.5</v>
      </c>
      <c r="BH10" s="7">
        <f>15*6.5</f>
        <v>97.5</v>
      </c>
      <c r="BI10" s="7">
        <v>0</v>
      </c>
      <c r="BJ10" s="8">
        <v>37</v>
      </c>
      <c r="BK10" s="8">
        <v>4666</v>
      </c>
      <c r="BL10" s="8">
        <v>0</v>
      </c>
      <c r="BM10" s="8">
        <v>87.71</v>
      </c>
      <c r="BN10" s="8">
        <v>6.31</v>
      </c>
      <c r="BO10" s="68">
        <f>+SUM(Tabla_master_rend[[#This Row],[B_altas]:[B_lab]])/Tabla_master_rend[[#This Row],[Kg_SalidaSecadero]]</f>
        <v>4.6935276468066868E-2</v>
      </c>
      <c r="BP10" s="68">
        <f>+(Tabla_master_rend[[#This Row],[Kg_mer_env_real]]+Tabla_master_rend[[#This Row],[kg_mer_lab_real]])/Tabla_master_rend[[#This Row],[Kg_SalidaSecadero]]</f>
        <v>2.0150021431633091E-2</v>
      </c>
      <c r="BQ10" s="64">
        <f>+Tabla_master_rend[[#This Row],[Merma_TOT]]/Tabla_master_rend[[#This Row],[Kg_Queso_Blan]]</f>
        <v>5.8965186499425733E-2</v>
      </c>
      <c r="BR10" s="8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286.47999999999996</v>
      </c>
      <c r="BS10" s="8"/>
      <c r="BT10" s="63">
        <f>IF(+Tabla_master_rend[[#This Row],[Kg_Env_Total]]=0,0,Tabla_master_rend[[#This Row],[Kg_Env_Total]]-Tabla_master_rend[[#This Row],[Kg_SalidaSecadero]])</f>
        <v>0</v>
      </c>
      <c r="BU10" s="60">
        <f>+Tabla_master_rend[[#This Row],[Diferencia_Env_vs_Sec_kg]]/Tabla_master_rend[[#This Row],[Kg_SalidaSecadero]]</f>
        <v>0</v>
      </c>
      <c r="BV10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0" s="65">
        <f>+(Tabla_master_rend[[#This Row],[Coste_Leche_€]]-Tabla_master_rend[[#This Row],[Kg_MG_Nata]]*$CO$3)/Tabla_master_rend[[#This Row],[Kg_Queso_Blan]]</f>
        <v>-0.68108001300823728</v>
      </c>
      <c r="BX10" s="8">
        <f>SUM(Tabla_master_rend[[#This Row],[Kg_Finos]:[Kg_Desmoldeo]])+Tabla_master_rend[[#This Row],[L_Agua]]+SUM(Tabla_master_rend[[#This Row],[B_altas]:[B_lab]])</f>
        <v>411.46000000000004</v>
      </c>
      <c r="BY10" s="8">
        <f>+BX10-Tabla_master_rend[[#This Row],[Merma_TOT]]</f>
        <v>124.98000000000008</v>
      </c>
      <c r="BZ10" s="62">
        <f t="shared" si="3"/>
        <v>0.30374763038934544</v>
      </c>
      <c r="CA10" s="8">
        <f>+Tabla_master_rend[[#This Row],[Kg_Queso_Blan]]*$CA$1</f>
        <v>31.579989999999999</v>
      </c>
      <c r="CB10" s="8">
        <f>+Tabla_master_rend[[#This Row],[Kg_Queso_Blan]]*($CB$1-$CA$1)</f>
        <v>17.004610000000003</v>
      </c>
      <c r="CC10" s="8">
        <f>+(Tabla_master_rend[[#This Row],[Kg_Queso_Blan]]-CA10-CB10)*$CC$1</f>
        <v>50.503691700000005</v>
      </c>
      <c r="CD10" s="8">
        <f t="shared" si="4"/>
        <v>99.088291700000013</v>
      </c>
      <c r="CE10" s="80">
        <f>+CD10/Tabla_master_rend[[#This Row],[Kg_Queso_Blan]]</f>
        <v>2.0395000000000003E-2</v>
      </c>
      <c r="CF10" s="62">
        <f>+Tabla_master_rend[[#This Row],[Merma_TOT]]/Tabla_master_rend[[#This Row],[Kg_Queso_Blan]]</f>
        <v>5.8965186499425733E-2</v>
      </c>
      <c r="CG10" s="8">
        <f>CD10-Tabla_master_rend[[#This Row],[Merma_TOT]]</f>
        <v>-187.39170829999995</v>
      </c>
      <c r="CH10" s="81" cm="1">
        <f t="array" ref="CH10">-BR10 * IFERROR(INDEX('Precio Leche_EBITDA_Ventas'!$BD$87:$BD$110,MATCH(1,('Precio Leche_EBITDA_Ventas'!$AZ$87:$AZ$110=YEAR(A10))*('Precio Leche_EBITDA_Ventas'!$BB$87:$BB$110=C10),0)),1.3)</f>
        <v>-1002.6799999999998</v>
      </c>
      <c r="CI10" s="81">
        <f t="shared" si="5"/>
        <v>-243.60922078999994</v>
      </c>
      <c r="CQ10" s="8"/>
      <c r="CR10" s="8"/>
    </row>
    <row r="11" spans="1:96" x14ac:dyDescent="0.35">
      <c r="A11" s="9">
        <v>45678</v>
      </c>
      <c r="B11" s="7">
        <v>1</v>
      </c>
      <c r="C11" s="7" t="str">
        <f>+UPPER(TEXT(Tabla_master_rend[[#This Row],[Fecha]],"MMM"))</f>
        <v>ENE</v>
      </c>
      <c r="D11" s="7" t="str">
        <f>+UPPER(TEXT(Tabla_master_rend[[#This Row],[Fecha]],"ddd"))</f>
        <v>MA</v>
      </c>
      <c r="E11" s="3" t="s">
        <v>464</v>
      </c>
      <c r="F11" s="3" t="s">
        <v>244</v>
      </c>
      <c r="G11" s="84" t="s">
        <v>190</v>
      </c>
      <c r="H11">
        <v>17</v>
      </c>
      <c r="I11" s="8">
        <f>+Tabla_master_rend[[#This Row],[L_Leche_ent]]+Tabla_master_rend[[#This Row],[L_desn_ext]]+Tabla_master_rend[[#This Row],[L_cabra]]+Tabla_master_rend[[#This Row],[L_oveja]]</f>
        <v>243613</v>
      </c>
      <c r="J11" s="8">
        <v>243613</v>
      </c>
      <c r="K11" s="5">
        <v>3.7999999999999999E-2</v>
      </c>
      <c r="L11" s="5">
        <v>3.4200000000000001E-2</v>
      </c>
      <c r="M11" s="5">
        <f t="shared" si="1"/>
        <v>0.10864800000000001</v>
      </c>
      <c r="N11" s="35" t="s">
        <v>43</v>
      </c>
      <c r="O11" s="8">
        <v>0</v>
      </c>
      <c r="P11" s="8">
        <v>0</v>
      </c>
      <c r="Q11" s="8">
        <v>0</v>
      </c>
      <c r="R11" s="8">
        <v>0</v>
      </c>
      <c r="T11" s="8">
        <v>232070</v>
      </c>
      <c r="U11" s="38">
        <f>+Tabla_master_rend[[#This Row],[L_suero Total]]/Tabla_master_rend[[#This Row],[Litros_Leche_Total]]</f>
        <v>0.95261747115301731</v>
      </c>
      <c r="V11" s="5">
        <v>3.0999999999999999E-3</v>
      </c>
      <c r="W11" s="5">
        <v>1.01E-2</v>
      </c>
      <c r="X11" s="8">
        <v>91249</v>
      </c>
      <c r="Y11" s="57">
        <v>25873</v>
      </c>
      <c r="Z11" s="58">
        <f>IF(Tabla_master_rend[[#This Row],[L_suero para con]]=0,0,+Tabla_master_rend[[#This Row],[L_suero para con]]/Tabla_master_rend[[#This Row],[L_suero_con]])</f>
        <v>3.5268040041742359</v>
      </c>
      <c r="AA11" s="8">
        <f>+Tabla_master_rend[[#This Row],[L_suero Total]]-Tabla_master_rend[[#This Row],[L_suero para con]]</f>
        <v>140821</v>
      </c>
      <c r="AD11" s="8">
        <v>42052</v>
      </c>
      <c r="AE11" s="8">
        <v>0</v>
      </c>
      <c r="AF11" s="8">
        <v>0</v>
      </c>
      <c r="AG11" s="5"/>
      <c r="AI11" s="8">
        <f>+Tabla_master_rend[[#This Row],[Kg_Finos]]+Tabla_master_rend[[#This Row],[Kg_Llenadora]]+Tabla_master_rend[[#This Row],[Kg_Desmoldeo]]+Tabla_master_rend[[#This Row],[L_Agua]]+Tabla_master_rend[[#This Row],[Kg_SalidaSecadero]]</f>
        <v>31443.34</v>
      </c>
      <c r="AJ11" s="59">
        <f>+Tabla_master_rend[[#This Row],[Litros_Leche_Total]]/Tabla_master_rend[[#This Row],[Kg_Queso_Blan]]</f>
        <v>7.7476820210575594</v>
      </c>
      <c r="AK11" s="59">
        <f>+Tabla_master_rend[[#This Row],[Litros_Leche_Total]]/(Tabla_master_rend[[#This Row],[Kg_Queso_Blan]]-Tabla_master_rend[[#This Row],[Merma_TOT]])</f>
        <v>8.0062403275416081</v>
      </c>
      <c r="AL11" s="59">
        <f>VLOOKUP(G11,REND_TARGET[#All],8,FALSE)</f>
        <v>8.4943170000000006</v>
      </c>
      <c r="AM11" s="8">
        <f>(I11*1.03*Tabla_master_rend[[#This Row],[%MG_Leche]])+(I11*1.03*Tabla_master_rend[[#This Row],[%MP_Leche]])</f>
        <v>18116.524358000002</v>
      </c>
      <c r="AN11" s="38">
        <v>0.29570000000000002</v>
      </c>
      <c r="AO11" s="38">
        <v>0.21640000000000001</v>
      </c>
      <c r="AP11" s="60">
        <v>0.56100000000000005</v>
      </c>
      <c r="AQ11" s="60">
        <f>+Tabla_master_rend[[#This Row],[Kg_Queso_Blan]]*Tabla_master_rend[[#This Row],[ES_QUESO]]/(Tabla_master_rend[[#This Row],[Kg_Solidos_leche]])</f>
        <v>0.97368089990233442</v>
      </c>
      <c r="AR11" s="8">
        <f t="shared" si="2"/>
        <v>0</v>
      </c>
      <c r="AS11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0.97512146166154834</v>
      </c>
      <c r="AT11" s="62">
        <f>+Tabla_master_rend[[#This Row],[Kg_Queso_Blan]]*Tabla_master_rend[[#This Row],[%PT_QUESO]]/(Tabla_master_rend[[#This Row],[Litros_Leche_Total]]*1.03*Tabla_master_rend[[#This Row],[%MP_Leche]])</f>
        <v>0.79290679105534523</v>
      </c>
      <c r="AU11" s="63">
        <f t="shared" si="6"/>
        <v>0</v>
      </c>
      <c r="AV11" s="8">
        <v>88.24</v>
      </c>
      <c r="AW11" s="7">
        <v>171.4</v>
      </c>
      <c r="AX11" s="7">
        <v>34.700000000000003</v>
      </c>
      <c r="AY11" s="8">
        <f>SUM(Tabla_master_rend[[#This Row],[Kg_Finos]:[Kg_Desmoldeo]])</f>
        <v>294.33999999999997</v>
      </c>
      <c r="AZ11" s="60">
        <f>+(Tabla_master_rend[[#This Row],[Kg_Finos]]+Tabla_master_rend[[#This Row],[Kg_Llenadora]]+Tabla_master_rend[[#This Row],[Kg_Desmoldeo]])/(Tabla_master_rend[[#This Row],[Kg_Queso_Blan]])</f>
        <v>9.3609648338885115E-3</v>
      </c>
      <c r="BA11" s="7">
        <v>600</v>
      </c>
      <c r="BB11" s="60">
        <f>+Tabla_master_rend[[#This Row],[L_Agua]]/(Tabla_master_rend[[#This Row],[L_Agua]]+Tabla_master_rend[[#This Row],[Kg_SalidaSecadero]])</f>
        <v>1.9262255610131947E-2</v>
      </c>
      <c r="BC11" s="8">
        <v>4176</v>
      </c>
      <c r="BD11" s="8">
        <v>4135</v>
      </c>
      <c r="BE11" s="8">
        <v>30891</v>
      </c>
      <c r="BF11" s="8">
        <f>106*6.2</f>
        <v>657.2</v>
      </c>
      <c r="BG11" s="8">
        <f>11*6.2</f>
        <v>68.2</v>
      </c>
      <c r="BH11" s="7">
        <f>9*6.2</f>
        <v>55.800000000000004</v>
      </c>
      <c r="BI11" s="7">
        <f>6*6.2</f>
        <v>37.200000000000003</v>
      </c>
      <c r="BJ11" s="8">
        <v>96</v>
      </c>
      <c r="BK11" s="8">
        <v>30549</v>
      </c>
      <c r="BL11" s="8">
        <v>2.38</v>
      </c>
      <c r="BM11" s="8">
        <v>102.77</v>
      </c>
      <c r="BN11" s="8">
        <v>15.96</v>
      </c>
      <c r="BO11" s="68">
        <f>+SUM(Tabla_master_rend[[#This Row],[B_altas]:[B_lab]])/Tabla_master_rend[[#This Row],[Kg_SalidaSecadero]]</f>
        <v>2.9932240007856235E-2</v>
      </c>
      <c r="BP11" s="68">
        <f>+(Tabla_master_rend[[#This Row],[Kg_mer_env_real]]+Tabla_master_rend[[#This Row],[kg_mer_lab_real]])/Tabla_master_rend[[#This Row],[Kg_SalidaSecadero]]</f>
        <v>3.8865429310288384E-3</v>
      </c>
      <c r="BQ11" s="64">
        <f>+Tabla_master_rend[[#This Row],[Merma_TOT]]/Tabla_master_rend[[#This Row],[Kg_Queso_Blan]]</f>
        <v>3.2294597202460043E-2</v>
      </c>
      <c r="BR11" s="8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1015.45</v>
      </c>
      <c r="BS11" s="8"/>
      <c r="BT11" s="63">
        <f>IF(+Tabla_master_rend[[#This Row],[Kg_Env_Total]]=0,0,Tabla_master_rend[[#This Row],[Kg_Env_Total]]-Tabla_master_rend[[#This Row],[Kg_SalidaSecadero]])</f>
        <v>0</v>
      </c>
      <c r="BU11" s="60">
        <f>+Tabla_master_rend[[#This Row],[Diferencia_Env_vs_Sec_kg]]/Tabla_master_rend[[#This Row],[Kg_SalidaSecadero]]</f>
        <v>0</v>
      </c>
      <c r="BV11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1" s="65">
        <f>+(Tabla_master_rend[[#This Row],[Coste_Leche_€]]-Tabla_master_rend[[#This Row],[Kg_MG_Nata]]*$CO$3)/Tabla_master_rend[[#This Row],[Kg_Queso_Blan]]</f>
        <v>0</v>
      </c>
      <c r="BX11" s="8">
        <f>SUM(Tabla_master_rend[[#This Row],[Kg_Finos]:[Kg_Desmoldeo]])+Tabla_master_rend[[#This Row],[L_Agua]]+SUM(Tabla_master_rend[[#This Row],[B_altas]:[B_lab]])</f>
        <v>1808.74</v>
      </c>
      <c r="BY11" s="8">
        <f>+BX11-Tabla_master_rend[[#This Row],[Merma_TOT]]</f>
        <v>793.29</v>
      </c>
      <c r="BZ11" s="62">
        <f t="shared" si="3"/>
        <v>0.4385870827205679</v>
      </c>
      <c r="CA11" s="8">
        <f>+Tabla_master_rend[[#This Row],[Kg_Queso_Blan]]*$CA$1</f>
        <v>204.38171</v>
      </c>
      <c r="CB11" s="8">
        <f>+Tabla_master_rend[[#This Row],[Kg_Queso_Blan]]*($CB$1-$CA$1)</f>
        <v>110.05169000000002</v>
      </c>
      <c r="CC11" s="8">
        <f>+(Tabla_master_rend[[#This Row],[Kg_Queso_Blan]]-CA11-CB11)*$CC$1</f>
        <v>326.85351930000002</v>
      </c>
      <c r="CD11" s="8">
        <f t="shared" si="4"/>
        <v>641.28691930000002</v>
      </c>
      <c r="CE11" s="80">
        <f>+CD11/Tabla_master_rend[[#This Row],[Kg_Queso_Blan]]</f>
        <v>2.0395E-2</v>
      </c>
      <c r="CF11" s="62">
        <f>+Tabla_master_rend[[#This Row],[Merma_TOT]]/Tabla_master_rend[[#This Row],[Kg_Queso_Blan]]</f>
        <v>3.2294597202460043E-2</v>
      </c>
      <c r="CG11" s="8">
        <f>CD11-Tabla_master_rend[[#This Row],[Merma_TOT]]</f>
        <v>-374.16308070000002</v>
      </c>
      <c r="CH11" s="81" cm="1">
        <f t="array" ref="CH11">-BR11 * IFERROR(INDEX('Precio Leche_EBITDA_Ventas'!$BD$87:$BD$110,MATCH(1,('Precio Leche_EBITDA_Ventas'!$AZ$87:$AZ$110=YEAR(A11))*('Precio Leche_EBITDA_Ventas'!$BB$87:$BB$110=C11),0)),1.3)</f>
        <v>-3554.0750000000003</v>
      </c>
      <c r="CI11" s="81">
        <f t="shared" si="5"/>
        <v>-486.41200491000006</v>
      </c>
      <c r="CQ11" s="8"/>
      <c r="CR11" s="8"/>
    </row>
    <row r="12" spans="1:96" x14ac:dyDescent="0.35">
      <c r="A12" s="9">
        <v>45680</v>
      </c>
      <c r="B12" s="7">
        <v>1</v>
      </c>
      <c r="C12" s="7" t="str">
        <f>+UPPER(TEXT(Tabla_master_rend[[#This Row],[Fecha]],"MMM"))</f>
        <v>ENE</v>
      </c>
      <c r="D12" s="7" t="str">
        <f>+UPPER(TEXT(Tabla_master_rend[[#This Row],[Fecha]],"ddd"))</f>
        <v>JU</v>
      </c>
      <c r="E12" s="3">
        <v>230125026</v>
      </c>
      <c r="F12" s="3" t="s">
        <v>244</v>
      </c>
      <c r="G12" s="84" t="s">
        <v>190</v>
      </c>
      <c r="H12">
        <v>17</v>
      </c>
      <c r="I12" s="8">
        <f>+Tabla_master_rend[[#This Row],[L_Leche_ent]]+Tabla_master_rend[[#This Row],[L_desn_ext]]+Tabla_master_rend[[#This Row],[L_cabra]]+Tabla_master_rend[[#This Row],[L_oveja]]</f>
        <v>249563</v>
      </c>
      <c r="J12" s="8">
        <v>249563</v>
      </c>
      <c r="K12" s="5">
        <v>3.9E-2</v>
      </c>
      <c r="L12" s="5">
        <v>3.44E-2</v>
      </c>
      <c r="M12" s="5">
        <f t="shared" ref="M12:M13" si="7">0.93*K12+0.74*L12+0.048</f>
        <v>0.109726</v>
      </c>
      <c r="N12" s="35" t="s">
        <v>43</v>
      </c>
      <c r="O12" s="8">
        <v>0</v>
      </c>
      <c r="P12" s="8">
        <v>0</v>
      </c>
      <c r="Q12" s="8">
        <v>0</v>
      </c>
      <c r="R12" s="8">
        <v>0</v>
      </c>
      <c r="T12" s="8">
        <v>237550</v>
      </c>
      <c r="U12" s="38">
        <f>+Tabla_master_rend[[#This Row],[L_suero Total]]/Tabla_master_rend[[#This Row],[Litros_Leche_Total]]</f>
        <v>0.95186385802382567</v>
      </c>
      <c r="V12" s="5">
        <v>3.4000000000000002E-3</v>
      </c>
      <c r="W12" s="5">
        <v>1.0500000000000001E-2</v>
      </c>
      <c r="X12" s="8">
        <v>139532</v>
      </c>
      <c r="Y12" s="57">
        <v>40137</v>
      </c>
      <c r="Z12" s="58">
        <f>IF(Tabla_master_rend[[#This Row],[L_suero para con]]=0,0,+Tabla_master_rend[[#This Row],[L_suero para con]]/Tabla_master_rend[[#This Row],[L_suero_con]])</f>
        <v>3.4763933527667739</v>
      </c>
      <c r="AA12" s="8">
        <f>+Tabla_master_rend[[#This Row],[L_suero Total]]-Tabla_master_rend[[#This Row],[L_suero para con]]</f>
        <v>98018</v>
      </c>
      <c r="AD12" s="8">
        <v>42052</v>
      </c>
      <c r="AE12" s="8">
        <v>0</v>
      </c>
      <c r="AF12" s="8">
        <v>0</v>
      </c>
      <c r="AG12" s="5"/>
      <c r="AI12" s="8">
        <f>+Tabla_master_rend[[#This Row],[Kg_Finos]]+Tabla_master_rend[[#This Row],[Kg_Llenadora]]+Tabla_master_rend[[#This Row],[Kg_Desmoldeo]]+Tabla_master_rend[[#This Row],[L_Agua]]+Tabla_master_rend[[#This Row],[Kg_SalidaSecadero]]</f>
        <v>32310.53</v>
      </c>
      <c r="AJ12" s="59">
        <f>+Tabla_master_rend[[#This Row],[Litros_Leche_Total]]/Tabla_master_rend[[#This Row],[Kg_Queso_Blan]]</f>
        <v>7.7238906325584882</v>
      </c>
      <c r="AK12" s="59">
        <f>+Tabla_master_rend[[#This Row],[Litros_Leche_Total]]/(Tabla_master_rend[[#This Row],[Kg_Queso_Blan]]-Tabla_master_rend[[#This Row],[Merma_TOT]])</f>
        <v>7.9770434215594301</v>
      </c>
      <c r="AL12" s="59">
        <f>VLOOKUP(G12,REND_TARGET[#All],8,FALSE)</f>
        <v>8.4943170000000006</v>
      </c>
      <c r="AM12" s="8">
        <f>(I12*1.03*Tabla_master_rend[[#This Row],[%MG_Leche]])+(I12*1.03*Tabla_master_rend[[#This Row],[%MP_Leche]])</f>
        <v>18867.461926</v>
      </c>
      <c r="AN12" s="38">
        <v>0.30380000000000001</v>
      </c>
      <c r="AO12" s="38">
        <v>0.21760000000000002</v>
      </c>
      <c r="AP12" s="60">
        <v>0.57189999999999996</v>
      </c>
      <c r="AQ12" s="60">
        <f>+Tabla_master_rend[[#This Row],[Kg_Queso_Blan]]*Tabla_master_rend[[#This Row],[ES_QUESO]]/(Tabla_master_rend[[#This Row],[Kg_Solidos_leche]])</f>
        <v>0.97937879400387984</v>
      </c>
      <c r="AR12" s="8">
        <f t="shared" ref="AR12:AR13" si="8">R12*0.4</f>
        <v>0</v>
      </c>
      <c r="AS12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0.97915133886545502</v>
      </c>
      <c r="AT12" s="62">
        <f>+Tabla_master_rend[[#This Row],[Kg_Queso_Blan]]*Tabla_master_rend[[#This Row],[%PT_QUESO]]/(Tabla_master_rend[[#This Row],[Litros_Leche_Total]]*1.03*Tabla_master_rend[[#This Row],[%MP_Leche]])</f>
        <v>0.79510980316646107</v>
      </c>
      <c r="AU12" s="63">
        <f t="shared" ref="AU12:AU13" si="9">AR12*$CO$3</f>
        <v>0</v>
      </c>
      <c r="AV12" s="8">
        <v>87.73</v>
      </c>
      <c r="AW12" s="7">
        <v>195</v>
      </c>
      <c r="AX12" s="7">
        <v>8.8000000000000007</v>
      </c>
      <c r="AY12" s="8">
        <f>SUM(Tabla_master_rend[[#This Row],[Kg_Finos]:[Kg_Desmoldeo]])</f>
        <v>291.53000000000003</v>
      </c>
      <c r="AZ12" s="60">
        <f>+(Tabla_master_rend[[#This Row],[Kg_Finos]]+Tabla_master_rend[[#This Row],[Kg_Llenadora]]+Tabla_master_rend[[#This Row],[Kg_Desmoldeo]])/(Tabla_master_rend[[#This Row],[Kg_Queso_Blan]])</f>
        <v>9.0227551203895459E-3</v>
      </c>
      <c r="BA12" s="7">
        <v>650</v>
      </c>
      <c r="BB12" s="60">
        <f>+Tabla_master_rend[[#This Row],[L_Agua]]/(Tabla_master_rend[[#This Row],[L_Agua]]+Tabla_master_rend[[#This Row],[Kg_SalidaSecadero]])</f>
        <v>2.0300446609825416E-2</v>
      </c>
      <c r="BC12" s="8">
        <v>4282</v>
      </c>
      <c r="BD12" s="8">
        <v>4254</v>
      </c>
      <c r="BE12" s="8">
        <v>31837</v>
      </c>
      <c r="BF12" s="8">
        <f>122*6.6</f>
        <v>805.19999999999993</v>
      </c>
      <c r="BG12" s="8">
        <f>8*6.6</f>
        <v>52.8</v>
      </c>
      <c r="BH12" s="7">
        <f>5*6.6</f>
        <v>33</v>
      </c>
      <c r="BI12" s="7">
        <f>9*6.6</f>
        <v>59.4</v>
      </c>
      <c r="BJ12" s="8">
        <v>89</v>
      </c>
      <c r="BK12" s="8">
        <v>31369</v>
      </c>
      <c r="BL12" s="8">
        <v>4.8899999999999997</v>
      </c>
      <c r="BM12" s="8">
        <v>62.85</v>
      </c>
      <c r="BN12" s="8">
        <v>16.11</v>
      </c>
      <c r="BO12" s="68">
        <f>+SUM(Tabla_master_rend[[#This Row],[B_altas]:[B_lab]])/Tabla_master_rend[[#This Row],[Kg_SalidaSecadero]]</f>
        <v>3.3134623354266944E-2</v>
      </c>
      <c r="BP12" s="68">
        <f>+(Tabla_master_rend[[#This Row],[Kg_mer_env_real]]+Tabla_master_rend[[#This Row],[kg_mer_lab_real]])/Tabla_master_rend[[#This Row],[Kg_SalidaSecadero]]</f>
        <v>2.5171347508686922E-3</v>
      </c>
      <c r="BQ12" s="64">
        <f>+Tabla_master_rend[[#This Row],[Merma_TOT]]/Tabla_master_rend[[#This Row],[Kg_Queso_Blan]]</f>
        <v>3.1735164975628685E-2</v>
      </c>
      <c r="BR12" s="8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1025.3799999999999</v>
      </c>
      <c r="BS12" s="8"/>
      <c r="BT12" s="63">
        <f>IF(+Tabla_master_rend[[#This Row],[Kg_Env_Total]]=0,0,Tabla_master_rend[[#This Row],[Kg_Env_Total]]-Tabla_master_rend[[#This Row],[Kg_SalidaSecadero]])</f>
        <v>0</v>
      </c>
      <c r="BU12" s="60">
        <f>+Tabla_master_rend[[#This Row],[Diferencia_Env_vs_Sec_kg]]/Tabla_master_rend[[#This Row],[Kg_SalidaSecadero]]</f>
        <v>0</v>
      </c>
      <c r="BV12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2" s="65">
        <f>+(Tabla_master_rend[[#This Row],[Coste_Leche_€]]-Tabla_master_rend[[#This Row],[Kg_MG_Nata]]*$CO$3)/Tabla_master_rend[[#This Row],[Kg_Queso_Blan]]</f>
        <v>0</v>
      </c>
      <c r="BX12" s="8">
        <f>SUM(Tabla_master_rend[[#This Row],[Kg_Finos]:[Kg_Desmoldeo]])+Tabla_master_rend[[#This Row],[L_Agua]]+SUM(Tabla_master_rend[[#This Row],[B_altas]:[B_lab]])</f>
        <v>1980.9299999999998</v>
      </c>
      <c r="BY12" s="8">
        <f>+BX12-Tabla_master_rend[[#This Row],[Merma_TOT]]</f>
        <v>955.55</v>
      </c>
      <c r="BZ12" s="62">
        <f t="shared" ref="BZ12:BZ13" si="10">+BY12/BX12</f>
        <v>0.48237444028814752</v>
      </c>
      <c r="CA12" s="8">
        <f>+Tabla_master_rend[[#This Row],[Kg_Queso_Blan]]*$CA$1</f>
        <v>210.01844499999999</v>
      </c>
      <c r="CB12" s="8">
        <f>+Tabla_master_rend[[#This Row],[Kg_Queso_Blan]]*($CB$1-$CA$1)</f>
        <v>113.08685500000001</v>
      </c>
      <c r="CC12" s="8">
        <f>+(Tabla_master_rend[[#This Row],[Kg_Queso_Blan]]-CA12-CB12)*$CC$1</f>
        <v>335.86795934999998</v>
      </c>
      <c r="CD12" s="8">
        <f t="shared" ref="CD12:CD13" si="11">+CA12+CB12+CC12</f>
        <v>658.97325935000003</v>
      </c>
      <c r="CE12" s="80">
        <f>+CD12/Tabla_master_rend[[#This Row],[Kg_Queso_Blan]]</f>
        <v>2.0395000000000003E-2</v>
      </c>
      <c r="CF12" s="62">
        <f>+Tabla_master_rend[[#This Row],[Merma_TOT]]/Tabla_master_rend[[#This Row],[Kg_Queso_Blan]]</f>
        <v>3.1735164975628685E-2</v>
      </c>
      <c r="CG12" s="8">
        <f>CD12-Tabla_master_rend[[#This Row],[Merma_TOT]]</f>
        <v>-366.40674064999985</v>
      </c>
      <c r="CH12" s="81" cm="1">
        <f t="array" ref="CH12">-BR12 * IFERROR(INDEX('Precio Leche_EBITDA_Ventas'!$BD$87:$BD$110,MATCH(1,('Precio Leche_EBITDA_Ventas'!$AZ$87:$AZ$110=YEAR(A12))*('Precio Leche_EBITDA_Ventas'!$BB$87:$BB$110=C12),0)),1.3)</f>
        <v>-3588.8299999999995</v>
      </c>
      <c r="CI12" s="81">
        <f t="shared" ref="CI12:CI13" si="12">+CG12*$CM$2</f>
        <v>-476.3287628449998</v>
      </c>
    </row>
    <row r="13" spans="1:96" x14ac:dyDescent="0.35">
      <c r="A13" s="9">
        <v>45684</v>
      </c>
      <c r="B13" s="7">
        <v>1</v>
      </c>
      <c r="C13" s="7" t="str">
        <f>+UPPER(TEXT(Tabla_master_rend[[#This Row],[Fecha]],"MMM"))</f>
        <v>ENE</v>
      </c>
      <c r="D13" s="7" t="str">
        <f>+UPPER(TEXT(Tabla_master_rend[[#This Row],[Fecha]],"ddd"))</f>
        <v>LU</v>
      </c>
      <c r="E13" s="3">
        <v>270125116</v>
      </c>
      <c r="F13" s="3" t="s">
        <v>244</v>
      </c>
      <c r="G13" s="84" t="s">
        <v>299</v>
      </c>
      <c r="H13">
        <v>12</v>
      </c>
      <c r="I13" s="8">
        <f>+Tabla_master_rend[[#This Row],[L_Leche_ent]]+Tabla_master_rend[[#This Row],[L_desn_ext]]+Tabla_master_rend[[#This Row],[L_cabra]]+Tabla_master_rend[[#This Row],[L_oveja]]</f>
        <v>193094</v>
      </c>
      <c r="J13" s="8">
        <v>193094</v>
      </c>
      <c r="K13" s="5">
        <v>3.6699999999999997E-2</v>
      </c>
      <c r="L13" s="5">
        <v>3.3700000000000001E-2</v>
      </c>
      <c r="M13" s="5">
        <f t="shared" si="7"/>
        <v>0.107069</v>
      </c>
      <c r="N13" s="35" t="s">
        <v>43</v>
      </c>
      <c r="O13" s="8">
        <v>0</v>
      </c>
      <c r="P13" s="8">
        <v>0</v>
      </c>
      <c r="Q13" s="8">
        <v>0</v>
      </c>
      <c r="R13" s="8">
        <v>4854</v>
      </c>
      <c r="T13" s="8">
        <v>166366.28639720823</v>
      </c>
      <c r="U13" s="38">
        <f>+Tabla_master_rend[[#This Row],[L_suero Total]]/Tabla_master_rend[[#This Row],[Litros_Leche_Total]]</f>
        <v>0.8615818533833689</v>
      </c>
      <c r="V13" s="5">
        <v>1.2999999999999999E-3</v>
      </c>
      <c r="W13" s="5">
        <v>8.8999999999999999E-3</v>
      </c>
      <c r="X13" s="8">
        <f>90773/(13864+166366)*166366</f>
        <v>83790.384053709146</v>
      </c>
      <c r="Y13" s="57">
        <f>29400/(13864+166366)*166366</f>
        <v>27138.436442323698</v>
      </c>
      <c r="Z13" s="58">
        <f>IF(Tabla_master_rend[[#This Row],[L_suero para con]]=0,0,+Tabla_master_rend[[#This Row],[L_suero para con]]/Tabla_master_rend[[#This Row],[L_suero_con]])</f>
        <v>3.0875170068027207</v>
      </c>
      <c r="AA13" s="8">
        <f>+Tabla_master_rend[[#This Row],[L_suero Total]]-Tabla_master_rend[[#This Row],[L_suero para con]]</f>
        <v>82575.902343499081</v>
      </c>
      <c r="AD13" s="8">
        <v>42052</v>
      </c>
      <c r="AE13" s="8">
        <v>0</v>
      </c>
      <c r="AF13" s="8">
        <v>0</v>
      </c>
      <c r="AG13" s="5"/>
      <c r="AI13" s="8">
        <f>+Tabla_master_rend[[#This Row],[Kg_Finos]]+Tabla_master_rend[[#This Row],[Kg_Llenadora]]+Tabla_master_rend[[#This Row],[Kg_Desmoldeo]]+Tabla_master_rend[[#This Row],[L_Agua]]+Tabla_master_rend[[#This Row],[Kg_SalidaSecadero]]</f>
        <v>21130.399359284445</v>
      </c>
      <c r="AJ13" s="59">
        <f>+Tabla_master_rend[[#This Row],[Litros_Leche_Total]]/Tabla_master_rend[[#This Row],[Kg_Queso_Blan]]</f>
        <v>9.1382087350448877</v>
      </c>
      <c r="AK13" s="59">
        <f>+Tabla_master_rend[[#This Row],[Litros_Leche_Total]]/(Tabla_master_rend[[#This Row],[Kg_Queso_Blan]]-Tabla_master_rend[[#This Row],[Merma_TOT]])</f>
        <v>9.5330205260060588</v>
      </c>
      <c r="AL13" s="59">
        <f>VLOOKUP(G13,REND_TARGET[#All],8,FALSE)</f>
        <v>9.8078500000000002</v>
      </c>
      <c r="AM13" s="8">
        <f>(I13*1.03*Tabla_master_rend[[#This Row],[%MG_Leche]])+(I13*1.03*Tabla_master_rend[[#This Row],[%MP_Leche]])</f>
        <v>14001.632127999999</v>
      </c>
      <c r="AN13" s="38">
        <v>0.22409999999999999</v>
      </c>
      <c r="AO13" s="38">
        <v>0.24239999999999998</v>
      </c>
      <c r="AP13" s="60">
        <v>0.52200000000000002</v>
      </c>
      <c r="AQ13" s="60">
        <f>+Tabla_master_rend[[#This Row],[Kg_Queso_Blan]]*Tabla_master_rend[[#This Row],[ES_QUESO]]/(Tabla_master_rend[[#This Row],[Kg_Solidos_leche]])</f>
        <v>0.78777019455388464</v>
      </c>
      <c r="AR13" s="8">
        <f t="shared" si="8"/>
        <v>1941.6000000000001</v>
      </c>
      <c r="AS13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0.9147538941511788</v>
      </c>
      <c r="AT13" s="62">
        <f>+Tabla_master_rend[[#This Row],[Kg_Queso_Blan]]*Tabla_master_rend[[#This Row],[%PT_QUESO]]/(Tabla_master_rend[[#This Row],[Litros_Leche_Total]]*1.03*Tabla_master_rend[[#This Row],[%MP_Leche]])</f>
        <v>0.76419539429802386</v>
      </c>
      <c r="AU13" s="63">
        <f t="shared" si="9"/>
        <v>14562.000000000002</v>
      </c>
      <c r="AV13" s="8">
        <v>35.630797619332171</v>
      </c>
      <c r="AW13" s="7">
        <v>77.172724448586521</v>
      </c>
      <c r="AX13" s="7">
        <v>18.595837216526871</v>
      </c>
      <c r="AY13" s="8">
        <f>SUM(Tabla_master_rend[[#This Row],[Kg_Finos]:[Kg_Desmoldeo]])</f>
        <v>131.39935928444555</v>
      </c>
      <c r="AZ13" s="60">
        <f>+(Tabla_master_rend[[#This Row],[Kg_Finos]]+Tabla_master_rend[[#This Row],[Kg_Llenadora]]+Tabla_master_rend[[#This Row],[Kg_Desmoldeo]])/(Tabla_master_rend[[#This Row],[Kg_Queso_Blan]])</f>
        <v>6.2184986213575863E-3</v>
      </c>
      <c r="BA13" s="7">
        <v>455</v>
      </c>
      <c r="BB13" s="60">
        <f>+Tabla_master_rend[[#This Row],[L_Agua]]/(Tabla_master_rend[[#This Row],[L_Agua]]+Tabla_master_rend[[#This Row],[Kg_SalidaSecadero]])</f>
        <v>2.1667698461831517E-2</v>
      </c>
      <c r="BC13" s="8">
        <v>2993</v>
      </c>
      <c r="BD13" s="8">
        <v>2864</v>
      </c>
      <c r="BE13" s="8">
        <v>20193</v>
      </c>
      <c r="BF13" s="8">
        <f>2*6.3</f>
        <v>12.6</v>
      </c>
      <c r="BG13" s="8">
        <f>48*6.3</f>
        <v>302.39999999999998</v>
      </c>
      <c r="BH13" s="7">
        <v>0</v>
      </c>
      <c r="BI13" s="7">
        <f>70*6.3</f>
        <v>441</v>
      </c>
      <c r="BJ13" s="8">
        <v>63</v>
      </c>
      <c r="BK13" s="8">
        <v>20544</v>
      </c>
      <c r="BL13" s="8">
        <v>7.88</v>
      </c>
      <c r="BM13" s="8">
        <v>266.49</v>
      </c>
      <c r="BN13" s="8">
        <v>14.35</v>
      </c>
      <c r="BO13" s="68">
        <f>+SUM(Tabla_master_rend[[#This Row],[B_altas]:[B_lab]])/Tabla_master_rend[[#This Row],[Kg_SalidaSecadero]]</f>
        <v>3.9865654205607476E-2</v>
      </c>
      <c r="BP13" s="68">
        <f>+(Tabla_master_rend[[#This Row],[Kg_mer_env_real]]+Tabla_master_rend[[#This Row],[kg_mer_lab_real]])/Tabla_master_rend[[#This Row],[Kg_SalidaSecadero]]</f>
        <v>1.3670171339563865E-2</v>
      </c>
      <c r="BQ13" s="64">
        <f>+Tabla_master_rend[[#This Row],[Merma_TOT]]/Tabla_master_rend[[#This Row],[Kg_Queso_Blan]]</f>
        <v>4.141518313992152E-2</v>
      </c>
      <c r="BR13" s="8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875.11935928444564</v>
      </c>
      <c r="BS13" s="8"/>
      <c r="BT13" s="63">
        <f>IF(+Tabla_master_rend[[#This Row],[Kg_Env_Total]]=0,0,Tabla_master_rend[[#This Row],[Kg_Env_Total]]-Tabla_master_rend[[#This Row],[Kg_SalidaSecadero]])</f>
        <v>0</v>
      </c>
      <c r="BU13" s="60">
        <f>+Tabla_master_rend[[#This Row],[Diferencia_Env_vs_Sec_kg]]/Tabla_master_rend[[#This Row],[Kg_SalidaSecadero]]</f>
        <v>0</v>
      </c>
      <c r="BV13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3" s="65">
        <f>+(Tabla_master_rend[[#This Row],[Coste_Leche_€]]-Tabla_master_rend[[#This Row],[Kg_MG_Nata]]*$CO$3)/Tabla_master_rend[[#This Row],[Kg_Queso_Blan]]</f>
        <v>-0.6891493034466305</v>
      </c>
      <c r="BX13" s="8">
        <f>SUM(Tabla_master_rend[[#This Row],[Kg_Finos]:[Kg_Desmoldeo]])+Tabla_master_rend[[#This Row],[L_Agua]]+SUM(Tabla_master_rend[[#This Row],[B_altas]:[B_lab]])</f>
        <v>1405.3993592844456</v>
      </c>
      <c r="BY13" s="8">
        <f>+BX13-Tabla_master_rend[[#This Row],[Merma_TOT]]</f>
        <v>530.28</v>
      </c>
      <c r="BZ13" s="62">
        <f t="shared" si="10"/>
        <v>0.37731623861703639</v>
      </c>
      <c r="CA13" s="8">
        <f>+Tabla_master_rend[[#This Row],[Kg_Queso_Blan]]*$CA$1</f>
        <v>137.3475958353489</v>
      </c>
      <c r="CB13" s="8">
        <f>+Tabla_master_rend[[#This Row],[Kg_Queso_Blan]]*($CB$1-$CA$1)</f>
        <v>73.956397757495566</v>
      </c>
      <c r="CC13" s="8">
        <f>+(Tabla_master_rend[[#This Row],[Kg_Queso_Blan]]-CA13-CB13)*$CC$1</f>
        <v>219.65050133976183</v>
      </c>
      <c r="CD13" s="8">
        <f t="shared" si="11"/>
        <v>430.95449493260628</v>
      </c>
      <c r="CE13" s="80">
        <f>+CD13/Tabla_master_rend[[#This Row],[Kg_Queso_Blan]]</f>
        <v>2.0395E-2</v>
      </c>
      <c r="CF13" s="62">
        <f>+Tabla_master_rend[[#This Row],[Merma_TOT]]/Tabla_master_rend[[#This Row],[Kg_Queso_Blan]]</f>
        <v>4.141518313992152E-2</v>
      </c>
      <c r="CG13" s="8">
        <f>CD13-Tabla_master_rend[[#This Row],[Merma_TOT]]</f>
        <v>-444.16486435183936</v>
      </c>
      <c r="CH13" s="81" cm="1">
        <f t="array" ref="CH13">-BR13 * IFERROR(INDEX('Precio Leche_EBITDA_Ventas'!$BD$87:$BD$110,MATCH(1,('Precio Leche_EBITDA_Ventas'!$AZ$87:$AZ$110=YEAR(A13))*('Precio Leche_EBITDA_Ventas'!$BB$87:$BB$110=C13),0)),1.3)</f>
        <v>-3062.9177574955597</v>
      </c>
      <c r="CI13" s="81">
        <f t="shared" si="12"/>
        <v>-577.41432365739115</v>
      </c>
    </row>
    <row r="14" spans="1:96" x14ac:dyDescent="0.35">
      <c r="A14" s="9">
        <v>45684</v>
      </c>
      <c r="B14" s="7">
        <v>1</v>
      </c>
      <c r="C14" s="7" t="str">
        <f>+UPPER(TEXT(Tabla_master_rend[[#This Row],[Fecha]],"MMM"))</f>
        <v>ENE</v>
      </c>
      <c r="D14" s="7" t="str">
        <f>+UPPER(TEXT(Tabla_master_rend[[#This Row],[Fecha]],"ddd"))</f>
        <v>LU</v>
      </c>
      <c r="E14" s="3" t="s">
        <v>465</v>
      </c>
      <c r="F14" s="3" t="s">
        <v>244</v>
      </c>
      <c r="G14" s="84" t="s">
        <v>301</v>
      </c>
      <c r="H14">
        <v>1</v>
      </c>
      <c r="I14" s="8">
        <f>+Tabla_master_rend[[#This Row],[L_Leche_ent]]+Tabla_master_rend[[#This Row],[L_desn_ext]]+Tabla_master_rend[[#This Row],[L_cabra]]+Tabla_master_rend[[#This Row],[L_oveja]]</f>
        <v>16091.153846153846</v>
      </c>
      <c r="J14" s="8">
        <v>16091.153846153846</v>
      </c>
      <c r="K14" s="5">
        <v>3.6699999999999997E-2</v>
      </c>
      <c r="L14" s="5">
        <v>3.3700000000000001E-2</v>
      </c>
      <c r="M14" s="5">
        <f t="shared" ref="M14:M25" si="13">0.93*K14+0.74*L14+0.048</f>
        <v>0.107069</v>
      </c>
      <c r="N14" s="35" t="s">
        <v>43</v>
      </c>
      <c r="O14" s="8">
        <v>0</v>
      </c>
      <c r="P14" s="8">
        <v>0</v>
      </c>
      <c r="Q14" s="8">
        <v>0</v>
      </c>
      <c r="R14" s="8">
        <v>284</v>
      </c>
      <c r="T14" s="8">
        <v>13863.713602791788</v>
      </c>
      <c r="U14" s="38">
        <f>+Tabla_master_rend[[#This Row],[L_suero Total]]/Tabla_master_rend[[#This Row],[Litros_Leche_Total]]</f>
        <v>0.86157361587252068</v>
      </c>
      <c r="V14" s="5">
        <v>1.2999999999999999E-3</v>
      </c>
      <c r="W14" s="5">
        <v>8.8999999999999999E-3</v>
      </c>
      <c r="X14" s="8">
        <f>90773/(13864+166366)*13864</f>
        <v>6982.6159462908499</v>
      </c>
      <c r="Y14" s="57">
        <f>29400/(13864+166366)*13864</f>
        <v>2261.5635576763025</v>
      </c>
      <c r="Z14" s="58">
        <f>IF(Tabla_master_rend[[#This Row],[L_suero para con]]=0,0,+Tabla_master_rend[[#This Row],[L_suero para con]]/Tabla_master_rend[[#This Row],[L_suero_con]])</f>
        <v>3.0875170068027207</v>
      </c>
      <c r="AA14" s="8">
        <f>+Tabla_master_rend[[#This Row],[L_suero Total]]-Tabla_master_rend[[#This Row],[L_suero para con]]</f>
        <v>6881.0976565009378</v>
      </c>
      <c r="AD14" s="8">
        <v>42052</v>
      </c>
      <c r="AE14" s="8">
        <v>0</v>
      </c>
      <c r="AF14" s="8">
        <v>0</v>
      </c>
      <c r="AG14" s="5"/>
      <c r="AI14" s="8">
        <f>+Tabla_master_rend[[#This Row],[Kg_Finos]]+Tabla_master_rend[[#This Row],[Kg_Llenadora]]+Tabla_master_rend[[#This Row],[Kg_Desmoldeo]]+Tabla_master_rend[[#This Row],[L_Agua]]+Tabla_master_rend[[#This Row],[Kg_SalidaSecadero]]</f>
        <v>1624.2006407155545</v>
      </c>
      <c r="AJ14" s="59">
        <f>+Tabla_master_rend[[#This Row],[Litros_Leche_Total]]/Tabla_master_rend[[#This Row],[Kg_Queso_Blan]]</f>
        <v>9.9071219668185577</v>
      </c>
      <c r="AK14" s="59">
        <f>+Tabla_master_rend[[#This Row],[Litros_Leche_Total]]/(Tabla_master_rend[[#This Row],[Kg_Queso_Blan]]-Tabla_master_rend[[#This Row],[Merma_TOT]])</f>
        <v>10.323246390429288</v>
      </c>
      <c r="AL14" s="59">
        <f>VLOOKUP(G14,REND_TARGET[#All],8,FALSE)</f>
        <v>9.3549429999999987</v>
      </c>
      <c r="AM14" s="8">
        <f>(I14*1.03*Tabla_master_rend[[#This Row],[%MG_Leche]])+(I14*1.03*Tabla_master_rend[[#This Row],[%MP_Leche]])</f>
        <v>1166.8017476923078</v>
      </c>
      <c r="AN14" s="38">
        <v>0.25969999999999999</v>
      </c>
      <c r="AO14" s="38">
        <v>0.22570000000000001</v>
      </c>
      <c r="AP14" s="60">
        <v>0.54090000000000005</v>
      </c>
      <c r="AQ14" s="60">
        <f>+Tabla_master_rend[[#This Row],[Kg_Queso_Blan]]*Tabla_master_rend[[#This Row],[ES_QUESO]]/(Tabla_master_rend[[#This Row],[Kg_Solidos_leche]])</f>
        <v>0.75293864471886007</v>
      </c>
      <c r="AR14" s="8">
        <f t="shared" ref="AR14:AR25" si="14">R14*0.4</f>
        <v>113.60000000000001</v>
      </c>
      <c r="AS14" s="61">
        <f>+(Tabla_master_rend[[#This Row],[Kg_Queso_Blan]]*Tabla_master_rend[[#This Row],[%MG_QUESO]]+(Tabla_master_rend[[#This Row],[Kg_MG_Nata]]))/(Tabla_master_rend[[#This Row],[Litros_Leche_Total]]*1.03*Tabla_master_rend[[#This Row],[%MG_Leche]])</f>
        <v>0.88022129395708526</v>
      </c>
      <c r="AT14" s="62">
        <f>+Tabla_master_rend[[#This Row],[Kg_Queso_Blan]]*Tabla_master_rend[[#This Row],[%PT_QUESO]]/(Tabla_master_rend[[#This Row],[Litros_Leche_Total]]*1.03*Tabla_master_rend[[#This Row],[%MP_Leche]])</f>
        <v>0.65632194220526441</v>
      </c>
      <c r="AU14" s="63">
        <f t="shared" ref="AU14:AU25" si="15">AR14*$CO$3</f>
        <v>852.00000000000011</v>
      </c>
      <c r="AV14" s="8">
        <v>2.9692023806678298</v>
      </c>
      <c r="AW14" s="7">
        <v>5.8272755514134822</v>
      </c>
      <c r="AX14" s="7">
        <v>1.4041627834731283</v>
      </c>
      <c r="AY14" s="8">
        <f>SUM(Tabla_master_rend[[#This Row],[Kg_Finos]:[Kg_Desmoldeo]])</f>
        <v>10.200640715554441</v>
      </c>
      <c r="AZ14" s="60">
        <f>+(Tabla_master_rend[[#This Row],[Kg_Finos]]+Tabla_master_rend[[#This Row],[Kg_Llenadora]]+Tabla_master_rend[[#This Row],[Kg_Desmoldeo]])/(Tabla_master_rend[[#This Row],[Kg_Queso_Blan]])</f>
        <v>6.2804067797070113E-3</v>
      </c>
      <c r="BA14" s="7">
        <v>35</v>
      </c>
      <c r="BB14" s="60">
        <f>+Tabla_master_rend[[#This Row],[L_Agua]]/(Tabla_master_rend[[#This Row],[L_Agua]]+Tabla_master_rend[[#This Row],[Kg_SalidaSecadero]])</f>
        <v>2.1685254027261461E-2</v>
      </c>
      <c r="BC14" s="8">
        <v>226</v>
      </c>
      <c r="BD14" s="8">
        <v>209</v>
      </c>
      <c r="BE14" s="8">
        <v>1502</v>
      </c>
      <c r="BF14" s="8">
        <v>0</v>
      </c>
      <c r="BG14" s="8">
        <f>15*6.7</f>
        <v>100.5</v>
      </c>
      <c r="BH14" s="7">
        <v>0</v>
      </c>
      <c r="BI14" s="7">
        <v>0</v>
      </c>
      <c r="BJ14" s="8">
        <v>12</v>
      </c>
      <c r="BK14" s="8">
        <v>1579</v>
      </c>
      <c r="BL14" s="8">
        <v>0</v>
      </c>
      <c r="BM14" s="8">
        <v>8.4499999999999993</v>
      </c>
      <c r="BN14" s="8">
        <v>11.82</v>
      </c>
      <c r="BO14" s="68">
        <f>+SUM(Tabla_master_rend[[#This Row],[B_altas]:[B_lab]])/Tabla_master_rend[[#This Row],[Kg_SalidaSecadero]]</f>
        <v>7.1247625079164031E-2</v>
      </c>
      <c r="BP14" s="68">
        <f>+(Tabla_master_rend[[#This Row],[Kg_mer_env_real]]+Tabla_master_rend[[#This Row],[kg_mer_lab_real]])/Tabla_master_rend[[#This Row],[Kg_SalidaSecadero]]</f>
        <v>1.2837238758708043E-2</v>
      </c>
      <c r="BQ14" s="64">
        <f>+Tabla_master_rend[[#This Row],[Merma_TOT]]/Tabla_master_rend[[#This Row],[Kg_Queso_Blan]]</f>
        <v>4.0309453816439092E-2</v>
      </c>
      <c r="BR14" s="8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65.470640715554424</v>
      </c>
      <c r="BS14" s="8"/>
      <c r="BT14" s="63">
        <f>IF(+Tabla_master_rend[[#This Row],[Kg_Env_Total]]=0,0,Tabla_master_rend[[#This Row],[Kg_Env_Total]]-Tabla_master_rend[[#This Row],[Kg_SalidaSecadero]])</f>
        <v>0</v>
      </c>
      <c r="BU14" s="60">
        <f>+Tabla_master_rend[[#This Row],[Diferencia_Env_vs_Sec_kg]]/Tabla_master_rend[[#This Row],[Kg_SalidaSecadero]]</f>
        <v>0</v>
      </c>
      <c r="BV14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4" s="65">
        <f>+(Tabla_master_rend[[#This Row],[Coste_Leche_€]]-Tabla_master_rend[[#This Row],[Kg_MG_Nata]]*$CO$3)/Tabla_master_rend[[#This Row],[Kg_Queso_Blan]]</f>
        <v>-0.52456573322409528</v>
      </c>
      <c r="BX14" s="8">
        <f>SUM(Tabla_master_rend[[#This Row],[Kg_Finos]:[Kg_Desmoldeo]])+Tabla_master_rend[[#This Row],[L_Agua]]+SUM(Tabla_master_rend[[#This Row],[B_altas]:[B_lab]])</f>
        <v>157.70064071555444</v>
      </c>
      <c r="BY14" s="8">
        <f>+BX14-Tabla_master_rend[[#This Row],[Merma_TOT]]</f>
        <v>92.230000000000018</v>
      </c>
      <c r="BZ14" s="62">
        <f t="shared" ref="BZ14:BZ25" si="16">+BY14/BX14</f>
        <v>0.58484226558315511</v>
      </c>
      <c r="CA14" s="8">
        <f>+Tabla_master_rend[[#This Row],[Kg_Queso_Blan]]*$CA$1</f>
        <v>10.557304164651104</v>
      </c>
      <c r="CB14" s="8">
        <f>+Tabla_master_rend[[#This Row],[Kg_Queso_Blan]]*($CB$1-$CA$1)</f>
        <v>5.684702242504442</v>
      </c>
      <c r="CC14" s="8">
        <f>+(Tabla_master_rend[[#This Row],[Kg_Queso_Blan]]-CA14-CB14)*$CC$1</f>
        <v>16.88356566023819</v>
      </c>
      <c r="CD14" s="8">
        <f t="shared" ref="CD14:CD25" si="17">+CA14+CB14+CC14</f>
        <v>33.125572067393733</v>
      </c>
      <c r="CE14" s="80">
        <f>+CD14/Tabla_master_rend[[#This Row],[Kg_Queso_Blan]]</f>
        <v>2.0395E-2</v>
      </c>
      <c r="CF14" s="62">
        <f>+Tabla_master_rend[[#This Row],[Merma_TOT]]/Tabla_master_rend[[#This Row],[Kg_Queso_Blan]]</f>
        <v>4.0309453816439092E-2</v>
      </c>
      <c r="CG14" s="8">
        <f>CD14-Tabla_master_rend[[#This Row],[Merma_TOT]]</f>
        <v>-32.345068648160691</v>
      </c>
      <c r="CH14" s="81" cm="1">
        <f t="array" ref="CH14">-BR14 * IFERROR(INDEX('Precio Leche_EBITDA_Ventas'!$BD$87:$BD$110,MATCH(1,('Precio Leche_EBITDA_Ventas'!$AZ$87:$AZ$110=YEAR(A14))*('Precio Leche_EBITDA_Ventas'!$BB$87:$BB$110=C14),0)),1.3)</f>
        <v>-229.1472425044405</v>
      </c>
      <c r="CI14" s="81">
        <f t="shared" ref="CI14:CI25" si="18">+CG14*$CM$2</f>
        <v>-42.048589242608898</v>
      </c>
    </row>
    <row r="15" spans="1:96" x14ac:dyDescent="0.35">
      <c r="A15" s="9">
        <v>45685</v>
      </c>
      <c r="B15" s="7">
        <v>1</v>
      </c>
      <c r="C15" s="7" t="str">
        <f>+UPPER(TEXT(Tabla_master_rend[[#This Row],[Fecha]],"MMM"))</f>
        <v>ENE</v>
      </c>
      <c r="D15" s="7" t="str">
        <f>+UPPER(TEXT(Tabla_master_rend[[#This Row],[Fecha]],"ddd"))</f>
        <v>MA</v>
      </c>
      <c r="E15" s="3">
        <v>280125176</v>
      </c>
      <c r="F15" s="3" t="s">
        <v>244</v>
      </c>
      <c r="G15" s="84" t="s">
        <v>578</v>
      </c>
      <c r="H15">
        <v>3</v>
      </c>
      <c r="I15" s="8">
        <f>+Tabla_master_rend[[#This Row],[L_Leche_ent]]+Tabla_master_rend[[#This Row],[L_desn_ext]]+Tabla_master_rend[[#This Row],[L_cabra]]+Tabla_master_rend[[#This Row],[L_oveja]]</f>
        <v>49809</v>
      </c>
      <c r="J15" s="8">
        <v>49809</v>
      </c>
      <c r="K15" s="5">
        <v>3.78E-2</v>
      </c>
      <c r="L15" s="5">
        <v>3.3300000000000003E-2</v>
      </c>
      <c r="M15" s="5">
        <f t="shared" si="13"/>
        <v>0.107796</v>
      </c>
      <c r="N15" s="35" t="s">
        <v>188</v>
      </c>
      <c r="O15" s="8">
        <v>0</v>
      </c>
      <c r="P15" s="8">
        <v>0</v>
      </c>
      <c r="Q15" s="8">
        <v>0</v>
      </c>
      <c r="R15" s="8">
        <v>5020</v>
      </c>
      <c r="T15" s="8">
        <v>41820</v>
      </c>
      <c r="U15" s="38">
        <f>+Tabla_master_rend[[#This Row],[L_suero Total]]/Tabla_master_rend[[#This Row],[Litros_Leche_Total]]</f>
        <v>0.83960729988556282</v>
      </c>
      <c r="V15" s="5">
        <v>0</v>
      </c>
      <c r="W15" s="5">
        <v>9.7999999999999997E-3</v>
      </c>
      <c r="X15" s="8">
        <f>70226/(27180+41820)*41820</f>
        <v>42563.062608695654</v>
      </c>
      <c r="Y15" s="57">
        <f>20219/(27180+41820)*41820</f>
        <v>12254.472173913044</v>
      </c>
      <c r="Z15" s="58">
        <f>IF(Tabla_master_rend[[#This Row],[L_suero para con]]=0,0,+Tabla_master_rend[[#This Row],[L_suero para con]]/Tabla_master_rend[[#This Row],[L_suero_con]])</f>
        <v>3.4732677184826155</v>
      </c>
      <c r="AA15" s="8">
        <f>+Tabla_master_rend[[#This Row],[L_suero Total]]-Tabla_master_rend[[#This Row],[L_suero para con]]</f>
        <v>-743.06260869565449</v>
      </c>
      <c r="AD15" s="8">
        <v>0</v>
      </c>
      <c r="AE15" s="8">
        <v>0</v>
      </c>
      <c r="AF15" s="8">
        <v>0</v>
      </c>
      <c r="AG15" s="5">
        <v>0</v>
      </c>
      <c r="AH15" s="5">
        <v>0</v>
      </c>
      <c r="AI15" s="8">
        <f>+Tabla_master_rend[[#This Row],[Kg_Finos]]+Tabla_master_rend[[#This Row],[Kg_Llenadora]]+Tabla_master_rend[[#This Row],[Kg_Desmoldeo]]+Tabla_master_rend[[#This Row],[L_Agua]]+Tabla_master_rend[[#This Row],[Kg_SalidaSecadero]]</f>
        <v>3953.4509405405406</v>
      </c>
      <c r="AJ15" s="59">
        <f>+Tabla_master_rend[[#This Row],[Litros_Leche_Total]]/Tabla_master_rend[[#This Row],[Kg_Queso_Blan]]</f>
        <v>12.59886634464972</v>
      </c>
      <c r="AK15" s="59">
        <f>+Tabla_master_rend[[#This Row],[Litros_Leche_Total]]/(Tabla_master_rend[[#This Row],[Kg_Queso_Blan]]-Tabla_master_rend[[#This Row],[Merma_TOT]])</f>
        <v>13.313571508759173</v>
      </c>
      <c r="AL15" s="59" t="e">
        <f>VLOOKUP(G15,REND_TARGET[#All],8,FALSE)</f>
        <v>#N/A</v>
      </c>
      <c r="AM15" s="8">
        <f>(I15*1.03*Tabla_master_rend[[#This Row],[%MG_Leche]])+(I15*1.03*Tabla_master_rend[[#This Row],[%MP_Leche]])</f>
        <v>3647.6624970000003</v>
      </c>
      <c r="AN15" s="38">
        <v>6.1399999999999996E-2</v>
      </c>
      <c r="AO15" s="38">
        <v>0.3165</v>
      </c>
      <c r="AP15" s="60">
        <v>0.54930000000000001</v>
      </c>
      <c r="AQ15" s="60">
        <f>+Tabla_master_rend[[#This Row],[Kg_Queso_Blan]]*Tabla_master_rend[[#This Row],[ES_QUESO]]/(Tabla_master_rend[[#This Row],[Kg_Solidos_leche]])</f>
        <v>0.59534855634943318</v>
      </c>
      <c r="AR15" s="8">
        <f t="shared" si="14"/>
        <v>2008</v>
      </c>
      <c r="AS15" s="61">
        <f>+(Tabla_master_rend[[#This Row],[Kg_Queso_Blan]]*Tabla_master_rend[[#This Row],[%MG_QUESO]]+(Tabla_master_rend[[#This Row],[Kg_MG_Nata]]))/(Tabla_master_rend[[#This Row],[Litros_Leche_Total]]*1.03*Tabla_master_rend[[#This Row],[%MG_Leche]])</f>
        <v>1.1606167829816887</v>
      </c>
      <c r="AT15" s="62">
        <f>+Tabla_master_rend[[#This Row],[Kg_Queso_Blan]]*Tabla_master_rend[[#This Row],[%PT_QUESO]]/(Tabla_master_rend[[#This Row],[Litros_Leche_Total]]*1.03*Tabla_master_rend[[#This Row],[%MP_Leche]])</f>
        <v>0.73242099914303971</v>
      </c>
      <c r="AU15" s="63">
        <f t="shared" si="15"/>
        <v>15060</v>
      </c>
      <c r="AV15" s="8">
        <v>9.6509405405405406</v>
      </c>
      <c r="AW15" s="7">
        <v>16.8</v>
      </c>
      <c r="AX15" s="7">
        <v>0</v>
      </c>
      <c r="AY15" s="8">
        <f>SUM(Tabla_master_rend[[#This Row],[Kg_Finos]:[Kg_Desmoldeo]])</f>
        <v>26.450940540540543</v>
      </c>
      <c r="AZ15" s="60">
        <f>+(Tabla_master_rend[[#This Row],[Kg_Finos]]+Tabla_master_rend[[#This Row],[Kg_Llenadora]]+Tabla_master_rend[[#This Row],[Kg_Desmoldeo]])/(Tabla_master_rend[[#This Row],[Kg_Queso_Blan]])</f>
        <v>6.6905953655071798E-3</v>
      </c>
      <c r="BA15" s="7">
        <v>180</v>
      </c>
      <c r="BB15" s="60">
        <f>+Tabla_master_rend[[#This Row],[L_Agua]]/(Tabla_master_rend[[#This Row],[L_Agua]]+Tabla_master_rend[[#This Row],[Kg_SalidaSecadero]])</f>
        <v>4.5836516424751721E-2</v>
      </c>
      <c r="BC15" s="8">
        <v>604</v>
      </c>
      <c r="BD15" s="8">
        <v>598</v>
      </c>
      <c r="BE15" s="8">
        <v>3893</v>
      </c>
      <c r="BF15" s="8">
        <v>0</v>
      </c>
      <c r="BG15" s="8">
        <v>0</v>
      </c>
      <c r="BH15" s="7">
        <v>0</v>
      </c>
      <c r="BI15" s="7">
        <v>0</v>
      </c>
      <c r="BJ15" s="8">
        <v>34</v>
      </c>
      <c r="BK15" s="8">
        <v>3747</v>
      </c>
      <c r="BL15" s="8">
        <v>0</v>
      </c>
      <c r="BM15" s="8">
        <v>0</v>
      </c>
      <c r="BN15" s="8">
        <v>5.78</v>
      </c>
      <c r="BO15" s="68">
        <f>+SUM(Tabla_master_rend[[#This Row],[B_altas]:[B_lab]])/Tabla_master_rend[[#This Row],[Kg_SalidaSecadero]]</f>
        <v>9.0739258073125172E-3</v>
      </c>
      <c r="BP15" s="68">
        <f>+(Tabla_master_rend[[#This Row],[Kg_mer_env_real]]+Tabla_master_rend[[#This Row],[kg_mer_lab_real]])/Tabla_master_rend[[#This Row],[Kg_SalidaSecadero]]</f>
        <v>1.5425673872431279E-3</v>
      </c>
      <c r="BQ15" s="64">
        <f>+Tabla_master_rend[[#This Row],[Merma_TOT]]/Tabla_master_rend[[#This Row],[Kg_Queso_Blan]]</f>
        <v>5.3682452048215631E-2</v>
      </c>
      <c r="BR15" s="8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212.23094054054056</v>
      </c>
      <c r="BS15" s="8"/>
      <c r="BT15" s="63">
        <f>IF(+Tabla_master_rend[[#This Row],[Kg_Env_Total]]=0,0,Tabla_master_rend[[#This Row],[Kg_Env_Total]]-Tabla_master_rend[[#This Row],[Kg_SalidaSecadero]])</f>
        <v>0</v>
      </c>
      <c r="BU15" s="60">
        <f>+Tabla_master_rend[[#This Row],[Diferencia_Env_vs_Sec_kg]]/Tabla_master_rend[[#This Row],[Kg_SalidaSecadero]]</f>
        <v>0</v>
      </c>
      <c r="BV15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5" s="65">
        <f>+(Tabla_master_rend[[#This Row],[Coste_Leche_€]]-Tabla_master_rend[[#This Row],[Kg_MG_Nata]]*$CO$3)/Tabla_master_rend[[#This Row],[Kg_Queso_Blan]]</f>
        <v>-3.8093301843125698</v>
      </c>
      <c r="BX15" s="8">
        <f>SUM(Tabla_master_rend[[#This Row],[Kg_Finos]:[Kg_Desmoldeo]])+Tabla_master_rend[[#This Row],[L_Agua]]+SUM(Tabla_master_rend[[#This Row],[B_altas]:[B_lab]])</f>
        <v>240.45094054054056</v>
      </c>
      <c r="BY15" s="8">
        <f>+BX15-Tabla_master_rend[[#This Row],[Merma_TOT]]</f>
        <v>28.22</v>
      </c>
      <c r="BZ15" s="62">
        <f t="shared" si="16"/>
        <v>0.11736281811400129</v>
      </c>
      <c r="CA15" s="8">
        <f>+Tabla_master_rend[[#This Row],[Kg_Queso_Blan]]*$CA$1</f>
        <v>25.697431113513513</v>
      </c>
      <c r="CB15" s="8">
        <f>+Tabla_master_rend[[#This Row],[Kg_Queso_Blan]]*($CB$1-$CA$1)</f>
        <v>13.837078291891894</v>
      </c>
      <c r="CC15" s="8">
        <f>+(Tabla_master_rend[[#This Row],[Kg_Queso_Blan]]-CA15-CB15)*$CC$1</f>
        <v>41.096122526918919</v>
      </c>
      <c r="CD15" s="8">
        <f t="shared" si="17"/>
        <v>80.63063193232432</v>
      </c>
      <c r="CE15" s="80">
        <f>+CD15/Tabla_master_rend[[#This Row],[Kg_Queso_Blan]]</f>
        <v>2.0395E-2</v>
      </c>
      <c r="CF15" s="62">
        <f>+Tabla_master_rend[[#This Row],[Merma_TOT]]/Tabla_master_rend[[#This Row],[Kg_Queso_Blan]]</f>
        <v>5.3682452048215631E-2</v>
      </c>
      <c r="CG15" s="8">
        <f>CD15-Tabla_master_rend[[#This Row],[Merma_TOT]]</f>
        <v>-131.60030860821624</v>
      </c>
      <c r="CH15" s="81" cm="1">
        <f t="array" ref="CH15">-BR15 * IFERROR(INDEX('Precio Leche_EBITDA_Ventas'!$BD$87:$BD$110,MATCH(1,('Precio Leche_EBITDA_Ventas'!$AZ$87:$AZ$110=YEAR(A15))*('Precio Leche_EBITDA_Ventas'!$BB$87:$BB$110=C15),0)),1.3)</f>
        <v>-742.80829189189194</v>
      </c>
      <c r="CI15" s="81">
        <f t="shared" si="18"/>
        <v>-171.08040119068113</v>
      </c>
    </row>
    <row r="16" spans="1:96" x14ac:dyDescent="0.35">
      <c r="A16" s="9">
        <v>45685</v>
      </c>
      <c r="B16" s="7">
        <v>1</v>
      </c>
      <c r="C16" s="7" t="str">
        <f>+UPPER(TEXT(Tabla_master_rend[[#This Row],[Fecha]],"MMM"))</f>
        <v>ENE</v>
      </c>
      <c r="D16" s="7" t="str">
        <f>+UPPER(TEXT(Tabla_master_rend[[#This Row],[Fecha]],"ddd"))</f>
        <v>MA</v>
      </c>
      <c r="E16" s="3">
        <v>280125196</v>
      </c>
      <c r="F16" s="3" t="s">
        <v>244</v>
      </c>
      <c r="G16" s="84" t="s">
        <v>194</v>
      </c>
      <c r="H16">
        <v>2</v>
      </c>
      <c r="I16" s="8">
        <f>+Tabla_master_rend[[#This Row],[L_Leche_ent]]+Tabla_master_rend[[#This Row],[L_desn_ext]]+Tabla_master_rend[[#This Row],[L_cabra]]+Tabla_master_rend[[#This Row],[L_oveja]]</f>
        <v>24376</v>
      </c>
      <c r="J16" s="8">
        <v>24376</v>
      </c>
      <c r="K16" s="5">
        <v>3.56E-2</v>
      </c>
      <c r="L16" s="5">
        <v>3.2899999999999999E-2</v>
      </c>
      <c r="M16" s="5">
        <f t="shared" si="13"/>
        <v>0.10545399999999999</v>
      </c>
      <c r="N16" s="3" t="s">
        <v>188</v>
      </c>
      <c r="O16" s="8">
        <v>0</v>
      </c>
      <c r="P16" s="8">
        <v>0</v>
      </c>
      <c r="Q16" s="8">
        <v>0</v>
      </c>
      <c r="R16" s="8">
        <v>671</v>
      </c>
      <c r="T16" s="8">
        <v>27180</v>
      </c>
      <c r="U16" s="38">
        <f>+Tabla_master_rend[[#This Row],[L_suero Total]]/Tabla_master_rend[[#This Row],[Litros_Leche_Total]]</f>
        <v>1.1150311782080735</v>
      </c>
      <c r="V16" s="66">
        <v>3.4000000000000002E-3</v>
      </c>
      <c r="W16" s="66">
        <v>8.8999999999999999E-3</v>
      </c>
      <c r="X16" s="8">
        <f>70226/(27180+41820)*27180</f>
        <v>27662.937391304349</v>
      </c>
      <c r="Y16" s="57">
        <f>20219/(27180+41820)*27180</f>
        <v>7964.5278260869563</v>
      </c>
      <c r="Z16" s="58">
        <f>IF(Tabla_master_rend[[#This Row],[L_suero para con]]=0,0,+Tabla_master_rend[[#This Row],[L_suero para con]]/Tabla_master_rend[[#This Row],[L_suero_con]])</f>
        <v>3.4732677184826155</v>
      </c>
      <c r="AA16" s="8">
        <f>+Tabla_master_rend[[#This Row],[L_suero Total]]-Tabla_master_rend[[#This Row],[L_suero para con]]</f>
        <v>-482.93739130434915</v>
      </c>
      <c r="AD16" s="8"/>
      <c r="AE16" s="8"/>
      <c r="AF16" s="8"/>
      <c r="AG16" s="5"/>
      <c r="AI16" s="8">
        <f>+Tabla_master_rend[[#This Row],[Kg_Finos]]+Tabla_master_rend[[#This Row],[Kg_Llenadora]]+Tabla_master_rend[[#This Row],[Kg_Desmoldeo]]+Tabla_master_rend[[#This Row],[L_Agua]]+Tabla_master_rend[[#This Row],[Kg_SalidaSecadero]]</f>
        <v>2491.6290594594593</v>
      </c>
      <c r="AJ16" s="59">
        <f>+Tabla_master_rend[[#This Row],[Litros_Leche_Total]]/Tabla_master_rend[[#This Row],[Kg_Queso_Blan]]</f>
        <v>9.7831576925371841</v>
      </c>
      <c r="AK16" s="59">
        <f>+Tabla_master_rend[[#This Row],[Litros_Leche_Total]]/(Tabla_master_rend[[#This Row],[Kg_Queso_Blan]]-Tabla_master_rend[[#This Row],[Merma_TOT]])</f>
        <v>10.184419209011223</v>
      </c>
      <c r="AL16" s="59">
        <f>VLOOKUP(G16,REND_TARGET[#All],8,FALSE)</f>
        <v>10.141624999999999</v>
      </c>
      <c r="AM16" s="8">
        <f>(I16*1.03*Tabla_master_rend[[#This Row],[%MG_Leche]])+(I16*1.03*Tabla_master_rend[[#This Row],[%MP_Leche]])</f>
        <v>1719.8486800000001</v>
      </c>
      <c r="AN16" s="38">
        <v>0.25519999999999998</v>
      </c>
      <c r="AO16" s="38">
        <v>0.25280000000000002</v>
      </c>
      <c r="AP16" s="60">
        <v>0.44979999999999998</v>
      </c>
      <c r="AQ16" s="60">
        <f>+Tabla_master_rend[[#This Row],[Kg_Queso_Blan]]*Tabla_master_rend[[#This Row],[ES_QUESO]]/(Tabla_master_rend[[#This Row],[Kg_Solidos_leche]])</f>
        <v>0.65164730128749748</v>
      </c>
      <c r="AR16" s="8">
        <f t="shared" si="14"/>
        <v>268.40000000000003</v>
      </c>
      <c r="AS16" s="61">
        <f>+(Tabla_master_rend[[#This Row],[Kg_Queso_Blan]]*Tabla_master_rend[[#This Row],[%MG_QUESO]]+(Tabla_master_rend[[#This Row],[Kg_MG_Nata]]))/(Tabla_master_rend[[#This Row],[Litros_Leche_Total]]*1.03*Tabla_master_rend[[#This Row],[%MG_Leche]])</f>
        <v>1.0116853255647054</v>
      </c>
      <c r="AT16" s="62">
        <f>+Tabla_master_rend[[#This Row],[Kg_Queso_Blan]]*Tabla_master_rend[[#This Row],[%PT_QUESO]]/(Tabla_master_rend[[#This Row],[Litros_Leche_Total]]*1.03*Tabla_master_rend[[#This Row],[%MP_Leche]])</f>
        <v>0.76254397340630531</v>
      </c>
      <c r="AU16" s="63">
        <f t="shared" si="15"/>
        <v>2013.0000000000002</v>
      </c>
      <c r="AV16" s="8">
        <v>5.1290594594594596</v>
      </c>
      <c r="AW16" s="8">
        <v>44</v>
      </c>
      <c r="AX16" s="8">
        <v>5.5</v>
      </c>
      <c r="AY16" s="8">
        <f>SUM(Tabla_master_rend[[#This Row],[Kg_Finos]:[Kg_Desmoldeo]])</f>
        <v>54.629059459459462</v>
      </c>
      <c r="AZ16" s="60">
        <f>+(Tabla_master_rend[[#This Row],[Kg_Finos]]+Tabla_master_rend[[#This Row],[Kg_Llenadora]]+Tabla_master_rend[[#This Row],[Kg_Desmoldeo]])/(Tabla_master_rend[[#This Row],[Kg_Queso_Blan]])</f>
        <v>2.1925037056403106E-2</v>
      </c>
      <c r="BA16" s="8">
        <v>30</v>
      </c>
      <c r="BB16" s="60">
        <f>+Tabla_master_rend[[#This Row],[L_Agua]]/(Tabla_master_rend[[#This Row],[L_Agua]]+Tabla_master_rend[[#This Row],[Kg_SalidaSecadero]])</f>
        <v>1.2310217480508822E-2</v>
      </c>
      <c r="BC16" s="8">
        <v>321</v>
      </c>
      <c r="BD16" s="8">
        <v>312</v>
      </c>
      <c r="BE16" s="8">
        <v>2371</v>
      </c>
      <c r="BF16" s="8">
        <v>0</v>
      </c>
      <c r="BG16" s="8">
        <v>0</v>
      </c>
      <c r="BH16" s="8">
        <v>0</v>
      </c>
      <c r="BI16" s="8">
        <v>0</v>
      </c>
      <c r="BJ16" s="8">
        <v>28</v>
      </c>
      <c r="BK16" s="8">
        <v>2407</v>
      </c>
      <c r="BL16" s="8">
        <v>0</v>
      </c>
      <c r="BM16" s="8">
        <v>0</v>
      </c>
      <c r="BN16" s="8">
        <v>13.54</v>
      </c>
      <c r="BO16" s="68">
        <f>+SUM(Tabla_master_rend[[#This Row],[B_altas]:[B_lab]])/Tabla_master_rend[[#This Row],[Kg_SalidaSecadero]]</f>
        <v>1.1632737847943497E-2</v>
      </c>
      <c r="BP16" s="68">
        <f>+(Tabla_master_rend[[#This Row],[Kg_mer_env_real]]+Tabla_master_rend[[#This Row],[kg_mer_lab_real]])/Tabla_master_rend[[#This Row],[Kg_SalidaSecadero]]</f>
        <v>5.6252596593269625E-3</v>
      </c>
      <c r="BQ16" s="64">
        <f>+Tabla_master_rend[[#This Row],[Merma_TOT]]/Tabla_master_rend[[#This Row],[Kg_Queso_Blan]]</f>
        <v>3.9399548294221813E-2</v>
      </c>
      <c r="BR16" s="8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98.169059459459447</v>
      </c>
      <c r="BS16" s="8"/>
      <c r="BT16" s="63">
        <f>IF(+Tabla_master_rend[[#This Row],[Kg_Env_Total]]=0,0,Tabla_master_rend[[#This Row],[Kg_Env_Total]]-Tabla_master_rend[[#This Row],[Kg_SalidaSecadero]])</f>
        <v>0</v>
      </c>
      <c r="BU16" s="60">
        <f>+Tabla_master_rend[[#This Row],[Diferencia_Env_vs_Sec_kg]]/Tabla_master_rend[[#This Row],[Kg_SalidaSecadero]]</f>
        <v>0</v>
      </c>
      <c r="BV16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6" s="65">
        <f>+(Tabla_master_rend[[#This Row],[Coste_Leche_€]]-Tabla_master_rend[[#This Row],[Kg_MG_Nata]]*$CO$3)/Tabla_master_rend[[#This Row],[Kg_Queso_Blan]]</f>
        <v>-0.80790517045771892</v>
      </c>
      <c r="BX16" s="8">
        <f>SUM(Tabla_master_rend[[#This Row],[Kg_Finos]:[Kg_Desmoldeo]])+Tabla_master_rend[[#This Row],[L_Agua]]+SUM(Tabla_master_rend[[#This Row],[B_altas]:[B_lab]])</f>
        <v>112.62905945945946</v>
      </c>
      <c r="BY16" s="8">
        <f>+BX16-Tabla_master_rend[[#This Row],[Merma_TOT]]</f>
        <v>14.460000000000008</v>
      </c>
      <c r="BZ16" s="62">
        <f t="shared" si="16"/>
        <v>0.12838604947424645</v>
      </c>
      <c r="CA16" s="8">
        <f>+Tabla_master_rend[[#This Row],[Kg_Queso_Blan]]*$CA$1</f>
        <v>16.195588886486483</v>
      </c>
      <c r="CB16" s="8">
        <f>+Tabla_master_rend[[#This Row],[Kg_Queso_Blan]]*($CB$1-$CA$1)</f>
        <v>8.7207017081081091</v>
      </c>
      <c r="CC16" s="8">
        <f>+(Tabla_master_rend[[#This Row],[Kg_Queso_Blan]]-CA16-CB16)*$CC$1</f>
        <v>25.900484073081081</v>
      </c>
      <c r="CD16" s="8">
        <f t="shared" si="17"/>
        <v>50.816774667675674</v>
      </c>
      <c r="CE16" s="80">
        <f>+CD16/Tabla_master_rend[[#This Row],[Kg_Queso_Blan]]</f>
        <v>2.0395E-2</v>
      </c>
      <c r="CF16" s="62">
        <f>+Tabla_master_rend[[#This Row],[Merma_TOT]]/Tabla_master_rend[[#This Row],[Kg_Queso_Blan]]</f>
        <v>3.9399548294221813E-2</v>
      </c>
      <c r="CG16" s="8">
        <f>CD16-Tabla_master_rend[[#This Row],[Merma_TOT]]</f>
        <v>-47.352284791783774</v>
      </c>
      <c r="CH16" s="81" cm="1">
        <f t="array" ref="CH16">-BR16 * IFERROR(INDEX('Precio Leche_EBITDA_Ventas'!$BD$87:$BD$110,MATCH(1,('Precio Leche_EBITDA_Ventas'!$AZ$87:$AZ$110=YEAR(A16))*('Precio Leche_EBITDA_Ventas'!$BB$87:$BB$110=C16),0)),1.3)</f>
        <v>-343.59170810810804</v>
      </c>
      <c r="CI16" s="81">
        <f t="shared" si="18"/>
        <v>-61.557970229318904</v>
      </c>
      <c r="CJ16" s="38"/>
      <c r="CK16" t="s">
        <v>123</v>
      </c>
      <c r="CM16" s="58">
        <v>4.7750000000000004</v>
      </c>
      <c r="CO16">
        <v>7.5</v>
      </c>
      <c r="CQ16" s="8"/>
      <c r="CR16" s="8"/>
    </row>
    <row r="17" spans="1:96" x14ac:dyDescent="0.35">
      <c r="A17" s="9">
        <v>45687</v>
      </c>
      <c r="B17" s="7">
        <v>1</v>
      </c>
      <c r="C17" s="7" t="str">
        <f>+UPPER(TEXT(Tabla_master_rend[[#This Row],[Fecha]],"MMM"))</f>
        <v>ENE</v>
      </c>
      <c r="D17" s="7" t="str">
        <f>+UPPER(TEXT(Tabla_master_rend[[#This Row],[Fecha]],"ddd"))</f>
        <v>JU</v>
      </c>
      <c r="E17" s="3" t="s">
        <v>466</v>
      </c>
      <c r="F17" s="3" t="s">
        <v>244</v>
      </c>
      <c r="G17" s="84" t="s">
        <v>40</v>
      </c>
      <c r="H17">
        <v>13</v>
      </c>
      <c r="I17" s="8">
        <f>+Tabla_master_rend[[#This Row],[L_Leche_ent]]+Tabla_master_rend[[#This Row],[L_desn_ext]]+Tabla_master_rend[[#This Row],[L_cabra]]+Tabla_master_rend[[#This Row],[L_oveja]]</f>
        <v>211266</v>
      </c>
      <c r="J17" s="8">
        <v>211266</v>
      </c>
      <c r="K17" s="5">
        <v>3.5699999999999996E-2</v>
      </c>
      <c r="L17" s="5">
        <v>3.39E-2</v>
      </c>
      <c r="M17" s="5">
        <f t="shared" si="13"/>
        <v>0.10628699999999999</v>
      </c>
      <c r="N17" s="3" t="s">
        <v>188</v>
      </c>
      <c r="O17" s="8">
        <v>0</v>
      </c>
      <c r="P17" s="8">
        <v>0</v>
      </c>
      <c r="Q17" s="8">
        <v>0</v>
      </c>
      <c r="R17" s="8">
        <v>664</v>
      </c>
      <c r="T17" s="8">
        <v>178460</v>
      </c>
      <c r="U17" s="38">
        <f>+Tabla_master_rend[[#This Row],[L_suero Total]]/Tabla_master_rend[[#This Row],[Litros_Leche_Total]]</f>
        <v>0.84471708651652422</v>
      </c>
      <c r="V17" s="66">
        <v>3.4000000000000002E-3</v>
      </c>
      <c r="W17" s="66">
        <v>0.01</v>
      </c>
      <c r="X17" s="8">
        <v>179167</v>
      </c>
      <c r="Y17" s="57">
        <v>59574</v>
      </c>
      <c r="Z17" s="58">
        <f>IF(Tabla_master_rend[[#This Row],[L_suero para con]]=0,0,+Tabla_master_rend[[#This Row],[L_suero para con]]/Tabla_master_rend[[#This Row],[L_suero_con]])</f>
        <v>3.007469701547655</v>
      </c>
      <c r="AA17" s="8">
        <f>+Tabla_master_rend[[#This Row],[L_suero Total]]-Tabla_master_rend[[#This Row],[L_suero para con]]</f>
        <v>-707</v>
      </c>
      <c r="AD17" s="8"/>
      <c r="AE17" s="8"/>
      <c r="AF17" s="8"/>
      <c r="AG17" s="66"/>
      <c r="AH17" s="66"/>
      <c r="AI17" s="8">
        <f>+Tabla_master_rend[[#This Row],[Kg_Finos]]+Tabla_master_rend[[#This Row],[Kg_Llenadora]]+Tabla_master_rend[[#This Row],[Kg_Desmoldeo]]+Tabla_master_rend[[#This Row],[L_Agua]]+Tabla_master_rend[[#This Row],[Kg_SalidaSecadero]]</f>
        <v>24555.599999999999</v>
      </c>
      <c r="AJ17" s="59">
        <f>+Tabla_master_rend[[#This Row],[Litros_Leche_Total]]/Tabla_master_rend[[#This Row],[Kg_Queso_Blan]]</f>
        <v>8.6035771880955885</v>
      </c>
      <c r="AK17" s="59">
        <f>+Tabla_master_rend[[#This Row],[Litros_Leche_Total]]/(Tabla_master_rend[[#This Row],[Kg_Queso_Blan]]-Tabla_master_rend[[#This Row],[Merma_TOT]])</f>
        <v>9.2218001249268315</v>
      </c>
      <c r="AL17" s="59">
        <f>VLOOKUP(G17,REND_TARGET[#All],8,FALSE)</f>
        <v>8.9338729999999984</v>
      </c>
      <c r="AM17" s="8">
        <f>(I17*1.03*Tabla_master_rend[[#This Row],[%MG_Leche]])+(I17*1.03*Tabla_master_rend[[#This Row],[%MP_Leche]])</f>
        <v>15145.237008</v>
      </c>
      <c r="AN17" s="38">
        <v>0.29909999999999998</v>
      </c>
      <c r="AO17" s="38">
        <v>0.23010000000000003</v>
      </c>
      <c r="AP17" s="60">
        <v>0.57669999999999999</v>
      </c>
      <c r="AQ17" s="60">
        <f>+Tabla_master_rend[[#This Row],[Kg_Queso_Blan]]*Tabla_master_rend[[#This Row],[ES_QUESO]]/(Tabla_master_rend[[#This Row],[Kg_Solidos_leche]])</f>
        <v>0.93502759399009594</v>
      </c>
      <c r="AR17" s="8">
        <f t="shared" si="14"/>
        <v>265.60000000000002</v>
      </c>
      <c r="AS17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0.97962503720199012</v>
      </c>
      <c r="AT17" s="62">
        <f>+Tabla_master_rend[[#This Row],[Kg_Queso_Blan]]*Tabla_master_rend[[#This Row],[%PT_QUESO]]/(Tabla_master_rend[[#This Row],[Litros_Leche_Total]]*1.03*Tabla_master_rend[[#This Row],[%MP_Leche]])</f>
        <v>0.76595038072113208</v>
      </c>
      <c r="AU17" s="63">
        <f t="shared" si="15"/>
        <v>1992.0000000000002</v>
      </c>
      <c r="AV17" s="8">
        <v>91</v>
      </c>
      <c r="AW17" s="8">
        <v>141.30000000000001</v>
      </c>
      <c r="AX17" s="8">
        <v>95.3</v>
      </c>
      <c r="AY17" s="8">
        <f>SUM(Tabla_master_rend[[#This Row],[Kg_Finos]:[Kg_Desmoldeo]])</f>
        <v>327.60000000000002</v>
      </c>
      <c r="AZ17" s="60">
        <f>+(Tabla_master_rend[[#This Row],[Kg_Finos]]+Tabla_master_rend[[#This Row],[Kg_Llenadora]]+Tabla_master_rend[[#This Row],[Kg_Desmoldeo]])/(Tabla_master_rend[[#This Row],[Kg_Queso_Blan]])</f>
        <v>1.3341152323706203E-2</v>
      </c>
      <c r="BA17" s="8">
        <v>650</v>
      </c>
      <c r="BB17" s="60">
        <f>+Tabla_master_rend[[#This Row],[L_Agua]]/(Tabla_master_rend[[#This Row],[L_Agua]]+Tabla_master_rend[[#This Row],[Kg_SalidaSecadero]])</f>
        <v>2.6828462935446589E-2</v>
      </c>
      <c r="BC17" s="8">
        <v>3449</v>
      </c>
      <c r="BD17" s="8">
        <v>3255</v>
      </c>
      <c r="BE17" s="8">
        <v>22965</v>
      </c>
      <c r="BF17" s="8">
        <f>33*6.6</f>
        <v>217.79999999999998</v>
      </c>
      <c r="BG17" s="8">
        <f>11*6.6</f>
        <v>72.599999999999994</v>
      </c>
      <c r="BH17" s="8">
        <f>5*6.6</f>
        <v>33</v>
      </c>
      <c r="BI17" s="8">
        <f>164*6.6</f>
        <v>1082.3999999999999</v>
      </c>
      <c r="BJ17" s="8">
        <v>81</v>
      </c>
      <c r="BK17" s="8">
        <v>23578</v>
      </c>
      <c r="BL17" s="8">
        <v>0.53</v>
      </c>
      <c r="BM17" s="8">
        <v>650.4</v>
      </c>
      <c r="BN17" s="8">
        <v>17.66</v>
      </c>
      <c r="BO17" s="68">
        <f>+SUM(Tabla_master_rend[[#This Row],[B_altas]:[B_lab]])/Tabla_master_rend[[#This Row],[Kg_SalidaSecadero]]</f>
        <v>6.3058783611841529E-2</v>
      </c>
      <c r="BP17" s="68">
        <f>+(Tabla_master_rend[[#This Row],[Kg_mer_env_real]]+Tabla_master_rend[[#This Row],[kg_mer_lab_real]])/Tabla_master_rend[[#This Row],[Kg_SalidaSecadero]]</f>
        <v>2.83340402069726E-2</v>
      </c>
      <c r="BQ17" s="64">
        <f>+Tabla_master_rend[[#This Row],[Merma_TOT]]/Tabla_master_rend[[#This Row],[Kg_Queso_Blan]]</f>
        <v>6.7039290426623654E-2</v>
      </c>
      <c r="BR17" s="8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1646.1899999999998</v>
      </c>
      <c r="BS17" s="8"/>
      <c r="BT17" s="63">
        <f>IF(+Tabla_master_rend[[#This Row],[Kg_Env_Total]]=0,0,Tabla_master_rend[[#This Row],[Kg_Env_Total]]-Tabla_master_rend[[#This Row],[Kg_SalidaSecadero]])</f>
        <v>0</v>
      </c>
      <c r="BU17" s="60">
        <f>+Tabla_master_rend[[#This Row],[Diferencia_Env_vs_Sec_kg]]/Tabla_master_rend[[#This Row],[Kg_SalidaSecadero]]</f>
        <v>0</v>
      </c>
      <c r="BV17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7" s="65">
        <f>+(Tabla_master_rend[[#This Row],[Coste_Leche_€]]-Tabla_master_rend[[#This Row],[Kg_MG_Nata]]*$CO$3)/Tabla_master_rend[[#This Row],[Kg_Queso_Blan]]</f>
        <v>-8.1122025118506594E-2</v>
      </c>
      <c r="BX17" s="8">
        <f>SUM(Tabla_master_rend[[#This Row],[Kg_Finos]:[Kg_Desmoldeo]])+Tabla_master_rend[[#This Row],[L_Agua]]+SUM(Tabla_master_rend[[#This Row],[B_altas]:[B_lab]])</f>
        <v>2464.3999999999996</v>
      </c>
      <c r="BY17" s="8">
        <f>+BX17-Tabla_master_rend[[#This Row],[Merma_TOT]]</f>
        <v>818.20999999999981</v>
      </c>
      <c r="BZ17" s="62">
        <f t="shared" si="16"/>
        <v>0.33201184872585615</v>
      </c>
      <c r="CA17" s="8">
        <f>+Tabla_master_rend[[#This Row],[Kg_Queso_Blan]]*$CA$1</f>
        <v>159.61139999999997</v>
      </c>
      <c r="CB17" s="8">
        <f>+Tabla_master_rend[[#This Row],[Kg_Queso_Blan]]*($CB$1-$CA$1)</f>
        <v>85.944600000000008</v>
      </c>
      <c r="CC17" s="8">
        <f>+(Tabla_master_rend[[#This Row],[Kg_Queso_Blan]]-CA17-CB17)*$CC$1</f>
        <v>255.25546199999999</v>
      </c>
      <c r="CD17" s="8">
        <f t="shared" si="17"/>
        <v>500.81146200000001</v>
      </c>
      <c r="CE17" s="80">
        <f>+CD17/Tabla_master_rend[[#This Row],[Kg_Queso_Blan]]</f>
        <v>2.0395E-2</v>
      </c>
      <c r="CF17" s="62">
        <f>+Tabla_master_rend[[#This Row],[Merma_TOT]]/Tabla_master_rend[[#This Row],[Kg_Queso_Blan]]</f>
        <v>6.7039290426623654E-2</v>
      </c>
      <c r="CG17" s="8">
        <f>CD17-Tabla_master_rend[[#This Row],[Merma_TOT]]</f>
        <v>-1145.3785379999999</v>
      </c>
      <c r="CH17" s="81" cm="1">
        <f t="array" ref="CH17">-BR17 * IFERROR(INDEX('Precio Leche_EBITDA_Ventas'!$BD$87:$BD$110,MATCH(1,('Precio Leche_EBITDA_Ventas'!$AZ$87:$AZ$110=YEAR(A17))*('Precio Leche_EBITDA_Ventas'!$BB$87:$BB$110=C17),0)),1.3)</f>
        <v>-5761.6649999999991</v>
      </c>
      <c r="CI17" s="81">
        <f t="shared" si="18"/>
        <v>-1488.9920993999999</v>
      </c>
      <c r="CK17" t="s">
        <v>124</v>
      </c>
      <c r="CM17" s="58">
        <v>3.4750000000000001</v>
      </c>
      <c r="CQ17" s="8"/>
      <c r="CR17" s="8"/>
    </row>
    <row r="18" spans="1:96" x14ac:dyDescent="0.35">
      <c r="A18" s="9">
        <v>45691</v>
      </c>
      <c r="B18" s="7">
        <v>2</v>
      </c>
      <c r="C18" s="7" t="str">
        <f>+UPPER(TEXT(Tabla_master_rend[[#This Row],[Fecha]],"MMM"))</f>
        <v>FEB</v>
      </c>
      <c r="D18" s="7" t="str">
        <f>+UPPER(TEXT(Tabla_master_rend[[#This Row],[Fecha]],"ddd"))</f>
        <v>LU</v>
      </c>
      <c r="E18" s="3" t="s">
        <v>467</v>
      </c>
      <c r="F18" s="3" t="s">
        <v>244</v>
      </c>
      <c r="G18" s="84" t="s">
        <v>299</v>
      </c>
      <c r="H18">
        <v>17</v>
      </c>
      <c r="I18" s="8">
        <f>+Tabla_master_rend[[#This Row],[L_Leche_ent]]+Tabla_master_rend[[#This Row],[L_desn_ext]]+Tabla_master_rend[[#This Row],[L_cabra]]+Tabla_master_rend[[#This Row],[L_oveja]]</f>
        <v>279824</v>
      </c>
      <c r="J18" s="8">
        <v>279824</v>
      </c>
      <c r="K18" s="5">
        <v>3.7100000000000001E-2</v>
      </c>
      <c r="L18" s="5">
        <v>3.3500000000000002E-2</v>
      </c>
      <c r="M18" s="5">
        <f t="shared" si="13"/>
        <v>0.107293</v>
      </c>
      <c r="N18" s="3" t="s">
        <v>43</v>
      </c>
      <c r="O18" s="8">
        <v>0</v>
      </c>
      <c r="P18" s="8">
        <v>0</v>
      </c>
      <c r="Q18" s="8">
        <v>0</v>
      </c>
      <c r="R18" s="8">
        <v>8821</v>
      </c>
      <c r="T18" s="8">
        <v>233970</v>
      </c>
      <c r="U18" s="38">
        <f>+Tabla_master_rend[[#This Row],[L_suero Total]]/Tabla_master_rend[[#This Row],[Litros_Leche_Total]]</f>
        <v>0.83613271199039396</v>
      </c>
      <c r="V18" s="5">
        <v>1E-3</v>
      </c>
      <c r="W18" s="5">
        <v>9.300000000000001E-3</v>
      </c>
      <c r="X18" s="8">
        <v>234233</v>
      </c>
      <c r="Y18" s="57">
        <v>74923</v>
      </c>
      <c r="Z18" s="58">
        <f>IF(Tabla_master_rend[[#This Row],[L_suero para con]]=0,0,+Tabla_master_rend[[#This Row],[L_suero para con]]/Tabla_master_rend[[#This Row],[L_suero_con]])</f>
        <v>3.1263163514541596</v>
      </c>
      <c r="AA18" s="8">
        <f>+Tabla_master_rend[[#This Row],[L_suero Total]]-Tabla_master_rend[[#This Row],[L_suero para con]]</f>
        <v>-263</v>
      </c>
      <c r="AD18" s="8"/>
      <c r="AE18" s="8"/>
      <c r="AF18" s="8"/>
      <c r="AG18" s="5"/>
      <c r="AI18" s="8">
        <f>+Tabla_master_rend[[#This Row],[Kg_Finos]]+Tabla_master_rend[[#This Row],[Kg_Llenadora]]+Tabla_master_rend[[#This Row],[Kg_Desmoldeo]]+Tabla_master_rend[[#This Row],[L_Agua]]+Tabla_master_rend[[#This Row],[Kg_SalidaSecadero]]</f>
        <v>30123.31</v>
      </c>
      <c r="AJ18" s="59">
        <f>+Tabla_master_rend[[#This Row],[Litros_Leche_Total]]/Tabla_master_rend[[#This Row],[Kg_Queso_Blan]]</f>
        <v>9.2892846104893518</v>
      </c>
      <c r="AK18" s="59">
        <f>+Tabla_master_rend[[#This Row],[Litros_Leche_Total]]/(Tabla_master_rend[[#This Row],[Kg_Queso_Blan]]-Tabla_master_rend[[#This Row],[Merma_TOT]])</f>
        <v>9.6976653434890157</v>
      </c>
      <c r="AL18" s="59">
        <f>VLOOKUP(G18,REND_TARGET[#All],8,FALSE)</f>
        <v>9.8078500000000002</v>
      </c>
      <c r="AM18" s="8">
        <f>(I18*1.03*Tabla_master_rend[[#This Row],[%MG_Leche]])+(I18*1.03*Tabla_master_rend[[#This Row],[%MP_Leche]])</f>
        <v>20348.241632000005</v>
      </c>
      <c r="AN18" s="38">
        <v>0.2261</v>
      </c>
      <c r="AO18" s="38">
        <v>0.24679999999999999</v>
      </c>
      <c r="AP18" s="60">
        <v>0.52949999999999997</v>
      </c>
      <c r="AQ18" s="60">
        <f>+Tabla_master_rend[[#This Row],[Kg_Queso_Blan]]*Tabla_master_rend[[#This Row],[ES_QUESO]]/(Tabla_master_rend[[#This Row],[Kg_Solidos_leche]])</f>
        <v>0.78386589531727824</v>
      </c>
      <c r="AR18" s="8">
        <f t="shared" si="14"/>
        <v>3528.4</v>
      </c>
      <c r="AS18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0.96692818215247689</v>
      </c>
      <c r="AT18" s="62">
        <f>+Tabla_master_rend[[#This Row],[Kg_Queso_Blan]]*Tabla_master_rend[[#This Row],[%PT_QUESO]]/(Tabla_master_rend[[#This Row],[Litros_Leche_Total]]*1.03*Tabla_master_rend[[#This Row],[%MP_Leche]])</f>
        <v>0.76998249936041507</v>
      </c>
      <c r="AU18" s="63">
        <f t="shared" si="15"/>
        <v>26463</v>
      </c>
      <c r="AV18" s="8">
        <v>55.41</v>
      </c>
      <c r="AW18" s="8">
        <v>97.7</v>
      </c>
      <c r="AX18" s="8">
        <v>170.2</v>
      </c>
      <c r="AY18" s="8">
        <f>SUM(Tabla_master_rend[[#This Row],[Kg_Finos]:[Kg_Desmoldeo]])</f>
        <v>323.31</v>
      </c>
      <c r="AZ18" s="60">
        <f>+(Tabla_master_rend[[#This Row],[Kg_Finos]]+Tabla_master_rend[[#This Row],[Kg_Llenadora]]+Tabla_master_rend[[#This Row],[Kg_Desmoldeo]])/(Tabla_master_rend[[#This Row],[Kg_Queso_Blan]])</f>
        <v>1.0732884268030306E-2</v>
      </c>
      <c r="BA18" s="8">
        <v>525</v>
      </c>
      <c r="BB18" s="60">
        <f>+Tabla_master_rend[[#This Row],[L_Agua]]/(Tabla_master_rend[[#This Row],[L_Agua]]+Tabla_master_rend[[#This Row],[Kg_SalidaSecadero]])</f>
        <v>1.7617449664429529E-2</v>
      </c>
      <c r="BC18" s="8">
        <v>4229</v>
      </c>
      <c r="BD18" s="8">
        <v>3930</v>
      </c>
      <c r="BE18" s="8">
        <v>27978</v>
      </c>
      <c r="BF18" s="8">
        <f>2*6.1</f>
        <v>12.2</v>
      </c>
      <c r="BG18" s="8">
        <f>82*6.1</f>
        <v>500.2</v>
      </c>
      <c r="BH18" s="8">
        <v>0</v>
      </c>
      <c r="BI18" s="8">
        <f>203*6.1</f>
        <v>1238.3</v>
      </c>
      <c r="BJ18" s="8">
        <v>82</v>
      </c>
      <c r="BK18" s="8">
        <v>29275</v>
      </c>
      <c r="BL18" s="8">
        <v>8</v>
      </c>
      <c r="BM18" s="8">
        <v>397.58</v>
      </c>
      <c r="BN18" s="8">
        <v>14.64</v>
      </c>
      <c r="BO18" s="68">
        <f>+SUM(Tabla_master_rend[[#This Row],[B_altas]:[B_lab]])/Tabla_master_rend[[#This Row],[Kg_SalidaSecadero]]</f>
        <v>6.2602903501280949E-2</v>
      </c>
      <c r="BP18" s="68">
        <f>+(Tabla_master_rend[[#This Row],[Kg_mer_env_real]]+Tabla_master_rend[[#This Row],[kg_mer_lab_real]])/Tabla_master_rend[[#This Row],[Kg_SalidaSecadero]]</f>
        <v>1.4080956447480785E-2</v>
      </c>
      <c r="BQ18" s="64">
        <f>+Tabla_master_rend[[#This Row],[Merma_TOT]]/Tabla_master_rend[[#This Row],[Kg_Queso_Blan]]</f>
        <v>4.2111242091257571E-2</v>
      </c>
      <c r="BR18" s="8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1268.5300000000002</v>
      </c>
      <c r="BS18" s="8"/>
      <c r="BT18" s="63">
        <f>IF(+Tabla_master_rend[[#This Row],[Kg_Env_Total]]=0,0,Tabla_master_rend[[#This Row],[Kg_Env_Total]]-Tabla_master_rend[[#This Row],[Kg_SalidaSecadero]])</f>
        <v>0</v>
      </c>
      <c r="BU18" s="60">
        <f>+Tabla_master_rend[[#This Row],[Diferencia_Env_vs_Sec_kg]]/Tabla_master_rend[[#This Row],[Kg_SalidaSecadero]]</f>
        <v>0</v>
      </c>
      <c r="BV18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8" s="65">
        <f>+(Tabla_master_rend[[#This Row],[Coste_Leche_€]]-Tabla_master_rend[[#This Row],[Kg_MG_Nata]]*$CO$3)/Tabla_master_rend[[#This Row],[Kg_Queso_Blan]]</f>
        <v>-0.878489116899836</v>
      </c>
      <c r="BX18" s="8">
        <f>SUM(Tabla_master_rend[[#This Row],[Kg_Finos]:[Kg_Desmoldeo]])+Tabla_master_rend[[#This Row],[L_Agua]]+SUM(Tabla_master_rend[[#This Row],[B_altas]:[B_lab]])</f>
        <v>2681.0099999999998</v>
      </c>
      <c r="BY18" s="8">
        <f>+BX18-Tabla_master_rend[[#This Row],[Merma_TOT]]</f>
        <v>1412.4799999999996</v>
      </c>
      <c r="BZ18" s="62">
        <f t="shared" si="16"/>
        <v>0.52684622586264118</v>
      </c>
      <c r="CA18" s="8">
        <f>+Tabla_master_rend[[#This Row],[Kg_Queso_Blan]]*$CA$1</f>
        <v>195.80151499999999</v>
      </c>
      <c r="CB18" s="8">
        <f>+Tabla_master_rend[[#This Row],[Kg_Queso_Blan]]*($CB$1-$CA$1)</f>
        <v>105.43158500000003</v>
      </c>
      <c r="CC18" s="8">
        <f>+(Tabla_master_rend[[#This Row],[Kg_Queso_Blan]]-CA18-CB18)*$CC$1</f>
        <v>313.13180745000005</v>
      </c>
      <c r="CD18" s="8">
        <f t="shared" si="17"/>
        <v>614.36490745000015</v>
      </c>
      <c r="CE18" s="80">
        <f>+CD18/Tabla_master_rend[[#This Row],[Kg_Queso_Blan]]</f>
        <v>2.0395000000000003E-2</v>
      </c>
      <c r="CF18" s="62">
        <f>+Tabla_master_rend[[#This Row],[Merma_TOT]]/Tabla_master_rend[[#This Row],[Kg_Queso_Blan]]</f>
        <v>4.2111242091257571E-2</v>
      </c>
      <c r="CG18" s="8">
        <f>CD18-Tabla_master_rend[[#This Row],[Merma_TOT]]</f>
        <v>-654.16509255000005</v>
      </c>
      <c r="CH18" s="81" cm="1">
        <f t="array" ref="CH18">-BR18 * IFERROR(INDEX('Precio Leche_EBITDA_Ventas'!$BD$87:$BD$110,MATCH(1,('Precio Leche_EBITDA_Ventas'!$AZ$87:$AZ$110=YEAR(A18))*('Precio Leche_EBITDA_Ventas'!$BB$87:$BB$110=C18),0)),1.3)</f>
        <v>-4439.8550000000005</v>
      </c>
      <c r="CI18" s="81">
        <f t="shared" si="18"/>
        <v>-850.41462031500009</v>
      </c>
      <c r="CQ18" s="8"/>
      <c r="CR18" s="8"/>
    </row>
    <row r="19" spans="1:96" x14ac:dyDescent="0.35">
      <c r="A19" s="9">
        <v>45694</v>
      </c>
      <c r="B19" s="7">
        <v>2</v>
      </c>
      <c r="C19" s="7" t="str">
        <f>+UPPER(TEXT(Tabla_master_rend[[#This Row],[Fecha]],"MMM"))</f>
        <v>FEB</v>
      </c>
      <c r="D19" s="7" t="str">
        <f>+UPPER(TEXT(Tabla_master_rend[[#This Row],[Fecha]],"ddd"))</f>
        <v>JU</v>
      </c>
      <c r="E19" s="3" t="s">
        <v>468</v>
      </c>
      <c r="F19" s="3" t="s">
        <v>244</v>
      </c>
      <c r="G19" s="84" t="s">
        <v>40</v>
      </c>
      <c r="H19">
        <v>17</v>
      </c>
      <c r="I19" s="8">
        <f>+Tabla_master_rend[[#This Row],[L_Leche_ent]]+Tabla_master_rend[[#This Row],[L_desn_ext]]+Tabla_master_rend[[#This Row],[L_cabra]]+Tabla_master_rend[[#This Row],[L_oveja]]</f>
        <v>283132</v>
      </c>
      <c r="J19" s="8">
        <v>283132</v>
      </c>
      <c r="K19" s="5">
        <v>3.8800000000000001E-2</v>
      </c>
      <c r="L19" s="5">
        <v>3.39E-2</v>
      </c>
      <c r="M19" s="5">
        <f t="shared" si="13"/>
        <v>0.10917</v>
      </c>
      <c r="N19" s="3" t="s">
        <v>188</v>
      </c>
      <c r="O19" s="8">
        <v>0</v>
      </c>
      <c r="P19" s="8">
        <v>0</v>
      </c>
      <c r="Q19" s="8">
        <v>0</v>
      </c>
      <c r="R19" s="8">
        <v>3429</v>
      </c>
      <c r="T19" s="8">
        <v>235260</v>
      </c>
      <c r="U19" s="38">
        <f>+Tabla_master_rend[[#This Row],[L_suero Total]]/Tabla_master_rend[[#This Row],[Litros_Leche_Total]]</f>
        <v>0.8309198536371728</v>
      </c>
      <c r="V19" s="5">
        <v>2.5000000000000001E-3</v>
      </c>
      <c r="W19" s="5">
        <v>9.300000000000001E-3</v>
      </c>
      <c r="X19" s="8">
        <v>105845</v>
      </c>
      <c r="Y19" s="57">
        <v>28385</v>
      </c>
      <c r="Z19" s="58">
        <f>IF(Tabla_master_rend[[#This Row],[L_suero para con]]=0,0,+Tabla_master_rend[[#This Row],[L_suero para con]]/Tabla_master_rend[[#This Row],[L_suero_con]])</f>
        <v>3.7289061123833012</v>
      </c>
      <c r="AA19" s="8">
        <f>+Tabla_master_rend[[#This Row],[L_suero Total]]-Tabla_master_rend[[#This Row],[L_suero para con]]</f>
        <v>129415</v>
      </c>
      <c r="AD19" s="8"/>
      <c r="AE19" s="8"/>
      <c r="AF19" s="8"/>
      <c r="AG19" s="5"/>
      <c r="AI19" s="8">
        <f>+Tabla_master_rend[[#This Row],[Kg_Finos]]+Tabla_master_rend[[#This Row],[Kg_Llenadora]]+Tabla_master_rend[[#This Row],[Kg_Desmoldeo]]+Tabla_master_rend[[#This Row],[L_Agua]]+Tabla_master_rend[[#This Row],[Kg_SalidaSecadero]]</f>
        <v>33189.440000000002</v>
      </c>
      <c r="AJ19" s="59">
        <f>+Tabla_master_rend[[#This Row],[Litros_Leche_Total]]/Tabla_master_rend[[#This Row],[Kg_Queso_Blan]]</f>
        <v>8.5307856956911596</v>
      </c>
      <c r="AK19" s="59">
        <f>+Tabla_master_rend[[#This Row],[Litros_Leche_Total]]/(Tabla_master_rend[[#This Row],[Kg_Queso_Blan]]-Tabla_master_rend[[#This Row],[Merma_TOT]])</f>
        <v>8.9110683984896628</v>
      </c>
      <c r="AL19" s="59">
        <f>VLOOKUP(G19,REND_TARGET[#All],8,FALSE)</f>
        <v>8.9338729999999984</v>
      </c>
      <c r="AM19" s="8">
        <f>(I19*1.03*Tabla_master_rend[[#This Row],[%MG_Leche]])+(I19*1.03*Tabla_master_rend[[#This Row],[%MP_Leche]])</f>
        <v>21201.207292000003</v>
      </c>
      <c r="AN19" s="38">
        <v>0.29199999999999998</v>
      </c>
      <c r="AO19" s="38">
        <v>0.22800000000000001</v>
      </c>
      <c r="AP19" s="60">
        <v>0.57110000000000005</v>
      </c>
      <c r="AQ19" s="60">
        <f>+Tabla_master_rend[[#This Row],[Kg_Queso_Blan]]*Tabla_master_rend[[#This Row],[ES_QUESO]]/(Tabla_master_rend[[#This Row],[Kg_Solidos_leche]])</f>
        <v>0.89402876557658251</v>
      </c>
      <c r="AR19" s="8">
        <f t="shared" si="14"/>
        <v>1371.6000000000001</v>
      </c>
      <c r="AS19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0.97771375841184305</v>
      </c>
      <c r="AT19" s="62">
        <f>+Tabla_master_rend[[#This Row],[Kg_Queso_Blan]]*Tabla_master_rend[[#This Row],[%PT_QUESO]]/(Tabla_master_rend[[#This Row],[Litros_Leche_Total]]*1.03*Tabla_master_rend[[#This Row],[%MP_Leche]])</f>
        <v>0.76543601395904715</v>
      </c>
      <c r="AU19" s="63">
        <f t="shared" si="15"/>
        <v>10287.000000000002</v>
      </c>
      <c r="AV19" s="8">
        <v>67.44</v>
      </c>
      <c r="AW19" s="8">
        <v>105.2</v>
      </c>
      <c r="AX19" s="8">
        <v>31.8</v>
      </c>
      <c r="AY19" s="8">
        <f>SUM(Tabla_master_rend[[#This Row],[Kg_Finos]:[Kg_Desmoldeo]])</f>
        <v>204.44</v>
      </c>
      <c r="AZ19" s="60">
        <f>+(Tabla_master_rend[[#This Row],[Kg_Finos]]+Tabla_master_rend[[#This Row],[Kg_Llenadora]]+Tabla_master_rend[[#This Row],[Kg_Desmoldeo]])/(Tabla_master_rend[[#This Row],[Kg_Queso_Blan]])</f>
        <v>6.1597905839929808E-3</v>
      </c>
      <c r="BA19" s="8">
        <v>890</v>
      </c>
      <c r="BB19" s="60">
        <f>+Tabla_master_rend[[#This Row],[L_Agua]]/(Tabla_master_rend[[#This Row],[L_Agua]]+Tabla_master_rend[[#This Row],[Kg_SalidaSecadero]])</f>
        <v>2.6981961497650447E-2</v>
      </c>
      <c r="BC19" s="8">
        <v>4609</v>
      </c>
      <c r="BD19" s="8">
        <v>4509</v>
      </c>
      <c r="BE19" s="8">
        <v>32307</v>
      </c>
      <c r="BF19" s="8">
        <f>48*6.8</f>
        <v>326.39999999999998</v>
      </c>
      <c r="BG19" s="8">
        <f>10*6.8</f>
        <v>68</v>
      </c>
      <c r="BH19" s="8">
        <f>7*6.8</f>
        <v>47.6</v>
      </c>
      <c r="BI19" s="8">
        <f>68*6.8</f>
        <v>462.4</v>
      </c>
      <c r="BJ19" s="8">
        <v>99</v>
      </c>
      <c r="BK19" s="8">
        <v>32095</v>
      </c>
      <c r="BL19" s="8">
        <v>3.04</v>
      </c>
      <c r="BM19" s="8">
        <v>302.79000000000002</v>
      </c>
      <c r="BN19" s="8">
        <v>16.100000000000001</v>
      </c>
      <c r="BO19" s="68">
        <f>+SUM(Tabla_master_rend[[#This Row],[B_altas]:[B_lab]])/Tabla_master_rend[[#This Row],[Kg_SalidaSecadero]]</f>
        <v>3.1263436672378873E-2</v>
      </c>
      <c r="BP19" s="68">
        <f>+(Tabla_master_rend[[#This Row],[Kg_mer_env_real]]+Tabla_master_rend[[#This Row],[kg_mer_lab_real]])/Tabla_master_rend[[#This Row],[Kg_SalidaSecadero]]</f>
        <v>9.9358155475930843E-3</v>
      </c>
      <c r="BQ19" s="64">
        <f>+Tabla_master_rend[[#This Row],[Merma_TOT]]/Tabla_master_rend[[#This Row],[Kg_Queso_Blan]]</f>
        <v>4.2675320824937087E-2</v>
      </c>
      <c r="BR19" s="8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1416.3700000000001</v>
      </c>
      <c r="BS19" s="8"/>
      <c r="BT19" s="63">
        <f>IF(+Tabla_master_rend[[#This Row],[Kg_Env_Total]]=0,0,Tabla_master_rend[[#This Row],[Kg_Env_Total]]-Tabla_master_rend[[#This Row],[Kg_SalidaSecadero]])</f>
        <v>0</v>
      </c>
      <c r="BU19" s="60">
        <f>+Tabla_master_rend[[#This Row],[Diferencia_Env_vs_Sec_kg]]/Tabla_master_rend[[#This Row],[Kg_SalidaSecadero]]</f>
        <v>0</v>
      </c>
      <c r="BV19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9" s="65">
        <f>+(Tabla_master_rend[[#This Row],[Coste_Leche_€]]-Tabla_master_rend[[#This Row],[Kg_MG_Nata]]*$CO$3)/Tabla_master_rend[[#This Row],[Kg_Queso_Blan]]</f>
        <v>-0.30994798345497848</v>
      </c>
      <c r="BX19" s="8">
        <f>SUM(Tabla_master_rend[[#This Row],[Kg_Finos]:[Kg_Desmoldeo]])+Tabla_master_rend[[#This Row],[L_Agua]]+SUM(Tabla_master_rend[[#This Row],[B_altas]:[B_lab]])</f>
        <v>2097.84</v>
      </c>
      <c r="BY19" s="8">
        <f>+BX19-Tabla_master_rend[[#This Row],[Merma_TOT]]</f>
        <v>681.47</v>
      </c>
      <c r="BZ19" s="62">
        <f t="shared" si="16"/>
        <v>0.324843648705335</v>
      </c>
      <c r="CA19" s="8">
        <f>+Tabla_master_rend[[#This Row],[Kg_Queso_Blan]]*$CA$1</f>
        <v>215.73136</v>
      </c>
      <c r="CB19" s="8">
        <f>+Tabla_master_rend[[#This Row],[Kg_Queso_Blan]]*($CB$1-$CA$1)</f>
        <v>116.16304000000002</v>
      </c>
      <c r="CC19" s="8">
        <f>+(Tabla_master_rend[[#This Row],[Kg_Queso_Blan]]-CA19-CB19)*$CC$1</f>
        <v>345.00422880000008</v>
      </c>
      <c r="CD19" s="8">
        <f t="shared" si="17"/>
        <v>676.8986288000001</v>
      </c>
      <c r="CE19" s="80">
        <f>+CD19/Tabla_master_rend[[#This Row],[Kg_Queso_Blan]]</f>
        <v>2.0395E-2</v>
      </c>
      <c r="CF19" s="62">
        <f>+Tabla_master_rend[[#This Row],[Merma_TOT]]/Tabla_master_rend[[#This Row],[Kg_Queso_Blan]]</f>
        <v>4.2675320824937087E-2</v>
      </c>
      <c r="CG19" s="8">
        <f>CD19-Tabla_master_rend[[#This Row],[Merma_TOT]]</f>
        <v>-739.47137120000002</v>
      </c>
      <c r="CH19" s="81" cm="1">
        <f t="array" ref="CH19">-BR19 * IFERROR(INDEX('Precio Leche_EBITDA_Ventas'!$BD$87:$BD$110,MATCH(1,('Precio Leche_EBITDA_Ventas'!$AZ$87:$AZ$110=YEAR(A19))*('Precio Leche_EBITDA_Ventas'!$BB$87:$BB$110=C19),0)),1.3)</f>
        <v>-4957.2950000000001</v>
      </c>
      <c r="CI19" s="81">
        <f t="shared" si="18"/>
        <v>-961.31278256000007</v>
      </c>
      <c r="CQ19" s="8"/>
      <c r="CR19" s="8"/>
    </row>
    <row r="20" spans="1:96" x14ac:dyDescent="0.35">
      <c r="A20" s="9">
        <v>45698</v>
      </c>
      <c r="B20" s="7">
        <v>2</v>
      </c>
      <c r="C20" s="7" t="str">
        <f>+UPPER(TEXT(Tabla_master_rend[[#This Row],[Fecha]],"MMM"))</f>
        <v>FEB</v>
      </c>
      <c r="D20" s="7" t="str">
        <f>+UPPER(TEXT(Tabla_master_rend[[#This Row],[Fecha]],"ddd"))</f>
        <v>LU</v>
      </c>
      <c r="E20" s="3">
        <v>100225026</v>
      </c>
      <c r="F20" s="3" t="s">
        <v>244</v>
      </c>
      <c r="G20" s="84" t="s">
        <v>190</v>
      </c>
      <c r="H20">
        <v>17</v>
      </c>
      <c r="I20" s="8">
        <f>+Tabla_master_rend[[#This Row],[L_Leche_ent]]+Tabla_master_rend[[#This Row],[L_desn_ext]]+Tabla_master_rend[[#This Row],[L_cabra]]+Tabla_master_rend[[#This Row],[L_oveja]]</f>
        <v>248425</v>
      </c>
      <c r="J20" s="8">
        <v>248425</v>
      </c>
      <c r="K20" s="5">
        <v>3.8399999999999997E-2</v>
      </c>
      <c r="L20" s="5">
        <v>3.4000000000000002E-2</v>
      </c>
      <c r="M20" s="5">
        <f t="shared" si="13"/>
        <v>0.108872</v>
      </c>
      <c r="N20" s="35" t="s">
        <v>43</v>
      </c>
      <c r="O20" s="8">
        <v>0</v>
      </c>
      <c r="P20" s="8">
        <v>0</v>
      </c>
      <c r="Q20" s="8">
        <v>0</v>
      </c>
      <c r="R20" s="8">
        <v>1992</v>
      </c>
      <c r="T20" s="8">
        <v>233200</v>
      </c>
      <c r="U20" s="38">
        <f>+Tabla_master_rend[[#This Row],[L_suero Total]]/Tabla_master_rend[[#This Row],[Litros_Leche_Total]]</f>
        <v>0.93871389755459389</v>
      </c>
      <c r="V20" s="5">
        <v>2.5999999999999999E-3</v>
      </c>
      <c r="W20" s="5">
        <v>9.4999999999999998E-3</v>
      </c>
      <c r="X20" s="8">
        <v>145497</v>
      </c>
      <c r="Y20" s="57">
        <v>44646</v>
      </c>
      <c r="Z20" s="58">
        <f>IF(Tabla_master_rend[[#This Row],[L_suero para con]]=0,0,+Tabla_master_rend[[#This Row],[L_suero para con]]/Tabla_master_rend[[#This Row],[L_suero_con]])</f>
        <v>3.2589033732025263</v>
      </c>
      <c r="AA20" s="8">
        <f>+Tabla_master_rend[[#This Row],[L_suero Total]]-Tabla_master_rend[[#This Row],[L_suero para con]]</f>
        <v>87703</v>
      </c>
      <c r="AD20" s="8"/>
      <c r="AE20" s="8"/>
      <c r="AF20" s="8"/>
      <c r="AG20" s="5"/>
      <c r="AI20" s="8">
        <f>+Tabla_master_rend[[#This Row],[Kg_Finos]]+Tabla_master_rend[[#This Row],[Kg_Llenadora]]+Tabla_master_rend[[#This Row],[Kg_Desmoldeo]]+Tabla_master_rend[[#This Row],[L_Agua]]+Tabla_master_rend[[#This Row],[Kg_SalidaSecadero]]</f>
        <v>31836.87</v>
      </c>
      <c r="AJ20" s="59">
        <f>+Tabla_master_rend[[#This Row],[Litros_Leche_Total]]/Tabla_master_rend[[#This Row],[Kg_Queso_Blan]]</f>
        <v>7.8030597857138595</v>
      </c>
      <c r="AK20" s="59">
        <f>+Tabla_master_rend[[#This Row],[Litros_Leche_Total]]/(Tabla_master_rend[[#This Row],[Kg_Queso_Blan]]-Tabla_master_rend[[#This Row],[Merma_TOT]])</f>
        <v>8.0650371347196401</v>
      </c>
      <c r="AL20" s="59">
        <f>VLOOKUP(G20,REND_TARGET[#All],8,FALSE)</f>
        <v>8.4943170000000006</v>
      </c>
      <c r="AM20" s="8">
        <f>(I20*1.03*Tabla_master_rend[[#This Row],[%MG_Leche]])+(I20*1.03*Tabla_master_rend[[#This Row],[%MP_Leche]])</f>
        <v>18525.5491</v>
      </c>
      <c r="AN20" s="38">
        <v>0.2787</v>
      </c>
      <c r="AO20" s="38">
        <v>0.222</v>
      </c>
      <c r="AP20" s="60">
        <v>0.55449999999999999</v>
      </c>
      <c r="AQ20" s="60">
        <f>+Tabla_master_rend[[#This Row],[Kg_Queso_Blan]]*Tabla_master_rend[[#This Row],[ES_QUESO]]/(Tabla_master_rend[[#This Row],[Kg_Solidos_leche]])</f>
        <v>0.95292961734667292</v>
      </c>
      <c r="AR20" s="8">
        <f t="shared" si="14"/>
        <v>796.80000000000007</v>
      </c>
      <c r="AS20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0.98412633785811787</v>
      </c>
      <c r="AT20" s="62">
        <f>+Tabla_master_rend[[#This Row],[Kg_Queso_Blan]]*Tabla_master_rend[[#This Row],[%PT_QUESO]]/(Tabla_master_rend[[#This Row],[Litros_Leche_Total]]*1.03*Tabla_master_rend[[#This Row],[%MP_Leche]])</f>
        <v>0.81240371048053905</v>
      </c>
      <c r="AU20" s="63">
        <f t="shared" si="15"/>
        <v>5976.0000000000009</v>
      </c>
      <c r="AV20" s="8">
        <v>85.17</v>
      </c>
      <c r="AW20" s="7">
        <v>216</v>
      </c>
      <c r="AX20" s="7">
        <v>18.7</v>
      </c>
      <c r="AY20" s="8">
        <f>SUM(Tabla_master_rend[[#This Row],[Kg_Finos]:[Kg_Desmoldeo]])</f>
        <v>319.87</v>
      </c>
      <c r="AZ20" s="60">
        <f>+(Tabla_master_rend[[#This Row],[Kg_Finos]]+Tabla_master_rend[[#This Row],[Kg_Llenadora]]+Tabla_master_rend[[#This Row],[Kg_Desmoldeo]])/(Tabla_master_rend[[#This Row],[Kg_Queso_Blan]])</f>
        <v>1.0047156017535645E-2</v>
      </c>
      <c r="BA20" s="7">
        <v>600</v>
      </c>
      <c r="BB20" s="60">
        <f>+Tabla_master_rend[[#This Row],[L_Agua]]/(Tabla_master_rend[[#This Row],[L_Agua]]+Tabla_master_rend[[#This Row],[Kg_SalidaSecadero]])</f>
        <v>1.9037344924961133E-2</v>
      </c>
      <c r="BC20" s="8">
        <v>4393</v>
      </c>
      <c r="BD20" s="8">
        <v>4368</v>
      </c>
      <c r="BE20" s="8">
        <v>31358</v>
      </c>
      <c r="BF20" s="8">
        <f>27*6.5</f>
        <v>175.5</v>
      </c>
      <c r="BG20" s="8">
        <f>3*6.5</f>
        <v>19.5</v>
      </c>
      <c r="BH20" s="7">
        <f>5*6.5</f>
        <v>32.5</v>
      </c>
      <c r="BI20" s="7">
        <f>3*6.5</f>
        <v>19.5</v>
      </c>
      <c r="BJ20" s="8">
        <v>88</v>
      </c>
      <c r="BK20" s="8">
        <v>30917</v>
      </c>
      <c r="BL20" s="8">
        <v>0</v>
      </c>
      <c r="BM20" s="8">
        <v>77.95</v>
      </c>
      <c r="BN20" s="8">
        <v>36.340000000000003</v>
      </c>
      <c r="BO20" s="68">
        <f>+SUM(Tabla_master_rend[[#This Row],[B_altas]:[B_lab]])/Tabla_master_rend[[#This Row],[Kg_SalidaSecadero]]</f>
        <v>1.0835462690429214E-2</v>
      </c>
      <c r="BP20" s="68">
        <f>+(Tabla_master_rend[[#This Row],[Kg_mer_env_real]]+Tabla_master_rend[[#This Row],[kg_mer_lab_real]])/Tabla_master_rend[[#This Row],[Kg_SalidaSecadero]]</f>
        <v>3.6966717339974773E-3</v>
      </c>
      <c r="BQ20" s="64">
        <f>+Tabla_master_rend[[#This Row],[Merma_TOT]]/Tabla_master_rend[[#This Row],[Kg_Queso_Blan]]</f>
        <v>3.248309271608673E-2</v>
      </c>
      <c r="BR20" s="8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1034.1600000000001</v>
      </c>
      <c r="BS20" s="8"/>
      <c r="BT20" s="63">
        <f>IF(+Tabla_master_rend[[#This Row],[Kg_Env_Total]]=0,0,Tabla_master_rend[[#This Row],[Kg_Env_Total]]-Tabla_master_rend[[#This Row],[Kg_SalidaSecadero]])</f>
        <v>0</v>
      </c>
      <c r="BU20" s="60">
        <f>+Tabla_master_rend[[#This Row],[Diferencia_Env_vs_Sec_kg]]/Tabla_master_rend[[#This Row],[Kg_SalidaSecadero]]</f>
        <v>0</v>
      </c>
      <c r="BV20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0" s="65">
        <f>+(Tabla_master_rend[[#This Row],[Coste_Leche_€]]-Tabla_master_rend[[#This Row],[Kg_MG_Nata]]*$CO$3)/Tabla_master_rend[[#This Row],[Kg_Queso_Blan]]</f>
        <v>-0.18770689455339049</v>
      </c>
      <c r="BX20" s="8">
        <f>SUM(Tabla_master_rend[[#This Row],[Kg_Finos]:[Kg_Desmoldeo]])+Tabla_master_rend[[#This Row],[L_Agua]]+SUM(Tabla_master_rend[[#This Row],[B_altas]:[B_lab]])</f>
        <v>1254.8699999999999</v>
      </c>
      <c r="BY20" s="8">
        <f>+BX20-Tabla_master_rend[[#This Row],[Merma_TOT]]</f>
        <v>220.70999999999981</v>
      </c>
      <c r="BZ20" s="62">
        <f t="shared" si="16"/>
        <v>0.17588276076406306</v>
      </c>
      <c r="CA20" s="8">
        <f>+Tabla_master_rend[[#This Row],[Kg_Queso_Blan]]*$CA$1</f>
        <v>206.93965499999999</v>
      </c>
      <c r="CB20" s="8">
        <f>+Tabla_master_rend[[#This Row],[Kg_Queso_Blan]]*($CB$1-$CA$1)</f>
        <v>111.42904500000002</v>
      </c>
      <c r="CC20" s="8">
        <f>+(Tabla_master_rend[[#This Row],[Kg_Queso_Blan]]-CA20-CB20)*$CC$1</f>
        <v>330.94426365000004</v>
      </c>
      <c r="CD20" s="8">
        <f t="shared" si="17"/>
        <v>649.31296365000003</v>
      </c>
      <c r="CE20" s="80">
        <f>+CD20/Tabla_master_rend[[#This Row],[Kg_Queso_Blan]]</f>
        <v>2.0395E-2</v>
      </c>
      <c r="CF20" s="62">
        <f>+Tabla_master_rend[[#This Row],[Merma_TOT]]/Tabla_master_rend[[#This Row],[Kg_Queso_Blan]]</f>
        <v>3.248309271608673E-2</v>
      </c>
      <c r="CG20" s="8">
        <f>CD20-Tabla_master_rend[[#This Row],[Merma_TOT]]</f>
        <v>-384.84703635000005</v>
      </c>
      <c r="CH20" s="81" cm="1">
        <f t="array" ref="CH20">-BR20 * IFERROR(INDEX('Precio Leche_EBITDA_Ventas'!$BD$87:$BD$110,MATCH(1,('Precio Leche_EBITDA_Ventas'!$AZ$87:$AZ$110=YEAR(A20))*('Precio Leche_EBITDA_Ventas'!$BB$87:$BB$110=C20),0)),1.3)</f>
        <v>-3619.5600000000004</v>
      </c>
      <c r="CI20" s="81">
        <f t="shared" si="18"/>
        <v>-500.3011472550001</v>
      </c>
      <c r="CQ20" s="8"/>
      <c r="CR20" s="8"/>
    </row>
    <row r="21" spans="1:96" x14ac:dyDescent="0.35">
      <c r="A21" s="9">
        <v>45700</v>
      </c>
      <c r="B21" s="7">
        <v>2</v>
      </c>
      <c r="C21" s="7" t="str">
        <f>+UPPER(TEXT(Tabla_master_rend[[#This Row],[Fecha]],"MMM"))</f>
        <v>FEB</v>
      </c>
      <c r="D21" s="7" t="str">
        <f>+UPPER(TEXT(Tabla_master_rend[[#This Row],[Fecha]],"ddd"))</f>
        <v>MI</v>
      </c>
      <c r="E21" s="3">
        <v>120225026</v>
      </c>
      <c r="F21" s="3" t="s">
        <v>244</v>
      </c>
      <c r="G21" s="84" t="s">
        <v>190</v>
      </c>
      <c r="H21">
        <v>15</v>
      </c>
      <c r="I21" s="8">
        <f>+Tabla_master_rend[[#This Row],[L_Leche_ent]]+Tabla_master_rend[[#This Row],[L_desn_ext]]+Tabla_master_rend[[#This Row],[L_cabra]]+Tabla_master_rend[[#This Row],[L_oveja]]</f>
        <v>218473</v>
      </c>
      <c r="J21" s="8">
        <v>218473</v>
      </c>
      <c r="K21" s="5">
        <v>3.8300000000000001E-2</v>
      </c>
      <c r="L21" s="5">
        <v>3.3799999999999997E-2</v>
      </c>
      <c r="M21" s="5">
        <f t="shared" si="13"/>
        <v>0.10863100000000001</v>
      </c>
      <c r="N21" s="35" t="s">
        <v>188</v>
      </c>
      <c r="O21" s="8">
        <v>0</v>
      </c>
      <c r="P21" s="8">
        <v>0</v>
      </c>
      <c r="Q21" s="8">
        <v>0</v>
      </c>
      <c r="R21" s="8">
        <v>2169</v>
      </c>
      <c r="T21" s="8">
        <v>204940</v>
      </c>
      <c r="U21" s="38">
        <f>+Tabla_master_rend[[#This Row],[L_suero Total]]/Tabla_master_rend[[#This Row],[Litros_Leche_Total]]</f>
        <v>0.93805641887098179</v>
      </c>
      <c r="V21" s="5">
        <v>2.5000000000000001E-3</v>
      </c>
      <c r="W21" s="5">
        <v>9.5999999999999992E-3</v>
      </c>
      <c r="X21" s="8">
        <v>120201</v>
      </c>
      <c r="Y21" s="57">
        <v>39043</v>
      </c>
      <c r="Z21" s="58">
        <f>IF(Tabla_master_rend[[#This Row],[L_suero para con]]=0,0,+Tabla_master_rend[[#This Row],[L_suero para con]]/Tabla_master_rend[[#This Row],[L_suero_con]])</f>
        <v>3.0786824782931639</v>
      </c>
      <c r="AA21" s="8">
        <f>+Tabla_master_rend[[#This Row],[L_suero Total]]-Tabla_master_rend[[#This Row],[L_suero para con]]</f>
        <v>84739</v>
      </c>
      <c r="AD21" s="8"/>
      <c r="AE21" s="8"/>
      <c r="AF21" s="8"/>
      <c r="AG21" s="5"/>
      <c r="AI21" s="8">
        <f>+Tabla_master_rend[[#This Row],[Kg_Finos]]+Tabla_master_rend[[#This Row],[Kg_Llenadora]]+Tabla_master_rend[[#This Row],[Kg_Desmoldeo]]+Tabla_master_rend[[#This Row],[L_Agua]]+Tabla_master_rend[[#This Row],[Kg_SalidaSecadero]]</f>
        <v>28129.55</v>
      </c>
      <c r="AJ21" s="59">
        <f>+Tabla_master_rend[[#This Row],[Litros_Leche_Total]]/Tabla_master_rend[[#This Row],[Kg_Queso_Blan]]</f>
        <v>7.7666724138850425</v>
      </c>
      <c r="AK21" s="59">
        <f>+Tabla_master_rend[[#This Row],[Litros_Leche_Total]]/(Tabla_master_rend[[#This Row],[Kg_Queso_Blan]]-Tabla_master_rend[[#This Row],[Merma_TOT]])</f>
        <v>8.0255807050747041</v>
      </c>
      <c r="AL21" s="59">
        <f>VLOOKUP(G21,REND_TARGET[#All],8,FALSE)</f>
        <v>8.4943170000000006</v>
      </c>
      <c r="AM21" s="8">
        <f>(I21*1.03*Tabla_master_rend[[#This Row],[%MG_Leche]])+(I21*1.03*Tabla_master_rend[[#This Row],[%MP_Leche]])</f>
        <v>16224.460399</v>
      </c>
      <c r="AN21" s="38">
        <v>0.27460000000000001</v>
      </c>
      <c r="AO21" s="38">
        <v>0.2235</v>
      </c>
      <c r="AP21" s="60">
        <v>0.55149999999999999</v>
      </c>
      <c r="AQ21" s="60">
        <f>+Tabla_master_rend[[#This Row],[Kg_Queso_Blan]]*Tabla_master_rend[[#This Row],[ES_QUESO]]/(Tabla_master_rend[[#This Row],[Kg_Solidos_leche]])</f>
        <v>0.95617644245081801</v>
      </c>
      <c r="AR21" s="8">
        <f t="shared" si="14"/>
        <v>867.6</v>
      </c>
      <c r="AS21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0.9969174659796961</v>
      </c>
      <c r="AT21" s="62">
        <f>+Tabla_master_rend[[#This Row],[Kg_Queso_Blan]]*Tabla_master_rend[[#This Row],[%PT_QUESO]]/(Tabla_master_rend[[#This Row],[Litros_Leche_Total]]*1.03*Tabla_master_rend[[#This Row],[%MP_Leche]])</f>
        <v>0.82658708392964542</v>
      </c>
      <c r="AU21" s="63">
        <f t="shared" si="15"/>
        <v>6507</v>
      </c>
      <c r="AV21" s="8">
        <v>64.05</v>
      </c>
      <c r="AW21" s="7">
        <v>153</v>
      </c>
      <c r="AX21" s="7">
        <v>7.5</v>
      </c>
      <c r="AY21" s="8">
        <f>SUM(Tabla_master_rend[[#This Row],[Kg_Finos]:[Kg_Desmoldeo]])</f>
        <v>224.55</v>
      </c>
      <c r="AZ21" s="60">
        <f>+(Tabla_master_rend[[#This Row],[Kg_Finos]]+Tabla_master_rend[[#This Row],[Kg_Llenadora]]+Tabla_master_rend[[#This Row],[Kg_Desmoldeo]])/(Tabla_master_rend[[#This Row],[Kg_Queso_Blan]])</f>
        <v>7.982708575146066E-3</v>
      </c>
      <c r="BA21" s="7">
        <v>585</v>
      </c>
      <c r="BB21" s="60">
        <f>+Tabla_master_rend[[#This Row],[L_Agua]]/(Tabla_master_rend[[#This Row],[L_Agua]]+Tabla_master_rend[[#This Row],[Kg_SalidaSecadero]])</f>
        <v>2.0963984948933884E-2</v>
      </c>
      <c r="BC21" s="8">
        <v>3883</v>
      </c>
      <c r="BD21" s="8">
        <v>3847</v>
      </c>
      <c r="BE21" s="8">
        <v>27684</v>
      </c>
      <c r="BF21" s="8">
        <f>5*6.2</f>
        <v>31</v>
      </c>
      <c r="BG21" s="8">
        <f>10*6.2</f>
        <v>62</v>
      </c>
      <c r="BH21" s="7">
        <f>5*6.2</f>
        <v>31</v>
      </c>
      <c r="BI21" s="7">
        <f>3*6.2</f>
        <v>18.600000000000001</v>
      </c>
      <c r="BJ21" s="8">
        <v>109</v>
      </c>
      <c r="BK21" s="8">
        <v>27320</v>
      </c>
      <c r="BL21" s="8">
        <v>2.62</v>
      </c>
      <c r="BM21" s="8">
        <v>71.849999999999994</v>
      </c>
      <c r="BN21" s="8">
        <v>23.45</v>
      </c>
      <c r="BO21" s="68">
        <f>+SUM(Tabla_master_rend[[#This Row],[B_altas]:[B_lab]])/Tabla_master_rend[[#This Row],[Kg_SalidaSecadero]]</f>
        <v>9.2093704245973639E-3</v>
      </c>
      <c r="BP21" s="68">
        <f>+(Tabla_master_rend[[#This Row],[Kg_mer_env_real]]+Tabla_master_rend[[#This Row],[kg_mer_lab_real]])/Tabla_master_rend[[#This Row],[Kg_SalidaSecadero]]</f>
        <v>3.4882869692532941E-3</v>
      </c>
      <c r="BQ21" s="64">
        <f>+Tabla_master_rend[[#This Row],[Merma_TOT]]/Tabla_master_rend[[#This Row],[Kg_Queso_Blan]]</f>
        <v>3.2260380987253617E-2</v>
      </c>
      <c r="BR21" s="8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907.46999999999991</v>
      </c>
      <c r="BS21" s="8"/>
      <c r="BT21" s="63">
        <f>IF(+Tabla_master_rend[[#This Row],[Kg_Env_Total]]=0,0,Tabla_master_rend[[#This Row],[Kg_Env_Total]]-Tabla_master_rend[[#This Row],[Kg_SalidaSecadero]])</f>
        <v>0</v>
      </c>
      <c r="BU21" s="60">
        <f>+Tabla_master_rend[[#This Row],[Diferencia_Env_vs_Sec_kg]]/Tabla_master_rend[[#This Row],[Kg_SalidaSecadero]]</f>
        <v>0</v>
      </c>
      <c r="BV21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1" s="65">
        <f>+(Tabla_master_rend[[#This Row],[Coste_Leche_€]]-Tabla_master_rend[[#This Row],[Kg_MG_Nata]]*$CO$3)/Tabla_master_rend[[#This Row],[Kg_Queso_Blan]]</f>
        <v>-0.23132257714751925</v>
      </c>
      <c r="BX21" s="8">
        <f>SUM(Tabla_master_rend[[#This Row],[Kg_Finos]:[Kg_Desmoldeo]])+Tabla_master_rend[[#This Row],[L_Agua]]+SUM(Tabla_master_rend[[#This Row],[B_altas]:[B_lab]])</f>
        <v>1061.1499999999999</v>
      </c>
      <c r="BY21" s="8">
        <f>+BX21-Tabla_master_rend[[#This Row],[Merma_TOT]]</f>
        <v>153.67999999999995</v>
      </c>
      <c r="BZ21" s="62">
        <f t="shared" si="16"/>
        <v>0.14482401168543557</v>
      </c>
      <c r="CA21" s="8">
        <f>+Tabla_master_rend[[#This Row],[Kg_Queso_Blan]]*$CA$1</f>
        <v>182.84207499999999</v>
      </c>
      <c r="CB21" s="8">
        <f>+Tabla_master_rend[[#This Row],[Kg_Queso_Blan]]*($CB$1-$CA$1)</f>
        <v>98.45342500000001</v>
      </c>
      <c r="CC21" s="8">
        <f>+(Tabla_master_rend[[#This Row],[Kg_Queso_Blan]]-CA21-CB21)*$CC$1</f>
        <v>292.40667224999999</v>
      </c>
      <c r="CD21" s="8">
        <f t="shared" si="17"/>
        <v>573.70217224999999</v>
      </c>
      <c r="CE21" s="80">
        <f>+CD21/Tabla_master_rend[[#This Row],[Kg_Queso_Blan]]</f>
        <v>2.0395E-2</v>
      </c>
      <c r="CF21" s="62">
        <f>+Tabla_master_rend[[#This Row],[Merma_TOT]]/Tabla_master_rend[[#This Row],[Kg_Queso_Blan]]</f>
        <v>3.2260380987253617E-2</v>
      </c>
      <c r="CG21" s="8">
        <f>CD21-Tabla_master_rend[[#This Row],[Merma_TOT]]</f>
        <v>-333.76782774999992</v>
      </c>
      <c r="CH21" s="81" cm="1">
        <f t="array" ref="CH21">-BR21 * IFERROR(INDEX('Precio Leche_EBITDA_Ventas'!$BD$87:$BD$110,MATCH(1,('Precio Leche_EBITDA_Ventas'!$AZ$87:$AZ$110=YEAR(A21))*('Precio Leche_EBITDA_Ventas'!$BB$87:$BB$110=C21),0)),1.3)</f>
        <v>-3176.1449999999995</v>
      </c>
      <c r="CI21" s="81">
        <f t="shared" si="18"/>
        <v>-433.89817607499992</v>
      </c>
      <c r="CQ21" s="8"/>
      <c r="CR21" s="8"/>
    </row>
    <row r="22" spans="1:96" x14ac:dyDescent="0.35">
      <c r="A22" s="9">
        <v>45701</v>
      </c>
      <c r="B22" s="7">
        <v>2</v>
      </c>
      <c r="C22" s="7" t="str">
        <f>+UPPER(TEXT(Tabla_master_rend[[#This Row],[Fecha]],"MMM"))</f>
        <v>FEB</v>
      </c>
      <c r="D22" s="7" t="str">
        <f>+UPPER(TEXT(Tabla_master_rend[[#This Row],[Fecha]],"ddd"))</f>
        <v>JU</v>
      </c>
      <c r="E22" s="3">
        <v>130225026</v>
      </c>
      <c r="F22" s="3" t="s">
        <v>244</v>
      </c>
      <c r="G22" s="84" t="s">
        <v>190</v>
      </c>
      <c r="H22">
        <v>11</v>
      </c>
      <c r="I22" s="8">
        <f>+Tabla_master_rend[[#This Row],[L_Leche_ent]]+Tabla_master_rend[[#This Row],[L_desn_ext]]+Tabla_master_rend[[#This Row],[L_cabra]]+Tabla_master_rend[[#This Row],[L_oveja]]</f>
        <v>159852</v>
      </c>
      <c r="J22" s="8">
        <v>159852</v>
      </c>
      <c r="K22" s="5">
        <v>3.7999999999999999E-2</v>
      </c>
      <c r="L22" s="5">
        <v>3.4000000000000002E-2</v>
      </c>
      <c r="M22" s="5">
        <f t="shared" si="13"/>
        <v>0.10850000000000001</v>
      </c>
      <c r="N22" s="35" t="s">
        <v>188</v>
      </c>
      <c r="O22" s="8">
        <v>0</v>
      </c>
      <c r="P22" s="8">
        <v>0</v>
      </c>
      <c r="Q22" s="8">
        <v>0</v>
      </c>
      <c r="R22" s="8">
        <v>1343</v>
      </c>
      <c r="T22" s="8">
        <v>152450</v>
      </c>
      <c r="U22" s="38">
        <f>+Tabla_master_rend[[#This Row],[L_suero Total]]/Tabla_master_rend[[#This Row],[Litros_Leche_Total]]</f>
        <v>0.95369466756749999</v>
      </c>
      <c r="V22" s="5">
        <v>2.3999999999999998E-3</v>
      </c>
      <c r="W22" s="5">
        <v>9.7999999999999997E-3</v>
      </c>
      <c r="X22" s="8">
        <v>151720</v>
      </c>
      <c r="Y22" s="57">
        <v>48811</v>
      </c>
      <c r="Z22" s="58">
        <f>IF(Tabla_master_rend[[#This Row],[L_suero para con]]=0,0,+Tabla_master_rend[[#This Row],[L_suero para con]]/Tabla_master_rend[[#This Row],[L_suero_con]])</f>
        <v>3.1083157484993138</v>
      </c>
      <c r="AA22" s="8">
        <f>+Tabla_master_rend[[#This Row],[L_suero Total]]-Tabla_master_rend[[#This Row],[L_suero para con]]</f>
        <v>730</v>
      </c>
      <c r="AD22" s="8"/>
      <c r="AE22" s="8"/>
      <c r="AF22" s="8"/>
      <c r="AG22" s="5"/>
      <c r="AI22" s="8">
        <f>+Tabla_master_rend[[#This Row],[Kg_Finos]]+Tabla_master_rend[[#This Row],[Kg_Llenadora]]+Tabla_master_rend[[#This Row],[Kg_Desmoldeo]]+Tabla_master_rend[[#This Row],[L_Agua]]+Tabla_master_rend[[#This Row],[Kg_SalidaSecadero]]</f>
        <v>20243.91</v>
      </c>
      <c r="AJ22" s="59">
        <f>+Tabla_master_rend[[#This Row],[Litros_Leche_Total]]/Tabla_master_rend[[#This Row],[Kg_Queso_Blan]]</f>
        <v>7.8963006652371011</v>
      </c>
      <c r="AK22" s="59">
        <f>+Tabla_master_rend[[#This Row],[Litros_Leche_Total]]/(Tabla_master_rend[[#This Row],[Kg_Queso_Blan]]-Tabla_master_rend[[#This Row],[Merma_TOT]])</f>
        <v>8.1776228047693085</v>
      </c>
      <c r="AL22" s="59">
        <f>VLOOKUP(G22,REND_TARGET[#All],8,FALSE)</f>
        <v>8.4943170000000006</v>
      </c>
      <c r="AM22" s="8">
        <f>(I22*1.03*Tabla_master_rend[[#This Row],[%MG_Leche]])+(I22*1.03*Tabla_master_rend[[#This Row],[%MP_Leche]])</f>
        <v>11854.624320000001</v>
      </c>
      <c r="AN22" s="38">
        <v>0.28239999999999998</v>
      </c>
      <c r="AO22" s="38">
        <v>0.22500000000000001</v>
      </c>
      <c r="AP22" s="60">
        <v>0.55879999999999996</v>
      </c>
      <c r="AQ22" s="60">
        <f>+Tabla_master_rend[[#This Row],[Kg_Queso_Blan]]*Tabla_master_rend[[#This Row],[ES_QUESO]]/(Tabla_master_rend[[#This Row],[Kg_Solidos_leche]])</f>
        <v>0.95425182634551831</v>
      </c>
      <c r="AR22" s="8">
        <f t="shared" si="14"/>
        <v>537.20000000000005</v>
      </c>
      <c r="AS22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0.99959609163770291</v>
      </c>
      <c r="AT22" s="62">
        <f>+Tabla_master_rend[[#This Row],[Kg_Queso_Blan]]*Tabla_master_rend[[#This Row],[%PT_QUESO]]/(Tabla_master_rend[[#This Row],[Litros_Leche_Total]]*1.03*Tabla_master_rend[[#This Row],[%MP_Leche]])</f>
        <v>0.8136595007577897</v>
      </c>
      <c r="AU22" s="63">
        <f t="shared" si="15"/>
        <v>4029.0000000000005</v>
      </c>
      <c r="AV22" s="8">
        <v>35.31</v>
      </c>
      <c r="AW22" s="7">
        <v>138.6</v>
      </c>
      <c r="AX22" s="7">
        <v>14</v>
      </c>
      <c r="AY22" s="8">
        <f>SUM(Tabla_master_rend[[#This Row],[Kg_Finos]:[Kg_Desmoldeo]])</f>
        <v>187.91</v>
      </c>
      <c r="AZ22" s="60">
        <f>+(Tabla_master_rend[[#This Row],[Kg_Finos]]+Tabla_master_rend[[#This Row],[Kg_Llenadora]]+Tabla_master_rend[[#This Row],[Kg_Desmoldeo]])/(Tabla_master_rend[[#This Row],[Kg_Queso_Blan]])</f>
        <v>9.2822977379369894E-3</v>
      </c>
      <c r="BA22" s="7">
        <v>440</v>
      </c>
      <c r="BB22" s="60">
        <f>+Tabla_master_rend[[#This Row],[L_Agua]]/(Tabla_master_rend[[#This Row],[L_Agua]]+Tabla_master_rend[[#This Row],[Kg_SalidaSecadero]])</f>
        <v>2.1938571998404467E-2</v>
      </c>
      <c r="BC22" s="8">
        <v>2843</v>
      </c>
      <c r="BD22" s="8">
        <v>2823</v>
      </c>
      <c r="BE22" s="8">
        <v>19928</v>
      </c>
      <c r="BF22" s="8">
        <f>7*6.9</f>
        <v>48.300000000000004</v>
      </c>
      <c r="BG22" s="8">
        <f>3*6.9</f>
        <v>20.700000000000003</v>
      </c>
      <c r="BH22" s="7">
        <f>3*6.9</f>
        <v>20.700000000000003</v>
      </c>
      <c r="BI22" s="7">
        <f>1*6.9</f>
        <v>6.9</v>
      </c>
      <c r="BJ22" s="8">
        <v>80</v>
      </c>
      <c r="BK22" s="8">
        <v>19616</v>
      </c>
      <c r="BL22" s="8">
        <v>2.62</v>
      </c>
      <c r="BM22" s="8">
        <v>41.16</v>
      </c>
      <c r="BN22" s="8">
        <v>24.73</v>
      </c>
      <c r="BO22" s="68">
        <f>+SUM(Tabla_master_rend[[#This Row],[B_altas]:[B_lab]])/Tabla_master_rend[[#This Row],[Kg_SalidaSecadero]]</f>
        <v>9.002854812398044E-3</v>
      </c>
      <c r="BP22" s="68">
        <f>+(Tabla_master_rend[[#This Row],[Kg_mer_env_real]]+Tabla_master_rend[[#This Row],[kg_mer_lab_real]])/Tabla_master_rend[[#This Row],[Kg_SalidaSecadero]]</f>
        <v>3.3589926590538335E-3</v>
      </c>
      <c r="BQ22" s="64">
        <f>+Tabla_master_rend[[#This Row],[Merma_TOT]]/Tabla_master_rend[[#This Row],[Kg_Queso_Blan]]</f>
        <v>3.440145703078111E-2</v>
      </c>
      <c r="BR22" s="8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696.42000000000007</v>
      </c>
      <c r="BS22" s="8"/>
      <c r="BT22" s="63">
        <f>IF(+Tabla_master_rend[[#This Row],[Kg_Env_Total]]=0,0,Tabla_master_rend[[#This Row],[Kg_Env_Total]]-Tabla_master_rend[[#This Row],[Kg_SalidaSecadero]])</f>
        <v>0</v>
      </c>
      <c r="BU22" s="60">
        <f>+Tabla_master_rend[[#This Row],[Diferencia_Env_vs_Sec_kg]]/Tabla_master_rend[[#This Row],[Kg_SalidaSecadero]]</f>
        <v>0</v>
      </c>
      <c r="BV22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2" s="65">
        <f>+(Tabla_master_rend[[#This Row],[Coste_Leche_€]]-Tabla_master_rend[[#This Row],[Kg_MG_Nata]]*$CO$3)/Tabla_master_rend[[#This Row],[Kg_Queso_Blan]]</f>
        <v>-0.19902281723244178</v>
      </c>
      <c r="BX22" s="8">
        <f>SUM(Tabla_master_rend[[#This Row],[Kg_Finos]:[Kg_Desmoldeo]])+Tabla_master_rend[[#This Row],[L_Agua]]+SUM(Tabla_master_rend[[#This Row],[B_altas]:[B_lab]])</f>
        <v>804.51</v>
      </c>
      <c r="BY22" s="8">
        <f>+BX22-Tabla_master_rend[[#This Row],[Merma_TOT]]</f>
        <v>108.08999999999992</v>
      </c>
      <c r="BZ22" s="62">
        <f t="shared" si="16"/>
        <v>0.13435507327441537</v>
      </c>
      <c r="CA22" s="8">
        <f>+Tabla_master_rend[[#This Row],[Kg_Queso_Blan]]*$CA$1</f>
        <v>131.58541499999998</v>
      </c>
      <c r="CB22" s="8">
        <f>+Tabla_master_rend[[#This Row],[Kg_Queso_Blan]]*($CB$1-$CA$1)</f>
        <v>70.853685000000013</v>
      </c>
      <c r="CC22" s="8">
        <f>+(Tabla_master_rend[[#This Row],[Kg_Queso_Blan]]-CA22-CB22)*$CC$1</f>
        <v>210.43544445000001</v>
      </c>
      <c r="CD22" s="8">
        <f t="shared" si="17"/>
        <v>412.87454445000003</v>
      </c>
      <c r="CE22" s="80">
        <f>+CD22/Tabla_master_rend[[#This Row],[Kg_Queso_Blan]]</f>
        <v>2.0395E-2</v>
      </c>
      <c r="CF22" s="62">
        <f>+Tabla_master_rend[[#This Row],[Merma_TOT]]/Tabla_master_rend[[#This Row],[Kg_Queso_Blan]]</f>
        <v>3.440145703078111E-2</v>
      </c>
      <c r="CG22" s="8">
        <f>CD22-Tabla_master_rend[[#This Row],[Merma_TOT]]</f>
        <v>-283.54545555000004</v>
      </c>
      <c r="CH22" s="81" cm="1">
        <f t="array" ref="CH22">-BR22 * IFERROR(INDEX('Precio Leche_EBITDA_Ventas'!$BD$87:$BD$110,MATCH(1,('Precio Leche_EBITDA_Ventas'!$AZ$87:$AZ$110=YEAR(A22))*('Precio Leche_EBITDA_Ventas'!$BB$87:$BB$110=C22),0)),1.3)</f>
        <v>-2437.4700000000003</v>
      </c>
      <c r="CI22" s="81">
        <f t="shared" si="18"/>
        <v>-368.60909221500009</v>
      </c>
      <c r="CQ22" s="8"/>
      <c r="CR22" s="8"/>
    </row>
    <row r="23" spans="1:96" x14ac:dyDescent="0.35">
      <c r="A23" s="9">
        <v>45706</v>
      </c>
      <c r="B23" s="7">
        <v>2</v>
      </c>
      <c r="C23" s="7" t="str">
        <f>+UPPER(TEXT(Tabla_master_rend[[#This Row],[Fecha]],"MMM"))</f>
        <v>FEB</v>
      </c>
      <c r="D23" s="7" t="str">
        <f>+UPPER(TEXT(Tabla_master_rend[[#This Row],[Fecha]],"ddd"))</f>
        <v>MA</v>
      </c>
      <c r="E23" s="3">
        <v>180225316</v>
      </c>
      <c r="F23" s="3" t="s">
        <v>244</v>
      </c>
      <c r="G23" s="84" t="s">
        <v>299</v>
      </c>
      <c r="H23">
        <v>16</v>
      </c>
      <c r="I23" s="8">
        <f>+Tabla_master_rend[[#This Row],[L_Leche_ent]]+Tabla_master_rend[[#This Row],[L_desn_ext]]+Tabla_master_rend[[#This Row],[L_cabra]]+Tabla_master_rend[[#This Row],[L_oveja]]</f>
        <v>265993</v>
      </c>
      <c r="J23" s="8">
        <v>265993</v>
      </c>
      <c r="K23" s="5">
        <v>3.5900000000000001E-2</v>
      </c>
      <c r="L23" s="5">
        <v>3.3300000000000003E-2</v>
      </c>
      <c r="M23" s="5">
        <f t="shared" si="13"/>
        <v>0.106029</v>
      </c>
      <c r="N23" s="35" t="s">
        <v>43</v>
      </c>
      <c r="O23" s="8">
        <v>0</v>
      </c>
      <c r="P23" s="8">
        <v>0</v>
      </c>
      <c r="Q23" s="8">
        <v>0</v>
      </c>
      <c r="R23" s="8">
        <v>7762</v>
      </c>
      <c r="T23" s="8">
        <v>223420</v>
      </c>
      <c r="U23" s="38">
        <f>+Tabla_master_rend[[#This Row],[L_suero Total]]/Tabla_master_rend[[#This Row],[Litros_Leche_Total]]</f>
        <v>0.83994691589628301</v>
      </c>
      <c r="V23" s="5">
        <v>1.1999999999999999E-3</v>
      </c>
      <c r="W23" s="5">
        <v>9.1999999999999998E-3</v>
      </c>
      <c r="X23" s="8">
        <v>222855</v>
      </c>
      <c r="Y23" s="57">
        <v>71608</v>
      </c>
      <c r="Z23" s="58">
        <f>IF(Tabla_master_rend[[#This Row],[L_suero para con]]=0,0,+Tabla_master_rend[[#This Row],[L_suero para con]]/Tabla_master_rend[[#This Row],[L_suero_con]])</f>
        <v>3.1121522734889955</v>
      </c>
      <c r="AA23" s="8">
        <f>+Tabla_master_rend[[#This Row],[L_suero Total]]-Tabla_master_rend[[#This Row],[L_suero para con]]</f>
        <v>565</v>
      </c>
      <c r="AD23" s="8"/>
      <c r="AE23" s="8"/>
      <c r="AF23" s="8"/>
      <c r="AG23" s="5"/>
      <c r="AI23" s="8">
        <f>+Tabla_master_rend[[#This Row],[Kg_Finos]]+Tabla_master_rend[[#This Row],[Kg_Llenadora]]+Tabla_master_rend[[#This Row],[Kg_Desmoldeo]]+Tabla_master_rend[[#This Row],[L_Agua]]+Tabla_master_rend[[#This Row],[Kg_SalidaSecadero]]</f>
        <v>27820.799999999999</v>
      </c>
      <c r="AJ23" s="59">
        <f>+Tabla_master_rend[[#This Row],[Litros_Leche_Total]]/Tabla_master_rend[[#This Row],[Kg_Queso_Blan]]</f>
        <v>9.5609400161030607</v>
      </c>
      <c r="AK23" s="59">
        <f>+Tabla_master_rend[[#This Row],[Litros_Leche_Total]]/(Tabla_master_rend[[#This Row],[Kg_Queso_Blan]]-Tabla_master_rend[[#This Row],[Merma_TOT]])</f>
        <v>9.9608334216475587</v>
      </c>
      <c r="AL23" s="59">
        <f>VLOOKUP(G23,REND_TARGET[#All],8,FALSE)</f>
        <v>9.8078500000000002</v>
      </c>
      <c r="AM23" s="8">
        <f>(I23*1.03*Tabla_master_rend[[#This Row],[%MG_Leche]])+(I23*1.03*Tabla_master_rend[[#This Row],[%MP_Leche]])</f>
        <v>18958.917067999999</v>
      </c>
      <c r="AN23" s="38">
        <v>0.22750000000000001</v>
      </c>
      <c r="AO23" s="38">
        <v>0.25209999999999999</v>
      </c>
      <c r="AP23" s="60">
        <v>0.53400000000000003</v>
      </c>
      <c r="AQ23" s="60">
        <f>+Tabla_master_rend[[#This Row],[Kg_Queso_Blan]]*Tabla_master_rend[[#This Row],[ES_QUESO]]/(Tabla_master_rend[[#This Row],[Kg_Solidos_leche]])</f>
        <v>0.78360526324973334</v>
      </c>
      <c r="AR23" s="8">
        <f t="shared" si="14"/>
        <v>3104.8</v>
      </c>
      <c r="AS23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0.95916972880860452</v>
      </c>
      <c r="AT23" s="62">
        <f>+Tabla_master_rend[[#This Row],[Kg_Queso_Blan]]*Tabla_master_rend[[#This Row],[%PT_QUESO]]/(Tabla_master_rend[[#This Row],[Litros_Leche_Total]]*1.03*Tabla_master_rend[[#This Row],[%MP_Leche]])</f>
        <v>0.76876002806603438</v>
      </c>
      <c r="AU23" s="63">
        <f t="shared" si="15"/>
        <v>23286</v>
      </c>
      <c r="AV23" s="8">
        <v>57.7</v>
      </c>
      <c r="AW23" s="7">
        <v>64.8</v>
      </c>
      <c r="AX23" s="7">
        <v>142.30000000000001</v>
      </c>
      <c r="AY23" s="8">
        <f>SUM(Tabla_master_rend[[#This Row],[Kg_Finos]:[Kg_Desmoldeo]])</f>
        <v>264.8</v>
      </c>
      <c r="AZ23" s="60">
        <f>+(Tabla_master_rend[[#This Row],[Kg_Finos]]+Tabla_master_rend[[#This Row],[Kg_Llenadora]]+Tabla_master_rend[[#This Row],[Kg_Desmoldeo]])/(Tabla_master_rend[[#This Row],[Kg_Queso_Blan]])</f>
        <v>9.5180584311019105E-3</v>
      </c>
      <c r="BA23" s="7">
        <v>570</v>
      </c>
      <c r="BB23" s="60">
        <f>+Tabla_master_rend[[#This Row],[L_Agua]]/(Tabla_master_rend[[#This Row],[L_Agua]]+Tabla_master_rend[[#This Row],[Kg_SalidaSecadero]])</f>
        <v>2.0685150239512267E-2</v>
      </c>
      <c r="BC23" s="8">
        <v>3829</v>
      </c>
      <c r="BD23" s="8">
        <v>3581</v>
      </c>
      <c r="BE23" s="8">
        <v>26018</v>
      </c>
      <c r="BF23" s="8">
        <f>67*6.2</f>
        <v>415.40000000000003</v>
      </c>
      <c r="BG23" s="8">
        <f>24*6.2</f>
        <v>148.80000000000001</v>
      </c>
      <c r="BH23" s="7">
        <v>0</v>
      </c>
      <c r="BI23" s="7">
        <f>174*6.2</f>
        <v>1078.8</v>
      </c>
      <c r="BJ23" s="8">
        <v>120</v>
      </c>
      <c r="BK23" s="8">
        <v>26986</v>
      </c>
      <c r="BL23" s="8">
        <v>4.99</v>
      </c>
      <c r="BM23" s="8">
        <v>238.43</v>
      </c>
      <c r="BN23" s="8">
        <v>38.69</v>
      </c>
      <c r="BO23" s="68">
        <f>+SUM(Tabla_master_rend[[#This Row],[B_altas]:[B_lab]])/Tabla_master_rend[[#This Row],[Kg_SalidaSecadero]]</f>
        <v>6.5330171199881423E-2</v>
      </c>
      <c r="BP23" s="68">
        <f>+(Tabla_master_rend[[#This Row],[Kg_mer_env_real]]+Tabla_master_rend[[#This Row],[kg_mer_lab_real]])/Tabla_master_rend[[#This Row],[Kg_SalidaSecadero]]</f>
        <v>1.0269028385088565E-2</v>
      </c>
      <c r="BQ23" s="64">
        <f>+Tabla_master_rend[[#This Row],[Merma_TOT]]/Tabla_master_rend[[#This Row],[Kg_Queso_Blan]]</f>
        <v>4.0146580975385329E-2</v>
      </c>
      <c r="BR23" s="8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1116.9100000000001</v>
      </c>
      <c r="BS23" s="8"/>
      <c r="BT23" s="63">
        <f>IF(+Tabla_master_rend[[#This Row],[Kg_Env_Total]]=0,0,Tabla_master_rend[[#This Row],[Kg_Env_Total]]-Tabla_master_rend[[#This Row],[Kg_SalidaSecadero]])</f>
        <v>0</v>
      </c>
      <c r="BU23" s="60">
        <f>+Tabla_master_rend[[#This Row],[Diferencia_Env_vs_Sec_kg]]/Tabla_master_rend[[#This Row],[Kg_SalidaSecadero]]</f>
        <v>0</v>
      </c>
      <c r="BV23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3" s="65">
        <f>+(Tabla_master_rend[[#This Row],[Coste_Leche_€]]-Tabla_master_rend[[#This Row],[Kg_MG_Nata]]*$CO$3)/Tabla_master_rend[[#This Row],[Kg_Queso_Blan]]</f>
        <v>-0.83699965493443762</v>
      </c>
      <c r="BX23" s="8">
        <f>SUM(Tabla_master_rend[[#This Row],[Kg_Finos]:[Kg_Desmoldeo]])+Tabla_master_rend[[#This Row],[L_Agua]]+SUM(Tabla_master_rend[[#This Row],[B_altas]:[B_lab]])</f>
        <v>2597.8000000000002</v>
      </c>
      <c r="BY23" s="8">
        <f>+BX23-Tabla_master_rend[[#This Row],[Merma_TOT]]</f>
        <v>1480.89</v>
      </c>
      <c r="BZ23" s="62">
        <f t="shared" si="16"/>
        <v>0.57005543151897764</v>
      </c>
      <c r="CA23" s="8">
        <f>+Tabla_master_rend[[#This Row],[Kg_Queso_Blan]]*$CA$1</f>
        <v>180.83519999999999</v>
      </c>
      <c r="CB23" s="8">
        <f>+Tabla_master_rend[[#This Row],[Kg_Queso_Blan]]*($CB$1-$CA$1)</f>
        <v>97.372800000000012</v>
      </c>
      <c r="CC23" s="8">
        <f>+(Tabla_master_rend[[#This Row],[Kg_Queso_Blan]]-CA23-CB23)*$CC$1</f>
        <v>289.19721599999997</v>
      </c>
      <c r="CD23" s="8">
        <f t="shared" si="17"/>
        <v>567.40521599999988</v>
      </c>
      <c r="CE23" s="80">
        <f>+CD23/Tabla_master_rend[[#This Row],[Kg_Queso_Blan]]</f>
        <v>2.0394999999999996E-2</v>
      </c>
      <c r="CF23" s="62">
        <f>+Tabla_master_rend[[#This Row],[Merma_TOT]]/Tabla_master_rend[[#This Row],[Kg_Queso_Blan]]</f>
        <v>4.0146580975385329E-2</v>
      </c>
      <c r="CG23" s="8">
        <f>CD23-Tabla_master_rend[[#This Row],[Merma_TOT]]</f>
        <v>-549.5047840000002</v>
      </c>
      <c r="CH23" s="81" cm="1">
        <f t="array" ref="CH23">-BR23 * IFERROR(INDEX('Precio Leche_EBITDA_Ventas'!$BD$87:$BD$110,MATCH(1,('Precio Leche_EBITDA_Ventas'!$AZ$87:$AZ$110=YEAR(A23))*('Precio Leche_EBITDA_Ventas'!$BB$87:$BB$110=C23),0)),1.3)</f>
        <v>-3909.1850000000004</v>
      </c>
      <c r="CI23" s="81">
        <f t="shared" si="18"/>
        <v>-714.35621920000028</v>
      </c>
      <c r="CQ23" s="8"/>
      <c r="CR23" s="8"/>
    </row>
    <row r="24" spans="1:96" x14ac:dyDescent="0.35">
      <c r="A24" s="9">
        <v>45707</v>
      </c>
      <c r="B24" s="7">
        <v>2</v>
      </c>
      <c r="C24" s="7" t="str">
        <f>+UPPER(TEXT(Tabla_master_rend[[#This Row],[Fecha]],"MMM"))</f>
        <v>FEB</v>
      </c>
      <c r="D24" s="7" t="str">
        <f>+UPPER(TEXT(Tabla_master_rend[[#This Row],[Fecha]],"ddd"))</f>
        <v>MI</v>
      </c>
      <c r="E24" s="3">
        <v>190225126</v>
      </c>
      <c r="F24" s="3" t="s">
        <v>244</v>
      </c>
      <c r="G24" s="84" t="s">
        <v>302</v>
      </c>
      <c r="H24">
        <v>10</v>
      </c>
      <c r="I24" s="8">
        <f>+Tabla_master_rend[[#This Row],[L_Leche_ent]]+Tabla_master_rend[[#This Row],[L_desn_ext]]+Tabla_master_rend[[#This Row],[L_cabra]]+Tabla_master_rend[[#This Row],[L_oveja]]</f>
        <v>119449</v>
      </c>
      <c r="J24" s="8">
        <v>119449</v>
      </c>
      <c r="K24" s="5">
        <v>3.9100000000000003E-2</v>
      </c>
      <c r="L24" s="5">
        <v>3.4200000000000001E-2</v>
      </c>
      <c r="M24" s="5">
        <f t="shared" si="13"/>
        <v>0.109671</v>
      </c>
      <c r="N24" s="35" t="s">
        <v>43</v>
      </c>
      <c r="O24" s="8">
        <v>0</v>
      </c>
      <c r="P24" s="8">
        <v>0</v>
      </c>
      <c r="Q24" s="8">
        <v>0</v>
      </c>
      <c r="R24" s="8">
        <v>0</v>
      </c>
      <c r="T24" s="8">
        <v>140570</v>
      </c>
      <c r="U24" s="38">
        <f>+Tabla_master_rend[[#This Row],[L_suero Total]]/Tabla_master_rend[[#This Row],[Litros_Leche_Total]]</f>
        <v>1.1768202329027451</v>
      </c>
      <c r="V24" s="5">
        <v>1.8E-3</v>
      </c>
      <c r="W24" s="5">
        <v>8.0000000000000002E-3</v>
      </c>
      <c r="X24" s="8">
        <v>142538</v>
      </c>
      <c r="Y24" s="57">
        <v>39868</v>
      </c>
      <c r="Z24" s="58">
        <f>IF(Tabla_master_rend[[#This Row],[L_suero para con]]=0,0,+Tabla_master_rend[[#This Row],[L_suero para con]]/Tabla_master_rend[[#This Row],[L_suero_con]])</f>
        <v>3.5752483194541989</v>
      </c>
      <c r="AA24" s="8">
        <f>+Tabla_master_rend[[#This Row],[L_suero Total]]-Tabla_master_rend[[#This Row],[L_suero para con]]</f>
        <v>-1968</v>
      </c>
      <c r="AD24" s="8"/>
      <c r="AE24" s="8"/>
      <c r="AF24" s="8"/>
      <c r="AG24" s="5"/>
      <c r="AI24" s="8">
        <f>+Tabla_master_rend[[#This Row],[Kg_Finos]]+Tabla_master_rend[[#This Row],[Kg_Llenadora]]+Tabla_master_rend[[#This Row],[Kg_Desmoldeo]]+Tabla_master_rend[[#This Row],[L_Agua]]+Tabla_master_rend[[#This Row],[Kg_SalidaSecadero]]</f>
        <v>16145.7</v>
      </c>
      <c r="AJ24" s="59">
        <f>+Tabla_master_rend[[#This Row],[Litros_Leche_Total]]/Tabla_master_rend[[#This Row],[Kg_Queso_Blan]]</f>
        <v>7.398192707655908</v>
      </c>
      <c r="AK24" s="59">
        <f>+Tabla_master_rend[[#This Row],[Litros_Leche_Total]]/(Tabla_master_rend[[#This Row],[Kg_Queso_Blan]]-Tabla_master_rend[[#This Row],[Merma_TOT]])</f>
        <v>7.5829031875122599</v>
      </c>
      <c r="AL24" s="59">
        <f>VLOOKUP(G24,REND_TARGET[#All],8,FALSE)</f>
        <v>7.1889999999999992</v>
      </c>
      <c r="AM24" s="8">
        <f>(I24*1.03*Tabla_master_rend[[#This Row],[%MG_Leche]])+(I24*1.03*Tabla_master_rend[[#This Row],[%MP_Leche]])</f>
        <v>9018.2800510000015</v>
      </c>
      <c r="AN24" s="38">
        <v>0.29100000000000004</v>
      </c>
      <c r="AO24" s="38">
        <v>0.2419</v>
      </c>
      <c r="AP24" s="60">
        <v>0.57920000000000005</v>
      </c>
      <c r="AQ24" s="60">
        <f>+Tabla_master_rend[[#This Row],[Kg_Queso_Blan]]*Tabla_master_rend[[#This Row],[ES_QUESO]]/(Tabla_master_rend[[#This Row],[Kg_Solidos_leche]])</f>
        <v>1.0369593078852148</v>
      </c>
      <c r="AR24" s="8">
        <f t="shared" si="14"/>
        <v>0</v>
      </c>
      <c r="AS24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0.97668241250759491</v>
      </c>
      <c r="AT24" s="62">
        <f>+Tabla_master_rend[[#This Row],[Kg_Queso_Blan]]*Tabla_master_rend[[#This Row],[%PT_QUESO]]/(Tabla_master_rend[[#This Row],[Litros_Leche_Total]]*1.03*Tabla_master_rend[[#This Row],[%MP_Leche]])</f>
        <v>0.92821140003179781</v>
      </c>
      <c r="AU24" s="63">
        <f t="shared" si="15"/>
        <v>0</v>
      </c>
      <c r="AV24" s="8">
        <v>27</v>
      </c>
      <c r="AW24" s="7">
        <v>37.200000000000003</v>
      </c>
      <c r="AX24" s="7">
        <v>7.5</v>
      </c>
      <c r="AY24" s="8">
        <f>SUM(Tabla_master_rend[[#This Row],[Kg_Finos]:[Kg_Desmoldeo]])</f>
        <v>71.7</v>
      </c>
      <c r="AZ24" s="60">
        <f>+(Tabla_master_rend[[#This Row],[Kg_Finos]]+Tabla_master_rend[[#This Row],[Kg_Llenadora]]+Tabla_master_rend[[#This Row],[Kg_Desmoldeo]])/(Tabla_master_rend[[#This Row],[Kg_Queso_Blan]])</f>
        <v>4.4408108660510225E-3</v>
      </c>
      <c r="BA24" s="7">
        <v>240</v>
      </c>
      <c r="BB24" s="60">
        <f>+Tabla_master_rend[[#This Row],[L_Agua]]/(Tabla_master_rend[[#This Row],[L_Agua]]+Tabla_master_rend[[#This Row],[Kg_SalidaSecadero]])</f>
        <v>1.4930944382232176E-2</v>
      </c>
      <c r="BC24" s="8">
        <v>2181</v>
      </c>
      <c r="BD24" s="8">
        <v>2152</v>
      </c>
      <c r="BE24" s="8">
        <v>15896</v>
      </c>
      <c r="BF24" s="8">
        <f>50*5.9</f>
        <v>295</v>
      </c>
      <c r="BG24" s="8">
        <f>15*5.9</f>
        <v>88.5</v>
      </c>
      <c r="BH24" s="7">
        <v>0</v>
      </c>
      <c r="BI24" s="7">
        <f>2*5.9</f>
        <v>11.8</v>
      </c>
      <c r="BJ24" s="8">
        <v>78</v>
      </c>
      <c r="BK24" s="8">
        <v>15834</v>
      </c>
      <c r="BL24" s="8">
        <v>3.75</v>
      </c>
      <c r="BM24" s="8">
        <v>55.85</v>
      </c>
      <c r="BN24" s="8">
        <v>21.99</v>
      </c>
      <c r="BO24" s="68">
        <f>+SUM(Tabla_master_rend[[#This Row],[B_altas]:[B_lab]])/Tabla_master_rend[[#This Row],[Kg_SalidaSecadero]]</f>
        <v>2.989137299482127E-2</v>
      </c>
      <c r="BP24" s="68">
        <f>+(Tabla_master_rend[[#This Row],[Kg_mer_env_real]]+Tabla_master_rend[[#This Row],[kg_mer_lab_real]])/Tabla_master_rend[[#This Row],[Kg_SalidaSecadero]]</f>
        <v>4.916003536693192E-3</v>
      </c>
      <c r="BQ24" s="64">
        <f>+Tabla_master_rend[[#This Row],[Merma_TOT]]/Tabla_master_rend[[#This Row],[Kg_Queso_Blan]]</f>
        <v>2.4358807608217667E-2</v>
      </c>
      <c r="BR24" s="8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393.29</v>
      </c>
      <c r="BS24" s="8"/>
      <c r="BT24" s="63">
        <f>IF(+Tabla_master_rend[[#This Row],[Kg_Env_Total]]=0,0,Tabla_master_rend[[#This Row],[Kg_Env_Total]]-Tabla_master_rend[[#This Row],[Kg_SalidaSecadero]])</f>
        <v>0</v>
      </c>
      <c r="BU24" s="60">
        <f>+Tabla_master_rend[[#This Row],[Diferencia_Env_vs_Sec_kg]]/Tabla_master_rend[[#This Row],[Kg_SalidaSecadero]]</f>
        <v>0</v>
      </c>
      <c r="BV24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4" s="65">
        <f>+(Tabla_master_rend[[#This Row],[Coste_Leche_€]]-Tabla_master_rend[[#This Row],[Kg_MG_Nata]]*$CO$3)/Tabla_master_rend[[#This Row],[Kg_Queso_Blan]]</f>
        <v>0</v>
      </c>
      <c r="BX24" s="8">
        <f>SUM(Tabla_master_rend[[#This Row],[Kg_Finos]:[Kg_Desmoldeo]])+Tabla_master_rend[[#This Row],[L_Agua]]+SUM(Tabla_master_rend[[#This Row],[B_altas]:[B_lab]])</f>
        <v>785</v>
      </c>
      <c r="BY24" s="8">
        <f>+BX24-Tabla_master_rend[[#This Row],[Merma_TOT]]</f>
        <v>391.71</v>
      </c>
      <c r="BZ24" s="62">
        <f t="shared" si="16"/>
        <v>0.49899363057324836</v>
      </c>
      <c r="CA24" s="8">
        <f>+Tabla_master_rend[[#This Row],[Kg_Queso_Blan]]*$CA$1</f>
        <v>104.94705</v>
      </c>
      <c r="CB24" s="8">
        <f>+Tabla_master_rend[[#This Row],[Kg_Queso_Blan]]*($CB$1-$CA$1)</f>
        <v>56.509950000000011</v>
      </c>
      <c r="CC24" s="8">
        <f>+(Tabla_master_rend[[#This Row],[Kg_Queso_Blan]]-CA24-CB24)*$CC$1</f>
        <v>167.8345515</v>
      </c>
      <c r="CD24" s="8">
        <f t="shared" si="17"/>
        <v>329.29155150000003</v>
      </c>
      <c r="CE24" s="80">
        <f>+CD24/Tabla_master_rend[[#This Row],[Kg_Queso_Blan]]</f>
        <v>2.0395E-2</v>
      </c>
      <c r="CF24" s="62">
        <f>+Tabla_master_rend[[#This Row],[Merma_TOT]]/Tabla_master_rend[[#This Row],[Kg_Queso_Blan]]</f>
        <v>2.4358807608217667E-2</v>
      </c>
      <c r="CG24" s="8">
        <f>CD24-Tabla_master_rend[[#This Row],[Merma_TOT]]</f>
        <v>-63.998448499999995</v>
      </c>
      <c r="CH24" s="81" cm="1">
        <f t="array" ref="CH24">-BR24 * IFERROR(INDEX('Precio Leche_EBITDA_Ventas'!$BD$87:$BD$110,MATCH(1,('Precio Leche_EBITDA_Ventas'!$AZ$87:$AZ$110=YEAR(A24))*('Precio Leche_EBITDA_Ventas'!$BB$87:$BB$110=C24),0)),1.3)</f>
        <v>-1376.5150000000001</v>
      </c>
      <c r="CI24" s="81">
        <f t="shared" si="18"/>
        <v>-83.197983049999991</v>
      </c>
      <c r="CQ24" s="8"/>
      <c r="CR24" s="8"/>
    </row>
    <row r="25" spans="1:96" x14ac:dyDescent="0.35">
      <c r="A25" s="9">
        <v>45708</v>
      </c>
      <c r="B25" s="7">
        <v>2</v>
      </c>
      <c r="C25" s="7" t="str">
        <f>+UPPER(TEXT(Tabla_master_rend[[#This Row],[Fecha]],"MMM"))</f>
        <v>FEB</v>
      </c>
      <c r="D25" s="7" t="str">
        <f>+UPPER(TEXT(Tabla_master_rend[[#This Row],[Fecha]],"ddd"))</f>
        <v>JU</v>
      </c>
      <c r="E25" s="3">
        <v>200225116</v>
      </c>
      <c r="F25" s="3" t="s">
        <v>244</v>
      </c>
      <c r="G25" s="84" t="s">
        <v>299</v>
      </c>
      <c r="H25">
        <v>17</v>
      </c>
      <c r="I25" s="8">
        <f>+Tabla_master_rend[[#This Row],[L_Leche_ent]]+Tabla_master_rend[[#This Row],[L_desn_ext]]+Tabla_master_rend[[#This Row],[L_cabra]]+Tabla_master_rend[[#This Row],[L_oveja]]</f>
        <v>272576</v>
      </c>
      <c r="J25" s="8">
        <v>272576</v>
      </c>
      <c r="K25" s="5">
        <v>3.7699999999999997E-2</v>
      </c>
      <c r="L25" s="5">
        <v>3.3500000000000002E-2</v>
      </c>
      <c r="M25" s="5">
        <f t="shared" si="13"/>
        <v>0.107851</v>
      </c>
      <c r="N25" s="35" t="s">
        <v>188</v>
      </c>
      <c r="O25" s="8">
        <v>0</v>
      </c>
      <c r="P25" s="8">
        <v>0</v>
      </c>
      <c r="Q25" s="8">
        <v>0</v>
      </c>
      <c r="R25" s="8">
        <v>9030</v>
      </c>
      <c r="T25" s="8">
        <v>234360</v>
      </c>
      <c r="U25" s="38">
        <f>+Tabla_master_rend[[#This Row],[L_suero Total]]/Tabla_master_rend[[#This Row],[Litros_Leche_Total]]</f>
        <v>0.85979690068091097</v>
      </c>
      <c r="V25" s="5">
        <v>1.1000000000000001E-3</v>
      </c>
      <c r="W25" s="5">
        <v>8.6E-3</v>
      </c>
      <c r="X25" s="8">
        <v>155018</v>
      </c>
      <c r="Y25" s="57">
        <v>45829</v>
      </c>
      <c r="Z25" s="58">
        <f>IF(Tabla_master_rend[[#This Row],[L_suero para con]]=0,0,+Tabla_master_rend[[#This Row],[L_suero para con]]/Tabla_master_rend[[#This Row],[L_suero_con]])</f>
        <v>3.3825307119945887</v>
      </c>
      <c r="AA25" s="8">
        <f>+Tabla_master_rend[[#This Row],[L_suero Total]]-Tabla_master_rend[[#This Row],[L_suero para con]]</f>
        <v>79342</v>
      </c>
      <c r="AD25" s="8"/>
      <c r="AE25" s="8"/>
      <c r="AF25" s="8"/>
      <c r="AG25" s="5"/>
      <c r="AI25" s="8">
        <f>+Tabla_master_rend[[#This Row],[Kg_Finos]]+Tabla_master_rend[[#This Row],[Kg_Llenadora]]+Tabla_master_rend[[#This Row],[Kg_Desmoldeo]]+Tabla_master_rend[[#This Row],[L_Agua]]+Tabla_master_rend[[#This Row],[Kg_SalidaSecadero]]</f>
        <v>29170.94</v>
      </c>
      <c r="AJ25" s="59">
        <f>+Tabla_master_rend[[#This Row],[Litros_Leche_Total]]/Tabla_master_rend[[#This Row],[Kg_Queso_Blan]]</f>
        <v>9.3440938139120657</v>
      </c>
      <c r="AK25" s="59">
        <f>+Tabla_master_rend[[#This Row],[Litros_Leche_Total]]/(Tabla_master_rend[[#This Row],[Kg_Queso_Blan]]-Tabla_master_rend[[#This Row],[Merma_TOT]])</f>
        <v>9.7006554035201606</v>
      </c>
      <c r="AL25" s="59">
        <f>VLOOKUP(G25,REND_TARGET[#All],8,FALSE)</f>
        <v>9.8078500000000002</v>
      </c>
      <c r="AM25" s="8">
        <f>(I25*1.03*Tabla_master_rend[[#This Row],[%MG_Leche]])+(I25*1.03*Tabla_master_rend[[#This Row],[%MP_Leche]])</f>
        <v>19989.633536000001</v>
      </c>
      <c r="AN25" s="38">
        <v>0.21780000000000002</v>
      </c>
      <c r="AO25" s="38">
        <v>0.24530000000000002</v>
      </c>
      <c r="AP25" s="60">
        <v>0.51880000000000004</v>
      </c>
      <c r="AQ25" s="60">
        <f>+Tabla_master_rend[[#This Row],[Kg_Queso_Blan]]*Tabla_master_rend[[#This Row],[ES_QUESO]]/(Tabla_master_rend[[#This Row],[Kg_Solidos_leche]])</f>
        <v>0.75708659914874787</v>
      </c>
      <c r="AR25" s="8">
        <f t="shared" si="14"/>
        <v>3612</v>
      </c>
      <c r="AS25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0.94152072837419776</v>
      </c>
      <c r="AT25" s="62">
        <f>+Tabla_master_rend[[#This Row],[Kg_Queso_Blan]]*Tabla_master_rend[[#This Row],[%PT_QUESO]]/(Tabla_master_rend[[#This Row],[Litros_Leche_Total]]*1.03*Tabla_master_rend[[#This Row],[%MP_Leche]])</f>
        <v>0.76081370357015465</v>
      </c>
      <c r="AU25" s="63">
        <f t="shared" si="15"/>
        <v>27090</v>
      </c>
      <c r="AV25" s="8">
        <v>57.14</v>
      </c>
      <c r="AW25" s="7">
        <v>51.2</v>
      </c>
      <c r="AX25" s="7">
        <v>21.6</v>
      </c>
      <c r="AY25" s="8">
        <f>SUM(Tabla_master_rend[[#This Row],[Kg_Finos]:[Kg_Desmoldeo]])</f>
        <v>129.94</v>
      </c>
      <c r="AZ25" s="60">
        <f>+(Tabla_master_rend[[#This Row],[Kg_Finos]]+Tabla_master_rend[[#This Row],[Kg_Llenadora]]+Tabla_master_rend[[#This Row],[Kg_Desmoldeo]])/(Tabla_master_rend[[#This Row],[Kg_Queso_Blan]])</f>
        <v>4.4544330762052919E-3</v>
      </c>
      <c r="BA25" s="7">
        <v>610</v>
      </c>
      <c r="BB25" s="60">
        <f>+Tabla_master_rend[[#This Row],[L_Agua]]/(Tabla_master_rend[[#This Row],[L_Agua]]+Tabla_master_rend[[#This Row],[Kg_SalidaSecadero]])</f>
        <v>2.1004786336558657E-2</v>
      </c>
      <c r="BC25" s="8">
        <v>4145</v>
      </c>
      <c r="BD25" s="8">
        <v>3926</v>
      </c>
      <c r="BE25" s="8">
        <v>27633</v>
      </c>
      <c r="BF25" s="8">
        <f>12*6.4</f>
        <v>76.800000000000011</v>
      </c>
      <c r="BG25" s="8">
        <f>66*6.4</f>
        <v>422.40000000000003</v>
      </c>
      <c r="BH25" s="7">
        <v>0</v>
      </c>
      <c r="BI25" s="7">
        <f>137*6.4</f>
        <v>876.80000000000007</v>
      </c>
      <c r="BJ25" s="8">
        <v>100</v>
      </c>
      <c r="BK25" s="8">
        <v>28431</v>
      </c>
      <c r="BL25" s="8">
        <v>3.75</v>
      </c>
      <c r="BM25" s="8">
        <v>319.52</v>
      </c>
      <c r="BN25" s="8">
        <v>9.01</v>
      </c>
      <c r="BO25" s="68">
        <f>+SUM(Tabla_master_rend[[#This Row],[B_altas]:[B_lab]])/Tabla_master_rend[[#This Row],[Kg_SalidaSecadero]]</f>
        <v>5.1915163026274136E-2</v>
      </c>
      <c r="BP25" s="68">
        <f>+(Tabla_master_rend[[#This Row],[Kg_mer_env_real]]+Tabla_master_rend[[#This Row],[kg_mer_lab_real]])/Tabla_master_rend[[#This Row],[Kg_SalidaSecadero]]</f>
        <v>1.1555344518307481E-2</v>
      </c>
      <c r="BQ25" s="64">
        <f>+Tabla_master_rend[[#This Row],[Merma_TOT]]/Tabla_master_rend[[#This Row],[Kg_Queso_Blan]]</f>
        <v>3.6756443227403714E-2</v>
      </c>
      <c r="BR25" s="8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1072.22</v>
      </c>
      <c r="BS25" s="8"/>
      <c r="BT25" s="63">
        <f>IF(+Tabla_master_rend[[#This Row],[Kg_Env_Total]]=0,0,Tabla_master_rend[[#This Row],[Kg_Env_Total]]-Tabla_master_rend[[#This Row],[Kg_SalidaSecadero]])</f>
        <v>0</v>
      </c>
      <c r="BU25" s="60">
        <f>+Tabla_master_rend[[#This Row],[Diferencia_Env_vs_Sec_kg]]/Tabla_master_rend[[#This Row],[Kg_SalidaSecadero]]</f>
        <v>0</v>
      </c>
      <c r="BV25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5" s="65">
        <f>+(Tabla_master_rend[[#This Row],[Coste_Leche_€]]-Tabla_master_rend[[#This Row],[Kg_MG_Nata]]*$CO$3)/Tabla_master_rend[[#This Row],[Kg_Queso_Blan]]</f>
        <v>-0.92866393746653353</v>
      </c>
      <c r="BX25" s="8">
        <f>SUM(Tabla_master_rend[[#This Row],[Kg_Finos]:[Kg_Desmoldeo]])+Tabla_master_rend[[#This Row],[L_Agua]]+SUM(Tabla_master_rend[[#This Row],[B_altas]:[B_lab]])</f>
        <v>2215.94</v>
      </c>
      <c r="BY25" s="8">
        <f>+BX25-Tabla_master_rend[[#This Row],[Merma_TOT]]</f>
        <v>1143.72</v>
      </c>
      <c r="BZ25" s="62">
        <f t="shared" si="16"/>
        <v>0.51613310829715608</v>
      </c>
      <c r="CA25" s="8">
        <f>+Tabla_master_rend[[#This Row],[Kg_Queso_Blan]]*$CA$1</f>
        <v>189.61111</v>
      </c>
      <c r="CB25" s="8">
        <f>+Tabla_master_rend[[#This Row],[Kg_Queso_Blan]]*($CB$1-$CA$1)</f>
        <v>102.09829000000001</v>
      </c>
      <c r="CC25" s="8">
        <f>+(Tabla_master_rend[[#This Row],[Kg_Queso_Blan]]-CA25-CB25)*$CC$1</f>
        <v>303.23192129999995</v>
      </c>
      <c r="CD25" s="8">
        <f t="shared" si="17"/>
        <v>594.94132130000003</v>
      </c>
      <c r="CE25" s="80">
        <f>+CD25/Tabla_master_rend[[#This Row],[Kg_Queso_Blan]]</f>
        <v>2.0395000000000003E-2</v>
      </c>
      <c r="CF25" s="62">
        <f>+Tabla_master_rend[[#This Row],[Merma_TOT]]/Tabla_master_rend[[#This Row],[Kg_Queso_Blan]]</f>
        <v>3.6756443227403714E-2</v>
      </c>
      <c r="CG25" s="8">
        <f>CD25-Tabla_master_rend[[#This Row],[Merma_TOT]]</f>
        <v>-477.2786787</v>
      </c>
      <c r="CH25" s="81" cm="1">
        <f t="array" ref="CH25">-BR25 * IFERROR(INDEX('Precio Leche_EBITDA_Ventas'!$BD$87:$BD$110,MATCH(1,('Precio Leche_EBITDA_Ventas'!$AZ$87:$AZ$110=YEAR(A25))*('Precio Leche_EBITDA_Ventas'!$BB$87:$BB$110=C25),0)),1.3)</f>
        <v>-3752.77</v>
      </c>
      <c r="CI25" s="81">
        <f t="shared" si="18"/>
        <v>-620.46228230999998</v>
      </c>
    </row>
    <row r="26" spans="1:96" x14ac:dyDescent="0.35">
      <c r="A26" s="9">
        <v>45712</v>
      </c>
      <c r="B26" s="7">
        <v>2</v>
      </c>
      <c r="C26" s="7" t="str">
        <f>+UPPER(TEXT(Tabla_master_rend[[#This Row],[Fecha]],"MMM"))</f>
        <v>FEB</v>
      </c>
      <c r="D26" s="7" t="str">
        <f>+UPPER(TEXT(Tabla_master_rend[[#This Row],[Fecha]],"ddd"))</f>
        <v>LU</v>
      </c>
      <c r="E26" s="3">
        <v>240225326</v>
      </c>
      <c r="F26" s="3" t="s">
        <v>244</v>
      </c>
      <c r="G26" s="84" t="s">
        <v>301</v>
      </c>
      <c r="H26">
        <v>16</v>
      </c>
      <c r="I26" s="8">
        <f>+Tabla_master_rend[[#This Row],[L_Leche_ent]]+Tabla_master_rend[[#This Row],[L_desn_ext]]+Tabla_master_rend[[#This Row],[L_cabra]]+Tabla_master_rend[[#This Row],[L_oveja]]</f>
        <v>256272</v>
      </c>
      <c r="J26" s="8">
        <v>256272</v>
      </c>
      <c r="K26" s="5">
        <v>3.7000000000000005E-2</v>
      </c>
      <c r="L26" s="5">
        <v>3.32E-2</v>
      </c>
      <c r="M26" s="5">
        <f t="shared" ref="M26:M57" si="19">0.93*K26+0.74*L26+0.048</f>
        <v>0.10697800000000002</v>
      </c>
      <c r="N26" s="35" t="s">
        <v>43</v>
      </c>
      <c r="O26" s="8">
        <v>0</v>
      </c>
      <c r="P26" s="8">
        <v>0</v>
      </c>
      <c r="Q26" s="8">
        <v>0</v>
      </c>
      <c r="R26" s="8">
        <v>2831</v>
      </c>
      <c r="T26" s="8">
        <v>220680</v>
      </c>
      <c r="U26" s="38">
        <f>+Tabla_master_rend[[#This Row],[L_suero Total]]/Tabla_master_rend[[#This Row],[Litros_Leche_Total]]</f>
        <v>0.8611163139164637</v>
      </c>
      <c r="V26" s="5">
        <v>1.7000000000000001E-3</v>
      </c>
      <c r="W26" s="5">
        <v>8.6999999999999994E-3</v>
      </c>
      <c r="X26" s="8">
        <v>168594</v>
      </c>
      <c r="Y26" s="57">
        <v>51519</v>
      </c>
      <c r="Z26" s="58">
        <f>IF(Tabla_master_rend[[#This Row],[L_suero para con]]=0,0,+Tabla_master_rend[[#This Row],[L_suero para con]]/Tabla_master_rend[[#This Row],[L_suero_con]])</f>
        <v>3.2724625866185293</v>
      </c>
      <c r="AA26" s="8">
        <f>+Tabla_master_rend[[#This Row],[L_suero Total]]-Tabla_master_rend[[#This Row],[L_suero para con]]</f>
        <v>52086</v>
      </c>
      <c r="AD26" s="8"/>
      <c r="AE26" s="8"/>
      <c r="AF26" s="8"/>
      <c r="AG26" s="5"/>
      <c r="AI26" s="7">
        <f>+Tabla_master_rend[[#This Row],[Kg_Finos]]+Tabla_master_rend[[#This Row],[Kg_Llenadora]]+Tabla_master_rend[[#This Row],[Kg_Desmoldeo]]+Tabla_master_rend[[#This Row],[L_Agua]]+Tabla_master_rend[[#This Row],[Kg_SalidaSecadero]]</f>
        <v>28728.78</v>
      </c>
      <c r="AJ26" s="59">
        <f>+Tabla_master_rend[[#This Row],[Litros_Leche_Total]]/Tabla_master_rend[[#This Row],[Kg_Queso_Blan]]</f>
        <v>8.9203927211667189</v>
      </c>
      <c r="AK26" s="59">
        <f>+Tabla_master_rend[[#This Row],[Litros_Leche_Total]]/(Tabla_master_rend[[#This Row],[Kg_Queso_Blan]]-Tabla_master_rend[[#This Row],[Merma_TOT]])</f>
        <v>9.1374750144939121</v>
      </c>
      <c r="AL26" s="59">
        <f>VLOOKUP(G26,REND_TARGET[#All],8,FALSE)</f>
        <v>9.3549429999999987</v>
      </c>
      <c r="AM26" s="7">
        <f>(I26*1.03*Tabla_master_rend[[#This Row],[%MG_Leche]])+(I26*1.03*Tabla_master_rend[[#This Row],[%MP_Leche]])</f>
        <v>18530.003232000003</v>
      </c>
      <c r="AN26" s="38">
        <v>0.28989999999999999</v>
      </c>
      <c r="AO26" s="38">
        <v>0.23850000000000002</v>
      </c>
      <c r="AP26" s="60">
        <v>0.57699999999999996</v>
      </c>
      <c r="AQ26" s="38">
        <f>+Tabla_master_rend[[#This Row],[Kg_Queso_Blan]]*Tabla_master_rend[[#This Row],[ES_QUESO]]/(Tabla_master_rend[[#This Row],[Kg_Solidos_leche]])</f>
        <v>0.89457653366047707</v>
      </c>
      <c r="AR26" s="7">
        <f t="shared" ref="AR26:AR57" si="20">R26*0.4</f>
        <v>1132.4000000000001</v>
      </c>
      <c r="AS26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0.96870406114685226</v>
      </c>
      <c r="AT26" s="62">
        <f>+Tabla_master_rend[[#This Row],[Kg_Queso_Blan]]*Tabla_master_rend[[#This Row],[%PT_QUESO]]/(Tabla_master_rend[[#This Row],[Litros_Leche_Total]]*1.03*Tabla_master_rend[[#This Row],[%MP_Leche]])</f>
        <v>0.78186018929012091</v>
      </c>
      <c r="AU26" s="63">
        <f t="shared" ref="AU26:AU57" si="21">AR26*$CO$3</f>
        <v>8493</v>
      </c>
      <c r="AV26" s="7">
        <v>54.48</v>
      </c>
      <c r="AW26" s="7">
        <v>77.3</v>
      </c>
      <c r="AX26" s="7">
        <v>52</v>
      </c>
      <c r="AY26" s="8">
        <f>SUM(Tabla_master_rend[[#This Row],[Kg_Finos]:[Kg_Desmoldeo]])</f>
        <v>183.78</v>
      </c>
      <c r="AZ26" s="60">
        <f>+(Tabla_master_rend[[#This Row],[Kg_Finos]]+Tabla_master_rend[[#This Row],[Kg_Llenadora]]+Tabla_master_rend[[#This Row],[Kg_Desmoldeo]])/(Tabla_master_rend[[#This Row],[Kg_Queso_Blan]])</f>
        <v>6.3970694195855174E-3</v>
      </c>
      <c r="BA26" s="7">
        <v>370</v>
      </c>
      <c r="BB26" s="60">
        <f>+Tabla_master_rend[[#This Row],[L_Agua]]/(Tabla_master_rend[[#This Row],[L_Agua]]+Tabla_master_rend[[#This Row],[Kg_SalidaSecadero]])</f>
        <v>1.2961989840602558E-2</v>
      </c>
      <c r="BC26" s="8">
        <v>3935</v>
      </c>
      <c r="BD26" s="8">
        <v>3891</v>
      </c>
      <c r="BE26" s="8">
        <v>28279</v>
      </c>
      <c r="BF26" s="8">
        <f>130*6</f>
        <v>780</v>
      </c>
      <c r="BG26" s="8">
        <f>1*6</f>
        <v>6</v>
      </c>
      <c r="BH26" s="7">
        <f>7*6</f>
        <v>42</v>
      </c>
      <c r="BI26" s="7">
        <f>14*6</f>
        <v>84</v>
      </c>
      <c r="BJ26" s="8">
        <v>134</v>
      </c>
      <c r="BK26" s="8">
        <v>28175</v>
      </c>
      <c r="BL26" s="8">
        <v>0</v>
      </c>
      <c r="BM26" s="8">
        <v>101.49</v>
      </c>
      <c r="BN26" s="7">
        <v>27.25</v>
      </c>
      <c r="BO26" s="68">
        <f>+SUM(Tabla_master_rend[[#This Row],[B_altas]:[B_lab]])/Tabla_master_rend[[#This Row],[Kg_SalidaSecadero]]</f>
        <v>3.7125110913930788E-2</v>
      </c>
      <c r="BP26" s="68">
        <f>+(Tabla_master_rend[[#This Row],[Kg_mer_env_real]]+Tabla_master_rend[[#This Row],[kg_mer_lab_real]])/Tabla_master_rend[[#This Row],[Kg_SalidaSecadero]]</f>
        <v>4.5692990239574096E-3</v>
      </c>
      <c r="BQ26" s="64">
        <f>+Tabla_master_rend[[#This Row],[Merma_TOT]]/Tabla_master_rend[[#This Row],[Kg_Queso_Blan]]</f>
        <v>2.3757361085294956E-2</v>
      </c>
      <c r="BR26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682.52</v>
      </c>
      <c r="BS26" s="8"/>
      <c r="BT26" s="63">
        <f>IF(+Tabla_master_rend[[#This Row],[Kg_Env_Total]]=0,0,Tabla_master_rend[[#This Row],[Kg_Env_Total]]-Tabla_master_rend[[#This Row],[Kg_SalidaSecadero]])</f>
        <v>0</v>
      </c>
      <c r="BU26" s="60">
        <f>+Tabla_master_rend[[#This Row],[Diferencia_Env_vs_Sec_kg]]/Tabla_master_rend[[#This Row],[Kg_SalidaSecadero]]</f>
        <v>0</v>
      </c>
      <c r="BV26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6" s="65">
        <f>+(Tabla_master_rend[[#This Row],[Coste_Leche_€]]-Tabla_master_rend[[#This Row],[Kg_MG_Nata]]*$CO$3)/Tabla_master_rend[[#This Row],[Kg_Queso_Blan]]</f>
        <v>-0.29562689400663728</v>
      </c>
      <c r="BX26" s="8">
        <f>SUM(Tabla_master_rend[[#This Row],[Kg_Finos]:[Kg_Desmoldeo]])+Tabla_master_rend[[#This Row],[L_Agua]]+SUM(Tabla_master_rend[[#This Row],[B_altas]:[B_lab]])</f>
        <v>1599.78</v>
      </c>
      <c r="BY26" s="8">
        <f>+BX26-Tabla_master_rend[[#This Row],[Merma_TOT]]</f>
        <v>917.26</v>
      </c>
      <c r="BZ26" s="62">
        <f t="shared" ref="BZ26:BZ57" si="22">+BY26/BX26</f>
        <v>0.5733663378714573</v>
      </c>
      <c r="CA26" s="8">
        <f>+Tabla_master_rend[[#This Row],[Kg_Queso_Blan]]*$CA$1</f>
        <v>186.73706999999999</v>
      </c>
      <c r="CB26" s="8">
        <f>+Tabla_master_rend[[#This Row],[Kg_Queso_Blan]]*($CB$1-$CA$1)</f>
        <v>100.55073000000002</v>
      </c>
      <c r="CC26" s="8">
        <f>+(Tabla_master_rend[[#This Row],[Kg_Queso_Blan]]-CA26-CB26)*$CC$1</f>
        <v>298.63566810000003</v>
      </c>
      <c r="CD26" s="8">
        <f t="shared" ref="CD26:CD57" si="23">+CA26+CB26+CC26</f>
        <v>585.92346810000004</v>
      </c>
      <c r="CE26" s="80">
        <f>+CD26/Tabla_master_rend[[#This Row],[Kg_Queso_Blan]]</f>
        <v>2.0395000000000003E-2</v>
      </c>
      <c r="CF26" s="62">
        <f>+Tabla_master_rend[[#This Row],[Merma_TOT]]/Tabla_master_rend[[#This Row],[Kg_Queso_Blan]]</f>
        <v>2.3757361085294956E-2</v>
      </c>
      <c r="CG26" s="8">
        <f>CD26-Tabla_master_rend[[#This Row],[Merma_TOT]]</f>
        <v>-96.596531899999945</v>
      </c>
      <c r="CH26" s="81" cm="1">
        <f t="array" ref="CH26">-BR26 * IFERROR(INDEX('Precio Leche_EBITDA_Ventas'!$BD$87:$BD$110,MATCH(1,('Precio Leche_EBITDA_Ventas'!$AZ$87:$AZ$110=YEAR(A26))*('Precio Leche_EBITDA_Ventas'!$BB$87:$BB$110=C26),0)),1.3)</f>
        <v>-2388.8199999999997</v>
      </c>
      <c r="CI26" s="81">
        <f t="shared" ref="CI26:CI57" si="24">+CG26*$CM$2</f>
        <v>-125.57549146999993</v>
      </c>
    </row>
    <row r="27" spans="1:96" x14ac:dyDescent="0.35">
      <c r="A27" s="9">
        <v>45714</v>
      </c>
      <c r="B27" s="7">
        <v>2</v>
      </c>
      <c r="C27" s="7" t="str">
        <f>+UPPER(TEXT(Tabla_master_rend[[#This Row],[Fecha]],"MMM"))</f>
        <v>FEB</v>
      </c>
      <c r="D27" s="7" t="str">
        <f>+UPPER(TEXT(Tabla_master_rend[[#This Row],[Fecha]],"ddd"))</f>
        <v>MI</v>
      </c>
      <c r="E27" s="3">
        <v>260225116</v>
      </c>
      <c r="F27" s="3" t="s">
        <v>244</v>
      </c>
      <c r="G27" s="84" t="s">
        <v>300</v>
      </c>
      <c r="H27">
        <v>10</v>
      </c>
      <c r="I27" s="8">
        <f>+Tabla_master_rend[[#This Row],[L_Leche_ent]]+Tabla_master_rend[[#This Row],[L_desn_ext]]+Tabla_master_rend[[#This Row],[L_cabra]]+Tabla_master_rend[[#This Row],[L_oveja]]</f>
        <v>121952</v>
      </c>
      <c r="J27" s="8">
        <v>121952</v>
      </c>
      <c r="K27" s="5">
        <v>3.8800000000000001E-2</v>
      </c>
      <c r="L27" s="5">
        <v>3.3500000000000002E-2</v>
      </c>
      <c r="M27" s="5">
        <f t="shared" si="19"/>
        <v>0.108874</v>
      </c>
      <c r="N27" s="35" t="s">
        <v>188</v>
      </c>
      <c r="O27" s="8">
        <v>0</v>
      </c>
      <c r="P27" s="8">
        <v>0</v>
      </c>
      <c r="Q27" s="8">
        <v>0</v>
      </c>
      <c r="R27" s="8">
        <v>2516</v>
      </c>
      <c r="T27" s="8">
        <v>141480</v>
      </c>
      <c r="U27" s="38">
        <f>+Tabla_master_rend[[#This Row],[L_suero Total]]/Tabla_master_rend[[#This Row],[Litros_Leche_Total]]</f>
        <v>1.1601285751771189</v>
      </c>
      <c r="V27" s="5">
        <v>1.4000000000000002E-3</v>
      </c>
      <c r="W27" s="5">
        <v>8.8000000000000005E-3</v>
      </c>
      <c r="X27" s="8">
        <v>141753</v>
      </c>
      <c r="Y27" s="57">
        <v>40524</v>
      </c>
      <c r="Z27" s="58">
        <f>IF(Tabla_master_rend[[#This Row],[L_suero para con]]=0,0,+Tabla_master_rend[[#This Row],[L_suero para con]]/Tabla_master_rend[[#This Row],[L_suero_con]])</f>
        <v>3.498001184483269</v>
      </c>
      <c r="AA27" s="8">
        <f>+Tabla_master_rend[[#This Row],[L_suero Total]]-Tabla_master_rend[[#This Row],[L_suero para con]]</f>
        <v>-273</v>
      </c>
      <c r="AD27" s="8"/>
      <c r="AE27" s="8"/>
      <c r="AF27" s="8"/>
      <c r="AG27" s="5"/>
      <c r="AI27" s="7">
        <f>+Tabla_master_rend[[#This Row],[Kg_Finos]]+Tabla_master_rend[[#This Row],[Kg_Llenadora]]+Tabla_master_rend[[#This Row],[Kg_Desmoldeo]]+Tabla_master_rend[[#This Row],[L_Agua]]+Tabla_master_rend[[#This Row],[Kg_SalidaSecadero]]</f>
        <v>16835.189999999999</v>
      </c>
      <c r="AJ27" s="59">
        <f>+Tabla_master_rend[[#This Row],[Litros_Leche_Total]]/Tabla_master_rend[[#This Row],[Kg_Queso_Blan]]</f>
        <v>7.2438742895090584</v>
      </c>
      <c r="AK27" s="59">
        <f>+Tabla_master_rend[[#This Row],[Litros_Leche_Total]]/(Tabla_master_rend[[#This Row],[Kg_Queso_Blan]]-Tabla_master_rend[[#This Row],[Merma_TOT]])</f>
        <v>7.5320857266382566</v>
      </c>
      <c r="AL27" s="59">
        <f>VLOOKUP(G27,REND_TARGET[#All],8,FALSE)</f>
        <v>7.7024999999999997</v>
      </c>
      <c r="AM27" s="7">
        <f>(I27*1.03*Tabla_master_rend[[#This Row],[%MG_Leche]])+(I27*1.03*Tabla_master_rend[[#This Row],[%MP_Leche]])</f>
        <v>9081.6434880000015</v>
      </c>
      <c r="AN27" s="38">
        <v>0.222</v>
      </c>
      <c r="AO27" s="38">
        <v>0.25079999999999997</v>
      </c>
      <c r="AP27" s="60">
        <v>0.52590000000000003</v>
      </c>
      <c r="AQ27" s="38">
        <f>+Tabla_master_rend[[#This Row],[Kg_Queso_Blan]]*Tabla_master_rend[[#This Row],[ES_QUESO]]/(Tabla_master_rend[[#This Row],[Kg_Solidos_leche]])</f>
        <v>0.97489253268956311</v>
      </c>
      <c r="AR27" s="7">
        <f t="shared" si="20"/>
        <v>1006.4000000000001</v>
      </c>
      <c r="AS27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0.97335128921854908</v>
      </c>
      <c r="AT27" s="62">
        <f>+Tabla_master_rend[[#This Row],[Kg_Queso_Blan]]*Tabla_master_rend[[#This Row],[%PT_QUESO]]/(Tabla_master_rend[[#This Row],[Litros_Leche_Total]]*1.03*Tabla_master_rend[[#This Row],[%MP_Leche]])</f>
        <v>1.003401152392891</v>
      </c>
      <c r="AU27" s="63">
        <f t="shared" si="21"/>
        <v>7548.0000000000009</v>
      </c>
      <c r="AV27" s="7">
        <v>39.090000000000003</v>
      </c>
      <c r="AW27" s="7">
        <v>46.1</v>
      </c>
      <c r="AX27" s="7">
        <v>16</v>
      </c>
      <c r="AY27" s="8">
        <f>SUM(Tabla_master_rend[[#This Row],[Kg_Finos]:[Kg_Desmoldeo]])</f>
        <v>101.19</v>
      </c>
      <c r="AZ27" s="60">
        <f>+(Tabla_master_rend[[#This Row],[Kg_Finos]]+Tabla_master_rend[[#This Row],[Kg_Llenadora]]+Tabla_master_rend[[#This Row],[Kg_Desmoldeo]])/(Tabla_master_rend[[#This Row],[Kg_Queso_Blan]])</f>
        <v>6.0106241747197395E-3</v>
      </c>
      <c r="BA27" s="7">
        <v>350</v>
      </c>
      <c r="BB27" s="60">
        <f>+Tabla_master_rend[[#This Row],[L_Agua]]/(Tabla_master_rend[[#This Row],[L_Agua]]+Tabla_master_rend[[#This Row],[Kg_SalidaSecadero]])</f>
        <v>2.0915501374447233E-2</v>
      </c>
      <c r="BC27" s="8">
        <v>2339</v>
      </c>
      <c r="BD27" s="8">
        <v>2270</v>
      </c>
      <c r="BE27" s="8">
        <v>16304</v>
      </c>
      <c r="BF27" s="8">
        <f>44*6.3</f>
        <v>277.2</v>
      </c>
      <c r="BG27" s="8">
        <f>8*6.3</f>
        <v>50.4</v>
      </c>
      <c r="BH27" s="7">
        <v>0</v>
      </c>
      <c r="BI27" s="7">
        <f>48*6.3</f>
        <v>302.39999999999998</v>
      </c>
      <c r="BJ27" s="8">
        <v>79</v>
      </c>
      <c r="BK27" s="8">
        <v>16384</v>
      </c>
      <c r="BL27" s="8">
        <v>3.14</v>
      </c>
      <c r="BM27" s="8">
        <v>174.71</v>
      </c>
      <c r="BN27" s="7">
        <v>15.15</v>
      </c>
      <c r="BO27" s="68">
        <f>+SUM(Tabla_master_rend[[#This Row],[B_altas]:[B_lab]])/Tabla_master_rend[[#This Row],[Kg_SalidaSecadero]]</f>
        <v>4.327392578125E-2</v>
      </c>
      <c r="BP27" s="68">
        <f>+(Tabla_master_rend[[#This Row],[Kg_mer_env_real]]+Tabla_master_rend[[#This Row],[kg_mer_lab_real]])/Tabla_master_rend[[#This Row],[Kg_SalidaSecadero]]</f>
        <v>1.1588134765625001E-2</v>
      </c>
      <c r="BQ27" s="64">
        <f>+Tabla_master_rend[[#This Row],[Merma_TOT]]/Tabla_master_rend[[#This Row],[Kg_Queso_Blan]]</f>
        <v>3.826449241143106E-2</v>
      </c>
      <c r="BR27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644.19000000000005</v>
      </c>
      <c r="BS27" s="8"/>
      <c r="BT27" s="63">
        <f>IF(+Tabla_master_rend[[#This Row],[Kg_Env_Total]]=0,0,Tabla_master_rend[[#This Row],[Kg_Env_Total]]-Tabla_master_rend[[#This Row],[Kg_SalidaSecadero]])</f>
        <v>0</v>
      </c>
      <c r="BU27" s="60">
        <f>+Tabla_master_rend[[#This Row],[Diferencia_Env_vs_Sec_kg]]/Tabla_master_rend[[#This Row],[Kg_SalidaSecadero]]</f>
        <v>0</v>
      </c>
      <c r="BV27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7" s="65">
        <f>+(Tabla_master_rend[[#This Row],[Coste_Leche_€]]-Tabla_master_rend[[#This Row],[Kg_MG_Nata]]*$CO$3)/Tabla_master_rend[[#This Row],[Kg_Queso_Blan]]</f>
        <v>-0.44834658830699275</v>
      </c>
      <c r="BX27" s="8">
        <f>SUM(Tabla_master_rend[[#This Row],[Kg_Finos]:[Kg_Desmoldeo]])+Tabla_master_rend[[#This Row],[L_Agua]]+SUM(Tabla_master_rend[[#This Row],[B_altas]:[B_lab]])</f>
        <v>1160.19</v>
      </c>
      <c r="BY27" s="8">
        <f>+BX27-Tabla_master_rend[[#This Row],[Merma_TOT]]</f>
        <v>516</v>
      </c>
      <c r="BZ27" s="62">
        <f t="shared" si="22"/>
        <v>0.44475473844801283</v>
      </c>
      <c r="CA27" s="8">
        <f>+Tabla_master_rend[[#This Row],[Kg_Queso_Blan]]*$CA$1</f>
        <v>109.42873499999999</v>
      </c>
      <c r="CB27" s="8">
        <f>+Tabla_master_rend[[#This Row],[Kg_Queso_Blan]]*($CB$1-$CA$1)</f>
        <v>58.923165000000004</v>
      </c>
      <c r="CC27" s="8">
        <f>+(Tabla_master_rend[[#This Row],[Kg_Queso_Blan]]-CA27-CB27)*$CC$1</f>
        <v>175.00180004999999</v>
      </c>
      <c r="CD27" s="8">
        <f t="shared" si="23"/>
        <v>343.35370004999999</v>
      </c>
      <c r="CE27" s="80">
        <f>+CD27/Tabla_master_rend[[#This Row],[Kg_Queso_Blan]]</f>
        <v>2.0395E-2</v>
      </c>
      <c r="CF27" s="62">
        <f>+Tabla_master_rend[[#This Row],[Merma_TOT]]/Tabla_master_rend[[#This Row],[Kg_Queso_Blan]]</f>
        <v>3.826449241143106E-2</v>
      </c>
      <c r="CG27" s="8">
        <f>CD27-Tabla_master_rend[[#This Row],[Merma_TOT]]</f>
        <v>-300.83629995000007</v>
      </c>
      <c r="CH27" s="81" cm="1">
        <f t="array" ref="CH27">-BR27 * IFERROR(INDEX('Precio Leche_EBITDA_Ventas'!$BD$87:$BD$110,MATCH(1,('Precio Leche_EBITDA_Ventas'!$AZ$87:$AZ$110=YEAR(A27))*('Precio Leche_EBITDA_Ventas'!$BB$87:$BB$110=C27),0)),1.3)</f>
        <v>-2254.665</v>
      </c>
      <c r="CI27" s="81">
        <f t="shared" si="24"/>
        <v>-391.08718993500008</v>
      </c>
    </row>
    <row r="28" spans="1:96" x14ac:dyDescent="0.35">
      <c r="A28" s="9">
        <v>45715</v>
      </c>
      <c r="B28" s="7">
        <v>2</v>
      </c>
      <c r="C28" s="7" t="str">
        <f>+UPPER(TEXT(Tabla_master_rend[[#This Row],[Fecha]],"MMM"))</f>
        <v>FEB</v>
      </c>
      <c r="D28" s="7" t="str">
        <f>+UPPER(TEXT(Tabla_master_rend[[#This Row],[Fecha]],"ddd"))</f>
        <v>JU</v>
      </c>
      <c r="E28" s="3">
        <v>270225146</v>
      </c>
      <c r="F28" s="3" t="s">
        <v>244</v>
      </c>
      <c r="G28" s="84" t="s">
        <v>40</v>
      </c>
      <c r="H28">
        <v>17</v>
      </c>
      <c r="I28" s="8">
        <f>+Tabla_master_rend[[#This Row],[L_Leche_ent]]+Tabla_master_rend[[#This Row],[L_desn_ext]]+Tabla_master_rend[[#This Row],[L_cabra]]+Tabla_master_rend[[#This Row],[L_oveja]]</f>
        <v>278752</v>
      </c>
      <c r="J28" s="8">
        <v>278752</v>
      </c>
      <c r="K28" s="5">
        <v>3.8800000000000001E-2</v>
      </c>
      <c r="L28" s="5">
        <v>3.3599999999999998E-2</v>
      </c>
      <c r="M28" s="5">
        <f t="shared" si="19"/>
        <v>0.108948</v>
      </c>
      <c r="N28" s="35" t="s">
        <v>188</v>
      </c>
      <c r="O28" s="8">
        <v>0</v>
      </c>
      <c r="P28" s="8">
        <v>0</v>
      </c>
      <c r="Q28" s="8">
        <v>0</v>
      </c>
      <c r="R28" s="8">
        <v>2795</v>
      </c>
      <c r="T28" s="8">
        <v>234450</v>
      </c>
      <c r="U28" s="38">
        <f>+Tabla_master_rend[[#This Row],[L_suero Total]]/Tabla_master_rend[[#This Row],[Litros_Leche_Total]]</f>
        <v>0.84107019859947196</v>
      </c>
      <c r="V28" s="5">
        <v>1.9E-3</v>
      </c>
      <c r="W28" s="5">
        <v>8.6E-3</v>
      </c>
      <c r="X28" s="8">
        <v>234897</v>
      </c>
      <c r="Y28" s="57">
        <v>75463</v>
      </c>
      <c r="Z28" s="58">
        <f>IF(Tabla_master_rend[[#This Row],[L_suero para con]]=0,0,+Tabla_master_rend[[#This Row],[L_suero para con]]/Tabla_master_rend[[#This Row],[L_suero_con]])</f>
        <v>3.112743993745279</v>
      </c>
      <c r="AA28" s="8">
        <f>+Tabla_master_rend[[#This Row],[L_suero Total]]-Tabla_master_rend[[#This Row],[L_suero para con]]</f>
        <v>-447</v>
      </c>
      <c r="AD28" s="8"/>
      <c r="AE28" s="8"/>
      <c r="AF28" s="8"/>
      <c r="AG28" s="5"/>
      <c r="AI28" s="7">
        <f>+Tabla_master_rend[[#This Row],[Kg_Finos]]+Tabla_master_rend[[#This Row],[Kg_Llenadora]]+Tabla_master_rend[[#This Row],[Kg_Desmoldeo]]+Tabla_master_rend[[#This Row],[L_Agua]]+Tabla_master_rend[[#This Row],[Kg_SalidaSecadero]]</f>
        <v>33223.69</v>
      </c>
      <c r="AJ28" s="59">
        <f>+Tabla_master_rend[[#This Row],[Litros_Leche_Total]]/Tabla_master_rend[[#This Row],[Kg_Queso_Blan]]</f>
        <v>8.3901577458735019</v>
      </c>
      <c r="AK28" s="59">
        <f>+Tabla_master_rend[[#This Row],[Litros_Leche_Total]]/(Tabla_master_rend[[#This Row],[Kg_Queso_Blan]]-Tabla_master_rend[[#This Row],[Merma_TOT]])</f>
        <v>8.6391626627211409</v>
      </c>
      <c r="AL28" s="59">
        <f>VLOOKUP(G28,REND_TARGET[#All],8,FALSE)</f>
        <v>8.9338729999999984</v>
      </c>
      <c r="AM28" s="7">
        <f>(I28*1.03*Tabla_master_rend[[#This Row],[%MG_Leche]])+(I28*1.03*Tabla_master_rend[[#This Row],[%MP_Leche]])</f>
        <v>20787.094143999999</v>
      </c>
      <c r="AN28" s="38">
        <v>0.29849999999999999</v>
      </c>
      <c r="AO28" s="38">
        <v>0.23050000000000001</v>
      </c>
      <c r="AP28" s="60">
        <v>0.57589999999999997</v>
      </c>
      <c r="AQ28" s="38">
        <f>+Tabla_master_rend[[#This Row],[Kg_Queso_Blan]]*Tabla_master_rend[[#This Row],[ES_QUESO]]/(Tabla_master_rend[[#This Row],[Kg_Solidos_leche]])</f>
        <v>0.9204520332882945</v>
      </c>
      <c r="AR28" s="7">
        <f t="shared" si="20"/>
        <v>1118</v>
      </c>
      <c r="AS28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0.99059487967264337</v>
      </c>
      <c r="AT28" s="62">
        <f>+Tabla_master_rend[[#This Row],[Kg_Queso_Blan]]*Tabla_master_rend[[#This Row],[%PT_QUESO]]/(Tabla_master_rend[[#This Row],[Litros_Leche_Total]]*1.03*Tabla_master_rend[[#This Row],[%MP_Leche]])</f>
        <v>0.79382413974822641</v>
      </c>
      <c r="AU28" s="63">
        <f t="shared" si="21"/>
        <v>8385</v>
      </c>
      <c r="AV28" s="7">
        <v>55.69</v>
      </c>
      <c r="AW28" s="7">
        <v>155</v>
      </c>
      <c r="AX28" s="7">
        <v>15</v>
      </c>
      <c r="AY28" s="8">
        <f>SUM(Tabla_master_rend[[#This Row],[Kg_Finos]:[Kg_Desmoldeo]])</f>
        <v>225.69</v>
      </c>
      <c r="AZ28" s="60">
        <f>+(Tabla_master_rend[[#This Row],[Kg_Finos]]+Tabla_master_rend[[#This Row],[Kg_Llenadora]]+Tabla_master_rend[[#This Row],[Kg_Desmoldeo]])/(Tabla_master_rend[[#This Row],[Kg_Queso_Blan]])</f>
        <v>6.7930443608160314E-3</v>
      </c>
      <c r="BA28" s="7">
        <v>520</v>
      </c>
      <c r="BB28" s="60">
        <f>+Tabla_master_rend[[#This Row],[L_Agua]]/(Tabla_master_rend[[#This Row],[L_Agua]]+Tabla_master_rend[[#This Row],[Kg_SalidaSecadero]])</f>
        <v>1.5758530820049702E-2</v>
      </c>
      <c r="BC28" s="8">
        <v>4704</v>
      </c>
      <c r="BD28" s="8">
        <v>4639</v>
      </c>
      <c r="BE28" s="8">
        <v>32585</v>
      </c>
      <c r="BF28" s="8">
        <v>0</v>
      </c>
      <c r="BG28" s="8">
        <v>0</v>
      </c>
      <c r="BH28" s="7">
        <f>3*6.5</f>
        <v>19.5</v>
      </c>
      <c r="BI28" s="7">
        <f>44*6.5</f>
        <v>286</v>
      </c>
      <c r="BJ28" s="8">
        <v>109</v>
      </c>
      <c r="BK28" s="8">
        <v>32478</v>
      </c>
      <c r="BL28" s="8">
        <v>3.25</v>
      </c>
      <c r="BM28" s="8">
        <v>177.72</v>
      </c>
      <c r="BN28" s="7">
        <v>30.94</v>
      </c>
      <c r="BO28" s="68">
        <f>+SUM(Tabla_master_rend[[#This Row],[B_altas]:[B_lab]])/Tabla_master_rend[[#This Row],[Kg_SalidaSecadero]]</f>
        <v>1.2762485374715192E-2</v>
      </c>
      <c r="BP28" s="68">
        <f>+(Tabla_master_rend[[#This Row],[Kg_mer_env_real]]+Tabla_master_rend[[#This Row],[kg_mer_lab_real]])/Tabla_master_rend[[#This Row],[Kg_SalidaSecadero]]</f>
        <v>6.424656690682924E-3</v>
      </c>
      <c r="BQ28" s="64">
        <f>+Tabla_master_rend[[#This Row],[Merma_TOT]]/Tabla_master_rend[[#This Row],[Kg_Queso_Blan]]</f>
        <v>2.8822806858599989E-2</v>
      </c>
      <c r="BR28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957.59999999999991</v>
      </c>
      <c r="BS28" s="8"/>
      <c r="BT28" s="63">
        <f>IF(+Tabla_master_rend[[#This Row],[Kg_Env_Total]]=0,0,Tabla_master_rend[[#This Row],[Kg_Env_Total]]-Tabla_master_rend[[#This Row],[Kg_SalidaSecadero]])</f>
        <v>0</v>
      </c>
      <c r="BU28" s="60">
        <f>+Tabla_master_rend[[#This Row],[Diferencia_Env_vs_Sec_kg]]/Tabla_master_rend[[#This Row],[Kg_SalidaSecadero]]</f>
        <v>0</v>
      </c>
      <c r="BV28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8" s="65">
        <f>+(Tabla_master_rend[[#This Row],[Coste_Leche_€]]-Tabla_master_rend[[#This Row],[Kg_MG_Nata]]*$CO$3)/Tabla_master_rend[[#This Row],[Kg_Queso_Blan]]</f>
        <v>-0.25238015404068603</v>
      </c>
      <c r="BX28" s="8">
        <f>SUM(Tabla_master_rend[[#This Row],[Kg_Finos]:[Kg_Desmoldeo]])+Tabla_master_rend[[#This Row],[L_Agua]]+SUM(Tabla_master_rend[[#This Row],[B_altas]:[B_lab]])</f>
        <v>1160.19</v>
      </c>
      <c r="BY28" s="8">
        <f>+BX28-Tabla_master_rend[[#This Row],[Merma_TOT]]</f>
        <v>202.59000000000015</v>
      </c>
      <c r="BZ28" s="62">
        <f t="shared" si="22"/>
        <v>0.17461795050810655</v>
      </c>
      <c r="CA28" s="8">
        <f>+Tabla_master_rend[[#This Row],[Kg_Queso_Blan]]*$CA$1</f>
        <v>215.95398500000002</v>
      </c>
      <c r="CB28" s="8">
        <f>+Tabla_master_rend[[#This Row],[Kg_Queso_Blan]]*($CB$1-$CA$1)</f>
        <v>116.28291500000003</v>
      </c>
      <c r="CC28" s="8">
        <f>+(Tabla_master_rend[[#This Row],[Kg_Queso_Blan]]-CA28-CB28)*$CC$1</f>
        <v>345.36025755000003</v>
      </c>
      <c r="CD28" s="8">
        <f t="shared" si="23"/>
        <v>677.59715755000002</v>
      </c>
      <c r="CE28" s="80">
        <f>+CD28/Tabla_master_rend[[#This Row],[Kg_Queso_Blan]]</f>
        <v>2.0395E-2</v>
      </c>
      <c r="CF28" s="62">
        <f>+Tabla_master_rend[[#This Row],[Merma_TOT]]/Tabla_master_rend[[#This Row],[Kg_Queso_Blan]]</f>
        <v>2.8822806858599989E-2</v>
      </c>
      <c r="CG28" s="8">
        <f>CD28-Tabla_master_rend[[#This Row],[Merma_TOT]]</f>
        <v>-280.00284244999989</v>
      </c>
      <c r="CH28" s="81" cm="1">
        <f t="array" ref="CH28">-BR28 * IFERROR(INDEX('Precio Leche_EBITDA_Ventas'!$BD$87:$BD$110,MATCH(1,('Precio Leche_EBITDA_Ventas'!$AZ$87:$AZ$110=YEAR(A28))*('Precio Leche_EBITDA_Ventas'!$BB$87:$BB$110=C28),0)),1.3)</f>
        <v>-3351.5999999999995</v>
      </c>
      <c r="CI28" s="81">
        <f t="shared" si="24"/>
        <v>-364.00369518499986</v>
      </c>
    </row>
    <row r="29" spans="1:96" x14ac:dyDescent="0.35">
      <c r="A29" s="9">
        <v>45719</v>
      </c>
      <c r="B29" s="7">
        <v>3</v>
      </c>
      <c r="C29" s="7" t="str">
        <f>+UPPER(TEXT(Tabla_master_rend[[#This Row],[Fecha]],"MMM"))</f>
        <v>MAR</v>
      </c>
      <c r="D29" s="7" t="str">
        <f>+UPPER(TEXT(Tabla_master_rend[[#This Row],[Fecha]],"ddd"))</f>
        <v>LU</v>
      </c>
      <c r="E29" s="3" t="s">
        <v>469</v>
      </c>
      <c r="F29" s="3" t="s">
        <v>244</v>
      </c>
      <c r="G29" s="84" t="s">
        <v>299</v>
      </c>
      <c r="H29">
        <v>18</v>
      </c>
      <c r="I29" s="8">
        <f>+Tabla_master_rend[[#This Row],[L_Leche_ent]]+Tabla_master_rend[[#This Row],[L_desn_ext]]+Tabla_master_rend[[#This Row],[L_cabra]]+Tabla_master_rend[[#This Row],[L_oveja]]</f>
        <v>296315</v>
      </c>
      <c r="J29" s="8">
        <v>296315</v>
      </c>
      <c r="K29" s="5">
        <v>3.7200000000000004E-2</v>
      </c>
      <c r="L29" s="5">
        <v>3.3300000000000003E-2</v>
      </c>
      <c r="M29" s="5">
        <f t="shared" si="19"/>
        <v>0.10723800000000001</v>
      </c>
      <c r="N29" s="35" t="s">
        <v>43</v>
      </c>
      <c r="O29" s="8">
        <v>0</v>
      </c>
      <c r="P29" s="8">
        <v>0</v>
      </c>
      <c r="Q29" s="8">
        <v>0</v>
      </c>
      <c r="R29" s="8">
        <v>9757</v>
      </c>
      <c r="T29" s="8">
        <v>246380</v>
      </c>
      <c r="U29" s="38">
        <f>+Tabla_master_rend[[#This Row],[L_suero Total]]/Tabla_master_rend[[#This Row],[Litros_Leche_Total]]</f>
        <v>0.83148001282419048</v>
      </c>
      <c r="V29" s="5">
        <v>8.9999999999999998E-4</v>
      </c>
      <c r="W29" s="5">
        <v>9.0000000000000011E-3</v>
      </c>
      <c r="X29" s="8">
        <v>164037</v>
      </c>
      <c r="Y29" s="57">
        <v>51642</v>
      </c>
      <c r="Z29" s="58">
        <f>IF(Tabla_master_rend[[#This Row],[L_suero para con]]=0,0,+Tabla_master_rend[[#This Row],[L_suero para con]]/Tabla_master_rend[[#This Row],[L_suero_con]])</f>
        <v>3.1764261647496226</v>
      </c>
      <c r="AA29" s="8">
        <f>+Tabla_master_rend[[#This Row],[L_suero Total]]-Tabla_master_rend[[#This Row],[L_suero para con]]</f>
        <v>82343</v>
      </c>
      <c r="AD29" s="8"/>
      <c r="AE29" s="8"/>
      <c r="AF29" s="8"/>
      <c r="AG29" s="5"/>
      <c r="AI29" s="7">
        <f>+Tabla_master_rend[[#This Row],[Kg_Finos]]+Tabla_master_rend[[#This Row],[Kg_Llenadora]]+Tabla_master_rend[[#This Row],[Kg_Desmoldeo]]+Tabla_master_rend[[#This Row],[L_Agua]]+Tabla_master_rend[[#This Row],[Kg_SalidaSecadero]]</f>
        <v>31582.31</v>
      </c>
      <c r="AJ29" s="59">
        <f>+Tabla_master_rend[[#This Row],[Litros_Leche_Total]]/Tabla_master_rend[[#This Row],[Kg_Queso_Blan]]</f>
        <v>9.3823092737674987</v>
      </c>
      <c r="AK29" s="59">
        <f>+Tabla_master_rend[[#This Row],[Litros_Leche_Total]]/(Tabla_master_rend[[#This Row],[Kg_Queso_Blan]]-Tabla_master_rend[[#This Row],[Merma_TOT]])</f>
        <v>9.7080237685472675</v>
      </c>
      <c r="AL29" s="59">
        <f>VLOOKUP(G29,REND_TARGET[#All],8,FALSE)</f>
        <v>9.8078500000000002</v>
      </c>
      <c r="AM29" s="7">
        <f>(I29*1.03*Tabla_master_rend[[#This Row],[%MG_Leche]])+(I29*1.03*Tabla_master_rend[[#This Row],[%MP_Leche]])</f>
        <v>21516.913725000006</v>
      </c>
      <c r="AN29" s="38">
        <v>0.22559999999999999</v>
      </c>
      <c r="AO29" s="38">
        <v>0.25230000000000002</v>
      </c>
      <c r="AP29" s="60">
        <v>0.53239999999999998</v>
      </c>
      <c r="AQ29" s="38">
        <f>+Tabla_master_rend[[#This Row],[Kg_Queso_Blan]]*Tabla_master_rend[[#This Row],[ES_QUESO]]/(Tabla_master_rend[[#This Row],[Kg_Solidos_leche]])</f>
        <v>0.78145137629397621</v>
      </c>
      <c r="AR29" s="7">
        <f t="shared" si="20"/>
        <v>3902.8</v>
      </c>
      <c r="AS29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0.97130106353862256</v>
      </c>
      <c r="AT29" s="62">
        <f>+Tabla_master_rend[[#This Row],[Kg_Queso_Blan]]*Tabla_master_rend[[#This Row],[%PT_QUESO]]/(Tabla_master_rend[[#This Row],[Litros_Leche_Total]]*1.03*Tabla_master_rend[[#This Row],[%MP_Leche]])</f>
        <v>0.78401802522925257</v>
      </c>
      <c r="AU29" s="63">
        <f t="shared" si="21"/>
        <v>29271</v>
      </c>
      <c r="AV29" s="7">
        <v>66.81</v>
      </c>
      <c r="AW29" s="7">
        <v>86.6</v>
      </c>
      <c r="AX29" s="7">
        <v>168.9</v>
      </c>
      <c r="AY29" s="8">
        <f>SUM(Tabla_master_rend[[#This Row],[Kg_Finos]:[Kg_Desmoldeo]])</f>
        <v>322.31</v>
      </c>
      <c r="AZ29" s="60">
        <f>+(Tabla_master_rend[[#This Row],[Kg_Finos]]+Tabla_master_rend[[#This Row],[Kg_Llenadora]]+Tabla_master_rend[[#This Row],[Kg_Desmoldeo]])/(Tabla_master_rend[[#This Row],[Kg_Queso_Blan]])</f>
        <v>1.0205396628682322E-2</v>
      </c>
      <c r="BA29" s="7">
        <v>580</v>
      </c>
      <c r="BB29" s="60">
        <f>+Tabla_master_rend[[#This Row],[L_Agua]]/(Tabla_master_rend[[#This Row],[L_Agua]]+Tabla_master_rend[[#This Row],[Kg_SalidaSecadero]])</f>
        <v>1.8554062699936022E-2</v>
      </c>
      <c r="BC29" s="8">
        <v>4412</v>
      </c>
      <c r="BD29" s="8">
        <v>4101</v>
      </c>
      <c r="BE29" s="8">
        <v>29294</v>
      </c>
      <c r="BF29" s="8">
        <f>12*6.4</f>
        <v>76.800000000000011</v>
      </c>
      <c r="BG29" s="8">
        <f>64*6.4</f>
        <v>409.6</v>
      </c>
      <c r="BH29" s="7">
        <v>0</v>
      </c>
      <c r="BI29" s="7">
        <f>231*6.4</f>
        <v>1478.4</v>
      </c>
      <c r="BJ29" s="8">
        <v>105</v>
      </c>
      <c r="BK29" s="8">
        <v>30680</v>
      </c>
      <c r="BL29" s="8">
        <v>5.26</v>
      </c>
      <c r="BM29" s="8">
        <v>128.61000000000001</v>
      </c>
      <c r="BN29" s="7">
        <v>23.44</v>
      </c>
      <c r="BO29" s="68">
        <f>+SUM(Tabla_master_rend[[#This Row],[B_altas]:[B_lab]])/Tabla_master_rend[[#This Row],[Kg_SalidaSecadero]]</f>
        <v>6.7464146023468063E-2</v>
      </c>
      <c r="BP29" s="68">
        <f>+(Tabla_master_rend[[#This Row],[Kg_mer_env_real]]+Tabla_master_rend[[#This Row],[kg_mer_lab_real]])/Tabla_master_rend[[#This Row],[Kg_SalidaSecadero]]</f>
        <v>4.9559973924380709E-3</v>
      </c>
      <c r="BQ29" s="64">
        <f>+Tabla_master_rend[[#This Row],[Merma_TOT]]/Tabla_master_rend[[#This Row],[Kg_Queso_Blan]]</f>
        <v>3.3551060704552639E-2</v>
      </c>
      <c r="BR29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1059.6199999999999</v>
      </c>
      <c r="BS29" s="8"/>
      <c r="BT29" s="63">
        <f>IF(+Tabla_master_rend[[#This Row],[Kg_Env_Total]]=0,0,Tabla_master_rend[[#This Row],[Kg_Env_Total]]-Tabla_master_rend[[#This Row],[Kg_SalidaSecadero]])</f>
        <v>0</v>
      </c>
      <c r="BU29" s="60">
        <f>+Tabla_master_rend[[#This Row],[Diferencia_Env_vs_Sec_kg]]/Tabla_master_rend[[#This Row],[Kg_SalidaSecadero]]</f>
        <v>0</v>
      </c>
      <c r="BV29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9" s="65">
        <f>+(Tabla_master_rend[[#This Row],[Coste_Leche_€]]-Tabla_master_rend[[#This Row],[Kg_MG_Nata]]*$CO$3)/Tabla_master_rend[[#This Row],[Kg_Queso_Blan]]</f>
        <v>-0.92681630950997562</v>
      </c>
      <c r="BX29" s="8">
        <f>SUM(Tabla_master_rend[[#This Row],[Kg_Finos]:[Kg_Desmoldeo]])+Tabla_master_rend[[#This Row],[L_Agua]]+SUM(Tabla_master_rend[[#This Row],[B_altas]:[B_lab]])</f>
        <v>2972.11</v>
      </c>
      <c r="BY29" s="8">
        <f>+BX29-Tabla_master_rend[[#This Row],[Merma_TOT]]</f>
        <v>1912.4900000000002</v>
      </c>
      <c r="BZ29" s="62">
        <f t="shared" si="22"/>
        <v>0.64347887527716008</v>
      </c>
      <c r="CA29" s="8">
        <f>+Tabla_master_rend[[#This Row],[Kg_Queso_Blan]]*$CA$1</f>
        <v>205.28501499999999</v>
      </c>
      <c r="CB29" s="8">
        <f>+Tabla_master_rend[[#This Row],[Kg_Queso_Blan]]*($CB$1-$CA$1)</f>
        <v>110.53808500000002</v>
      </c>
      <c r="CC29" s="8">
        <f>+(Tabla_master_rend[[#This Row],[Kg_Queso_Blan]]-CA29-CB29)*$CC$1</f>
        <v>328.29811245000002</v>
      </c>
      <c r="CD29" s="8">
        <f t="shared" si="23"/>
        <v>644.12121245000003</v>
      </c>
      <c r="CE29" s="80">
        <f>+CD29/Tabla_master_rend[[#This Row],[Kg_Queso_Blan]]</f>
        <v>2.0395E-2</v>
      </c>
      <c r="CF29" s="62">
        <f>+Tabla_master_rend[[#This Row],[Merma_TOT]]/Tabla_master_rend[[#This Row],[Kg_Queso_Blan]]</f>
        <v>3.3551060704552639E-2</v>
      </c>
      <c r="CG29" s="8">
        <f>CD29-Tabla_master_rend[[#This Row],[Merma_TOT]]</f>
        <v>-415.49878754999986</v>
      </c>
      <c r="CH29" s="81" cm="1">
        <f t="array" ref="CH29">-BR29 * IFERROR(INDEX('Precio Leche_EBITDA_Ventas'!$BD$87:$BD$110,MATCH(1,('Precio Leche_EBITDA_Ventas'!$AZ$87:$AZ$110=YEAR(A29))*('Precio Leche_EBITDA_Ventas'!$BB$87:$BB$110=C29),0)),1.3)</f>
        <v>-3708.6699999999996</v>
      </c>
      <c r="CI29" s="81">
        <f t="shared" si="24"/>
        <v>-540.14842381499989</v>
      </c>
    </row>
    <row r="30" spans="1:96" x14ac:dyDescent="0.35">
      <c r="A30" s="9">
        <v>45721</v>
      </c>
      <c r="B30" s="7">
        <v>3</v>
      </c>
      <c r="C30" s="7" t="str">
        <f>+UPPER(TEXT(Tabla_master_rend[[#This Row],[Fecha]],"MMM"))</f>
        <v>MAR</v>
      </c>
      <c r="D30" s="7" t="str">
        <f>+UPPER(TEXT(Tabla_master_rend[[#This Row],[Fecha]],"ddd"))</f>
        <v>MI</v>
      </c>
      <c r="E30" s="3" t="s">
        <v>470</v>
      </c>
      <c r="F30" s="3" t="s">
        <v>244</v>
      </c>
      <c r="G30" s="84" t="s">
        <v>301</v>
      </c>
      <c r="H30">
        <v>16</v>
      </c>
      <c r="I30" s="8">
        <f>+Tabla_master_rend[[#This Row],[L_Leche_ent]]+Tabla_master_rend[[#This Row],[L_desn_ext]]+Tabla_master_rend[[#This Row],[L_cabra]]+Tabla_master_rend[[#This Row],[L_oveja]]</f>
        <v>253833</v>
      </c>
      <c r="J30" s="8">
        <v>253833</v>
      </c>
      <c r="K30" s="5">
        <v>3.78E-2</v>
      </c>
      <c r="L30" s="5">
        <v>3.3399999999999999E-2</v>
      </c>
      <c r="M30" s="5">
        <f t="shared" si="19"/>
        <v>0.10787000000000001</v>
      </c>
      <c r="N30" s="35" t="s">
        <v>43</v>
      </c>
      <c r="O30" s="8">
        <v>0</v>
      </c>
      <c r="P30" s="8">
        <v>0</v>
      </c>
      <c r="Q30" s="8">
        <v>0</v>
      </c>
      <c r="R30" s="8">
        <v>3326</v>
      </c>
      <c r="T30" s="8">
        <v>219760</v>
      </c>
      <c r="U30" s="38">
        <f>+Tabla_master_rend[[#This Row],[L_suero Total]]/Tabla_master_rend[[#This Row],[Litros_Leche_Total]]</f>
        <v>0.86576607454507493</v>
      </c>
      <c r="V30" s="5">
        <v>2.3E-3</v>
      </c>
      <c r="W30" s="5">
        <v>9.0000000000000011E-3</v>
      </c>
      <c r="X30" s="8">
        <v>125676</v>
      </c>
      <c r="Y30" s="57">
        <v>38654</v>
      </c>
      <c r="Z30" s="58">
        <f>IF(Tabla_master_rend[[#This Row],[L_suero para con]]=0,0,+Tabla_master_rend[[#This Row],[L_suero para con]]/Tabla_master_rend[[#This Row],[L_suero_con]])</f>
        <v>3.2513064624618409</v>
      </c>
      <c r="AA30" s="8">
        <f>+Tabla_master_rend[[#This Row],[L_suero Total]]-Tabla_master_rend[[#This Row],[L_suero para con]]</f>
        <v>94084</v>
      </c>
      <c r="AD30" s="8"/>
      <c r="AE30" s="8"/>
      <c r="AF30" s="8"/>
      <c r="AG30" s="5"/>
      <c r="AI30" s="7">
        <f>+Tabla_master_rend[[#This Row],[Kg_Finos]]+Tabla_master_rend[[#This Row],[Kg_Llenadora]]+Tabla_master_rend[[#This Row],[Kg_Desmoldeo]]+Tabla_master_rend[[#This Row],[L_Agua]]+Tabla_master_rend[[#This Row],[Kg_SalidaSecadero]]</f>
        <v>28812.400000000001</v>
      </c>
      <c r="AJ30" s="59">
        <f>+Tabla_master_rend[[#This Row],[Litros_Leche_Total]]/Tabla_master_rend[[#This Row],[Kg_Queso_Blan]]</f>
        <v>8.8098527023087279</v>
      </c>
      <c r="AK30" s="59">
        <f>+Tabla_master_rend[[#This Row],[Litros_Leche_Total]]/(Tabla_master_rend[[#This Row],[Kg_Queso_Blan]]-Tabla_master_rend[[#This Row],[Merma_TOT]])</f>
        <v>9.0542790174566488</v>
      </c>
      <c r="AL30" s="59">
        <f>VLOOKUP(G30,REND_TARGET[#All],8,FALSE)</f>
        <v>9.3549429999999987</v>
      </c>
      <c r="AM30" s="7">
        <f>(I30*1.03*Tabla_master_rend[[#This Row],[%MG_Leche]])+(I30*1.03*Tabla_master_rend[[#This Row],[%MP_Leche]])</f>
        <v>18615.096888</v>
      </c>
      <c r="AN30" s="38">
        <v>0.28809999999999997</v>
      </c>
      <c r="AO30" s="38">
        <v>0.2382</v>
      </c>
      <c r="AP30" s="60">
        <v>0.57489999999999997</v>
      </c>
      <c r="AQ30" s="38">
        <f>+Tabla_master_rend[[#This Row],[Kg_Queso_Blan]]*Tabla_master_rend[[#This Row],[ES_QUESO]]/(Tabla_master_rend[[#This Row],[Kg_Solidos_leche]])</f>
        <v>0.88982876960892665</v>
      </c>
      <c r="AR30" s="7">
        <f t="shared" si="20"/>
        <v>1330.4</v>
      </c>
      <c r="AS30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0.97455344022816182</v>
      </c>
      <c r="AT30" s="62">
        <f>+Tabla_master_rend[[#This Row],[Kg_Queso_Blan]]*Tabla_master_rend[[#This Row],[%PT_QUESO]]/(Tabla_master_rend[[#This Row],[Litros_Leche_Total]]*1.03*Tabla_master_rend[[#This Row],[%MP_Leche]])</f>
        <v>0.78594004684825469</v>
      </c>
      <c r="AU30" s="63">
        <f t="shared" si="21"/>
        <v>9978</v>
      </c>
      <c r="AV30" s="7">
        <v>47.9</v>
      </c>
      <c r="AW30" s="7">
        <v>67.400000000000006</v>
      </c>
      <c r="AX30" s="7">
        <v>3.1</v>
      </c>
      <c r="AY30" s="8">
        <f>SUM(Tabla_master_rend[[#This Row],[Kg_Finos]:[Kg_Desmoldeo]])</f>
        <v>118.4</v>
      </c>
      <c r="AZ30" s="60">
        <f>+(Tabla_master_rend[[#This Row],[Kg_Finos]]+Tabla_master_rend[[#This Row],[Kg_Llenadora]]+Tabla_master_rend[[#This Row],[Kg_Desmoldeo]])/(Tabla_master_rend[[#This Row],[Kg_Queso_Blan]])</f>
        <v>4.1093418111646371E-3</v>
      </c>
      <c r="BA30" s="7">
        <v>560</v>
      </c>
      <c r="BB30" s="60">
        <f>+Tabla_master_rend[[#This Row],[L_Agua]]/(Tabla_master_rend[[#This Row],[L_Agua]]+Tabla_master_rend[[#This Row],[Kg_SalidaSecadero]])</f>
        <v>1.9516275179480031E-2</v>
      </c>
      <c r="BC30" s="8">
        <v>3937</v>
      </c>
      <c r="BD30" s="8">
        <v>3897</v>
      </c>
      <c r="BE30" s="8">
        <v>28439</v>
      </c>
      <c r="BF30" s="8">
        <f>78*6.4</f>
        <v>499.20000000000005</v>
      </c>
      <c r="BG30" s="8">
        <f>7*6.4</f>
        <v>44.800000000000004</v>
      </c>
      <c r="BH30" s="7">
        <v>0</v>
      </c>
      <c r="BI30" s="7">
        <f>18*6.4</f>
        <v>115.2</v>
      </c>
      <c r="BJ30" s="8">
        <v>94</v>
      </c>
      <c r="BK30" s="8">
        <v>28134</v>
      </c>
      <c r="BL30" s="8">
        <v>0</v>
      </c>
      <c r="BM30" s="8">
        <v>81.33</v>
      </c>
      <c r="BN30" s="7">
        <v>18.079999999999998</v>
      </c>
      <c r="BO30" s="68">
        <f>+SUM(Tabla_master_rend[[#This Row],[B_altas]:[B_lab]])/Tabla_master_rend[[#This Row],[Kg_SalidaSecadero]]</f>
        <v>2.6771877443662474E-2</v>
      </c>
      <c r="BP30" s="68">
        <f>+(Tabla_master_rend[[#This Row],[Kg_mer_env_real]]+Tabla_master_rend[[#This Row],[kg_mer_lab_real]])/Tabla_master_rend[[#This Row],[Kg_SalidaSecadero]]</f>
        <v>3.5334470747138691E-3</v>
      </c>
      <c r="BQ30" s="64">
        <f>+Tabla_master_rend[[#This Row],[Merma_TOT]]/Tabla_master_rend[[#This Row],[Kg_Queso_Blan]]</f>
        <v>2.6995668531604445E-2</v>
      </c>
      <c r="BR30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777.81</v>
      </c>
      <c r="BS30" s="8"/>
      <c r="BT30" s="63">
        <f>IF(+Tabla_master_rend[[#This Row],[Kg_Env_Total]]=0,0,Tabla_master_rend[[#This Row],[Kg_Env_Total]]-Tabla_master_rend[[#This Row],[Kg_SalidaSecadero]])</f>
        <v>0</v>
      </c>
      <c r="BU30" s="60">
        <f>+Tabla_master_rend[[#This Row],[Diferencia_Env_vs_Sec_kg]]/Tabla_master_rend[[#This Row],[Kg_SalidaSecadero]]</f>
        <v>0</v>
      </c>
      <c r="BV30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30" s="65">
        <f>+(Tabla_master_rend[[#This Row],[Coste_Leche_€]]-Tabla_master_rend[[#This Row],[Kg_MG_Nata]]*$CO$3)/Tabla_master_rend[[#This Row],[Kg_Queso_Blan]]</f>
        <v>-0.3463092279712901</v>
      </c>
      <c r="BX30" s="8">
        <f>SUM(Tabla_master_rend[[#This Row],[Kg_Finos]:[Kg_Desmoldeo]])+Tabla_master_rend[[#This Row],[L_Agua]]+SUM(Tabla_master_rend[[#This Row],[B_altas]:[B_lab]])</f>
        <v>1431.6</v>
      </c>
      <c r="BY30" s="8">
        <f>+BX30-Tabla_master_rend[[#This Row],[Merma_TOT]]</f>
        <v>653.79</v>
      </c>
      <c r="BZ30" s="62">
        <f t="shared" si="22"/>
        <v>0.45668482816429168</v>
      </c>
      <c r="CA30" s="8">
        <f>+Tabla_master_rend[[#This Row],[Kg_Queso_Blan]]*$CA$1</f>
        <v>187.28059999999999</v>
      </c>
      <c r="CB30" s="8">
        <f>+Tabla_master_rend[[#This Row],[Kg_Queso_Blan]]*($CB$1-$CA$1)</f>
        <v>100.84340000000002</v>
      </c>
      <c r="CC30" s="8">
        <f>+(Tabla_master_rend[[#This Row],[Kg_Queso_Blan]]-CA30-CB30)*$CC$1</f>
        <v>299.50489800000003</v>
      </c>
      <c r="CD30" s="8">
        <f t="shared" si="23"/>
        <v>587.62889800000005</v>
      </c>
      <c r="CE30" s="80">
        <f>+CD30/Tabla_master_rend[[#This Row],[Kg_Queso_Blan]]</f>
        <v>2.0395E-2</v>
      </c>
      <c r="CF30" s="62">
        <f>+Tabla_master_rend[[#This Row],[Merma_TOT]]/Tabla_master_rend[[#This Row],[Kg_Queso_Blan]]</f>
        <v>2.6995668531604445E-2</v>
      </c>
      <c r="CG30" s="8">
        <f>CD30-Tabla_master_rend[[#This Row],[Merma_TOT]]</f>
        <v>-190.1811019999999</v>
      </c>
      <c r="CH30" s="81" cm="1">
        <f t="array" ref="CH30">-BR30 * IFERROR(INDEX('Precio Leche_EBITDA_Ventas'!$BD$87:$BD$110,MATCH(1,('Precio Leche_EBITDA_Ventas'!$AZ$87:$AZ$110=YEAR(A30))*('Precio Leche_EBITDA_Ventas'!$BB$87:$BB$110=C30),0)),1.3)</f>
        <v>-2722.335</v>
      </c>
      <c r="CI30" s="81">
        <f t="shared" si="24"/>
        <v>-247.23543259999988</v>
      </c>
    </row>
    <row r="31" spans="1:96" x14ac:dyDescent="0.35">
      <c r="A31" s="9">
        <v>45722</v>
      </c>
      <c r="B31" s="7">
        <v>3</v>
      </c>
      <c r="C31" s="7" t="str">
        <f>+UPPER(TEXT(Tabla_master_rend[[#This Row],[Fecha]],"MMM"))</f>
        <v>MAR</v>
      </c>
      <c r="D31" s="7" t="str">
        <f>+UPPER(TEXT(Tabla_master_rend[[#This Row],[Fecha]],"ddd"))</f>
        <v>JU</v>
      </c>
      <c r="E31" s="3" t="s">
        <v>471</v>
      </c>
      <c r="F31" s="3" t="s">
        <v>244</v>
      </c>
      <c r="G31" s="84" t="s">
        <v>190</v>
      </c>
      <c r="H31">
        <v>17</v>
      </c>
      <c r="I31" s="8">
        <f>+Tabla_master_rend[[#This Row],[L_Leche_ent]]+Tabla_master_rend[[#This Row],[L_desn_ext]]+Tabla_master_rend[[#This Row],[L_cabra]]+Tabla_master_rend[[#This Row],[L_oveja]]</f>
        <v>249248</v>
      </c>
      <c r="J31" s="8">
        <v>249248</v>
      </c>
      <c r="K31" s="5">
        <v>3.9E-2</v>
      </c>
      <c r="L31" s="5">
        <v>3.3599999999999998E-2</v>
      </c>
      <c r="M31" s="5">
        <f t="shared" si="19"/>
        <v>0.10913400000000001</v>
      </c>
      <c r="N31" s="35" t="s">
        <v>188</v>
      </c>
      <c r="O31" s="8">
        <v>0</v>
      </c>
      <c r="P31" s="8">
        <v>0</v>
      </c>
      <c r="Q31" s="8">
        <v>0</v>
      </c>
      <c r="R31" s="8">
        <v>2980</v>
      </c>
      <c r="T31" s="8">
        <v>230310</v>
      </c>
      <c r="U31" s="38">
        <f>+Tabla_master_rend[[#This Row],[L_suero Total]]/Tabla_master_rend[[#This Row],[Litros_Leche_Total]]</f>
        <v>0.92401945050712542</v>
      </c>
      <c r="V31" s="5">
        <v>2E-3</v>
      </c>
      <c r="W31" s="5">
        <v>9.1999999999999998E-3</v>
      </c>
      <c r="X31" s="8">
        <v>231580</v>
      </c>
      <c r="Y31" s="57">
        <v>78141</v>
      </c>
      <c r="Z31" s="58">
        <f>IF(Tabla_master_rend[[#This Row],[L_suero para con]]=0,0,+Tabla_master_rend[[#This Row],[L_suero para con]]/Tabla_master_rend[[#This Row],[L_suero_con]])</f>
        <v>2.9636170512279083</v>
      </c>
      <c r="AA31" s="8">
        <f>+Tabla_master_rend[[#This Row],[L_suero Total]]-Tabla_master_rend[[#This Row],[L_suero para con]]</f>
        <v>-1270</v>
      </c>
      <c r="AD31" s="8"/>
      <c r="AE31" s="8"/>
      <c r="AF31" s="8"/>
      <c r="AG31" s="5"/>
      <c r="AI31" s="7">
        <f>+Tabla_master_rend[[#This Row],[Kg_Finos]]+Tabla_master_rend[[#This Row],[Kg_Llenadora]]+Tabla_master_rend[[#This Row],[Kg_Desmoldeo]]+Tabla_master_rend[[#This Row],[L_Agua]]+Tabla_master_rend[[#This Row],[Kg_SalidaSecadero]]</f>
        <v>30576.2</v>
      </c>
      <c r="AJ31" s="59">
        <f>+Tabla_master_rend[[#This Row],[Litros_Leche_Total]]/Tabla_master_rend[[#This Row],[Kg_Queso_Blan]]</f>
        <v>8.1516996879926218</v>
      </c>
      <c r="AK31" s="59">
        <f>+Tabla_master_rend[[#This Row],[Litros_Leche_Total]]/(Tabla_master_rend[[#This Row],[Kg_Queso_Blan]]-Tabla_master_rend[[#This Row],[Merma_TOT]])</f>
        <v>8.4789738471309537</v>
      </c>
      <c r="AL31" s="59">
        <f>VLOOKUP(G31,REND_TARGET[#All],8,FALSE)</f>
        <v>8.4943170000000006</v>
      </c>
      <c r="AM31" s="7">
        <f>(I31*1.03*Tabla_master_rend[[#This Row],[%MG_Leche]])+(I31*1.03*Tabla_master_rend[[#This Row],[%MP_Leche]])</f>
        <v>18638.266944000003</v>
      </c>
      <c r="AN31" s="38">
        <v>0.28559999999999997</v>
      </c>
      <c r="AO31" s="38">
        <v>0.23269999999999999</v>
      </c>
      <c r="AP31" s="60">
        <v>0.56840000000000002</v>
      </c>
      <c r="AQ31" s="38">
        <f>+Tabla_master_rend[[#This Row],[Kg_Queso_Blan]]*Tabla_master_rend[[#This Row],[ES_QUESO]]/(Tabla_master_rend[[#This Row],[Kg_Solidos_leche]])</f>
        <v>0.93246395344685096</v>
      </c>
      <c r="AR31" s="7">
        <f t="shared" si="20"/>
        <v>1192</v>
      </c>
      <c r="AS31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0.99123782660373339</v>
      </c>
      <c r="AT31" s="62">
        <f>+Tabla_master_rend[[#This Row],[Kg_Queso_Blan]]*Tabla_master_rend[[#This Row],[%PT_QUESO]]/(Tabla_master_rend[[#This Row],[Litros_Leche_Total]]*1.03*Tabla_master_rend[[#This Row],[%MP_Leche]])</f>
        <v>0.82484379077915926</v>
      </c>
      <c r="AU31" s="63">
        <f t="shared" si="21"/>
        <v>8940</v>
      </c>
      <c r="AV31" s="7">
        <v>68.599999999999994</v>
      </c>
      <c r="AW31" s="7">
        <v>109.1</v>
      </c>
      <c r="AX31" s="7">
        <v>54.5</v>
      </c>
      <c r="AY31" s="8">
        <f>SUM(Tabla_master_rend[[#This Row],[Kg_Finos]:[Kg_Desmoldeo]])</f>
        <v>232.2</v>
      </c>
      <c r="AZ31" s="60">
        <f>+(Tabla_master_rend[[#This Row],[Kg_Finos]]+Tabla_master_rend[[#This Row],[Kg_Llenadora]]+Tabla_master_rend[[#This Row],[Kg_Desmoldeo]])/(Tabla_master_rend[[#This Row],[Kg_Queso_Blan]])</f>
        <v>7.5941418488890047E-3</v>
      </c>
      <c r="BA31" s="7">
        <v>825</v>
      </c>
      <c r="BB31" s="60">
        <f>+Tabla_master_rend[[#This Row],[L_Agua]]/(Tabla_master_rend[[#This Row],[L_Agua]]+Tabla_master_rend[[#This Row],[Kg_SalidaSecadero]])</f>
        <v>2.7188241497495387E-2</v>
      </c>
      <c r="BC31" s="8">
        <v>4273</v>
      </c>
      <c r="BD31" s="8">
        <v>4240</v>
      </c>
      <c r="BE31" s="8">
        <v>30139</v>
      </c>
      <c r="BF31" s="8">
        <f>7*6.2</f>
        <v>43.4</v>
      </c>
      <c r="BG31" s="8">
        <v>0</v>
      </c>
      <c r="BH31" s="7">
        <f>2*6.2</f>
        <v>12.4</v>
      </c>
      <c r="BI31" s="7">
        <f>15*6.2</f>
        <v>93</v>
      </c>
      <c r="BJ31" s="8">
        <v>93</v>
      </c>
      <c r="BK31" s="8">
        <v>29519</v>
      </c>
      <c r="BL31" s="8">
        <v>0</v>
      </c>
      <c r="BM31" s="8">
        <v>93.53</v>
      </c>
      <c r="BN31" s="7">
        <v>29.46</v>
      </c>
      <c r="BO31" s="68">
        <f>+SUM(Tabla_master_rend[[#This Row],[B_altas]:[B_lab]])/Tabla_master_rend[[#This Row],[Kg_SalidaSecadero]]</f>
        <v>8.1913343947965719E-3</v>
      </c>
      <c r="BP31" s="68">
        <f>+(Tabla_master_rend[[#This Row],[Kg_mer_env_real]]+Tabla_master_rend[[#This Row],[kg_mer_lab_real]])/Tabla_master_rend[[#This Row],[Kg_SalidaSecadero]]</f>
        <v>4.1664690538297374E-3</v>
      </c>
      <c r="BQ31" s="64">
        <f>+Tabla_master_rend[[#This Row],[Merma_TOT]]/Tabla_master_rend[[#This Row],[Kg_Queso_Blan]]</f>
        <v>3.859832157037172E-2</v>
      </c>
      <c r="BR31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1180.1899999999998</v>
      </c>
      <c r="BS31" s="8"/>
      <c r="BT31" s="63">
        <f>IF(+Tabla_master_rend[[#This Row],[Kg_Env_Total]]=0,0,Tabla_master_rend[[#This Row],[Kg_Env_Total]]-Tabla_master_rend[[#This Row],[Kg_SalidaSecadero]])</f>
        <v>0</v>
      </c>
      <c r="BU31" s="60">
        <f>+Tabla_master_rend[[#This Row],[Diferencia_Env_vs_Sec_kg]]/Tabla_master_rend[[#This Row],[Kg_SalidaSecadero]]</f>
        <v>0</v>
      </c>
      <c r="BV31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31" s="65">
        <f>+(Tabla_master_rend[[#This Row],[Coste_Leche_€]]-Tabla_master_rend[[#This Row],[Kg_MG_Nata]]*$CO$3)/Tabla_master_rend[[#This Row],[Kg_Queso_Blan]]</f>
        <v>-0.29238427273500306</v>
      </c>
      <c r="BX31" s="8">
        <f>SUM(Tabla_master_rend[[#This Row],[Kg_Finos]:[Kg_Desmoldeo]])+Tabla_master_rend[[#This Row],[L_Agua]]+SUM(Tabla_master_rend[[#This Row],[B_altas]:[B_lab]])</f>
        <v>1299</v>
      </c>
      <c r="BY31" s="8">
        <f>+BX31-Tabla_master_rend[[#This Row],[Merma_TOT]]</f>
        <v>118.81000000000017</v>
      </c>
      <c r="BZ31" s="62">
        <f t="shared" si="22"/>
        <v>9.1462663587375037E-2</v>
      </c>
      <c r="CA31" s="8">
        <f>+Tabla_master_rend[[#This Row],[Kg_Queso_Blan]]*$CA$1</f>
        <v>198.74529999999999</v>
      </c>
      <c r="CB31" s="8">
        <f>+Tabla_master_rend[[#This Row],[Kg_Queso_Blan]]*($CB$1-$CA$1)</f>
        <v>107.01670000000001</v>
      </c>
      <c r="CC31" s="8">
        <f>+(Tabla_master_rend[[#This Row],[Kg_Queso_Blan]]-CA31-CB31)*$CC$1</f>
        <v>317.83959900000002</v>
      </c>
      <c r="CD31" s="8">
        <f t="shared" si="23"/>
        <v>623.60159900000008</v>
      </c>
      <c r="CE31" s="80">
        <f>+CD31/Tabla_master_rend[[#This Row],[Kg_Queso_Blan]]</f>
        <v>2.0395000000000003E-2</v>
      </c>
      <c r="CF31" s="62">
        <f>+Tabla_master_rend[[#This Row],[Merma_TOT]]/Tabla_master_rend[[#This Row],[Kg_Queso_Blan]]</f>
        <v>3.859832157037172E-2</v>
      </c>
      <c r="CG31" s="8">
        <f>CD31-Tabla_master_rend[[#This Row],[Merma_TOT]]</f>
        <v>-556.58840099999975</v>
      </c>
      <c r="CH31" s="81" cm="1">
        <f t="array" ref="CH31">-BR31 * IFERROR(INDEX('Precio Leche_EBITDA_Ventas'!$BD$87:$BD$110,MATCH(1,('Precio Leche_EBITDA_Ventas'!$AZ$87:$AZ$110=YEAR(A31))*('Precio Leche_EBITDA_Ventas'!$BB$87:$BB$110=C31),0)),1.3)</f>
        <v>-4130.6649999999991</v>
      </c>
      <c r="CI31" s="81">
        <f t="shared" si="24"/>
        <v>-723.5649212999997</v>
      </c>
    </row>
    <row r="32" spans="1:96" x14ac:dyDescent="0.35">
      <c r="A32" s="9">
        <v>45726</v>
      </c>
      <c r="B32" s="7">
        <v>3</v>
      </c>
      <c r="C32" s="7" t="str">
        <f>+UPPER(TEXT(Tabla_master_rend[[#This Row],[Fecha]],"MMM"))</f>
        <v>MAR</v>
      </c>
      <c r="D32" s="7" t="str">
        <f>+UPPER(TEXT(Tabla_master_rend[[#This Row],[Fecha]],"ddd"))</f>
        <v>LU</v>
      </c>
      <c r="E32" s="3">
        <v>100325326</v>
      </c>
      <c r="F32" s="3" t="s">
        <v>244</v>
      </c>
      <c r="G32" s="84" t="s">
        <v>301</v>
      </c>
      <c r="H32">
        <v>18</v>
      </c>
      <c r="I32" s="8">
        <f>+Tabla_master_rend[[#This Row],[L_Leche_ent]]+Tabla_master_rend[[#This Row],[L_desn_ext]]+Tabla_master_rend[[#This Row],[L_cabra]]+Tabla_master_rend[[#This Row],[L_oveja]]</f>
        <v>287787</v>
      </c>
      <c r="J32" s="8">
        <v>287787</v>
      </c>
      <c r="K32" s="5">
        <v>3.6299999999999999E-2</v>
      </c>
      <c r="L32" s="5">
        <v>3.3300000000000003E-2</v>
      </c>
      <c r="M32" s="5">
        <f t="shared" si="19"/>
        <v>0.106401</v>
      </c>
      <c r="N32" s="35" t="s">
        <v>43</v>
      </c>
      <c r="O32" s="8">
        <v>0</v>
      </c>
      <c r="P32" s="8">
        <v>0</v>
      </c>
      <c r="Q32" s="8">
        <v>0</v>
      </c>
      <c r="R32" s="8">
        <v>2478</v>
      </c>
      <c r="T32" s="8">
        <v>239540</v>
      </c>
      <c r="U32" s="38">
        <f>+Tabla_master_rend[[#This Row],[L_suero Total]]/Tabla_master_rend[[#This Row],[Litros_Leche_Total]]</f>
        <v>0.83235170455927476</v>
      </c>
      <c r="V32" s="5">
        <v>2.0999999999999999E-3</v>
      </c>
      <c r="W32" s="5">
        <v>8.8999999999999999E-3</v>
      </c>
      <c r="X32" s="8">
        <v>239835</v>
      </c>
      <c r="Y32" s="57">
        <v>80678</v>
      </c>
      <c r="Z32" s="58">
        <f>IF(Tabla_master_rend[[#This Row],[L_suero para con]]=0,0,+Tabla_master_rend[[#This Row],[L_suero para con]]/Tabla_master_rend[[#This Row],[L_suero_con]])</f>
        <v>2.9727434988472692</v>
      </c>
      <c r="AA32" s="8">
        <f>+Tabla_master_rend[[#This Row],[L_suero Total]]-Tabla_master_rend[[#This Row],[L_suero para con]]</f>
        <v>-295</v>
      </c>
      <c r="AD32" s="8"/>
      <c r="AE32" s="8"/>
      <c r="AF32" s="8"/>
      <c r="AG32" s="5"/>
      <c r="AI32" s="7">
        <f>+Tabla_master_rend[[#This Row],[Kg_Finos]]+Tabla_master_rend[[#This Row],[Kg_Llenadora]]+Tabla_master_rend[[#This Row],[Kg_Desmoldeo]]+Tabla_master_rend[[#This Row],[L_Agua]]+Tabla_master_rend[[#This Row],[Kg_SalidaSecadero]]</f>
        <v>32417.24</v>
      </c>
      <c r="AJ32" s="59">
        <f>+Tabla_master_rend[[#This Row],[Litros_Leche_Total]]/Tabla_master_rend[[#This Row],[Kg_Queso_Blan]]</f>
        <v>8.8775910595720049</v>
      </c>
      <c r="AK32" s="59">
        <f>+Tabla_master_rend[[#This Row],[Litros_Leche_Total]]/(Tabla_master_rend[[#This Row],[Kg_Queso_Blan]]-Tabla_master_rend[[#This Row],[Merma_TOT]])</f>
        <v>9.0427368743207026</v>
      </c>
      <c r="AL32" s="59">
        <f>VLOOKUP(G32,REND_TARGET[#All],8,FALSE)</f>
        <v>9.3549429999999987</v>
      </c>
      <c r="AM32" s="7">
        <f>(I32*1.03*Tabla_master_rend[[#This Row],[%MG_Leche]])+(I32*1.03*Tabla_master_rend[[#This Row],[%MP_Leche]])</f>
        <v>20630.874455999998</v>
      </c>
      <c r="AN32" s="38">
        <v>0.29089999999999999</v>
      </c>
      <c r="AO32" s="38">
        <v>0.23850000000000002</v>
      </c>
      <c r="AP32" s="60">
        <v>0.57820000000000005</v>
      </c>
      <c r="AQ32" s="38">
        <f>+Tabla_master_rend[[#This Row],[Kg_Queso_Blan]]*Tabla_master_rend[[#This Row],[ES_QUESO]]/(Tabla_master_rend[[#This Row],[Kg_Solidos_leche]])</f>
        <v>0.90852417370747274</v>
      </c>
      <c r="AR32" s="7">
        <f t="shared" si="20"/>
        <v>991.2</v>
      </c>
      <c r="AS32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0.96852315222368401</v>
      </c>
      <c r="AT32" s="62">
        <f>+Tabla_master_rend[[#This Row],[Kg_Queso_Blan]]*Tabla_master_rend[[#This Row],[%PT_QUESO]]/(Tabla_master_rend[[#This Row],[Litros_Leche_Total]]*1.03*Tabla_master_rend[[#This Row],[%MP_Leche]])</f>
        <v>0.78327053483133213</v>
      </c>
      <c r="AU32" s="63">
        <f t="shared" si="21"/>
        <v>7434</v>
      </c>
      <c r="AV32" s="7">
        <v>37.04</v>
      </c>
      <c r="AW32" s="7">
        <v>124.3</v>
      </c>
      <c r="AX32" s="7">
        <v>19.899999999999999</v>
      </c>
      <c r="AY32" s="8">
        <f>SUM(Tabla_master_rend[[#This Row],[Kg_Finos]:[Kg_Desmoldeo]])</f>
        <v>181.24</v>
      </c>
      <c r="AZ32" s="60">
        <f>+(Tabla_master_rend[[#This Row],[Kg_Finos]]+Tabla_master_rend[[#This Row],[Kg_Llenadora]]+Tabla_master_rend[[#This Row],[Kg_Desmoldeo]])/(Tabla_master_rend[[#This Row],[Kg_Queso_Blan]])</f>
        <v>5.590852274900639E-3</v>
      </c>
      <c r="BA32" s="7">
        <v>295</v>
      </c>
      <c r="BB32" s="60">
        <f>+Tabla_master_rend[[#This Row],[L_Agua]]/(Tabla_master_rend[[#This Row],[L_Agua]]+Tabla_master_rend[[#This Row],[Kg_SalidaSecadero]])</f>
        <v>9.1512594614716457E-3</v>
      </c>
      <c r="BC32" s="8">
        <v>4497</v>
      </c>
      <c r="BD32" s="8">
        <v>4462</v>
      </c>
      <c r="BE32" s="8">
        <v>32019</v>
      </c>
      <c r="BF32" s="8">
        <f>10*5.8</f>
        <v>58</v>
      </c>
      <c r="BG32" s="8">
        <f>10*5.8</f>
        <v>58</v>
      </c>
      <c r="BH32" s="7">
        <v>0</v>
      </c>
      <c r="BI32" s="7">
        <f>8*5.8</f>
        <v>46.4</v>
      </c>
      <c r="BJ32" s="8">
        <v>112</v>
      </c>
      <c r="BK32" s="8">
        <v>31941</v>
      </c>
      <c r="BL32" s="8">
        <v>1.41</v>
      </c>
      <c r="BM32" s="8">
        <v>94.58</v>
      </c>
      <c r="BN32" s="7">
        <v>19.8</v>
      </c>
      <c r="BO32" s="68">
        <f>+SUM(Tabla_master_rend[[#This Row],[B_altas]:[B_lab]])/Tabla_master_rend[[#This Row],[Kg_SalidaSecadero]]</f>
        <v>8.5908393600701294E-3</v>
      </c>
      <c r="BP32" s="68">
        <f>+(Tabla_master_rend[[#This Row],[Kg_mer_env_real]]+Tabla_master_rend[[#This Row],[kg_mer_lab_real]])/Tabla_master_rend[[#This Row],[Kg_SalidaSecadero]]</f>
        <v>3.580977427131273E-3</v>
      </c>
      <c r="BQ32" s="64">
        <f>+Tabla_master_rend[[#This Row],[Merma_TOT]]/Tabla_master_rend[[#This Row],[Kg_Queso_Blan]]</f>
        <v>1.8262813243817174E-2</v>
      </c>
      <c r="BR32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592.02999999999986</v>
      </c>
      <c r="BS32" s="8"/>
      <c r="BT32" s="63">
        <f>IF(+Tabla_master_rend[[#This Row],[Kg_Env_Total]]=0,0,Tabla_master_rend[[#This Row],[Kg_Env_Total]]-Tabla_master_rend[[#This Row],[Kg_SalidaSecadero]])</f>
        <v>0</v>
      </c>
      <c r="BU32" s="60">
        <f>+Tabla_master_rend[[#This Row],[Diferencia_Env_vs_Sec_kg]]/Tabla_master_rend[[#This Row],[Kg_SalidaSecadero]]</f>
        <v>0</v>
      </c>
      <c r="BV32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32" s="65">
        <f>+(Tabla_master_rend[[#This Row],[Coste_Leche_€]]-Tabla_master_rend[[#This Row],[Kg_MG_Nata]]*$CO$3)/Tabla_master_rend[[#This Row],[Kg_Queso_Blan]]</f>
        <v>-0.22932242226667043</v>
      </c>
      <c r="BX32" s="8">
        <f>SUM(Tabla_master_rend[[#This Row],[Kg_Finos]:[Kg_Desmoldeo]])+Tabla_master_rend[[#This Row],[L_Agua]]+SUM(Tabla_master_rend[[#This Row],[B_altas]:[B_lab]])</f>
        <v>750.64</v>
      </c>
      <c r="BY32" s="8">
        <f>+BX32-Tabla_master_rend[[#This Row],[Merma_TOT]]</f>
        <v>158.61000000000013</v>
      </c>
      <c r="BZ32" s="62">
        <f t="shared" si="22"/>
        <v>0.21129969093040624</v>
      </c>
      <c r="CA32" s="8">
        <f>+Tabla_master_rend[[#This Row],[Kg_Queso_Blan]]*$CA$1</f>
        <v>210.71206000000001</v>
      </c>
      <c r="CB32" s="8">
        <f>+Tabla_master_rend[[#This Row],[Kg_Queso_Blan]]*($CB$1-$CA$1)</f>
        <v>113.46034000000002</v>
      </c>
      <c r="CC32" s="8">
        <f>+(Tabla_master_rend[[#This Row],[Kg_Queso_Blan]]-CA32-CB32)*$CC$1</f>
        <v>336.97720980000003</v>
      </c>
      <c r="CD32" s="8">
        <f t="shared" si="23"/>
        <v>661.14960980000001</v>
      </c>
      <c r="CE32" s="80">
        <f>+CD32/Tabla_master_rend[[#This Row],[Kg_Queso_Blan]]</f>
        <v>2.0395E-2</v>
      </c>
      <c r="CF32" s="62">
        <f>+Tabla_master_rend[[#This Row],[Merma_TOT]]/Tabla_master_rend[[#This Row],[Kg_Queso_Blan]]</f>
        <v>1.8262813243817174E-2</v>
      </c>
      <c r="CG32" s="8">
        <f>CD32-Tabla_master_rend[[#This Row],[Merma_TOT]]</f>
        <v>69.119609800000148</v>
      </c>
      <c r="CH32" s="81" cm="1">
        <f t="array" ref="CH32">-BR32 * IFERROR(INDEX('Precio Leche_EBITDA_Ventas'!$BD$87:$BD$110,MATCH(1,('Precio Leche_EBITDA_Ventas'!$AZ$87:$AZ$110=YEAR(A32))*('Precio Leche_EBITDA_Ventas'!$BB$87:$BB$110=C32),0)),1.3)</f>
        <v>-2072.1049999999996</v>
      </c>
      <c r="CI32" s="81">
        <f t="shared" si="24"/>
        <v>89.855492740000201</v>
      </c>
    </row>
    <row r="33" spans="1:87" x14ac:dyDescent="0.35">
      <c r="A33" s="9">
        <v>45727</v>
      </c>
      <c r="B33" s="7">
        <v>3</v>
      </c>
      <c r="C33" s="7" t="str">
        <f>+UPPER(TEXT(Tabla_master_rend[[#This Row],[Fecha]],"MMM"))</f>
        <v>MAR</v>
      </c>
      <c r="D33" s="7" t="str">
        <f>+UPPER(TEXT(Tabla_master_rend[[#This Row],[Fecha]],"ddd"))</f>
        <v>MA</v>
      </c>
      <c r="E33" s="3">
        <v>110325126</v>
      </c>
      <c r="F33" s="3" t="s">
        <v>244</v>
      </c>
      <c r="G33" s="84" t="s">
        <v>301</v>
      </c>
      <c r="H33">
        <v>17</v>
      </c>
      <c r="I33" s="8">
        <f>+Tabla_master_rend[[#This Row],[L_Leche_ent]]+Tabla_master_rend[[#This Row],[L_desn_ext]]+Tabla_master_rend[[#This Row],[L_cabra]]+Tabla_master_rend[[#This Row],[L_oveja]]</f>
        <v>271762</v>
      </c>
      <c r="J33" s="8">
        <v>271762</v>
      </c>
      <c r="K33" s="5">
        <v>3.8100000000000002E-2</v>
      </c>
      <c r="L33" s="5">
        <v>3.3599999999999998E-2</v>
      </c>
      <c r="M33" s="5">
        <f t="shared" si="19"/>
        <v>0.108297</v>
      </c>
      <c r="N33" s="35" t="s">
        <v>43</v>
      </c>
      <c r="O33" s="8">
        <v>0</v>
      </c>
      <c r="P33" s="8">
        <v>0</v>
      </c>
      <c r="Q33" s="8">
        <v>0</v>
      </c>
      <c r="R33" s="8">
        <v>3290</v>
      </c>
      <c r="T33" s="8">
        <v>224230</v>
      </c>
      <c r="U33" s="38">
        <f>+Tabla_master_rend[[#This Row],[L_suero Total]]/Tabla_master_rend[[#This Row],[Litros_Leche_Total]]</f>
        <v>0.82509695983985987</v>
      </c>
      <c r="V33" s="5">
        <v>1.8E-3</v>
      </c>
      <c r="W33" s="5">
        <v>8.8000000000000005E-3</v>
      </c>
      <c r="X33" s="8">
        <v>124695</v>
      </c>
      <c r="Y33" s="57">
        <v>40442</v>
      </c>
      <c r="Z33" s="58">
        <f>IF(Tabla_master_rend[[#This Row],[L_suero para con]]=0,0,+Tabla_master_rend[[#This Row],[L_suero para con]]/Tabla_master_rend[[#This Row],[L_suero_con]])</f>
        <v>3.0833044854359328</v>
      </c>
      <c r="AA33" s="8">
        <f>+Tabla_master_rend[[#This Row],[L_suero Total]]-Tabla_master_rend[[#This Row],[L_suero para con]]</f>
        <v>99535</v>
      </c>
      <c r="AD33" s="8"/>
      <c r="AE33" s="8"/>
      <c r="AF33" s="8"/>
      <c r="AG33" s="5"/>
      <c r="AI33" s="7">
        <f>+Tabla_master_rend[[#This Row],[Kg_Finos]]+Tabla_master_rend[[#This Row],[Kg_Llenadora]]+Tabla_master_rend[[#This Row],[Kg_Desmoldeo]]+Tabla_master_rend[[#This Row],[L_Agua]]+Tabla_master_rend[[#This Row],[Kg_SalidaSecadero]]</f>
        <v>31068.02</v>
      </c>
      <c r="AJ33" s="59">
        <f>+Tabla_master_rend[[#This Row],[Litros_Leche_Total]]/Tabla_master_rend[[#This Row],[Kg_Queso_Blan]]</f>
        <v>8.7473228097574296</v>
      </c>
      <c r="AK33" s="59">
        <f>+Tabla_master_rend[[#This Row],[Litros_Leche_Total]]/(Tabla_master_rend[[#This Row],[Kg_Queso_Blan]]-Tabla_master_rend[[#This Row],[Merma_TOT]])</f>
        <v>8.9199039482822684</v>
      </c>
      <c r="AL33" s="59">
        <f>VLOOKUP(G33,REND_TARGET[#All],8,FALSE)</f>
        <v>9.3549429999999987</v>
      </c>
      <c r="AM33" s="7">
        <f>(I33*1.03*Tabla_master_rend[[#This Row],[%MG_Leche]])+(I33*1.03*Tabla_master_rend[[#This Row],[%MP_Leche]])</f>
        <v>20069.895462</v>
      </c>
      <c r="AN33" s="38">
        <v>0.29160000000000003</v>
      </c>
      <c r="AO33" s="38">
        <v>0.23780000000000001</v>
      </c>
      <c r="AP33" s="60">
        <v>0.57850000000000001</v>
      </c>
      <c r="AQ33" s="38">
        <f>+Tabla_master_rend[[#This Row],[Kg_Queso_Blan]]*Tabla_master_rend[[#This Row],[ES_QUESO]]/(Tabla_master_rend[[#This Row],[Kg_Solidos_leche]])</f>
        <v>0.89551286423138032</v>
      </c>
      <c r="AR33" s="7">
        <f t="shared" si="20"/>
        <v>1316</v>
      </c>
      <c r="AS33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0.97287124717184104</v>
      </c>
      <c r="AT33" s="62">
        <f>+Tabla_master_rend[[#This Row],[Kg_Queso_Blan]]*Tabla_master_rend[[#This Row],[%PT_QUESO]]/(Tabla_master_rend[[#This Row],[Litros_Leche_Total]]*1.03*Tabla_master_rend[[#This Row],[%MP_Leche]])</f>
        <v>0.78552533072445851</v>
      </c>
      <c r="AU33" s="63">
        <f t="shared" si="21"/>
        <v>9870</v>
      </c>
      <c r="AV33" s="7">
        <v>56.32</v>
      </c>
      <c r="AW33" s="7">
        <v>62.7</v>
      </c>
      <c r="AX33" s="7">
        <v>13</v>
      </c>
      <c r="AY33" s="8">
        <f>SUM(Tabla_master_rend[[#This Row],[Kg_Finos]:[Kg_Desmoldeo]])</f>
        <v>132.02000000000001</v>
      </c>
      <c r="AZ33" s="60">
        <f>+(Tabla_master_rend[[#This Row],[Kg_Finos]]+Tabla_master_rend[[#This Row],[Kg_Llenadora]]+Tabla_master_rend[[#This Row],[Kg_Desmoldeo]])/(Tabla_master_rend[[#This Row],[Kg_Queso_Blan]])</f>
        <v>4.2493857027258259E-3</v>
      </c>
      <c r="BA33" s="7">
        <v>325</v>
      </c>
      <c r="BB33" s="60">
        <f>+Tabla_master_rend[[#This Row],[L_Agua]]/(Tabla_master_rend[[#This Row],[L_Agua]]+Tabla_master_rend[[#This Row],[Kg_SalidaSecadero]])</f>
        <v>1.0505559865528834E-2</v>
      </c>
      <c r="BC33" s="8">
        <v>4304</v>
      </c>
      <c r="BD33" s="8">
        <v>4258</v>
      </c>
      <c r="BE33" s="8">
        <v>30652</v>
      </c>
      <c r="BF33" s="8">
        <f>17*6.2</f>
        <v>105.4</v>
      </c>
      <c r="BG33" s="8">
        <f>8*6.2</f>
        <v>49.6</v>
      </c>
      <c r="BH33" s="7">
        <f>5*6.2</f>
        <v>31</v>
      </c>
      <c r="BI33" s="7">
        <f>15*6.2</f>
        <v>93</v>
      </c>
      <c r="BJ33" s="8">
        <v>110</v>
      </c>
      <c r="BK33" s="8">
        <v>30611</v>
      </c>
      <c r="BL33" s="8">
        <v>7.02</v>
      </c>
      <c r="BM33" s="8">
        <v>105.11</v>
      </c>
      <c r="BN33" s="7">
        <v>31.95</v>
      </c>
      <c r="BO33" s="68">
        <f>+SUM(Tabla_master_rend[[#This Row],[B_altas]:[B_lab]])/Tabla_master_rend[[#This Row],[Kg_SalidaSecadero]]</f>
        <v>1.2707850119238182E-2</v>
      </c>
      <c r="BP33" s="68">
        <f>+(Tabla_master_rend[[#This Row],[Kg_mer_env_real]]+Tabla_master_rend[[#This Row],[kg_mer_lab_real]])/Tabla_master_rend[[#This Row],[Kg_SalidaSecadero]]</f>
        <v>4.477475417333638E-3</v>
      </c>
      <c r="BQ33" s="64">
        <f>+Tabla_master_rend[[#This Row],[Merma_TOT]]/Tabla_master_rend[[#This Row],[Kg_Queso_Blan]]</f>
        <v>1.9347869609971931E-2</v>
      </c>
      <c r="BR33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601.10000000000014</v>
      </c>
      <c r="BS33" s="8"/>
      <c r="BT33" s="63">
        <f>IF(+Tabla_master_rend[[#This Row],[Kg_Env_Total]]=0,0,Tabla_master_rend[[#This Row],[Kg_Env_Total]]-Tabla_master_rend[[#This Row],[Kg_SalidaSecadero]])</f>
        <v>0</v>
      </c>
      <c r="BU33" s="60">
        <f>+Tabla_master_rend[[#This Row],[Diferencia_Env_vs_Sec_kg]]/Tabla_master_rend[[#This Row],[Kg_SalidaSecadero]]</f>
        <v>0</v>
      </c>
      <c r="BV33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33" s="65">
        <f>+(Tabla_master_rend[[#This Row],[Coste_Leche_€]]-Tabla_master_rend[[#This Row],[Kg_MG_Nata]]*$CO$3)/Tabla_master_rend[[#This Row],[Kg_Queso_Blan]]</f>
        <v>-0.31769002337451824</v>
      </c>
      <c r="BX33" s="8">
        <f>SUM(Tabla_master_rend[[#This Row],[Kg_Finos]:[Kg_Desmoldeo]])+Tabla_master_rend[[#This Row],[L_Agua]]+SUM(Tabla_master_rend[[#This Row],[B_altas]:[B_lab]])</f>
        <v>846.02</v>
      </c>
      <c r="BY33" s="8">
        <f>+BX33-Tabla_master_rend[[#This Row],[Merma_TOT]]</f>
        <v>244.91999999999985</v>
      </c>
      <c r="BZ33" s="62">
        <f t="shared" si="22"/>
        <v>0.28949670220562146</v>
      </c>
      <c r="CA33" s="8">
        <f>+Tabla_master_rend[[#This Row],[Kg_Queso_Blan]]*$CA$1</f>
        <v>201.94212999999999</v>
      </c>
      <c r="CB33" s="8">
        <f>+Tabla_master_rend[[#This Row],[Kg_Queso_Blan]]*($CB$1-$CA$1)</f>
        <v>108.73807000000002</v>
      </c>
      <c r="CC33" s="8">
        <f>+(Tabla_master_rend[[#This Row],[Kg_Queso_Blan]]-CA33-CB33)*$CC$1</f>
        <v>322.95206790000003</v>
      </c>
      <c r="CD33" s="8">
        <f t="shared" si="23"/>
        <v>633.63226789999999</v>
      </c>
      <c r="CE33" s="80">
        <f>+CD33/Tabla_master_rend[[#This Row],[Kg_Queso_Blan]]</f>
        <v>2.0395E-2</v>
      </c>
      <c r="CF33" s="62">
        <f>+Tabla_master_rend[[#This Row],[Merma_TOT]]/Tabla_master_rend[[#This Row],[Kg_Queso_Blan]]</f>
        <v>1.9347869609971931E-2</v>
      </c>
      <c r="CG33" s="8">
        <f>CD33-Tabla_master_rend[[#This Row],[Merma_TOT]]</f>
        <v>32.532267899999852</v>
      </c>
      <c r="CH33" s="81" cm="1">
        <f t="array" ref="CH33">-BR33 * IFERROR(INDEX('Precio Leche_EBITDA_Ventas'!$BD$87:$BD$110,MATCH(1,('Precio Leche_EBITDA_Ventas'!$AZ$87:$AZ$110=YEAR(A33))*('Precio Leche_EBITDA_Ventas'!$BB$87:$BB$110=C33),0)),1.3)</f>
        <v>-2103.8500000000004</v>
      </c>
      <c r="CI33" s="81">
        <f t="shared" si="24"/>
        <v>42.291948269999807</v>
      </c>
    </row>
    <row r="34" spans="1:87" x14ac:dyDescent="0.35">
      <c r="A34" s="9">
        <v>45729</v>
      </c>
      <c r="B34" s="7">
        <v>3</v>
      </c>
      <c r="C34" s="7" t="str">
        <f>+UPPER(TEXT(Tabla_master_rend[[#This Row],[Fecha]],"MMM"))</f>
        <v>MAR</v>
      </c>
      <c r="D34" s="7" t="str">
        <f>+UPPER(TEXT(Tabla_master_rend[[#This Row],[Fecha]],"ddd"))</f>
        <v>JU</v>
      </c>
      <c r="E34" s="3">
        <v>130325026</v>
      </c>
      <c r="F34" s="3" t="s">
        <v>244</v>
      </c>
      <c r="G34" s="84" t="s">
        <v>190</v>
      </c>
      <c r="H34">
        <v>18</v>
      </c>
      <c r="I34" s="8">
        <f>+Tabla_master_rend[[#This Row],[L_Leche_ent]]+Tabla_master_rend[[#This Row],[L_desn_ext]]+Tabla_master_rend[[#This Row],[L_cabra]]+Tabla_master_rend[[#This Row],[L_oveja]]</f>
        <v>266346</v>
      </c>
      <c r="J34" s="8">
        <v>266346</v>
      </c>
      <c r="K34" s="5">
        <v>3.8199999999999998E-2</v>
      </c>
      <c r="L34" s="5">
        <v>3.3500000000000002E-2</v>
      </c>
      <c r="M34" s="5">
        <f t="shared" si="19"/>
        <v>0.108316</v>
      </c>
      <c r="N34" s="35" t="s">
        <v>188</v>
      </c>
      <c r="O34" s="8">
        <v>0</v>
      </c>
      <c r="P34" s="8">
        <v>0</v>
      </c>
      <c r="Q34" s="8">
        <v>0</v>
      </c>
      <c r="R34" s="8">
        <v>2629</v>
      </c>
      <c r="T34" s="8">
        <v>237870</v>
      </c>
      <c r="U34" s="38">
        <f>+Tabla_master_rend[[#This Row],[L_suero Total]]/Tabla_master_rend[[#This Row],[Litros_Leche_Total]]</f>
        <v>0.89308643643981889</v>
      </c>
      <c r="V34" s="5">
        <v>2.5000000000000001E-3</v>
      </c>
      <c r="W34" s="5">
        <v>9.5999999999999992E-3</v>
      </c>
      <c r="X34" s="8">
        <v>237928</v>
      </c>
      <c r="Y34" s="57">
        <v>82283</v>
      </c>
      <c r="Z34" s="58">
        <f>IF(Tabla_master_rend[[#This Row],[L_suero para con]]=0,0,+Tabla_master_rend[[#This Row],[L_suero para con]]/Tabla_master_rend[[#This Row],[L_suero_con]])</f>
        <v>2.8915814931395305</v>
      </c>
      <c r="AA34" s="8">
        <f>+Tabla_master_rend[[#This Row],[L_suero Total]]-Tabla_master_rend[[#This Row],[L_suero para con]]</f>
        <v>-58</v>
      </c>
      <c r="AD34" s="8"/>
      <c r="AE34" s="8"/>
      <c r="AF34" s="8"/>
      <c r="AG34" s="5"/>
      <c r="AI34" s="7">
        <f>+Tabla_master_rend[[#This Row],[Kg_Finos]]+Tabla_master_rend[[#This Row],[Kg_Llenadora]]+Tabla_master_rend[[#This Row],[Kg_Desmoldeo]]+Tabla_master_rend[[#This Row],[L_Agua]]+Tabla_master_rend[[#This Row],[Kg_SalidaSecadero]]</f>
        <v>33231.32</v>
      </c>
      <c r="AJ34" s="59">
        <f>+Tabla_master_rend[[#This Row],[Litros_Leche_Total]]/Tabla_master_rend[[#This Row],[Kg_Queso_Blan]]</f>
        <v>8.0149088269740716</v>
      </c>
      <c r="AK34" s="59">
        <f>+Tabla_master_rend[[#This Row],[Litros_Leche_Total]]/(Tabla_master_rend[[#This Row],[Kg_Queso_Blan]]-Tabla_master_rend[[#This Row],[Merma_TOT]])</f>
        <v>8.3812847992961323</v>
      </c>
      <c r="AL34" s="59">
        <f>VLOOKUP(G34,REND_TARGET[#All],8,FALSE)</f>
        <v>8.4943170000000006</v>
      </c>
      <c r="AM34" s="7">
        <f>(I34*1.03*Tabla_master_rend[[#This Row],[%MG_Leche]])+(I34*1.03*Tabla_master_rend[[#This Row],[%MP_Leche]])</f>
        <v>19669.918446000003</v>
      </c>
      <c r="AN34" s="38">
        <v>0.28720000000000001</v>
      </c>
      <c r="AO34" s="38">
        <v>0.2329</v>
      </c>
      <c r="AP34" s="60">
        <v>0.57099999999999995</v>
      </c>
      <c r="AQ34" s="38">
        <f>+Tabla_master_rend[[#This Row],[Kg_Queso_Blan]]*Tabla_master_rend[[#This Row],[ES_QUESO]]/(Tabla_master_rend[[#This Row],[Kg_Solidos_leche]])</f>
        <v>0.96467526147057803</v>
      </c>
      <c r="AR34" s="7">
        <f t="shared" si="20"/>
        <v>1051.6000000000001</v>
      </c>
      <c r="AS34" s="61">
        <f>+(Tabla_master_rend[[#This Row],[Kg_Queso_Blan]]*Tabla_master_rend[[#This Row],[%MG_QUESO]]+(Tabla_master_rend[[#This Row],[Kg_MG_Nata]]))/(Tabla_master_rend[[#This Row],[Litros_Leche_Total]]*1.03*Tabla_master_rend[[#This Row],[%MG_Leche]])</f>
        <v>1.0110676779418417</v>
      </c>
      <c r="AT34" s="62">
        <f>+Tabla_master_rend[[#This Row],[Kg_Queso_Blan]]*Tabla_master_rend[[#This Row],[%PT_QUESO]]/(Tabla_master_rend[[#This Row],[Litros_Leche_Total]]*1.03*Tabla_master_rend[[#This Row],[%MP_Leche]])</f>
        <v>0.84214887022133889</v>
      </c>
      <c r="AU34" s="63">
        <f t="shared" si="21"/>
        <v>7887.0000000000009</v>
      </c>
      <c r="AV34" s="7">
        <v>83.82</v>
      </c>
      <c r="AW34" s="7">
        <v>296</v>
      </c>
      <c r="AX34" s="7">
        <v>31.5</v>
      </c>
      <c r="AY34" s="8">
        <f>SUM(Tabla_master_rend[[#This Row],[Kg_Finos]:[Kg_Desmoldeo]])</f>
        <v>411.32</v>
      </c>
      <c r="AZ34" s="60">
        <f>+(Tabla_master_rend[[#This Row],[Kg_Finos]]+Tabla_master_rend[[#This Row],[Kg_Llenadora]]+Tabla_master_rend[[#This Row],[Kg_Desmoldeo]])/(Tabla_master_rend[[#This Row],[Kg_Queso_Blan]])</f>
        <v>1.2377480039914153E-2</v>
      </c>
      <c r="BA34" s="7">
        <v>825</v>
      </c>
      <c r="BB34" s="60">
        <f>+Tabla_master_rend[[#This Row],[L_Agua]]/(Tabla_master_rend[[#This Row],[L_Agua]]+Tabla_master_rend[[#This Row],[Kg_SalidaSecadero]])</f>
        <v>2.5137111517367458E-2</v>
      </c>
      <c r="BC34" s="8">
        <v>4660</v>
      </c>
      <c r="BD34" s="8">
        <v>4595</v>
      </c>
      <c r="BE34" s="8">
        <v>32420</v>
      </c>
      <c r="BF34" s="8">
        <f>3*6.2</f>
        <v>18.600000000000001</v>
      </c>
      <c r="BG34" s="8">
        <f>4*6.2</f>
        <v>24.8</v>
      </c>
      <c r="BH34" s="7">
        <f>3*6.2</f>
        <v>18.600000000000001</v>
      </c>
      <c r="BI34" s="7">
        <f>40*6.2</f>
        <v>248</v>
      </c>
      <c r="BJ34" s="8">
        <v>108</v>
      </c>
      <c r="BK34" s="8">
        <v>31995</v>
      </c>
      <c r="BL34" s="8">
        <v>2.86</v>
      </c>
      <c r="BM34" s="8">
        <v>189.57</v>
      </c>
      <c r="BN34" s="7">
        <v>23.91</v>
      </c>
      <c r="BO34" s="68">
        <f>+SUM(Tabla_master_rend[[#This Row],[B_altas]:[B_lab]])/Tabla_master_rend[[#This Row],[Kg_SalidaSecadero]]</f>
        <v>1.3064541334583528E-2</v>
      </c>
      <c r="BP34" s="68">
        <f>+(Tabla_master_rend[[#This Row],[Kg_mer_env_real]]+Tabla_master_rend[[#This Row],[kg_mer_lab_real]])/Tabla_master_rend[[#This Row],[Kg_SalidaSecadero]]</f>
        <v>6.6722925457102667E-3</v>
      </c>
      <c r="BQ34" s="64">
        <f>+Tabla_master_rend[[#This Row],[Merma_TOT]]/Tabla_master_rend[[#This Row],[Kg_Queso_Blan]]</f>
        <v>4.3713581043425292E-2</v>
      </c>
      <c r="BR34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1452.6599999999999</v>
      </c>
      <c r="BS34" s="8"/>
      <c r="BT34" s="63">
        <f>IF(+Tabla_master_rend[[#This Row],[Kg_Env_Total]]=0,0,Tabla_master_rend[[#This Row],[Kg_Env_Total]]-Tabla_master_rend[[#This Row],[Kg_SalidaSecadero]])</f>
        <v>0</v>
      </c>
      <c r="BU34" s="60">
        <f>+Tabla_master_rend[[#This Row],[Diferencia_Env_vs_Sec_kg]]/Tabla_master_rend[[#This Row],[Kg_SalidaSecadero]]</f>
        <v>0</v>
      </c>
      <c r="BV34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34" s="65">
        <f>+(Tabla_master_rend[[#This Row],[Coste_Leche_€]]-Tabla_master_rend[[#This Row],[Kg_MG_Nata]]*$CO$3)/Tabla_master_rend[[#This Row],[Kg_Queso_Blan]]</f>
        <v>-0.23733634414762944</v>
      </c>
      <c r="BX34" s="8">
        <f>SUM(Tabla_master_rend[[#This Row],[Kg_Finos]:[Kg_Desmoldeo]])+Tabla_master_rend[[#This Row],[L_Agua]]+SUM(Tabla_master_rend[[#This Row],[B_altas]:[B_lab]])</f>
        <v>1654.32</v>
      </c>
      <c r="BY34" s="8">
        <f>+BX34-Tabla_master_rend[[#This Row],[Merma_TOT]]</f>
        <v>201.66000000000008</v>
      </c>
      <c r="BZ34" s="62">
        <f t="shared" si="22"/>
        <v>0.12189902799941975</v>
      </c>
      <c r="CA34" s="8">
        <f>+Tabla_master_rend[[#This Row],[Kg_Queso_Blan]]*$CA$1</f>
        <v>216.00358</v>
      </c>
      <c r="CB34" s="8">
        <f>+Tabla_master_rend[[#This Row],[Kg_Queso_Blan]]*($CB$1-$CA$1)</f>
        <v>116.30962000000001</v>
      </c>
      <c r="CC34" s="8">
        <f>+(Tabla_master_rend[[#This Row],[Kg_Queso_Blan]]-CA34-CB34)*$CC$1</f>
        <v>345.43957140000003</v>
      </c>
      <c r="CD34" s="8">
        <f t="shared" si="23"/>
        <v>677.75277140000003</v>
      </c>
      <c r="CE34" s="80">
        <f>+CD34/Tabla_master_rend[[#This Row],[Kg_Queso_Blan]]</f>
        <v>2.0395E-2</v>
      </c>
      <c r="CF34" s="62">
        <f>+Tabla_master_rend[[#This Row],[Merma_TOT]]/Tabla_master_rend[[#This Row],[Kg_Queso_Blan]]</f>
        <v>4.3713581043425292E-2</v>
      </c>
      <c r="CG34" s="8">
        <f>CD34-Tabla_master_rend[[#This Row],[Merma_TOT]]</f>
        <v>-774.90722859999983</v>
      </c>
      <c r="CH34" s="81" cm="1">
        <f t="array" ref="CH34">-BR34 * IFERROR(INDEX('Precio Leche_EBITDA_Ventas'!$BD$87:$BD$110,MATCH(1,('Precio Leche_EBITDA_Ventas'!$AZ$87:$AZ$110=YEAR(A34))*('Precio Leche_EBITDA_Ventas'!$BB$87:$BB$110=C34),0)),1.3)</f>
        <v>-5084.3099999999995</v>
      </c>
      <c r="CI34" s="81">
        <f t="shared" si="24"/>
        <v>-1007.3793971799998</v>
      </c>
    </row>
    <row r="35" spans="1:87" x14ac:dyDescent="0.35">
      <c r="A35" s="9">
        <v>45733</v>
      </c>
      <c r="B35" s="7">
        <v>3</v>
      </c>
      <c r="C35" s="7" t="str">
        <f>+UPPER(TEXT(Tabla_master_rend[[#This Row],[Fecha]],"MMM"))</f>
        <v>MAR</v>
      </c>
      <c r="D35" s="7" t="str">
        <f>+UPPER(TEXT(Tabla_master_rend[[#This Row],[Fecha]],"ddd"))</f>
        <v>LU</v>
      </c>
      <c r="E35" s="3">
        <v>170325116</v>
      </c>
      <c r="F35" s="3" t="s">
        <v>244</v>
      </c>
      <c r="G35" s="84" t="s">
        <v>299</v>
      </c>
      <c r="H35">
        <v>16</v>
      </c>
      <c r="I35" s="8">
        <f>+Tabla_master_rend[[#This Row],[L_Leche_ent]]+Tabla_master_rend[[#This Row],[L_desn_ext]]+Tabla_master_rend[[#This Row],[L_cabra]]+Tabla_master_rend[[#This Row],[L_oveja]]</f>
        <v>261502</v>
      </c>
      <c r="J35" s="8">
        <v>261502</v>
      </c>
      <c r="K35" s="5">
        <v>3.8199999999999998E-2</v>
      </c>
      <c r="L35" s="5">
        <v>3.3399999999999999E-2</v>
      </c>
      <c r="M35" s="5">
        <f t="shared" si="19"/>
        <v>0.108242</v>
      </c>
      <c r="N35" s="35" t="s">
        <v>43</v>
      </c>
      <c r="O35" s="8">
        <v>0</v>
      </c>
      <c r="P35" s="8">
        <v>0</v>
      </c>
      <c r="Q35" s="8">
        <v>0</v>
      </c>
      <c r="R35" s="8">
        <v>9279</v>
      </c>
      <c r="T35" s="8">
        <v>222230</v>
      </c>
      <c r="U35" s="38">
        <f>+Tabla_master_rend[[#This Row],[L_suero Total]]/Tabla_master_rend[[#This Row],[Litros_Leche_Total]]</f>
        <v>0.84982141627979901</v>
      </c>
      <c r="V35" s="5">
        <v>8.0000000000000004E-4</v>
      </c>
      <c r="W35" s="5">
        <v>8.6E-3</v>
      </c>
      <c r="X35" s="8">
        <v>123254</v>
      </c>
      <c r="Y35" s="57">
        <v>37977</v>
      </c>
      <c r="Z35" s="58">
        <f>IF(Tabla_master_rend[[#This Row],[L_suero para con]]=0,0,+Tabla_master_rend[[#This Row],[L_suero para con]]/Tabla_master_rend[[#This Row],[L_suero_con]])</f>
        <v>3.2454906917344708</v>
      </c>
      <c r="AA35" s="8">
        <f>+Tabla_master_rend[[#This Row],[L_suero Total]]-Tabla_master_rend[[#This Row],[L_suero para con]]</f>
        <v>98976</v>
      </c>
      <c r="AD35" s="8"/>
      <c r="AE35" s="8"/>
      <c r="AF35" s="8"/>
      <c r="AG35" s="5"/>
      <c r="AI35" s="7">
        <f>+Tabla_master_rend[[#This Row],[Kg_Finos]]+Tabla_master_rend[[#This Row],[Kg_Llenadora]]+Tabla_master_rend[[#This Row],[Kg_Desmoldeo]]+Tabla_master_rend[[#This Row],[L_Agua]]+Tabla_master_rend[[#This Row],[Kg_SalidaSecadero]]</f>
        <v>27359.360000000001</v>
      </c>
      <c r="AJ35" s="59">
        <f>+Tabla_master_rend[[#This Row],[Litros_Leche_Total]]/Tabla_master_rend[[#This Row],[Kg_Queso_Blan]]</f>
        <v>9.558045217431987</v>
      </c>
      <c r="AK35" s="59">
        <f>+Tabla_master_rend[[#This Row],[Litros_Leche_Total]]/(Tabla_master_rend[[#This Row],[Kg_Queso_Blan]]-Tabla_master_rend[[#This Row],[Merma_TOT]])</f>
        <v>10.305416311989658</v>
      </c>
      <c r="AL35" s="59">
        <f>VLOOKUP(G35,REND_TARGET[#All],8,FALSE)</f>
        <v>9.8078500000000002</v>
      </c>
      <c r="AM35" s="7">
        <f>(I35*1.03*Tabla_master_rend[[#This Row],[%MG_Leche]])+(I35*1.03*Tabla_master_rend[[#This Row],[%MP_Leche]])</f>
        <v>19285.249495999997</v>
      </c>
      <c r="AN35" s="38">
        <v>0.22450000000000001</v>
      </c>
      <c r="AO35" s="38">
        <v>0.24840000000000001</v>
      </c>
      <c r="AP35" s="60">
        <v>0.52729999999999999</v>
      </c>
      <c r="AQ35" s="38">
        <f>+Tabla_master_rend[[#This Row],[Kg_Queso_Blan]]*Tabla_master_rend[[#This Row],[ES_QUESO]]/(Tabla_master_rend[[#This Row],[Kg_Solidos_leche]])</f>
        <v>0.748063463269804</v>
      </c>
      <c r="AR35" s="7">
        <f t="shared" si="20"/>
        <v>3711.6000000000004</v>
      </c>
      <c r="AS35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0.95769472919386589</v>
      </c>
      <c r="AT35" s="62">
        <f>+Tabla_master_rend[[#This Row],[Kg_Queso_Blan]]*Tabla_master_rend[[#This Row],[%PT_QUESO]]/(Tabla_master_rend[[#This Row],[Litros_Leche_Total]]*1.03*Tabla_master_rend[[#This Row],[%MP_Leche]])</f>
        <v>0.75543798665767092</v>
      </c>
      <c r="AU35" s="63">
        <f t="shared" si="21"/>
        <v>27837.000000000004</v>
      </c>
      <c r="AV35" s="7">
        <v>53.56</v>
      </c>
      <c r="AW35" s="7">
        <v>71.400000000000006</v>
      </c>
      <c r="AX35" s="7">
        <v>422.4</v>
      </c>
      <c r="AY35" s="8">
        <f>SUM(Tabla_master_rend[[#This Row],[Kg_Finos]:[Kg_Desmoldeo]])</f>
        <v>547.36</v>
      </c>
      <c r="AZ35" s="60">
        <f>+(Tabla_master_rend[[#This Row],[Kg_Finos]]+Tabla_master_rend[[#This Row],[Kg_Llenadora]]+Tabla_master_rend[[#This Row],[Kg_Desmoldeo]])/(Tabla_master_rend[[#This Row],[Kg_Queso_Blan]])</f>
        <v>2.0006315937214907E-2</v>
      </c>
      <c r="BA35" s="7">
        <v>480</v>
      </c>
      <c r="BB35" s="60">
        <f>+Tabla_master_rend[[#This Row],[L_Agua]]/(Tabla_master_rend[[#This Row],[L_Agua]]+Tabla_master_rend[[#This Row],[Kg_SalidaSecadero]])</f>
        <v>1.7902431746978965E-2</v>
      </c>
      <c r="BC35" s="8">
        <v>3843</v>
      </c>
      <c r="BD35" s="8">
        <v>3636</v>
      </c>
      <c r="BE35" s="8">
        <v>25553</v>
      </c>
      <c r="BF35" s="8">
        <f>10*6.1</f>
        <v>61</v>
      </c>
      <c r="BG35" s="8">
        <f>64*6.1</f>
        <v>390.4</v>
      </c>
      <c r="BH35" s="7">
        <v>0</v>
      </c>
      <c r="BI35" s="7">
        <f>128*6.1</f>
        <v>780.8</v>
      </c>
      <c r="BJ35" s="8">
        <v>94</v>
      </c>
      <c r="BK35" s="8">
        <v>26332</v>
      </c>
      <c r="BL35" s="8">
        <v>5.79</v>
      </c>
      <c r="BM35" s="8">
        <v>927.33</v>
      </c>
      <c r="BN35" s="7">
        <v>23.68</v>
      </c>
      <c r="BO35" s="68">
        <f>+SUM(Tabla_master_rend[[#This Row],[B_altas]:[B_lab]])/Tabla_master_rend[[#This Row],[Kg_SalidaSecadero]]</f>
        <v>5.0364575421540325E-2</v>
      </c>
      <c r="BP35" s="68">
        <f>+(Tabla_master_rend[[#This Row],[Kg_mer_env_real]]+Tabla_master_rend[[#This Row],[kg_mer_lab_real]])/Tabla_master_rend[[#This Row],[Kg_SalidaSecadero]]</f>
        <v>3.611613246240316E-2</v>
      </c>
      <c r="BQ35" s="64">
        <f>+Tabla_master_rend[[#This Row],[Merma_TOT]]/Tabla_master_rend[[#This Row],[Kg_Queso_Blan]]</f>
        <v>7.2522164261152294E-2</v>
      </c>
      <c r="BR35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1984.1599999999999</v>
      </c>
      <c r="BS35" s="8"/>
      <c r="BT35" s="63">
        <f>IF(+Tabla_master_rend[[#This Row],[Kg_Env_Total]]=0,0,Tabla_master_rend[[#This Row],[Kg_Env_Total]]-Tabla_master_rend[[#This Row],[Kg_SalidaSecadero]])</f>
        <v>0</v>
      </c>
      <c r="BU35" s="60">
        <f>+Tabla_master_rend[[#This Row],[Diferencia_Env_vs_Sec_kg]]/Tabla_master_rend[[#This Row],[Kg_SalidaSecadero]]</f>
        <v>0</v>
      </c>
      <c r="BV35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35" s="65">
        <f>+(Tabla_master_rend[[#This Row],[Coste_Leche_€]]-Tabla_master_rend[[#This Row],[Kg_MG_Nata]]*$CO$3)/Tabla_master_rend[[#This Row],[Kg_Queso_Blan]]</f>
        <v>-1.017458010713701</v>
      </c>
      <c r="BX35" s="8">
        <f>SUM(Tabla_master_rend[[#This Row],[Kg_Finos]:[Kg_Desmoldeo]])+Tabla_master_rend[[#This Row],[L_Agua]]+SUM(Tabla_master_rend[[#This Row],[B_altas]:[B_lab]])</f>
        <v>2353.56</v>
      </c>
      <c r="BY35" s="8">
        <f>+BX35-Tabla_master_rend[[#This Row],[Merma_TOT]]</f>
        <v>369.40000000000009</v>
      </c>
      <c r="BZ35" s="62">
        <f t="shared" si="22"/>
        <v>0.15695372117133199</v>
      </c>
      <c r="CA35" s="8">
        <f>+Tabla_master_rend[[#This Row],[Kg_Queso_Blan]]*$CA$1</f>
        <v>177.83583999999999</v>
      </c>
      <c r="CB35" s="8">
        <f>+Tabla_master_rend[[#This Row],[Kg_Queso_Blan]]*($CB$1-$CA$1)</f>
        <v>95.757760000000019</v>
      </c>
      <c r="CC35" s="8">
        <f>+(Tabla_master_rend[[#This Row],[Kg_Queso_Blan]]-CA35-CB35)*$CC$1</f>
        <v>284.40054720000001</v>
      </c>
      <c r="CD35" s="8">
        <f t="shared" si="23"/>
        <v>557.99414720000004</v>
      </c>
      <c r="CE35" s="80">
        <f>+CD35/Tabla_master_rend[[#This Row],[Kg_Queso_Blan]]</f>
        <v>2.0395E-2</v>
      </c>
      <c r="CF35" s="62">
        <f>+Tabla_master_rend[[#This Row],[Merma_TOT]]/Tabla_master_rend[[#This Row],[Kg_Queso_Blan]]</f>
        <v>7.2522164261152294E-2</v>
      </c>
      <c r="CG35" s="8">
        <f>CD35-Tabla_master_rend[[#This Row],[Merma_TOT]]</f>
        <v>-1426.1658527999998</v>
      </c>
      <c r="CH35" s="81" cm="1">
        <f t="array" ref="CH35">-BR35 * IFERROR(INDEX('Precio Leche_EBITDA_Ventas'!$BD$87:$BD$110,MATCH(1,('Precio Leche_EBITDA_Ventas'!$AZ$87:$AZ$110=YEAR(A35))*('Precio Leche_EBITDA_Ventas'!$BB$87:$BB$110=C35),0)),1.3)</f>
        <v>-6944.5599999999995</v>
      </c>
      <c r="CI35" s="81">
        <f t="shared" si="24"/>
        <v>-1854.0156086399998</v>
      </c>
    </row>
    <row r="36" spans="1:87" x14ac:dyDescent="0.35">
      <c r="A36" s="9">
        <v>45734</v>
      </c>
      <c r="B36" s="7">
        <v>3</v>
      </c>
      <c r="C36" s="7" t="str">
        <f>+UPPER(TEXT(Tabla_master_rend[[#This Row],[Fecha]],"MMM"))</f>
        <v>MAR</v>
      </c>
      <c r="D36" s="7" t="str">
        <f>+UPPER(TEXT(Tabla_master_rend[[#This Row],[Fecha]],"ddd"))</f>
        <v>MA</v>
      </c>
      <c r="E36" s="3">
        <v>180325016</v>
      </c>
      <c r="F36" s="3" t="s">
        <v>244</v>
      </c>
      <c r="G36" s="84" t="s">
        <v>189</v>
      </c>
      <c r="H36">
        <v>15</v>
      </c>
      <c r="I36" s="8">
        <f>+Tabla_master_rend[[#This Row],[L_Leche_ent]]+Tabla_master_rend[[#This Row],[L_desn_ext]]+Tabla_master_rend[[#This Row],[L_cabra]]+Tabla_master_rend[[#This Row],[L_oveja]]</f>
        <v>225007</v>
      </c>
      <c r="J36" s="8">
        <v>225007</v>
      </c>
      <c r="K36" s="5">
        <v>3.85E-2</v>
      </c>
      <c r="L36" s="5">
        <v>3.4000000000000002E-2</v>
      </c>
      <c r="M36" s="5">
        <f t="shared" si="19"/>
        <v>0.10896500000000001</v>
      </c>
      <c r="N36" s="35" t="s">
        <v>43</v>
      </c>
      <c r="O36" s="8">
        <v>0</v>
      </c>
      <c r="P36" s="8">
        <v>0</v>
      </c>
      <c r="Q36" s="8">
        <v>0</v>
      </c>
      <c r="R36" s="8">
        <v>7156</v>
      </c>
      <c r="T36" s="8">
        <v>209400</v>
      </c>
      <c r="U36" s="38">
        <f>+Tabla_master_rend[[#This Row],[L_suero Total]]/Tabla_master_rend[[#This Row],[Litros_Leche_Total]]</f>
        <v>0.930637713493358</v>
      </c>
      <c r="V36" s="5">
        <v>1.1999999999999999E-3</v>
      </c>
      <c r="W36" s="5">
        <v>9.4999999999999998E-3</v>
      </c>
      <c r="X36" s="8">
        <v>206912</v>
      </c>
      <c r="Y36" s="57">
        <v>71073</v>
      </c>
      <c r="Z36" s="58">
        <f>IF(Tabla_master_rend[[#This Row],[L_suero para con]]=0,0,+Tabla_master_rend[[#This Row],[L_suero para con]]/Tabla_master_rend[[#This Row],[L_suero_con]])</f>
        <v>2.9112602535421326</v>
      </c>
      <c r="AA36" s="8">
        <f>+Tabla_master_rend[[#This Row],[L_suero Total]]-Tabla_master_rend[[#This Row],[L_suero para con]]</f>
        <v>2488</v>
      </c>
      <c r="AD36" s="8"/>
      <c r="AE36" s="8"/>
      <c r="AF36" s="8"/>
      <c r="AG36" s="5"/>
      <c r="AI36" s="7">
        <f>+Tabla_master_rend[[#This Row],[Kg_Finos]]+Tabla_master_rend[[#This Row],[Kg_Llenadora]]+Tabla_master_rend[[#This Row],[Kg_Desmoldeo]]+Tabla_master_rend[[#This Row],[L_Agua]]+Tabla_master_rend[[#This Row],[Kg_SalidaSecadero]]</f>
        <v>24677.64</v>
      </c>
      <c r="AJ36" s="59">
        <f>+Tabla_master_rend[[#This Row],[Litros_Leche_Total]]/Tabla_master_rend[[#This Row],[Kg_Queso_Blan]]</f>
        <v>9.1178491946555678</v>
      </c>
      <c r="AK36" s="59">
        <f>+Tabla_master_rend[[#This Row],[Litros_Leche_Total]]/(Tabla_master_rend[[#This Row],[Kg_Queso_Blan]]-Tabla_master_rend[[#This Row],[Merma_TOT]])</f>
        <v>9.6348051431987258</v>
      </c>
      <c r="AL36" s="59">
        <f>VLOOKUP(G36,REND_TARGET[#All],8,FALSE)</f>
        <v>9.1957579999999997</v>
      </c>
      <c r="AM36" s="7">
        <f>(I36*1.03*Tabla_master_rend[[#This Row],[%MG_Leche]])+(I36*1.03*Tabla_master_rend[[#This Row],[%MP_Leche]])</f>
        <v>16802.397724999999</v>
      </c>
      <c r="AN36" s="38">
        <v>0.2296</v>
      </c>
      <c r="AO36" s="38">
        <v>0.25069999999999998</v>
      </c>
      <c r="AP36" s="60">
        <v>0.53249999999999997</v>
      </c>
      <c r="AQ36" s="38">
        <f>+Tabla_master_rend[[#This Row],[Kg_Queso_Blan]]*Tabla_master_rend[[#This Row],[ES_QUESO]]/(Tabla_master_rend[[#This Row],[Kg_Solidos_leche]])</f>
        <v>0.78208143355920945</v>
      </c>
      <c r="AR36" s="7">
        <f t="shared" si="20"/>
        <v>2862.4</v>
      </c>
      <c r="AS36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0.95581286649411779</v>
      </c>
      <c r="AT36" s="62">
        <f>+Tabla_master_rend[[#This Row],[Kg_Queso_Blan]]*Tabla_master_rend[[#This Row],[%PT_QUESO]]/(Tabla_master_rend[[#This Row],[Litros_Leche_Total]]*1.03*Tabla_master_rend[[#This Row],[%MP_Leche]])</f>
        <v>0.78513762032663914</v>
      </c>
      <c r="AU36" s="63">
        <f t="shared" si="21"/>
        <v>21468</v>
      </c>
      <c r="AV36" s="7">
        <v>48.34</v>
      </c>
      <c r="AW36" s="7">
        <v>130.19999999999999</v>
      </c>
      <c r="AX36" s="7">
        <v>95.1</v>
      </c>
      <c r="AY36" s="8">
        <f>SUM(Tabla_master_rend[[#This Row],[Kg_Finos]:[Kg_Desmoldeo]])</f>
        <v>273.64</v>
      </c>
      <c r="AZ36" s="60">
        <f>+(Tabla_master_rend[[#This Row],[Kg_Finos]]+Tabla_master_rend[[#This Row],[Kg_Llenadora]]+Tabla_master_rend[[#This Row],[Kg_Desmoldeo]])/(Tabla_master_rend[[#This Row],[Kg_Queso_Blan]])</f>
        <v>1.1088580593606196E-2</v>
      </c>
      <c r="BA36" s="7">
        <v>490</v>
      </c>
      <c r="BB36" s="60">
        <f>+Tabla_master_rend[[#This Row],[L_Agua]]/(Tabla_master_rend[[#This Row],[L_Agua]]+Tabla_master_rend[[#This Row],[Kg_SalidaSecadero]])</f>
        <v>2.0078675626946402E-2</v>
      </c>
      <c r="BC36" s="8">
        <v>3325</v>
      </c>
      <c r="BD36" s="8">
        <v>3311</v>
      </c>
      <c r="BE36" s="8">
        <v>24314</v>
      </c>
      <c r="BF36" s="8">
        <f>48*6.5</f>
        <v>312</v>
      </c>
      <c r="BG36" s="8">
        <f>18*6.5</f>
        <v>117</v>
      </c>
      <c r="BH36" s="7">
        <f>5*6.5</f>
        <v>32.5</v>
      </c>
      <c r="BI36" s="7">
        <f>111*6.5</f>
        <v>721.5</v>
      </c>
      <c r="BJ36" s="8">
        <v>90</v>
      </c>
      <c r="BK36" s="8">
        <v>23914</v>
      </c>
      <c r="BL36" s="8">
        <v>1.03</v>
      </c>
      <c r="BM36" s="8">
        <v>535.9</v>
      </c>
      <c r="BN36" s="7">
        <v>23.51</v>
      </c>
      <c r="BO36" s="68">
        <f>+SUM(Tabla_master_rend[[#This Row],[B_altas]:[B_lab]])/Tabla_master_rend[[#This Row],[Kg_SalidaSecadero]]</f>
        <v>5.3232416157899136E-2</v>
      </c>
      <c r="BP36" s="68">
        <f>+(Tabla_master_rend[[#This Row],[Kg_mer_env_real]]+Tabla_master_rend[[#This Row],[kg_mer_lab_real]])/Tabla_master_rend[[#This Row],[Kg_SalidaSecadero]]</f>
        <v>2.339257338797357E-2</v>
      </c>
      <c r="BQ36" s="64">
        <f>+Tabla_master_rend[[#This Row],[Merma_TOT]]/Tabla_master_rend[[#This Row],[Kg_Queso_Blan]]</f>
        <v>5.3655049672497047E-2</v>
      </c>
      <c r="BR36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1324.08</v>
      </c>
      <c r="BS36" s="8"/>
      <c r="BT36" s="63">
        <f>IF(+Tabla_master_rend[[#This Row],[Kg_Env_Total]]=0,0,Tabla_master_rend[[#This Row],[Kg_Env_Total]]-Tabla_master_rend[[#This Row],[Kg_SalidaSecadero]])</f>
        <v>0</v>
      </c>
      <c r="BU36" s="60">
        <f>+Tabla_master_rend[[#This Row],[Diferencia_Env_vs_Sec_kg]]/Tabla_master_rend[[#This Row],[Kg_SalidaSecadero]]</f>
        <v>0</v>
      </c>
      <c r="BV36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36" s="65">
        <f>+(Tabla_master_rend[[#This Row],[Coste_Leche_€]]-Tabla_master_rend[[#This Row],[Kg_MG_Nata]]*$CO$3)/Tabla_master_rend[[#This Row],[Kg_Queso_Blan]]</f>
        <v>-0.86993731977612121</v>
      </c>
      <c r="BX36" s="8">
        <f>SUM(Tabla_master_rend[[#This Row],[Kg_Finos]:[Kg_Desmoldeo]])+Tabla_master_rend[[#This Row],[L_Agua]]+SUM(Tabla_master_rend[[#This Row],[B_altas]:[B_lab]])</f>
        <v>2036.6399999999999</v>
      </c>
      <c r="BY36" s="8">
        <f>+BX36-Tabla_master_rend[[#This Row],[Merma_TOT]]</f>
        <v>712.56</v>
      </c>
      <c r="BZ36" s="62">
        <f t="shared" si="22"/>
        <v>0.34987037473485738</v>
      </c>
      <c r="CA36" s="8">
        <f>+Tabla_master_rend[[#This Row],[Kg_Queso_Blan]]*$CA$1</f>
        <v>160.40465999999998</v>
      </c>
      <c r="CB36" s="8">
        <f>+Tabla_master_rend[[#This Row],[Kg_Queso_Blan]]*($CB$1-$CA$1)</f>
        <v>86.371740000000017</v>
      </c>
      <c r="CC36" s="8">
        <f>+(Tabla_master_rend[[#This Row],[Kg_Queso_Blan]]-CA36-CB36)*$CC$1</f>
        <v>256.52406780000001</v>
      </c>
      <c r="CD36" s="8">
        <f t="shared" si="23"/>
        <v>503.30046779999998</v>
      </c>
      <c r="CE36" s="80">
        <f>+CD36/Tabla_master_rend[[#This Row],[Kg_Queso_Blan]]</f>
        <v>2.0395E-2</v>
      </c>
      <c r="CF36" s="62">
        <f>+Tabla_master_rend[[#This Row],[Merma_TOT]]/Tabla_master_rend[[#This Row],[Kg_Queso_Blan]]</f>
        <v>5.3655049672497047E-2</v>
      </c>
      <c r="CG36" s="8">
        <f>CD36-Tabla_master_rend[[#This Row],[Merma_TOT]]</f>
        <v>-820.77953219999995</v>
      </c>
      <c r="CH36" s="81" cm="1">
        <f t="array" ref="CH36">-BR36 * IFERROR(INDEX('Precio Leche_EBITDA_Ventas'!$BD$87:$BD$110,MATCH(1,('Precio Leche_EBITDA_Ventas'!$AZ$87:$AZ$110=YEAR(A36))*('Precio Leche_EBITDA_Ventas'!$BB$87:$BB$110=C36),0)),1.3)</f>
        <v>-4634.28</v>
      </c>
      <c r="CI36" s="81">
        <f t="shared" si="24"/>
        <v>-1067.01339186</v>
      </c>
    </row>
    <row r="37" spans="1:87" x14ac:dyDescent="0.35">
      <c r="A37" s="9">
        <v>45736</v>
      </c>
      <c r="B37" s="7">
        <v>3</v>
      </c>
      <c r="C37" s="7" t="str">
        <f>+UPPER(TEXT(Tabla_master_rend[[#This Row],[Fecha]],"MMM"))</f>
        <v>MAR</v>
      </c>
      <c r="D37" s="7" t="str">
        <f>+UPPER(TEXT(Tabla_master_rend[[#This Row],[Fecha]],"ddd"))</f>
        <v>JU</v>
      </c>
      <c r="E37" s="3">
        <v>200325146</v>
      </c>
      <c r="F37" s="3" t="s">
        <v>244</v>
      </c>
      <c r="G37" s="84" t="s">
        <v>40</v>
      </c>
      <c r="H37">
        <v>16</v>
      </c>
      <c r="I37" s="8">
        <f>+Tabla_master_rend[[#This Row],[L_Leche_ent]]+Tabla_master_rend[[#This Row],[L_desn_ext]]+Tabla_master_rend[[#This Row],[L_cabra]]+Tabla_master_rend[[#This Row],[L_oveja]]</f>
        <v>259842</v>
      </c>
      <c r="J37" s="8">
        <v>259842</v>
      </c>
      <c r="K37" s="5">
        <v>3.7400000000000003E-2</v>
      </c>
      <c r="L37" s="5">
        <v>3.39E-2</v>
      </c>
      <c r="M37" s="5">
        <f t="shared" si="19"/>
        <v>0.10786800000000001</v>
      </c>
      <c r="N37" s="35" t="s">
        <v>188</v>
      </c>
      <c r="O37" s="8">
        <v>0</v>
      </c>
      <c r="P37" s="8">
        <v>0</v>
      </c>
      <c r="Q37" s="8">
        <v>0</v>
      </c>
      <c r="R37" s="8">
        <v>1970</v>
      </c>
      <c r="T37" s="8">
        <v>223470</v>
      </c>
      <c r="U37" s="38">
        <f>+Tabla_master_rend[[#This Row],[L_suero Total]]/Tabla_master_rend[[#This Row],[Litros_Leche_Total]]</f>
        <v>0.86002262913616734</v>
      </c>
      <c r="V37" s="5">
        <v>2.2000000000000001E-3</v>
      </c>
      <c r="W37" s="5">
        <v>8.8000000000000005E-3</v>
      </c>
      <c r="X37" s="8">
        <v>172825</v>
      </c>
      <c r="Y37" s="57">
        <v>52415</v>
      </c>
      <c r="Z37" s="58">
        <f>IF(Tabla_master_rend[[#This Row],[L_suero para con]]=0,0,+Tabla_master_rend[[#This Row],[L_suero para con]]/Tabla_master_rend[[#This Row],[L_suero_con]])</f>
        <v>3.2972431555852331</v>
      </c>
      <c r="AA37" s="8">
        <f>+Tabla_master_rend[[#This Row],[L_suero Total]]-Tabla_master_rend[[#This Row],[L_suero para con]]</f>
        <v>50645</v>
      </c>
      <c r="AD37" s="8"/>
      <c r="AE37" s="8"/>
      <c r="AF37" s="8"/>
      <c r="AG37" s="5"/>
      <c r="AI37" s="7">
        <f>+Tabla_master_rend[[#This Row],[Kg_Finos]]+Tabla_master_rend[[#This Row],[Kg_Llenadora]]+Tabla_master_rend[[#This Row],[Kg_Desmoldeo]]+Tabla_master_rend[[#This Row],[L_Agua]]+Tabla_master_rend[[#This Row],[Kg_SalidaSecadero]]</f>
        <v>30242.43</v>
      </c>
      <c r="AJ37" s="59">
        <f>+Tabla_master_rend[[#This Row],[Litros_Leche_Total]]/Tabla_master_rend[[#This Row],[Kg_Queso_Blan]]</f>
        <v>8.5919683041342907</v>
      </c>
      <c r="AK37" s="59">
        <f>+Tabla_master_rend[[#This Row],[Litros_Leche_Total]]/(Tabla_master_rend[[#This Row],[Kg_Queso_Blan]]-Tabla_master_rend[[#This Row],[Merma_TOT]])</f>
        <v>8.94097228196053</v>
      </c>
      <c r="AL37" s="59">
        <f>VLOOKUP(G37,REND_TARGET[#All],8,FALSE)</f>
        <v>8.9338729999999984</v>
      </c>
      <c r="AM37" s="7">
        <f>(I37*1.03*Tabla_master_rend[[#This Row],[%MG_Leche]])+(I37*1.03*Tabla_master_rend[[#This Row],[%MP_Leche]])</f>
        <v>19082.536638000001</v>
      </c>
      <c r="AN37" s="38">
        <v>0.30010000000000003</v>
      </c>
      <c r="AO37" s="38">
        <v>0.2306</v>
      </c>
      <c r="AP37" s="60">
        <v>0.57769999999999999</v>
      </c>
      <c r="AQ37" s="38">
        <f>+Tabla_master_rend[[#This Row],[Kg_Queso_Blan]]*Tabla_master_rend[[#This Row],[ES_QUESO]]/(Tabla_master_rend[[#This Row],[Kg_Solidos_leche]])</f>
        <v>0.91555185468419487</v>
      </c>
      <c r="AR37" s="7">
        <f t="shared" si="20"/>
        <v>788</v>
      </c>
      <c r="AS37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0.985426011786523</v>
      </c>
      <c r="AT37" s="62">
        <f>+Tabla_master_rend[[#This Row],[Kg_Queso_Blan]]*Tabla_master_rend[[#This Row],[%PT_QUESO]]/(Tabla_master_rend[[#This Row],[Litros_Leche_Total]]*1.03*Tabla_master_rend[[#This Row],[%MP_Leche]])</f>
        <v>0.76865191553063894</v>
      </c>
      <c r="AU37" s="63">
        <f t="shared" si="21"/>
        <v>5910</v>
      </c>
      <c r="AV37" s="7">
        <v>62.93</v>
      </c>
      <c r="AW37" s="7">
        <v>98.3</v>
      </c>
      <c r="AX37" s="7">
        <v>36.200000000000003</v>
      </c>
      <c r="AY37" s="8">
        <f>SUM(Tabla_master_rend[[#This Row],[Kg_Finos]:[Kg_Desmoldeo]])</f>
        <v>197.43</v>
      </c>
      <c r="AZ37" s="60">
        <f>+(Tabla_master_rend[[#This Row],[Kg_Finos]]+Tabla_master_rend[[#This Row],[Kg_Llenadora]]+Tabla_master_rend[[#This Row],[Kg_Desmoldeo]])/(Tabla_master_rend[[#This Row],[Kg_Queso_Blan]])</f>
        <v>6.5282452501336701E-3</v>
      </c>
      <c r="BA37" s="7">
        <v>660</v>
      </c>
      <c r="BB37" s="60">
        <f>+Tabla_master_rend[[#This Row],[L_Agua]]/(Tabla_master_rend[[#This Row],[L_Agua]]+Tabla_master_rend[[#This Row],[Kg_SalidaSecadero]])</f>
        <v>2.196704942586121E-2</v>
      </c>
      <c r="BC37" s="8">
        <v>4300</v>
      </c>
      <c r="BD37" s="8">
        <v>4189</v>
      </c>
      <c r="BE37" s="8">
        <v>29331</v>
      </c>
      <c r="BF37" s="8">
        <f>14*6.5</f>
        <v>91</v>
      </c>
      <c r="BG37" s="8">
        <v>0</v>
      </c>
      <c r="BH37" s="7">
        <v>0</v>
      </c>
      <c r="BI37" s="7">
        <f>94*6.5</f>
        <v>611</v>
      </c>
      <c r="BJ37" s="8">
        <v>104</v>
      </c>
      <c r="BK37" s="8">
        <v>29385</v>
      </c>
      <c r="BL37" s="8">
        <v>1.04</v>
      </c>
      <c r="BM37" s="8">
        <v>301.42</v>
      </c>
      <c r="BN37" s="7">
        <v>20.6</v>
      </c>
      <c r="BO37" s="68">
        <f>+SUM(Tabla_master_rend[[#This Row],[B_altas]:[B_lab]])/Tabla_master_rend[[#This Row],[Kg_SalidaSecadero]]</f>
        <v>2.7428960353922067E-2</v>
      </c>
      <c r="BP37" s="68">
        <f>+(Tabla_master_rend[[#This Row],[Kg_mer_env_real]]+Tabla_master_rend[[#This Row],[kg_mer_lab_real]])/Tabla_master_rend[[#This Row],[Kg_SalidaSecadero]]</f>
        <v>1.0958652373660033E-2</v>
      </c>
      <c r="BQ37" s="64">
        <f>+Tabla_master_rend[[#This Row],[Merma_TOT]]/Tabla_master_rend[[#This Row],[Kg_Queso_Blan]]</f>
        <v>3.9034231045587287E-2</v>
      </c>
      <c r="BR37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1180.4900000000002</v>
      </c>
      <c r="BS37" s="8"/>
      <c r="BT37" s="63">
        <f>IF(+Tabla_master_rend[[#This Row],[Kg_Env_Total]]=0,0,Tabla_master_rend[[#This Row],[Kg_Env_Total]]-Tabla_master_rend[[#This Row],[Kg_SalidaSecadero]])</f>
        <v>0</v>
      </c>
      <c r="BU37" s="60">
        <f>+Tabla_master_rend[[#This Row],[Diferencia_Env_vs_Sec_kg]]/Tabla_master_rend[[#This Row],[Kg_SalidaSecadero]]</f>
        <v>0</v>
      </c>
      <c r="BV37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37" s="65">
        <f>+(Tabla_master_rend[[#This Row],[Coste_Leche_€]]-Tabla_master_rend[[#This Row],[Kg_MG_Nata]]*$CO$3)/Tabla_master_rend[[#This Row],[Kg_Queso_Blan]]</f>
        <v>-0.19542080447900514</v>
      </c>
      <c r="BX37" s="8">
        <f>SUM(Tabla_master_rend[[#This Row],[Kg_Finos]:[Kg_Desmoldeo]])+Tabla_master_rend[[#This Row],[L_Agua]]+SUM(Tabla_master_rend[[#This Row],[B_altas]:[B_lab]])</f>
        <v>1663.43</v>
      </c>
      <c r="BY37" s="8">
        <f>+BX37-Tabla_master_rend[[#This Row],[Merma_TOT]]</f>
        <v>482.93999999999983</v>
      </c>
      <c r="BZ37" s="62">
        <f t="shared" si="22"/>
        <v>0.29032781661987567</v>
      </c>
      <c r="CA37" s="8">
        <f>+Tabla_master_rend[[#This Row],[Kg_Queso_Blan]]*$CA$1</f>
        <v>196.575795</v>
      </c>
      <c r="CB37" s="8">
        <f>+Tabla_master_rend[[#This Row],[Kg_Queso_Blan]]*($CB$1-$CA$1)</f>
        <v>105.84850500000002</v>
      </c>
      <c r="CC37" s="8">
        <f>+(Tabla_master_rend[[#This Row],[Kg_Queso_Blan]]-CA37-CB37)*$CC$1</f>
        <v>314.37005985000002</v>
      </c>
      <c r="CD37" s="8">
        <f t="shared" si="23"/>
        <v>616.79435985000009</v>
      </c>
      <c r="CE37" s="80">
        <f>+CD37/Tabla_master_rend[[#This Row],[Kg_Queso_Blan]]</f>
        <v>2.0395000000000003E-2</v>
      </c>
      <c r="CF37" s="62">
        <f>+Tabla_master_rend[[#This Row],[Merma_TOT]]/Tabla_master_rend[[#This Row],[Kg_Queso_Blan]]</f>
        <v>3.9034231045587287E-2</v>
      </c>
      <c r="CG37" s="8">
        <f>CD37-Tabla_master_rend[[#This Row],[Merma_TOT]]</f>
        <v>-563.69564015000014</v>
      </c>
      <c r="CH37" s="81" cm="1">
        <f t="array" ref="CH37">-BR37 * IFERROR(INDEX('Precio Leche_EBITDA_Ventas'!$BD$87:$BD$110,MATCH(1,('Precio Leche_EBITDA_Ventas'!$AZ$87:$AZ$110=YEAR(A37))*('Precio Leche_EBITDA_Ventas'!$BB$87:$BB$110=C37),0)),1.3)</f>
        <v>-4131.7150000000011</v>
      </c>
      <c r="CI37" s="81">
        <f t="shared" si="24"/>
        <v>-732.80433219500026</v>
      </c>
    </row>
    <row r="38" spans="1:87" x14ac:dyDescent="0.35">
      <c r="A38" s="9">
        <v>45740</v>
      </c>
      <c r="B38" s="7">
        <v>3</v>
      </c>
      <c r="C38" s="7" t="str">
        <f>+UPPER(TEXT(Tabla_master_rend[[#This Row],[Fecha]],"MMM"))</f>
        <v>MAR</v>
      </c>
      <c r="D38" s="7" t="str">
        <f>+UPPER(TEXT(Tabla_master_rend[[#This Row],[Fecha]],"ddd"))</f>
        <v>LU</v>
      </c>
      <c r="E38" s="3">
        <v>240325116</v>
      </c>
      <c r="F38" s="3" t="s">
        <v>244</v>
      </c>
      <c r="G38" s="84" t="s">
        <v>299</v>
      </c>
      <c r="H38">
        <v>18</v>
      </c>
      <c r="I38" s="8">
        <f>+Tabla_master_rend[[#This Row],[L_Leche_ent]]+Tabla_master_rend[[#This Row],[L_desn_ext]]+Tabla_master_rend[[#This Row],[L_cabra]]+Tabla_master_rend[[#This Row],[L_oveja]]</f>
        <v>292667</v>
      </c>
      <c r="J38" s="8">
        <v>292667</v>
      </c>
      <c r="K38" s="5">
        <v>3.8399999999999997E-2</v>
      </c>
      <c r="L38" s="5">
        <v>3.3700000000000001E-2</v>
      </c>
      <c r="M38" s="5">
        <f t="shared" si="19"/>
        <v>0.10865</v>
      </c>
      <c r="N38" s="35" t="s">
        <v>43</v>
      </c>
      <c r="O38" s="8">
        <v>0</v>
      </c>
      <c r="P38" s="8">
        <v>0</v>
      </c>
      <c r="Q38" s="8">
        <v>0</v>
      </c>
      <c r="R38" s="8">
        <v>10357</v>
      </c>
      <c r="T38" s="8">
        <v>250770</v>
      </c>
      <c r="U38" s="38">
        <f>+Tabla_master_rend[[#This Row],[L_suero Total]]/Tabla_master_rend[[#This Row],[Litros_Leche_Total]]</f>
        <v>0.85684412660122256</v>
      </c>
      <c r="V38" s="5">
        <v>1.2999999999999999E-3</v>
      </c>
      <c r="W38" s="5">
        <v>9.0000000000000011E-3</v>
      </c>
      <c r="X38" s="8">
        <v>249562</v>
      </c>
      <c r="Y38" s="57">
        <v>85448</v>
      </c>
      <c r="Z38" s="58">
        <f>IF(Tabla_master_rend[[#This Row],[L_suero para con]]=0,0,+Tabla_master_rend[[#This Row],[L_suero para con]]/Tabla_master_rend[[#This Row],[L_suero_con]])</f>
        <v>2.9206300908154668</v>
      </c>
      <c r="AA38" s="8">
        <f>+Tabla_master_rend[[#This Row],[L_suero Total]]-Tabla_master_rend[[#This Row],[L_suero para con]]</f>
        <v>1208</v>
      </c>
      <c r="AD38" s="8"/>
      <c r="AE38" s="8"/>
      <c r="AF38" s="8"/>
      <c r="AG38" s="5"/>
      <c r="AI38" s="7">
        <f>+Tabla_master_rend[[#This Row],[Kg_Finos]]+Tabla_master_rend[[#This Row],[Kg_Llenadora]]+Tabla_master_rend[[#This Row],[Kg_Desmoldeo]]+Tabla_master_rend[[#This Row],[L_Agua]]+Tabla_master_rend[[#This Row],[Kg_SalidaSecadero]]</f>
        <v>30849.89</v>
      </c>
      <c r="AJ38" s="59">
        <f>+Tabla_master_rend[[#This Row],[Litros_Leche_Total]]/Tabla_master_rend[[#This Row],[Kg_Queso_Blan]]</f>
        <v>9.486808542915389</v>
      </c>
      <c r="AK38" s="59">
        <f>+Tabla_master_rend[[#This Row],[Litros_Leche_Total]]/(Tabla_master_rend[[#This Row],[Kg_Queso_Blan]]-Tabla_master_rend[[#This Row],[Merma_TOT]])</f>
        <v>10.278870833374308</v>
      </c>
      <c r="AL38" s="59">
        <f>VLOOKUP(G38,REND_TARGET[#All],8,FALSE)</f>
        <v>9.8078500000000002</v>
      </c>
      <c r="AM38" s="7">
        <f>(I38*1.03*Tabla_master_rend[[#This Row],[%MG_Leche]])+(I38*1.03*Tabla_master_rend[[#This Row],[%MP_Leche]])</f>
        <v>21734.329421000002</v>
      </c>
      <c r="AN38" s="38">
        <v>0.22949999999999998</v>
      </c>
      <c r="AO38" s="38">
        <v>0.25739999999999996</v>
      </c>
      <c r="AP38" s="60">
        <v>0.53869999999999996</v>
      </c>
      <c r="AQ38" s="38">
        <f>+Tabla_master_rend[[#This Row],[Kg_Queso_Blan]]*Tabla_master_rend[[#This Row],[ES_QUESO]]/(Tabla_master_rend[[#This Row],[Kg_Solidos_leche]])</f>
        <v>0.76463531131274087</v>
      </c>
      <c r="AR38" s="7">
        <f t="shared" si="20"/>
        <v>4142.8</v>
      </c>
      <c r="AS38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0.96952931253088781</v>
      </c>
      <c r="AT38" s="62">
        <f>+Tabla_master_rend[[#This Row],[Kg_Queso_Blan]]*Tabla_master_rend[[#This Row],[%PT_QUESO]]/(Tabla_master_rend[[#This Row],[Litros_Leche_Total]]*1.03*Tabla_master_rend[[#This Row],[%MP_Leche]])</f>
        <v>0.78166610630438216</v>
      </c>
      <c r="AU38" s="63">
        <f t="shared" si="21"/>
        <v>31071</v>
      </c>
      <c r="AV38" s="7">
        <v>58.99</v>
      </c>
      <c r="AW38" s="7">
        <v>65.3</v>
      </c>
      <c r="AX38" s="7">
        <v>121.6</v>
      </c>
      <c r="AY38" s="8">
        <f>SUM(Tabla_master_rend[[#This Row],[Kg_Finos]:[Kg_Desmoldeo]])</f>
        <v>245.89</v>
      </c>
      <c r="AZ38" s="60">
        <f>+(Tabla_master_rend[[#This Row],[Kg_Finos]]+Tabla_master_rend[[#This Row],[Kg_Llenadora]]+Tabla_master_rend[[#This Row],[Kg_Desmoldeo]])/(Tabla_master_rend[[#This Row],[Kg_Queso_Blan]])</f>
        <v>7.9705308511634886E-3</v>
      </c>
      <c r="BA38" s="7">
        <v>360</v>
      </c>
      <c r="BB38" s="60">
        <f>+Tabla_master_rend[[#This Row],[L_Agua]]/(Tabla_master_rend[[#This Row],[L_Agua]]+Tabla_master_rend[[#This Row],[Kg_SalidaSecadero]])</f>
        <v>1.1763168213305451E-2</v>
      </c>
      <c r="BC38" s="8">
        <v>4404</v>
      </c>
      <c r="BD38" s="8">
        <v>4038</v>
      </c>
      <c r="BE38" s="8">
        <v>28548</v>
      </c>
      <c r="BF38" s="8">
        <f>27*6.1</f>
        <v>164.7</v>
      </c>
      <c r="BG38" s="8">
        <f>109*6.1</f>
        <v>664.9</v>
      </c>
      <c r="BH38" s="7">
        <v>0</v>
      </c>
      <c r="BI38" s="7">
        <f>236*6.1</f>
        <v>1439.6</v>
      </c>
      <c r="BJ38" s="8">
        <v>129</v>
      </c>
      <c r="BK38" s="8">
        <v>30244</v>
      </c>
      <c r="BL38" s="8">
        <v>0</v>
      </c>
      <c r="BM38" s="8">
        <v>1740.95</v>
      </c>
      <c r="BN38" s="7">
        <v>30.37</v>
      </c>
      <c r="BO38" s="68">
        <f>+SUM(Tabla_master_rend[[#This Row],[B_altas]:[B_lab]])/Tabla_master_rend[[#This Row],[Kg_SalidaSecadero]]</f>
        <v>7.9295066790107116E-2</v>
      </c>
      <c r="BP38" s="68">
        <f>+(Tabla_master_rend[[#This Row],[Kg_mer_env_real]]+Tabla_master_rend[[#This Row],[kg_mer_lab_real]])/Tabla_master_rend[[#This Row],[Kg_SalidaSecadero]]</f>
        <v>5.8567649781774894E-2</v>
      </c>
      <c r="BQ38" s="64">
        <f>+Tabla_master_rend[[#This Row],[Merma_TOT]]/Tabla_master_rend[[#This Row],[Kg_Queso_Blan]]</f>
        <v>7.705732500180712E-2</v>
      </c>
      <c r="BR38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2377.2099999999996</v>
      </c>
      <c r="BS38" s="8"/>
      <c r="BT38" s="63">
        <f>IF(+Tabla_master_rend[[#This Row],[Kg_Env_Total]]=0,0,Tabla_master_rend[[#This Row],[Kg_Env_Total]]-Tabla_master_rend[[#This Row],[Kg_SalidaSecadero]])</f>
        <v>0</v>
      </c>
      <c r="BU38" s="60">
        <f>+Tabla_master_rend[[#This Row],[Diferencia_Env_vs_Sec_kg]]/Tabla_master_rend[[#This Row],[Kg_SalidaSecadero]]</f>
        <v>0</v>
      </c>
      <c r="BV38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38" s="65">
        <f>+(Tabla_master_rend[[#This Row],[Coste_Leche_€]]-Tabla_master_rend[[#This Row],[Kg_MG_Nata]]*$CO$3)/Tabla_master_rend[[#This Row],[Kg_Queso_Blan]]</f>
        <v>-1.0071672864959973</v>
      </c>
      <c r="BX38" s="8">
        <f>SUM(Tabla_master_rend[[#This Row],[Kg_Finos]:[Kg_Desmoldeo]])+Tabla_master_rend[[#This Row],[L_Agua]]+SUM(Tabla_master_rend[[#This Row],[B_altas]:[B_lab]])</f>
        <v>3004.0899999999997</v>
      </c>
      <c r="BY38" s="8">
        <f>+BX38-Tabla_master_rend[[#This Row],[Merma_TOT]]</f>
        <v>626.88000000000011</v>
      </c>
      <c r="BZ38" s="62">
        <f t="shared" si="22"/>
        <v>0.20867550572719198</v>
      </c>
      <c r="CA38" s="8">
        <f>+Tabla_master_rend[[#This Row],[Kg_Queso_Blan]]*$CA$1</f>
        <v>200.52428499999999</v>
      </c>
      <c r="CB38" s="8">
        <f>+Tabla_master_rend[[#This Row],[Kg_Queso_Blan]]*($CB$1-$CA$1)</f>
        <v>107.97461500000001</v>
      </c>
      <c r="CC38" s="8">
        <f>+(Tabla_master_rend[[#This Row],[Kg_Queso_Blan]]-CA38-CB38)*$CC$1</f>
        <v>320.68460655000001</v>
      </c>
      <c r="CD38" s="8">
        <f t="shared" si="23"/>
        <v>629.18350654999995</v>
      </c>
      <c r="CE38" s="80">
        <f>+CD38/Tabla_master_rend[[#This Row],[Kg_Queso_Blan]]</f>
        <v>2.0395E-2</v>
      </c>
      <c r="CF38" s="62">
        <f>+Tabla_master_rend[[#This Row],[Merma_TOT]]/Tabla_master_rend[[#This Row],[Kg_Queso_Blan]]</f>
        <v>7.705732500180712E-2</v>
      </c>
      <c r="CG38" s="8">
        <f>CD38-Tabla_master_rend[[#This Row],[Merma_TOT]]</f>
        <v>-1748.0264934499996</v>
      </c>
      <c r="CH38" s="81" cm="1">
        <f t="array" ref="CH38">-BR38 * IFERROR(INDEX('Precio Leche_EBITDA_Ventas'!$BD$87:$BD$110,MATCH(1,('Precio Leche_EBITDA_Ventas'!$AZ$87:$AZ$110=YEAR(A38))*('Precio Leche_EBITDA_Ventas'!$BB$87:$BB$110=C38),0)),1.3)</f>
        <v>-8320.2349999999988</v>
      </c>
      <c r="CI38" s="81">
        <f t="shared" si="24"/>
        <v>-2272.4344414849998</v>
      </c>
    </row>
    <row r="39" spans="1:87" x14ac:dyDescent="0.35">
      <c r="A39" s="9">
        <v>45741</v>
      </c>
      <c r="B39" s="7">
        <v>3</v>
      </c>
      <c r="C39" s="7" t="str">
        <f>+UPPER(TEXT(Tabla_master_rend[[#This Row],[Fecha]],"MMM"))</f>
        <v>MAR</v>
      </c>
      <c r="D39" s="7" t="str">
        <f>+UPPER(TEXT(Tabla_master_rend[[#This Row],[Fecha]],"ddd"))</f>
        <v>MA</v>
      </c>
      <c r="E39" s="3">
        <v>250325126</v>
      </c>
      <c r="F39" s="3" t="s">
        <v>244</v>
      </c>
      <c r="G39" s="84" t="s">
        <v>301</v>
      </c>
      <c r="H39">
        <v>16</v>
      </c>
      <c r="I39" s="8">
        <f>+Tabla_master_rend[[#This Row],[L_Leche_ent]]+Tabla_master_rend[[#This Row],[L_desn_ext]]+Tabla_master_rend[[#This Row],[L_cabra]]+Tabla_master_rend[[#This Row],[L_oveja]]</f>
        <v>251477</v>
      </c>
      <c r="J39" s="8">
        <v>251477</v>
      </c>
      <c r="K39" s="5">
        <v>3.7999999999999999E-2</v>
      </c>
      <c r="L39" s="5">
        <v>3.39E-2</v>
      </c>
      <c r="M39" s="5">
        <f t="shared" si="19"/>
        <v>0.10842600000000001</v>
      </c>
      <c r="N39" s="35" t="s">
        <v>43</v>
      </c>
      <c r="O39" s="8">
        <v>0</v>
      </c>
      <c r="P39" s="8">
        <v>0</v>
      </c>
      <c r="Q39" s="8">
        <v>0</v>
      </c>
      <c r="R39" s="8">
        <v>2943</v>
      </c>
      <c r="T39" s="8">
        <v>221450</v>
      </c>
      <c r="U39" s="38">
        <f>+Tabla_master_rend[[#This Row],[L_suero Total]]/Tabla_master_rend[[#This Row],[Litros_Leche_Total]]</f>
        <v>0.88059743038130722</v>
      </c>
      <c r="V39" s="5">
        <v>2.2000000000000001E-3</v>
      </c>
      <c r="W39" s="5">
        <v>9.7999999999999997E-3</v>
      </c>
      <c r="X39" s="8">
        <v>223068</v>
      </c>
      <c r="Y39" s="57">
        <v>73031</v>
      </c>
      <c r="Z39" s="58">
        <f>IF(Tabla_master_rend[[#This Row],[L_suero para con]]=0,0,+Tabla_master_rend[[#This Row],[L_suero para con]]/Tabla_master_rend[[#This Row],[L_suero_con]])</f>
        <v>3.0544289411345869</v>
      </c>
      <c r="AA39" s="8">
        <f>+Tabla_master_rend[[#This Row],[L_suero Total]]-Tabla_master_rend[[#This Row],[L_suero para con]]</f>
        <v>-1618</v>
      </c>
      <c r="AD39" s="8"/>
      <c r="AE39" s="8"/>
      <c r="AF39" s="8"/>
      <c r="AG39" s="5"/>
      <c r="AI39" s="7">
        <f>+Tabla_master_rend[[#This Row],[Kg_Finos]]+Tabla_master_rend[[#This Row],[Kg_Llenadora]]+Tabla_master_rend[[#This Row],[Kg_Desmoldeo]]+Tabla_master_rend[[#This Row],[L_Agua]]+Tabla_master_rend[[#This Row],[Kg_SalidaSecadero]]</f>
        <v>28953.35</v>
      </c>
      <c r="AJ39" s="59">
        <f>+Tabla_master_rend[[#This Row],[Litros_Leche_Total]]/Tabla_master_rend[[#This Row],[Kg_Queso_Blan]]</f>
        <v>8.685592513474262</v>
      </c>
      <c r="AK39" s="59">
        <f>+Tabla_master_rend[[#This Row],[Litros_Leche_Total]]/(Tabla_master_rend[[#This Row],[Kg_Queso_Blan]]-Tabla_master_rend[[#This Row],[Merma_TOT]])</f>
        <v>8.9236618250930064</v>
      </c>
      <c r="AL39" s="59">
        <f>VLOOKUP(G39,REND_TARGET[#All],8,FALSE)</f>
        <v>9.3549429999999987</v>
      </c>
      <c r="AM39" s="7">
        <f>(I39*1.03*Tabla_master_rend[[#This Row],[%MG_Leche]])+(I39*1.03*Tabla_master_rend[[#This Row],[%MP_Leche]])</f>
        <v>18623.632189</v>
      </c>
      <c r="AN39" s="38">
        <v>0.29320000000000002</v>
      </c>
      <c r="AO39" s="38">
        <v>0.23929999999999998</v>
      </c>
      <c r="AP39" s="60">
        <v>0.57899999999999996</v>
      </c>
      <c r="AQ39" s="38">
        <f>+Tabla_master_rend[[#This Row],[Kg_Queso_Blan]]*Tabla_master_rend[[#This Row],[ES_QUESO]]/(Tabla_master_rend[[#This Row],[Kg_Solidos_leche]])</f>
        <v>0.90014608750174985</v>
      </c>
      <c r="AR39" s="7">
        <f t="shared" si="20"/>
        <v>1177.2</v>
      </c>
      <c r="AS39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0.98206939238441737</v>
      </c>
      <c r="AT39" s="62">
        <f>+Tabla_master_rend[[#This Row],[Kg_Queso_Blan]]*Tabla_master_rend[[#This Row],[%PT_QUESO]]/(Tabla_master_rend[[#This Row],[Litros_Leche_Total]]*1.03*Tabla_master_rend[[#This Row],[%MP_Leche]])</f>
        <v>0.78905327226508071</v>
      </c>
      <c r="AU39" s="63">
        <f t="shared" si="21"/>
        <v>8829</v>
      </c>
      <c r="AV39" s="7">
        <v>46.55</v>
      </c>
      <c r="AW39" s="7">
        <v>68.5</v>
      </c>
      <c r="AX39" s="7">
        <v>10.3</v>
      </c>
      <c r="AY39" s="8">
        <f>SUM(Tabla_master_rend[[#This Row],[Kg_Finos]:[Kg_Desmoldeo]])</f>
        <v>125.35</v>
      </c>
      <c r="AZ39" s="60">
        <f>+(Tabla_master_rend[[#This Row],[Kg_Finos]]+Tabla_master_rend[[#This Row],[Kg_Llenadora]]+Tabla_master_rend[[#This Row],[Kg_Desmoldeo]])/(Tabla_master_rend[[#This Row],[Kg_Queso_Blan]])</f>
        <v>4.3293781203211376E-3</v>
      </c>
      <c r="BA39" s="7">
        <v>555</v>
      </c>
      <c r="BB39" s="60">
        <f>+Tabla_master_rend[[#This Row],[L_Agua]]/(Tabla_master_rend[[#This Row],[L_Agua]]+Tabla_master_rend[[#This Row],[Kg_SalidaSecadero]])</f>
        <v>1.9252115998334953E-2</v>
      </c>
      <c r="BC39" s="8">
        <v>3972</v>
      </c>
      <c r="BD39" s="8">
        <v>3933</v>
      </c>
      <c r="BE39" s="8">
        <v>28385</v>
      </c>
      <c r="BF39" s="8">
        <f>31*6.4</f>
        <v>198.4</v>
      </c>
      <c r="BG39" s="8">
        <f>7*6.4</f>
        <v>44.800000000000004</v>
      </c>
      <c r="BH39" s="7">
        <f>7*6.4</f>
        <v>44.800000000000004</v>
      </c>
      <c r="BI39" s="7">
        <f>9*6.4</f>
        <v>57.6</v>
      </c>
      <c r="BJ39" s="8">
        <v>100</v>
      </c>
      <c r="BK39" s="8">
        <v>28273</v>
      </c>
      <c r="BL39" s="8">
        <v>0.71</v>
      </c>
      <c r="BM39" s="8">
        <v>68.19</v>
      </c>
      <c r="BN39" s="7">
        <v>23.18</v>
      </c>
      <c r="BO39" s="68">
        <f>+SUM(Tabla_master_rend[[#This Row],[B_altas]:[B_lab]])/Tabla_master_rend[[#This Row],[Kg_SalidaSecadero]]</f>
        <v>1.5760619672479045E-2</v>
      </c>
      <c r="BP39" s="68">
        <f>+(Tabla_master_rend[[#This Row],[Kg_mer_env_real]]+Tabla_master_rend[[#This Row],[kg_mer_lab_real]])/Tabla_master_rend[[#This Row],[Kg_SalidaSecadero]]</f>
        <v>3.2317051604003823E-3</v>
      </c>
      <c r="BQ39" s="64">
        <f>+Tabla_master_rend[[#This Row],[Merma_TOT]]/Tabla_master_rend[[#This Row],[Kg_Queso_Blan]]</f>
        <v>2.6678432720220632E-2</v>
      </c>
      <c r="BR39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772.43</v>
      </c>
      <c r="BS39" s="8"/>
      <c r="BT39" s="63">
        <f>IF(+Tabla_master_rend[[#This Row],[Kg_Env_Total]]=0,0,Tabla_master_rend[[#This Row],[Kg_Env_Total]]-Tabla_master_rend[[#This Row],[Kg_SalidaSecadero]])</f>
        <v>0</v>
      </c>
      <c r="BU39" s="60">
        <f>+Tabla_master_rend[[#This Row],[Diferencia_Env_vs_Sec_kg]]/Tabla_master_rend[[#This Row],[Kg_SalidaSecadero]]</f>
        <v>0</v>
      </c>
      <c r="BV39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39" s="65">
        <f>+(Tabla_master_rend[[#This Row],[Coste_Leche_€]]-Tabla_master_rend[[#This Row],[Kg_MG_Nata]]*$CO$3)/Tabla_master_rend[[#This Row],[Kg_Queso_Blan]]</f>
        <v>-0.3049388067356627</v>
      </c>
      <c r="BX39" s="8">
        <f>SUM(Tabla_master_rend[[#This Row],[Kg_Finos]:[Kg_Desmoldeo]])+Tabla_master_rend[[#This Row],[L_Agua]]+SUM(Tabla_master_rend[[#This Row],[B_altas]:[B_lab]])</f>
        <v>1125.95</v>
      </c>
      <c r="BY39" s="8">
        <f>+BX39-Tabla_master_rend[[#This Row],[Merma_TOT]]</f>
        <v>353.5200000000001</v>
      </c>
      <c r="BZ39" s="62">
        <f t="shared" si="22"/>
        <v>0.31397486566899069</v>
      </c>
      <c r="CA39" s="8">
        <f>+Tabla_master_rend[[#This Row],[Kg_Queso_Blan]]*$CA$1</f>
        <v>188.19677499999997</v>
      </c>
      <c r="CB39" s="8">
        <f>+Tabla_master_rend[[#This Row],[Kg_Queso_Blan]]*($CB$1-$CA$1)</f>
        <v>101.33672500000002</v>
      </c>
      <c r="CC39" s="8">
        <f>+(Tabla_master_rend[[#This Row],[Kg_Queso_Blan]]-CA39-CB39)*$CC$1</f>
        <v>300.97007324999998</v>
      </c>
      <c r="CD39" s="8">
        <f t="shared" si="23"/>
        <v>590.50357325000004</v>
      </c>
      <c r="CE39" s="80">
        <f>+CD39/Tabla_master_rend[[#This Row],[Kg_Queso_Blan]]</f>
        <v>2.0395000000000003E-2</v>
      </c>
      <c r="CF39" s="62">
        <f>+Tabla_master_rend[[#This Row],[Merma_TOT]]/Tabla_master_rend[[#This Row],[Kg_Queso_Blan]]</f>
        <v>2.6678432720220632E-2</v>
      </c>
      <c r="CG39" s="8">
        <f>CD39-Tabla_master_rend[[#This Row],[Merma_TOT]]</f>
        <v>-181.92642674999991</v>
      </c>
      <c r="CH39" s="81" cm="1">
        <f t="array" ref="CH39">-BR39 * IFERROR(INDEX('Precio Leche_EBITDA_Ventas'!$BD$87:$BD$110,MATCH(1,('Precio Leche_EBITDA_Ventas'!$AZ$87:$AZ$110=YEAR(A39))*('Precio Leche_EBITDA_Ventas'!$BB$87:$BB$110=C39),0)),1.3)</f>
        <v>-2703.5049999999997</v>
      </c>
      <c r="CI39" s="81">
        <f t="shared" si="24"/>
        <v>-236.50435477499988</v>
      </c>
    </row>
    <row r="40" spans="1:87" x14ac:dyDescent="0.35">
      <c r="A40" s="9">
        <v>45743</v>
      </c>
      <c r="B40" s="7">
        <v>3</v>
      </c>
      <c r="C40" s="7" t="str">
        <f>+UPPER(TEXT(Tabla_master_rend[[#This Row],[Fecha]],"MMM"))</f>
        <v>MAR</v>
      </c>
      <c r="D40" s="7" t="str">
        <f>+UPPER(TEXT(Tabla_master_rend[[#This Row],[Fecha]],"ddd"))</f>
        <v>JU</v>
      </c>
      <c r="E40" s="3">
        <v>270325126</v>
      </c>
      <c r="F40" s="3" t="s">
        <v>244</v>
      </c>
      <c r="G40" s="84" t="s">
        <v>301</v>
      </c>
      <c r="H40">
        <v>15</v>
      </c>
      <c r="I40" s="8">
        <f>+Tabla_master_rend[[#This Row],[L_Leche_ent]]+Tabla_master_rend[[#This Row],[L_desn_ext]]+Tabla_master_rend[[#This Row],[L_cabra]]+Tabla_master_rend[[#This Row],[L_oveja]]</f>
        <v>233372</v>
      </c>
      <c r="J40" s="8">
        <v>233372</v>
      </c>
      <c r="K40" s="5">
        <v>3.9800000000000002E-2</v>
      </c>
      <c r="L40" s="5">
        <v>3.4099999999999998E-2</v>
      </c>
      <c r="M40" s="5">
        <f t="shared" si="19"/>
        <v>0.11024800000000001</v>
      </c>
      <c r="N40" s="35" t="s">
        <v>188</v>
      </c>
      <c r="O40" s="8">
        <v>0</v>
      </c>
      <c r="P40" s="8">
        <v>0</v>
      </c>
      <c r="Q40" s="8">
        <v>0</v>
      </c>
      <c r="R40" s="8">
        <v>4088</v>
      </c>
      <c r="T40" s="8">
        <v>206770</v>
      </c>
      <c r="U40" s="38">
        <f>+Tabla_master_rend[[#This Row],[L_suero Total]]/Tabla_master_rend[[#This Row],[Litros_Leche_Total]]</f>
        <v>0.8860103182901119</v>
      </c>
      <c r="V40" s="5">
        <v>1.6000000000000001E-3</v>
      </c>
      <c r="W40" s="5">
        <v>8.6999999999999994E-3</v>
      </c>
      <c r="X40" s="8">
        <v>122922</v>
      </c>
      <c r="Y40" s="57">
        <v>39620</v>
      </c>
      <c r="Z40" s="58">
        <f>IF(Tabla_master_rend[[#This Row],[L_suero para con]]=0,0,+Tabla_master_rend[[#This Row],[L_suero para con]]/Tabla_master_rend[[#This Row],[L_suero_con]])</f>
        <v>3.1025239777889952</v>
      </c>
      <c r="AA40" s="8">
        <f>+Tabla_master_rend[[#This Row],[L_suero Total]]-Tabla_master_rend[[#This Row],[L_suero para con]]</f>
        <v>83848</v>
      </c>
      <c r="AD40" s="8"/>
      <c r="AE40" s="8"/>
      <c r="AF40" s="8"/>
      <c r="AG40" s="5"/>
      <c r="AI40" s="7">
        <f>+Tabla_master_rend[[#This Row],[Kg_Finos]]+Tabla_master_rend[[#This Row],[Kg_Llenadora]]+Tabla_master_rend[[#This Row],[Kg_Desmoldeo]]+Tabla_master_rend[[#This Row],[L_Agua]]+Tabla_master_rend[[#This Row],[Kg_SalidaSecadero]]</f>
        <v>26161.89</v>
      </c>
      <c r="AJ40" s="59">
        <f>+Tabla_master_rend[[#This Row],[Litros_Leche_Total]]/Tabla_master_rend[[#This Row],[Kg_Queso_Blan]]</f>
        <v>8.9203035407610081</v>
      </c>
      <c r="AK40" s="59">
        <f>+Tabla_master_rend[[#This Row],[Litros_Leche_Total]]/(Tabla_master_rend[[#This Row],[Kg_Queso_Blan]]-Tabla_master_rend[[#This Row],[Merma_TOT]])</f>
        <v>9.1766344449770383</v>
      </c>
      <c r="AL40" s="59">
        <f>VLOOKUP(G40,REND_TARGET[#All],8,FALSE)</f>
        <v>9.3549429999999987</v>
      </c>
      <c r="AM40" s="7">
        <f>(I40*1.03*Tabla_master_rend[[#This Row],[%MG_Leche]])+(I40*1.03*Tabla_master_rend[[#This Row],[%MP_Leche]])</f>
        <v>17763.576524</v>
      </c>
      <c r="AN40" s="38">
        <v>0.28800000000000003</v>
      </c>
      <c r="AO40" s="38">
        <v>0.2422</v>
      </c>
      <c r="AP40" s="60">
        <v>0.57889999999999997</v>
      </c>
      <c r="AQ40" s="38">
        <f>+Tabla_master_rend[[#This Row],[Kg_Queso_Blan]]*Tabla_master_rend[[#This Row],[ES_QUESO]]/(Tabla_master_rend[[#This Row],[Kg_Solidos_leche]])</f>
        <v>0.85259396386407571</v>
      </c>
      <c r="AR40" s="7">
        <f t="shared" si="20"/>
        <v>1635.2</v>
      </c>
      <c r="AS40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0.95849967600334218</v>
      </c>
      <c r="AT40" s="62">
        <f>+Tabla_master_rend[[#This Row],[Kg_Queso_Blan]]*Tabla_master_rend[[#This Row],[%PT_QUESO]]/(Tabla_master_rend[[#This Row],[Litros_Leche_Total]]*1.03*Tabla_master_rend[[#This Row],[%MP_Leche]])</f>
        <v>0.77304166561915477</v>
      </c>
      <c r="AU40" s="63">
        <f t="shared" si="21"/>
        <v>12264</v>
      </c>
      <c r="AV40" s="7">
        <v>37.29</v>
      </c>
      <c r="AW40" s="7">
        <v>63.8</v>
      </c>
      <c r="AX40" s="7">
        <v>4.8</v>
      </c>
      <c r="AY40" s="8">
        <f>SUM(Tabla_master_rend[[#This Row],[Kg_Finos]:[Kg_Desmoldeo]])</f>
        <v>105.89</v>
      </c>
      <c r="AZ40" s="60">
        <f>+(Tabla_master_rend[[#This Row],[Kg_Finos]]+Tabla_master_rend[[#This Row],[Kg_Llenadora]]+Tabla_master_rend[[#This Row],[Kg_Desmoldeo]])/(Tabla_master_rend[[#This Row],[Kg_Queso_Blan]])</f>
        <v>4.0474904527157633E-3</v>
      </c>
      <c r="BA40" s="7">
        <v>320</v>
      </c>
      <c r="BB40" s="60">
        <f>+Tabla_master_rend[[#This Row],[L_Agua]]/(Tabla_master_rend[[#This Row],[L_Agua]]+Tabla_master_rend[[#This Row],[Kg_SalidaSecadero]])</f>
        <v>1.2281240405280933E-2</v>
      </c>
      <c r="BC40" s="8">
        <v>3637</v>
      </c>
      <c r="BD40" s="8">
        <v>3575</v>
      </c>
      <c r="BE40" s="8">
        <v>25667</v>
      </c>
      <c r="BF40" s="8">
        <f>29*6.3</f>
        <v>182.7</v>
      </c>
      <c r="BG40" s="8">
        <f>18*6.3</f>
        <v>113.39999999999999</v>
      </c>
      <c r="BH40" s="7">
        <v>0</v>
      </c>
      <c r="BI40" s="7">
        <f>18*6.3</f>
        <v>113.39999999999999</v>
      </c>
      <c r="BJ40" s="8">
        <v>162</v>
      </c>
      <c r="BK40" s="8">
        <v>25736</v>
      </c>
      <c r="BL40" s="8">
        <v>0.67</v>
      </c>
      <c r="BM40" s="8">
        <v>268.77</v>
      </c>
      <c r="BN40" s="7">
        <v>35.450000000000003</v>
      </c>
      <c r="BO40" s="68">
        <f>+SUM(Tabla_master_rend[[#This Row],[B_altas]:[B_lab]])/Tabla_master_rend[[#This Row],[Kg_SalidaSecadero]]</f>
        <v>2.2206248057196145E-2</v>
      </c>
      <c r="BP40" s="68">
        <f>+(Tabla_master_rend[[#This Row],[Kg_mer_env_real]]+Tabla_master_rend[[#This Row],[kg_mer_lab_real]])/Tabla_master_rend[[#This Row],[Kg_SalidaSecadero]]</f>
        <v>1.1820795772458811E-2</v>
      </c>
      <c r="BQ40" s="64">
        <f>+Tabla_master_rend[[#This Row],[Merma_TOT]]/Tabla_master_rend[[#This Row],[Kg_Queso_Blan]]</f>
        <v>2.7932997195539003E-2</v>
      </c>
      <c r="BR40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730.77999999999986</v>
      </c>
      <c r="BS40" s="8"/>
      <c r="BT40" s="63">
        <f>IF(+Tabla_master_rend[[#This Row],[Kg_Env_Total]]=0,0,Tabla_master_rend[[#This Row],[Kg_Env_Total]]-Tabla_master_rend[[#This Row],[Kg_SalidaSecadero]])</f>
        <v>0</v>
      </c>
      <c r="BU40" s="60">
        <f>+Tabla_master_rend[[#This Row],[Diferencia_Env_vs_Sec_kg]]/Tabla_master_rend[[#This Row],[Kg_SalidaSecadero]]</f>
        <v>0</v>
      </c>
      <c r="BV40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40" s="65">
        <f>+(Tabla_master_rend[[#This Row],[Coste_Leche_€]]-Tabla_master_rend[[#This Row],[Kg_MG_Nata]]*$CO$3)/Tabla_master_rend[[#This Row],[Kg_Queso_Blan]]</f>
        <v>-0.46877347164138372</v>
      </c>
      <c r="BX40" s="8">
        <f>SUM(Tabla_master_rend[[#This Row],[Kg_Finos]:[Kg_Desmoldeo]])+Tabla_master_rend[[#This Row],[L_Agua]]+SUM(Tabla_master_rend[[#This Row],[B_altas]:[B_lab]])</f>
        <v>997.39</v>
      </c>
      <c r="BY40" s="8">
        <f>+BX40-Tabla_master_rend[[#This Row],[Merma_TOT]]</f>
        <v>266.61000000000013</v>
      </c>
      <c r="BZ40" s="62">
        <f t="shared" si="22"/>
        <v>0.26730767302659958</v>
      </c>
      <c r="CA40" s="8">
        <f>+Tabla_master_rend[[#This Row],[Kg_Queso_Blan]]*$CA$1</f>
        <v>170.05228499999998</v>
      </c>
      <c r="CB40" s="8">
        <f>+Tabla_master_rend[[#This Row],[Kg_Queso_Blan]]*($CB$1-$CA$1)</f>
        <v>91.566615000000013</v>
      </c>
      <c r="CC40" s="8">
        <f>+(Tabla_master_rend[[#This Row],[Kg_Queso_Blan]]-CA40-CB40)*$CC$1</f>
        <v>271.95284655</v>
      </c>
      <c r="CD40" s="8">
        <f t="shared" si="23"/>
        <v>533.57174654999994</v>
      </c>
      <c r="CE40" s="80">
        <f>+CD40/Tabla_master_rend[[#This Row],[Kg_Queso_Blan]]</f>
        <v>2.0395E-2</v>
      </c>
      <c r="CF40" s="62">
        <f>+Tabla_master_rend[[#This Row],[Merma_TOT]]/Tabla_master_rend[[#This Row],[Kg_Queso_Blan]]</f>
        <v>2.7932997195539003E-2</v>
      </c>
      <c r="CG40" s="8">
        <f>CD40-Tabla_master_rend[[#This Row],[Merma_TOT]]</f>
        <v>-197.20825344999992</v>
      </c>
      <c r="CH40" s="81" cm="1">
        <f t="array" ref="CH40">-BR40 * IFERROR(INDEX('Precio Leche_EBITDA_Ventas'!$BD$87:$BD$110,MATCH(1,('Precio Leche_EBITDA_Ventas'!$AZ$87:$AZ$110=YEAR(A40))*('Precio Leche_EBITDA_Ventas'!$BB$87:$BB$110=C40),0)),1.3)</f>
        <v>-2557.7299999999996</v>
      </c>
      <c r="CI40" s="81">
        <f t="shared" si="24"/>
        <v>-256.37072948499991</v>
      </c>
    </row>
    <row r="41" spans="1:87" x14ac:dyDescent="0.35">
      <c r="A41" s="9">
        <v>45747</v>
      </c>
      <c r="B41" s="7">
        <v>3</v>
      </c>
      <c r="C41" s="7" t="str">
        <f>+UPPER(TEXT(Tabla_master_rend[[#This Row],[Fecha]],"MMM"))</f>
        <v>MAR</v>
      </c>
      <c r="D41" s="7" t="str">
        <f>+UPPER(TEXT(Tabla_master_rend[[#This Row],[Fecha]],"ddd"))</f>
        <v>LU</v>
      </c>
      <c r="E41" s="3">
        <v>310325016</v>
      </c>
      <c r="F41" s="3" t="s">
        <v>244</v>
      </c>
      <c r="G41" s="84" t="s">
        <v>189</v>
      </c>
      <c r="H41">
        <v>15</v>
      </c>
      <c r="I41" s="8">
        <f>+Tabla_master_rend[[#This Row],[L_Leche_ent]]+Tabla_master_rend[[#This Row],[L_desn_ext]]+Tabla_master_rend[[#This Row],[L_cabra]]+Tabla_master_rend[[#This Row],[L_oveja]]</f>
        <v>225737</v>
      </c>
      <c r="J41" s="8">
        <v>225737</v>
      </c>
      <c r="K41" s="5">
        <v>3.7400000000000003E-2</v>
      </c>
      <c r="L41" s="5">
        <v>3.3599999999999998E-2</v>
      </c>
      <c r="M41" s="5">
        <f t="shared" si="19"/>
        <v>0.10764600000000001</v>
      </c>
      <c r="N41" s="35" t="s">
        <v>43</v>
      </c>
      <c r="O41" s="8">
        <v>0</v>
      </c>
      <c r="P41" s="8">
        <v>0</v>
      </c>
      <c r="Q41" s="8">
        <v>0</v>
      </c>
      <c r="R41" s="8">
        <v>6894</v>
      </c>
      <c r="T41" s="8">
        <v>209010</v>
      </c>
      <c r="U41" s="38">
        <f>+Tabla_master_rend[[#This Row],[L_suero Total]]/Tabla_master_rend[[#This Row],[Litros_Leche_Total]]</f>
        <v>0.92590049482362213</v>
      </c>
      <c r="V41" s="5">
        <v>1.4000000000000002E-3</v>
      </c>
      <c r="W41" s="5">
        <v>1.03E-2</v>
      </c>
      <c r="X41" s="8">
        <v>210775</v>
      </c>
      <c r="Y41" s="57">
        <v>73098</v>
      </c>
      <c r="Z41" s="58">
        <f>IF(Tabla_master_rend[[#This Row],[L_suero para con]]=0,0,+Tabla_master_rend[[#This Row],[L_suero para con]]/Tabla_master_rend[[#This Row],[L_suero_con]])</f>
        <v>2.8834578237434676</v>
      </c>
      <c r="AA41" s="8">
        <f>+Tabla_master_rend[[#This Row],[L_suero Total]]-Tabla_master_rend[[#This Row],[L_suero para con]]</f>
        <v>-1765</v>
      </c>
      <c r="AD41" s="8"/>
      <c r="AE41" s="8"/>
      <c r="AF41" s="8"/>
      <c r="AG41" s="5"/>
      <c r="AI41" s="7">
        <f>+Tabla_master_rend[[#This Row],[Kg_Finos]]+Tabla_master_rend[[#This Row],[Kg_Llenadora]]+Tabla_master_rend[[#This Row],[Kg_Desmoldeo]]+Tabla_master_rend[[#This Row],[L_Agua]]+Tabla_master_rend[[#This Row],[Kg_SalidaSecadero]]</f>
        <v>25257.37</v>
      </c>
      <c r="AJ41" s="59">
        <f>+Tabla_master_rend[[#This Row],[Litros_Leche_Total]]/Tabla_master_rend[[#This Row],[Kg_Queso_Blan]]</f>
        <v>8.9374705284041855</v>
      </c>
      <c r="AK41" s="59">
        <f>+Tabla_master_rend[[#This Row],[Litros_Leche_Total]]/(Tabla_master_rend[[#This Row],[Kg_Queso_Blan]]-Tabla_master_rend[[#This Row],[Merma_TOT]])</f>
        <v>9.2463058727151708</v>
      </c>
      <c r="AL41" s="59">
        <f>VLOOKUP(G41,REND_TARGET[#All],8,FALSE)</f>
        <v>9.1957579999999997</v>
      </c>
      <c r="AM41" s="7">
        <f>(I41*1.03*Tabla_master_rend[[#This Row],[%MG_Leche]])+(I41*1.03*Tabla_master_rend[[#This Row],[%MP_Leche]])</f>
        <v>16508.146810000002</v>
      </c>
      <c r="AN41" s="38">
        <v>0.23100000000000001</v>
      </c>
      <c r="AO41" s="38">
        <v>0.24429999999999999</v>
      </c>
      <c r="AP41" s="60">
        <v>0.52800000000000002</v>
      </c>
      <c r="AQ41" s="38">
        <f>+Tabla_master_rend[[#This Row],[Kg_Queso_Blan]]*Tabla_master_rend[[#This Row],[ES_QUESO]]/(Tabla_master_rend[[#This Row],[Kg_Solidos_leche]])</f>
        <v>0.8078369736766351</v>
      </c>
      <c r="AR41" s="7">
        <f t="shared" si="20"/>
        <v>2757.6000000000004</v>
      </c>
      <c r="AS41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0.98806461072442298</v>
      </c>
      <c r="AT41" s="62">
        <f>+Tabla_master_rend[[#This Row],[Kg_Queso_Blan]]*Tabla_master_rend[[#This Row],[%PT_QUESO]]/(Tabla_master_rend[[#This Row],[Litros_Leche_Total]]*1.03*Tabla_master_rend[[#This Row],[%MP_Leche]])</f>
        <v>0.78982766614320321</v>
      </c>
      <c r="AU41" s="63">
        <f t="shared" si="21"/>
        <v>20682.000000000004</v>
      </c>
      <c r="AV41" s="7">
        <v>69.27</v>
      </c>
      <c r="AW41" s="7">
        <v>115.3</v>
      </c>
      <c r="AX41" s="7">
        <v>54.8</v>
      </c>
      <c r="AY41" s="8">
        <f>SUM(Tabla_master_rend[[#This Row],[Kg_Finos]:[Kg_Desmoldeo]])</f>
        <v>239.37</v>
      </c>
      <c r="AZ41" s="60">
        <f>+(Tabla_master_rend[[#This Row],[Kg_Finos]]+Tabla_master_rend[[#This Row],[Kg_Llenadora]]+Tabla_master_rend[[#This Row],[Kg_Desmoldeo]])/(Tabla_master_rend[[#This Row],[Kg_Queso_Blan]])</f>
        <v>9.4772337737460393E-3</v>
      </c>
      <c r="BA41" s="7">
        <v>250</v>
      </c>
      <c r="BB41" s="60">
        <f>+Tabla_master_rend[[#This Row],[L_Agua]]/(Tabla_master_rend[[#This Row],[L_Agua]]+Tabla_master_rend[[#This Row],[Kg_SalidaSecadero]])</f>
        <v>9.9928051802702055E-3</v>
      </c>
      <c r="BC41" s="8">
        <v>3430</v>
      </c>
      <c r="BD41" s="8">
        <v>3307</v>
      </c>
      <c r="BE41" s="8">
        <v>24210</v>
      </c>
      <c r="BF41" s="8">
        <f>33*6.6</f>
        <v>217.79999999999998</v>
      </c>
      <c r="BG41" s="8">
        <f>13*6.6</f>
        <v>85.8</v>
      </c>
      <c r="BH41" s="7">
        <v>0</v>
      </c>
      <c r="BI41" s="7">
        <f>94*6.6</f>
        <v>620.4</v>
      </c>
      <c r="BJ41" s="8">
        <v>101</v>
      </c>
      <c r="BK41" s="8">
        <v>24768</v>
      </c>
      <c r="BL41" s="8">
        <v>0.89</v>
      </c>
      <c r="BM41" s="8">
        <v>328.04</v>
      </c>
      <c r="BN41" s="7">
        <v>25.32</v>
      </c>
      <c r="BO41" s="68">
        <f>+SUM(Tabla_master_rend[[#This Row],[B_altas]:[B_lab]])/Tabla_master_rend[[#This Row],[Kg_SalidaSecadero]]</f>
        <v>4.1384043927648578E-2</v>
      </c>
      <c r="BP41" s="68">
        <f>+(Tabla_master_rend[[#This Row],[Kg_mer_env_real]]+Tabla_master_rend[[#This Row],[kg_mer_lab_real]])/Tabla_master_rend[[#This Row],[Kg_SalidaSecadero]]</f>
        <v>1.4266795865633076E-2</v>
      </c>
      <c r="BQ41" s="64">
        <f>+Tabla_master_rend[[#This Row],[Merma_TOT]]/Tabla_master_rend[[#This Row],[Kg_Queso_Blan]]</f>
        <v>3.3400943962098979E-2</v>
      </c>
      <c r="BR41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843.61999999999989</v>
      </c>
      <c r="BS41" s="8"/>
      <c r="BT41" s="63">
        <f>IF(+Tabla_master_rend[[#This Row],[Kg_Env_Total]]=0,0,Tabla_master_rend[[#This Row],[Kg_Env_Total]]-Tabla_master_rend[[#This Row],[Kg_SalidaSecadero]])</f>
        <v>0</v>
      </c>
      <c r="BU41" s="60">
        <f>+Tabla_master_rend[[#This Row],[Diferencia_Env_vs_Sec_kg]]/Tabla_master_rend[[#This Row],[Kg_SalidaSecadero]]</f>
        <v>0</v>
      </c>
      <c r="BV41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41" s="65">
        <f>+(Tabla_master_rend[[#This Row],[Coste_Leche_€]]-Tabla_master_rend[[#This Row],[Kg_MG_Nata]]*$CO$3)/Tabla_master_rend[[#This Row],[Kg_Queso_Blan]]</f>
        <v>-0.818850101970237</v>
      </c>
      <c r="BX41" s="8">
        <f>SUM(Tabla_master_rend[[#This Row],[Kg_Finos]:[Kg_Desmoldeo]])+Tabla_master_rend[[#This Row],[L_Agua]]+SUM(Tabla_master_rend[[#This Row],[B_altas]:[B_lab]])</f>
        <v>1514.37</v>
      </c>
      <c r="BY41" s="8">
        <f>+BX41-Tabla_master_rend[[#This Row],[Merma_TOT]]</f>
        <v>670.75</v>
      </c>
      <c r="BZ41" s="62">
        <f t="shared" si="22"/>
        <v>0.44292345992062709</v>
      </c>
      <c r="CA41" s="8">
        <f>+Tabla_master_rend[[#This Row],[Kg_Queso_Blan]]*$CA$1</f>
        <v>164.17290499999999</v>
      </c>
      <c r="CB41" s="8">
        <f>+Tabla_master_rend[[#This Row],[Kg_Queso_Blan]]*($CB$1-$CA$1)</f>
        <v>88.400795000000002</v>
      </c>
      <c r="CC41" s="8">
        <f>+(Tabla_master_rend[[#This Row],[Kg_Queso_Blan]]-CA41-CB41)*$CC$1</f>
        <v>262.55036115000001</v>
      </c>
      <c r="CD41" s="8">
        <f t="shared" si="23"/>
        <v>515.12406114999999</v>
      </c>
      <c r="CE41" s="80">
        <f>+CD41/Tabla_master_rend[[#This Row],[Kg_Queso_Blan]]</f>
        <v>2.0395E-2</v>
      </c>
      <c r="CF41" s="62">
        <f>+Tabla_master_rend[[#This Row],[Merma_TOT]]/Tabla_master_rend[[#This Row],[Kg_Queso_Blan]]</f>
        <v>3.3400943962098979E-2</v>
      </c>
      <c r="CG41" s="8">
        <f>CD41-Tabla_master_rend[[#This Row],[Merma_TOT]]</f>
        <v>-328.4959388499999</v>
      </c>
      <c r="CH41" s="81" cm="1">
        <f t="array" ref="CH41">-BR41 * IFERROR(INDEX('Precio Leche_EBITDA_Ventas'!$BD$87:$BD$110,MATCH(1,('Precio Leche_EBITDA_Ventas'!$AZ$87:$AZ$110=YEAR(A41))*('Precio Leche_EBITDA_Ventas'!$BB$87:$BB$110=C41),0)),1.3)</f>
        <v>-2952.6699999999996</v>
      </c>
      <c r="CI41" s="81">
        <f t="shared" si="24"/>
        <v>-427.04472050499987</v>
      </c>
    </row>
    <row r="42" spans="1:87" x14ac:dyDescent="0.35">
      <c r="A42" s="9">
        <v>45748</v>
      </c>
      <c r="B42" s="7">
        <v>4</v>
      </c>
      <c r="C42" s="7" t="str">
        <f>+UPPER(TEXT(Tabla_master_rend[[#This Row],[Fecha]],"MMM"))</f>
        <v>ABR</v>
      </c>
      <c r="D42" s="7" t="str">
        <f>+UPPER(TEXT(Tabla_master_rend[[#This Row],[Fecha]],"ddd"))</f>
        <v>MA</v>
      </c>
      <c r="E42" s="3" t="s">
        <v>472</v>
      </c>
      <c r="F42" s="3" t="s">
        <v>244</v>
      </c>
      <c r="G42" s="84" t="s">
        <v>299</v>
      </c>
      <c r="H42">
        <v>13</v>
      </c>
      <c r="I42" s="8">
        <f>+Tabla_master_rend[[#This Row],[L_Leche_ent]]+Tabla_master_rend[[#This Row],[L_desn_ext]]+Tabla_master_rend[[#This Row],[L_cabra]]+Tabla_master_rend[[#This Row],[L_oveja]]</f>
        <v>209995.3114927345</v>
      </c>
      <c r="J42" s="8">
        <v>209995.3114927345</v>
      </c>
      <c r="K42" s="5">
        <v>3.8504003361192231E-2</v>
      </c>
      <c r="L42" s="5">
        <v>3.3137356603548197E-2</v>
      </c>
      <c r="M42" s="5">
        <f t="shared" si="19"/>
        <v>0.10833036701253444</v>
      </c>
      <c r="N42" s="35" t="s">
        <v>188</v>
      </c>
      <c r="O42" s="8">
        <v>0</v>
      </c>
      <c r="P42" s="8">
        <v>0</v>
      </c>
      <c r="Q42" s="8">
        <v>0</v>
      </c>
      <c r="R42" s="8">
        <v>7726.9859973579914</v>
      </c>
      <c r="T42" s="8">
        <v>175143.6028191176</v>
      </c>
      <c r="U42" s="38">
        <f>+Tabla_master_rend[[#This Row],[L_suero Total]]/Tabla_master_rend[[#This Row],[Litros_Leche_Total]]</f>
        <v>0.83403577715199273</v>
      </c>
      <c r="V42" s="5">
        <v>1.1000000000000001E-3</v>
      </c>
      <c r="W42" s="5">
        <v>8.6999999999999994E-3</v>
      </c>
      <c r="X42" s="8">
        <f>204785/(27336+175144)*175144</f>
        <v>177137.81133939154</v>
      </c>
      <c r="Y42" s="57">
        <f>68831/(27336+175144)*175144</f>
        <v>59538.407072303438</v>
      </c>
      <c r="Z42" s="58">
        <f>IF(Tabla_master_rend[[#This Row],[L_suero para con]]=0,0,+Tabla_master_rend[[#This Row],[L_suero para con]]/Tabla_master_rend[[#This Row],[L_suero_con]])</f>
        <v>2.9751855995118479</v>
      </c>
      <c r="AA42" s="8">
        <f>+Tabla_master_rend[[#This Row],[L_suero Total]]-Tabla_master_rend[[#This Row],[L_suero para con]]</f>
        <v>-1994.2085202739399</v>
      </c>
      <c r="AD42" s="8"/>
      <c r="AE42" s="8"/>
      <c r="AF42" s="8"/>
      <c r="AG42" s="5"/>
      <c r="AI42" s="7">
        <f>+Tabla_master_rend[[#This Row],[Kg_Finos]]+Tabla_master_rend[[#This Row],[Kg_Llenadora]]+Tabla_master_rend[[#This Row],[Kg_Desmoldeo]]+Tabla_master_rend[[#This Row],[L_Agua]]+Tabla_master_rend[[#This Row],[Kg_SalidaSecadero]]</f>
        <v>22870.57602642008</v>
      </c>
      <c r="AJ42" s="59">
        <f>+Tabla_master_rend[[#This Row],[Litros_Leche_Total]]/Tabla_master_rend[[#This Row],[Kg_Queso_Blan]]</f>
        <v>9.1818986653483492</v>
      </c>
      <c r="AK42" s="59">
        <f>+Tabla_master_rend[[#This Row],[Litros_Leche_Total]]/(Tabla_master_rend[[#This Row],[Kg_Queso_Blan]]-Tabla_master_rend[[#This Row],[Merma_TOT]])</f>
        <v>9.840005478090557</v>
      </c>
      <c r="AL42" s="59">
        <f>VLOOKUP(G42,REND_TARGET[#All],8,FALSE)</f>
        <v>9.8078500000000002</v>
      </c>
      <c r="AM42" s="7">
        <f>(I42*1.03*Tabla_master_rend[[#This Row],[%MG_Leche]])+(I42*1.03*Tabla_master_rend[[#This Row],[%MP_Leche]])</f>
        <v>15495.680192605549</v>
      </c>
      <c r="AN42" s="38">
        <v>0.22143999999999997</v>
      </c>
      <c r="AO42" s="38">
        <v>0.25542000000000004</v>
      </c>
      <c r="AP42" s="60">
        <v>0.53269999999999995</v>
      </c>
      <c r="AQ42" s="38">
        <f>+Tabla_master_rend[[#This Row],[Kg_Queso_Blan]]*Tabla_master_rend[[#This Row],[ES_QUESO]]/(Tabla_master_rend[[#This Row],[Kg_Solidos_leche]])</f>
        <v>0.78622917470171516</v>
      </c>
      <c r="AR42" s="7">
        <f t="shared" si="20"/>
        <v>3090.7943989431969</v>
      </c>
      <c r="AS42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0.97923025288487797</v>
      </c>
      <c r="AT42" s="62">
        <f>+Tabla_master_rend[[#This Row],[Kg_Queso_Blan]]*Tabla_master_rend[[#This Row],[%PT_QUESO]]/(Tabla_master_rend[[#This Row],[Litros_Leche_Total]]*1.03*Tabla_master_rend[[#This Row],[%MP_Leche]])</f>
        <v>0.81501822257774792</v>
      </c>
      <c r="AU42" s="63">
        <f t="shared" si="21"/>
        <v>23180.957992073978</v>
      </c>
      <c r="AV42" s="7">
        <v>42.376026420079263</v>
      </c>
      <c r="AW42" s="7">
        <v>19.2</v>
      </c>
      <c r="AX42" s="7">
        <v>134</v>
      </c>
      <c r="AY42" s="8">
        <f>SUM(Tabla_master_rend[[#This Row],[Kg_Finos]:[Kg_Desmoldeo]])</f>
        <v>195.57602642007924</v>
      </c>
      <c r="AZ42" s="60">
        <f>+(Tabla_master_rend[[#This Row],[Kg_Finos]]+Tabla_master_rend[[#This Row],[Kg_Llenadora]]+Tabla_master_rend[[#This Row],[Kg_Desmoldeo]])/(Tabla_master_rend[[#This Row],[Kg_Queso_Blan]])</f>
        <v>8.5514254732434337E-3</v>
      </c>
      <c r="BA42" s="7">
        <v>475</v>
      </c>
      <c r="BB42" s="60">
        <f>+Tabla_master_rend[[#This Row],[L_Agua]]/(Tabla_master_rend[[#This Row],[L_Agua]]+Tabla_master_rend[[#This Row],[Kg_SalidaSecadero]])</f>
        <v>2.0948180815876516E-2</v>
      </c>
      <c r="BC42" s="8">
        <v>3111</v>
      </c>
      <c r="BD42" s="8">
        <v>2934</v>
      </c>
      <c r="BE42" s="8">
        <v>21602</v>
      </c>
      <c r="BF42" s="8">
        <f>12*6.1</f>
        <v>73.199999999999989</v>
      </c>
      <c r="BG42" s="8">
        <f>64*6.1</f>
        <v>390.4</v>
      </c>
      <c r="BH42" s="7">
        <v>0</v>
      </c>
      <c r="BI42" s="7">
        <f>99*6.1</f>
        <v>603.9</v>
      </c>
      <c r="BJ42" s="8">
        <v>81</v>
      </c>
      <c r="BK42" s="8">
        <v>22200</v>
      </c>
      <c r="BL42" s="8">
        <f>4.84*(3274/3785)</f>
        <v>4.1865680317040948</v>
      </c>
      <c r="BM42" s="8">
        <f>960.26/(3274+511)*3274</f>
        <v>830.61855746367246</v>
      </c>
      <c r="BN42" s="7">
        <f>28*(3274/3785)</f>
        <v>24.219815059445178</v>
      </c>
      <c r="BO42" s="68">
        <f>+SUM(Tabla_master_rend[[#This Row],[B_altas]:[B_lab]])/Tabla_master_rend[[#This Row],[Kg_SalidaSecadero]]</f>
        <v>5.1734234234234233E-2</v>
      </c>
      <c r="BP42" s="68">
        <f>+(Tabla_master_rend[[#This Row],[Kg_mer_env_real]]+Tabla_master_rend[[#This Row],[kg_mer_lab_real]])/Tabla_master_rend[[#This Row],[Kg_SalidaSecadero]]</f>
        <v>3.8506232996536834E-2</v>
      </c>
      <c r="BQ42" s="64">
        <f>+Tabla_master_rend[[#This Row],[Merma_TOT]]/Tabla_master_rend[[#This Row],[Kg_Queso_Blan]]</f>
        <v>6.6880736419052442E-2</v>
      </c>
      <c r="BR42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1529.600966974901</v>
      </c>
      <c r="BS42" s="8"/>
      <c r="BT42" s="63">
        <f>IF(+Tabla_master_rend[[#This Row],[Kg_Env_Total]]=0,0,Tabla_master_rend[[#This Row],[Kg_Env_Total]]-Tabla_master_rend[[#This Row],[Kg_SalidaSecadero]])</f>
        <v>0</v>
      </c>
      <c r="BU42" s="60">
        <f>+Tabla_master_rend[[#This Row],[Diferencia_Env_vs_Sec_kg]]/Tabla_master_rend[[#This Row],[Kg_SalidaSecadero]]</f>
        <v>0</v>
      </c>
      <c r="BV42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42" s="65">
        <f>+(Tabla_master_rend[[#This Row],[Coste_Leche_€]]-Tabla_master_rend[[#This Row],[Kg_MG_Nata]]*$CO$3)/Tabla_master_rend[[#This Row],[Kg_Queso_Blan]]</f>
        <v>-1.0135712351667638</v>
      </c>
      <c r="BX42" s="8">
        <f>SUM(Tabla_master_rend[[#This Row],[Kg_Finos]:[Kg_Desmoldeo]])+Tabla_master_rend[[#This Row],[L_Agua]]+SUM(Tabla_master_rend[[#This Row],[B_altas]:[B_lab]])</f>
        <v>1819.0760264200792</v>
      </c>
      <c r="BY42" s="8">
        <f>+BX42-Tabla_master_rend[[#This Row],[Merma_TOT]]</f>
        <v>289.4750594451782</v>
      </c>
      <c r="BZ42" s="62">
        <f t="shared" si="22"/>
        <v>0.15913301876385114</v>
      </c>
      <c r="CA42" s="8">
        <f>+Tabla_master_rend[[#This Row],[Kg_Queso_Blan]]*$CA$1</f>
        <v>148.65874417173052</v>
      </c>
      <c r="CB42" s="8">
        <f>+Tabla_master_rend[[#This Row],[Kg_Queso_Blan]]*($CB$1-$CA$1)</f>
        <v>80.047016092470287</v>
      </c>
      <c r="CC42" s="8">
        <f>+(Tabla_master_rend[[#This Row],[Kg_Queso_Blan]]-CA42-CB42)*$CC$1</f>
        <v>237.73963779463674</v>
      </c>
      <c r="CD42" s="8">
        <f t="shared" si="23"/>
        <v>466.44539805883755</v>
      </c>
      <c r="CE42" s="80">
        <f>+CD42/Tabla_master_rend[[#This Row],[Kg_Queso_Blan]]</f>
        <v>2.0395E-2</v>
      </c>
      <c r="CF42" s="62">
        <f>+Tabla_master_rend[[#This Row],[Merma_TOT]]/Tabla_master_rend[[#This Row],[Kg_Queso_Blan]]</f>
        <v>6.6880736419052442E-2</v>
      </c>
      <c r="CG42" s="8">
        <f>CD42-Tabla_master_rend[[#This Row],[Merma_TOT]]</f>
        <v>-1063.1555689160634</v>
      </c>
      <c r="CH42" s="81" cm="1">
        <f t="array" ref="CH42">-BR42 * IFERROR(INDEX('Precio Leche_EBITDA_Ventas'!$BD$87:$BD$110,MATCH(1,('Precio Leche_EBITDA_Ventas'!$AZ$87:$AZ$110=YEAR(A42))*('Precio Leche_EBITDA_Ventas'!$BB$87:$BB$110=C42),0)),1.3)</f>
        <v>-4712.9330799309437</v>
      </c>
      <c r="CI42" s="81">
        <f t="shared" si="24"/>
        <v>-1382.1022395908826</v>
      </c>
    </row>
    <row r="43" spans="1:87" x14ac:dyDescent="0.35">
      <c r="A43" s="9">
        <v>45748</v>
      </c>
      <c r="B43" s="7">
        <v>4</v>
      </c>
      <c r="C43" s="7" t="str">
        <f>+UPPER(TEXT(Tabla_master_rend[[#This Row],[Fecha]],"MMM"))</f>
        <v>ABR</v>
      </c>
      <c r="D43" s="7" t="str">
        <f>+UPPER(TEXT(Tabla_master_rend[[#This Row],[Fecha]],"ddd"))</f>
        <v>MA</v>
      </c>
      <c r="E43" s="3" t="s">
        <v>473</v>
      </c>
      <c r="F43" s="3" t="s">
        <v>244</v>
      </c>
      <c r="G43" s="84" t="s">
        <v>299</v>
      </c>
      <c r="H43">
        <v>2</v>
      </c>
      <c r="I43" s="8">
        <f>+Tabla_master_rend[[#This Row],[L_Leche_ent]]+Tabla_master_rend[[#This Row],[L_desn_ext]]+Tabla_master_rend[[#This Row],[L_cabra]]+Tabla_master_rend[[#This Row],[L_oveja]]</f>
        <v>32775.68850726552</v>
      </c>
      <c r="J43" s="8">
        <v>32775.68850726552</v>
      </c>
      <c r="K43" s="5">
        <v>3.8504003361192231E-2</v>
      </c>
      <c r="L43" s="5">
        <v>3.3137356603548197E-2</v>
      </c>
      <c r="M43" s="5">
        <f t="shared" si="19"/>
        <v>0.10833036701253444</v>
      </c>
      <c r="N43" s="35" t="s">
        <v>188</v>
      </c>
      <c r="O43" s="8">
        <v>0</v>
      </c>
      <c r="P43" s="8">
        <v>0</v>
      </c>
      <c r="Q43" s="8">
        <v>0</v>
      </c>
      <c r="R43" s="8">
        <v>1206.0140026420079</v>
      </c>
      <c r="T43" s="8">
        <v>27336.397180882395</v>
      </c>
      <c r="U43" s="38">
        <f>+Tabla_master_rend[[#This Row],[L_suero Total]]/Tabla_master_rend[[#This Row],[Litros_Leche_Total]]</f>
        <v>0.83404494080490865</v>
      </c>
      <c r="V43" s="5">
        <v>1.1000000000000001E-3</v>
      </c>
      <c r="W43" s="5">
        <v>8.6999999999999994E-3</v>
      </c>
      <c r="X43" s="8">
        <f>204785/(27336+175144)*27336</f>
        <v>27647.188660608455</v>
      </c>
      <c r="Y43" s="57">
        <f>68831/(27336+175144)*27336</f>
        <v>9292.5929276965617</v>
      </c>
      <c r="Z43" s="58">
        <f>IF(Tabla_master_rend[[#This Row],[L_suero para con]]=0,0,+Tabla_master_rend[[#This Row],[L_suero para con]]/Tabla_master_rend[[#This Row],[L_suero_con]])</f>
        <v>2.9751855995118484</v>
      </c>
      <c r="AA43" s="8">
        <f>+Tabla_master_rend[[#This Row],[L_suero Total]]-Tabla_master_rend[[#This Row],[L_suero para con]]</f>
        <v>-310.79147972606006</v>
      </c>
      <c r="AD43" s="8"/>
      <c r="AE43" s="8"/>
      <c r="AF43" s="8"/>
      <c r="AG43" s="5"/>
      <c r="AI43" s="7">
        <f>+Tabla_master_rend[[#This Row],[Kg_Finos]]+Tabla_master_rend[[#This Row],[Kg_Llenadora]]+Tabla_master_rend[[#This Row],[Kg_Desmoldeo]]+Tabla_master_rend[[#This Row],[L_Agua]]+Tabla_master_rend[[#This Row],[Kg_SalidaSecadero]]</f>
        <v>3530.6139735799206</v>
      </c>
      <c r="AJ43" s="59">
        <f>+Tabla_master_rend[[#This Row],[Litros_Leche_Total]]/Tabla_master_rend[[#This Row],[Kg_Queso_Blan]]</f>
        <v>9.2832829509344812</v>
      </c>
      <c r="AK43" s="59">
        <f>+Tabla_master_rend[[#This Row],[Litros_Leche_Total]]/(Tabla_master_rend[[#This Row],[Kg_Queso_Blan]]-Tabla_master_rend[[#This Row],[Merma_TOT]])</f>
        <v>10.011130096865058</v>
      </c>
      <c r="AL43" s="59">
        <f>VLOOKUP(G43,REND_TARGET[#All],8,FALSE)</f>
        <v>9.8078500000000002</v>
      </c>
      <c r="AM43" s="7">
        <f>(I43*1.03*Tabla_master_rend[[#This Row],[%MG_Leche]])+(I43*1.03*Tabla_master_rend[[#This Row],[%MP_Leche]])</f>
        <v>2418.5377453944516</v>
      </c>
      <c r="AN43" s="38">
        <v>0.21414999999999998</v>
      </c>
      <c r="AO43" s="38">
        <v>0.24505000000000002</v>
      </c>
      <c r="AP43" s="60">
        <v>0.52280000000000004</v>
      </c>
      <c r="AQ43" s="38">
        <f>+Tabla_master_rend[[#This Row],[Kg_Queso_Blan]]*Tabla_master_rend[[#This Row],[ES_QUESO]]/(Tabla_master_rend[[#This Row],[Kg_Solidos_leche]])</f>
        <v>0.76319048106753495</v>
      </c>
      <c r="AR43" s="7">
        <f t="shared" si="20"/>
        <v>482.40560105680316</v>
      </c>
      <c r="AS43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0.95278820335698367</v>
      </c>
      <c r="AT43" s="62">
        <f>+Tabla_master_rend[[#This Row],[Kg_Queso_Blan]]*Tabla_master_rend[[#This Row],[%PT_QUESO]]/(Tabla_master_rend[[#This Row],[Litros_Leche_Total]]*1.03*Tabla_master_rend[[#This Row],[%MP_Leche]])</f>
        <v>0.77338907513057242</v>
      </c>
      <c r="AU43" s="63">
        <f t="shared" si="21"/>
        <v>3618.0420079260239</v>
      </c>
      <c r="AV43" s="7">
        <v>6.6139735799207395</v>
      </c>
      <c r="AW43" s="7">
        <v>60</v>
      </c>
      <c r="AX43" s="7">
        <v>21</v>
      </c>
      <c r="AY43" s="8">
        <f>SUM(Tabla_master_rend[[#This Row],[Kg_Finos]:[Kg_Desmoldeo]])</f>
        <v>87.613973579920739</v>
      </c>
      <c r="AZ43" s="60">
        <f>+(Tabla_master_rend[[#This Row],[Kg_Finos]]+Tabla_master_rend[[#This Row],[Kg_Llenadora]]+Tabla_master_rend[[#This Row],[Kg_Desmoldeo]])/(Tabla_master_rend[[#This Row],[Kg_Queso_Blan]])</f>
        <v>2.4815506378082788E-2</v>
      </c>
      <c r="BA43" s="7">
        <v>35</v>
      </c>
      <c r="BB43" s="60">
        <f>+Tabla_master_rend[[#This Row],[L_Agua]]/(Tabla_master_rend[[#This Row],[L_Agua]]+Tabla_master_rend[[#This Row],[Kg_SalidaSecadero]])</f>
        <v>1.0165553296543712E-2</v>
      </c>
      <c r="BC43" s="8">
        <v>511</v>
      </c>
      <c r="BD43" s="8">
        <v>478</v>
      </c>
      <c r="BE43" s="8">
        <v>3256</v>
      </c>
      <c r="BF43" s="8">
        <v>0</v>
      </c>
      <c r="BG43" s="8">
        <v>0</v>
      </c>
      <c r="BH43" s="7">
        <f>5*5.7</f>
        <v>28.5</v>
      </c>
      <c r="BI43" s="7">
        <f>24*5.7</f>
        <v>136.80000000000001</v>
      </c>
      <c r="BJ43" s="8">
        <v>22</v>
      </c>
      <c r="BK43" s="8">
        <v>3408</v>
      </c>
      <c r="BL43" s="8">
        <f>4.84*(511/3785)</f>
        <v>0.65343196829590489</v>
      </c>
      <c r="BM43" s="8">
        <f>960.26/(3274+511)*511</f>
        <v>129.64144253632762</v>
      </c>
      <c r="BN43" s="7">
        <f>28*(511/3785)</f>
        <v>3.7801849405548218</v>
      </c>
      <c r="BO43" s="68">
        <f>+SUM(Tabla_master_rend[[#This Row],[B_altas]:[B_lab]])/Tabla_master_rend[[#This Row],[Kg_SalidaSecadero]]</f>
        <v>5.4958920187793428E-2</v>
      </c>
      <c r="BP43" s="68">
        <f>+(Tabla_master_rend[[#This Row],[Kg_mer_env_real]]+Tabla_master_rend[[#This Row],[kg_mer_lab_real]])/Tabla_master_rend[[#This Row],[Kg_SalidaSecadero]]</f>
        <v>3.9149538578897428E-2</v>
      </c>
      <c r="BQ43" s="64">
        <f>+Tabla_master_rend[[#This Row],[Merma_TOT]]/Tabla_master_rend[[#This Row],[Kg_Queso_Blan]]</f>
        <v>7.2703794565460597E-2</v>
      </c>
      <c r="BR43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256.68903302509909</v>
      </c>
      <c r="BS43" s="8"/>
      <c r="BT43" s="63">
        <f>IF(+Tabla_master_rend[[#This Row],[Kg_Env_Total]]=0,0,Tabla_master_rend[[#This Row],[Kg_Env_Total]]-Tabla_master_rend[[#This Row],[Kg_SalidaSecadero]])</f>
        <v>0</v>
      </c>
      <c r="BU43" s="60">
        <f>+Tabla_master_rend[[#This Row],[Diferencia_Env_vs_Sec_kg]]/Tabla_master_rend[[#This Row],[Kg_SalidaSecadero]]</f>
        <v>0</v>
      </c>
      <c r="BV43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43" s="65">
        <f>+(Tabla_master_rend[[#This Row],[Coste_Leche_€]]-Tabla_master_rend[[#This Row],[Kg_MG_Nata]]*$CO$3)/Tabla_master_rend[[#This Row],[Kg_Queso_Blan]]</f>
        <v>-1.024762841534175</v>
      </c>
      <c r="BX43" s="8">
        <f>SUM(Tabla_master_rend[[#This Row],[Kg_Finos]:[Kg_Desmoldeo]])+Tabla_master_rend[[#This Row],[L_Agua]]+SUM(Tabla_master_rend[[#This Row],[B_altas]:[B_lab]])</f>
        <v>309.91397357992076</v>
      </c>
      <c r="BY43" s="8">
        <f>+BX43-Tabla_master_rend[[#This Row],[Merma_TOT]]</f>
        <v>53.224940554821671</v>
      </c>
      <c r="BZ43" s="62">
        <f t="shared" si="22"/>
        <v>0.17174101554699986</v>
      </c>
      <c r="CA43" s="8">
        <f>+Tabla_master_rend[[#This Row],[Kg_Queso_Blan]]*$CA$1</f>
        <v>22.948990828269483</v>
      </c>
      <c r="CB43" s="8">
        <f>+Tabla_master_rend[[#This Row],[Kg_Queso_Blan]]*($CB$1-$CA$1)</f>
        <v>12.357148907529725</v>
      </c>
      <c r="CC43" s="8">
        <f>+(Tabla_master_rend[[#This Row],[Kg_Queso_Blan]]-CA43-CB43)*$CC$1</f>
        <v>36.700732255363278</v>
      </c>
      <c r="CD43" s="8">
        <f t="shared" si="23"/>
        <v>72.006871991162484</v>
      </c>
      <c r="CE43" s="80">
        <f>+CD43/Tabla_master_rend[[#This Row],[Kg_Queso_Blan]]</f>
        <v>2.0395E-2</v>
      </c>
      <c r="CF43" s="62">
        <f>+Tabla_master_rend[[#This Row],[Merma_TOT]]/Tabla_master_rend[[#This Row],[Kg_Queso_Blan]]</f>
        <v>7.2703794565460597E-2</v>
      </c>
      <c r="CG43" s="8">
        <f>CD43-Tabla_master_rend[[#This Row],[Merma_TOT]]</f>
        <v>-184.68216103393661</v>
      </c>
      <c r="CH43" s="81" cm="1">
        <f t="array" ref="CH43">-BR43 * IFERROR(INDEX('Precio Leche_EBITDA_Ventas'!$BD$87:$BD$110,MATCH(1,('Precio Leche_EBITDA_Ventas'!$AZ$87:$AZ$110=YEAR(A43))*('Precio Leche_EBITDA_Ventas'!$BB$87:$BB$110=C43),0)),1.3)</f>
        <v>-790.89792770726376</v>
      </c>
      <c r="CI43" s="81">
        <f t="shared" si="24"/>
        <v>-240.0868093441176</v>
      </c>
    </row>
    <row r="44" spans="1:87" x14ac:dyDescent="0.35">
      <c r="A44" s="9">
        <v>45750</v>
      </c>
      <c r="B44" s="7">
        <v>4</v>
      </c>
      <c r="C44" s="7" t="str">
        <f>+UPPER(TEXT(Tabla_master_rend[[#This Row],[Fecha]],"MMM"))</f>
        <v>ABR</v>
      </c>
      <c r="D44" s="7" t="str">
        <f>+UPPER(TEXT(Tabla_master_rend[[#This Row],[Fecha]],"ddd"))</f>
        <v>JU</v>
      </c>
      <c r="E44" s="3" t="s">
        <v>474</v>
      </c>
      <c r="F44" s="3" t="s">
        <v>244</v>
      </c>
      <c r="G44" s="84" t="s">
        <v>40</v>
      </c>
      <c r="H44">
        <v>20</v>
      </c>
      <c r="I44" s="8">
        <f>+Tabla_master_rend[[#This Row],[L_Leche_ent]]+Tabla_master_rend[[#This Row],[L_desn_ext]]+Tabla_master_rend[[#This Row],[L_cabra]]+Tabla_master_rend[[#This Row],[L_oveja]]</f>
        <v>332375</v>
      </c>
      <c r="J44" s="8">
        <v>332375</v>
      </c>
      <c r="K44" s="5">
        <v>3.7046444828883036E-2</v>
      </c>
      <c r="L44" s="5">
        <v>3.3233908988341485E-2</v>
      </c>
      <c r="M44" s="5">
        <f t="shared" si="19"/>
        <v>0.10704628634223393</v>
      </c>
      <c r="N44" s="35" t="s">
        <v>188</v>
      </c>
      <c r="O44" s="8">
        <v>0</v>
      </c>
      <c r="P44" s="8">
        <v>0</v>
      </c>
      <c r="Q44" s="8">
        <v>0</v>
      </c>
      <c r="R44" s="8">
        <v>2734</v>
      </c>
      <c r="T44" s="8">
        <v>276900</v>
      </c>
      <c r="U44" s="38">
        <f>+Tabla_master_rend[[#This Row],[L_suero Total]]/Tabla_master_rend[[#This Row],[Litros_Leche_Total]]</f>
        <v>0.83309514855208722</v>
      </c>
      <c r="V44" s="5">
        <v>2.3999999999999998E-3</v>
      </c>
      <c r="W44" s="5">
        <v>9.7999999999999997E-3</v>
      </c>
      <c r="X44" s="8">
        <v>286180</v>
      </c>
      <c r="Y44" s="57">
        <v>83604</v>
      </c>
      <c r="Z44" s="58">
        <f>IF(Tabla_master_rend[[#This Row],[L_suero para con]]=0,0,+Tabla_master_rend[[#This Row],[L_suero para con]]/Tabla_master_rend[[#This Row],[L_suero_con]])</f>
        <v>3.4230419597148463</v>
      </c>
      <c r="AA44" s="8">
        <f>+Tabla_master_rend[[#This Row],[L_suero Total]]-Tabla_master_rend[[#This Row],[L_suero para con]]</f>
        <v>-9280</v>
      </c>
      <c r="AD44" s="8"/>
      <c r="AE44" s="8"/>
      <c r="AF44" s="8"/>
      <c r="AG44" s="5"/>
      <c r="AI44" s="7">
        <f>+Tabla_master_rend[[#This Row],[Kg_Finos]]+Tabla_master_rend[[#This Row],[Kg_Llenadora]]+Tabla_master_rend[[#This Row],[Kg_Desmoldeo]]+Tabla_master_rend[[#This Row],[L_Agua]]+Tabla_master_rend[[#This Row],[Kg_SalidaSecadero]]</f>
        <v>38072.910000000003</v>
      </c>
      <c r="AJ44" s="59">
        <f>+Tabla_master_rend[[#This Row],[Litros_Leche_Total]]/Tabla_master_rend[[#This Row],[Kg_Queso_Blan]]</f>
        <v>8.7299604889670892</v>
      </c>
      <c r="AK44" s="59">
        <f>+Tabla_master_rend[[#This Row],[Litros_Leche_Total]]/(Tabla_master_rend[[#This Row],[Kg_Queso_Blan]]-Tabla_master_rend[[#This Row],[Merma_TOT]])</f>
        <v>9.002297600317215</v>
      </c>
      <c r="AL44" s="59">
        <f>VLOOKUP(G44,REND_TARGET[#All],8,FALSE)</f>
        <v>8.9338729999999984</v>
      </c>
      <c r="AM44" s="7">
        <f>(I44*1.03*Tabla_master_rend[[#This Row],[%MG_Leche]])+(I44*1.03*Tabla_master_rend[[#This Row],[%MP_Leche]])</f>
        <v>24060.215578000003</v>
      </c>
      <c r="AN44" s="38">
        <v>0.29359999999999997</v>
      </c>
      <c r="AO44" s="38">
        <v>0.22760000000000002</v>
      </c>
      <c r="AP44" s="60">
        <v>0.5716</v>
      </c>
      <c r="AQ44" s="38">
        <f>+Tabla_master_rend[[#This Row],[Kg_Queso_Blan]]*Tabla_master_rend[[#This Row],[ES_QUESO]]/(Tabla_master_rend[[#This Row],[Kg_Solidos_leche]])</f>
        <v>0.9045004308231972</v>
      </c>
      <c r="AR44" s="7">
        <f t="shared" si="20"/>
        <v>1093.6000000000001</v>
      </c>
      <c r="AS44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0.96760116413601649</v>
      </c>
      <c r="AT44" s="62">
        <f>+Tabla_master_rend[[#This Row],[Kg_Queso_Blan]]*Tabla_master_rend[[#This Row],[%PT_QUESO]]/(Tabla_master_rend[[#This Row],[Litros_Leche_Total]]*1.03*Tabla_master_rend[[#This Row],[%MP_Leche]])</f>
        <v>0.76162524121398667</v>
      </c>
      <c r="AU44" s="63">
        <f t="shared" si="21"/>
        <v>8202.0000000000018</v>
      </c>
      <c r="AV44" s="7">
        <v>72.41</v>
      </c>
      <c r="AW44" s="7">
        <v>135</v>
      </c>
      <c r="AX44" s="7">
        <v>51.5</v>
      </c>
      <c r="AY44" s="8">
        <f>SUM(Tabla_master_rend[[#This Row],[Kg_Finos]:[Kg_Desmoldeo]])</f>
        <v>258.90999999999997</v>
      </c>
      <c r="AZ44" s="60">
        <f>+(Tabla_master_rend[[#This Row],[Kg_Finos]]+Tabla_master_rend[[#This Row],[Kg_Llenadora]]+Tabla_master_rend[[#This Row],[Kg_Desmoldeo]])/(Tabla_master_rend[[#This Row],[Kg_Queso_Blan]])</f>
        <v>6.8003732837862915E-3</v>
      </c>
      <c r="BA44" s="7">
        <v>600</v>
      </c>
      <c r="BB44" s="60">
        <f>+Tabla_master_rend[[#This Row],[L_Agua]]/(Tabla_master_rend[[#This Row],[L_Agua]]+Tabla_master_rend[[#This Row],[Kg_SalidaSecadero]])</f>
        <v>1.5867139154810389E-2</v>
      </c>
      <c r="BC44" s="8">
        <v>5477</v>
      </c>
      <c r="BD44" s="8">
        <v>5362</v>
      </c>
      <c r="BE44" s="8">
        <v>37076</v>
      </c>
      <c r="BF44" s="8">
        <f>14*6.6</f>
        <v>92.399999999999991</v>
      </c>
      <c r="BG44" s="8">
        <v>0</v>
      </c>
      <c r="BH44" s="7">
        <f>5*6.6</f>
        <v>33</v>
      </c>
      <c r="BI44" s="7">
        <f>79*6.6</f>
        <v>521.4</v>
      </c>
      <c r="BJ44" s="8">
        <v>186</v>
      </c>
      <c r="BK44" s="8">
        <v>37214</v>
      </c>
      <c r="BL44" s="8">
        <v>1.02</v>
      </c>
      <c r="BM44" s="8">
        <v>226.55</v>
      </c>
      <c r="BN44" s="7">
        <v>65.3</v>
      </c>
      <c r="BO44" s="68">
        <f>+SUM(Tabla_master_rend[[#This Row],[B_altas]:[B_lab]])/Tabla_master_rend[[#This Row],[Kg_SalidaSecadero]]</f>
        <v>2.2378674692320095E-2</v>
      </c>
      <c r="BP44" s="68">
        <f>+(Tabla_master_rend[[#This Row],[Kg_mer_env_real]]+Tabla_master_rend[[#This Row],[kg_mer_lab_real]])/Tabla_master_rend[[#This Row],[Kg_SalidaSecadero]]</f>
        <v>7.8424786370720704E-3</v>
      </c>
      <c r="BQ44" s="64">
        <f>+Tabla_master_rend[[#This Row],[Merma_TOT]]/Tabla_master_rend[[#This Row],[Kg_Queso_Blan]]</f>
        <v>3.0251956049590113E-2</v>
      </c>
      <c r="BR44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1151.78</v>
      </c>
      <c r="BS44" s="8"/>
      <c r="BT44" s="63">
        <f>IF(+Tabla_master_rend[[#This Row],[Kg_Env_Total]]=0,0,Tabla_master_rend[[#This Row],[Kg_Env_Total]]-Tabla_master_rend[[#This Row],[Kg_SalidaSecadero]])</f>
        <v>0</v>
      </c>
      <c r="BU44" s="60">
        <f>+Tabla_master_rend[[#This Row],[Diferencia_Env_vs_Sec_kg]]/Tabla_master_rend[[#This Row],[Kg_SalidaSecadero]]</f>
        <v>0</v>
      </c>
      <c r="BV44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44" s="65">
        <f>+(Tabla_master_rend[[#This Row],[Coste_Leche_€]]-Tabla_master_rend[[#This Row],[Kg_MG_Nata]]*$CO$3)/Tabla_master_rend[[#This Row],[Kg_Queso_Blan]]</f>
        <v>-0.21542876549231466</v>
      </c>
      <c r="BX44" s="8">
        <f>SUM(Tabla_master_rend[[#This Row],[Kg_Finos]:[Kg_Desmoldeo]])+Tabla_master_rend[[#This Row],[L_Agua]]+SUM(Tabla_master_rend[[#This Row],[B_altas]:[B_lab]])</f>
        <v>1691.71</v>
      </c>
      <c r="BY44" s="8">
        <f>+BX44-Tabla_master_rend[[#This Row],[Merma_TOT]]</f>
        <v>539.93000000000006</v>
      </c>
      <c r="BZ44" s="62">
        <f t="shared" si="22"/>
        <v>0.31916226776456963</v>
      </c>
      <c r="CA44" s="8">
        <f>+Tabla_master_rend[[#This Row],[Kg_Queso_Blan]]*$CA$1</f>
        <v>247.47391500000001</v>
      </c>
      <c r="CB44" s="8">
        <f>+Tabla_master_rend[[#This Row],[Kg_Queso_Blan]]*($CB$1-$CA$1)</f>
        <v>133.25518500000004</v>
      </c>
      <c r="CC44" s="8">
        <f>+(Tabla_master_rend[[#This Row],[Kg_Queso_Blan]]-CA44-CB44)*$CC$1</f>
        <v>395.76789945000002</v>
      </c>
      <c r="CD44" s="8">
        <f t="shared" si="23"/>
        <v>776.49699944999998</v>
      </c>
      <c r="CE44" s="80">
        <f>+CD44/Tabla_master_rend[[#This Row],[Kg_Queso_Blan]]</f>
        <v>2.0394999999999996E-2</v>
      </c>
      <c r="CF44" s="62">
        <f>+Tabla_master_rend[[#This Row],[Merma_TOT]]/Tabla_master_rend[[#This Row],[Kg_Queso_Blan]]</f>
        <v>3.0251956049590113E-2</v>
      </c>
      <c r="CG44" s="8">
        <f>CD44-Tabla_master_rend[[#This Row],[Merma_TOT]]</f>
        <v>-375.28300055</v>
      </c>
      <c r="CH44" s="81" cm="1">
        <f t="array" ref="CH44">-BR44 * IFERROR(INDEX('Precio Leche_EBITDA_Ventas'!$BD$87:$BD$110,MATCH(1,('Precio Leche_EBITDA_Ventas'!$AZ$87:$AZ$110=YEAR(A44))*('Precio Leche_EBITDA_Ventas'!$BB$87:$BB$110=C44),0)),1.3)</f>
        <v>-3548.8092515647149</v>
      </c>
      <c r="CI44" s="81">
        <f t="shared" si="24"/>
        <v>-487.86790071500002</v>
      </c>
    </row>
    <row r="45" spans="1:87" x14ac:dyDescent="0.35">
      <c r="A45" s="9">
        <v>45754</v>
      </c>
      <c r="B45" s="7">
        <v>4</v>
      </c>
      <c r="C45" s="7" t="str">
        <f>+UPPER(TEXT(Tabla_master_rend[[#This Row],[Fecha]],"MMM"))</f>
        <v>ABR</v>
      </c>
      <c r="D45" s="7" t="str">
        <f>+UPPER(TEXT(Tabla_master_rend[[#This Row],[Fecha]],"ddd"))</f>
        <v>LU</v>
      </c>
      <c r="E45" s="3" t="s">
        <v>475</v>
      </c>
      <c r="F45" s="3" t="s">
        <v>244</v>
      </c>
      <c r="G45" s="84" t="s">
        <v>302</v>
      </c>
      <c r="H45">
        <v>16</v>
      </c>
      <c r="I45" s="8">
        <f>+Tabla_master_rend[[#This Row],[L_Leche_ent]]+Tabla_master_rend[[#This Row],[L_desn_ext]]+Tabla_master_rend[[#This Row],[L_cabra]]+Tabla_master_rend[[#This Row],[L_oveja]]</f>
        <v>184741</v>
      </c>
      <c r="J45" s="8">
        <v>184741</v>
      </c>
      <c r="K45" s="5">
        <v>4.2099999999999999E-2</v>
      </c>
      <c r="L45" s="5">
        <v>3.2799999999999996E-2</v>
      </c>
      <c r="M45" s="5">
        <f t="shared" si="19"/>
        <v>0.111425</v>
      </c>
      <c r="N45" s="35" t="s">
        <v>188</v>
      </c>
      <c r="O45" s="8">
        <v>0</v>
      </c>
      <c r="P45" s="8">
        <v>0</v>
      </c>
      <c r="Q45" s="8">
        <v>0</v>
      </c>
      <c r="R45" s="8">
        <v>5981</v>
      </c>
      <c r="T45" s="8">
        <v>218900</v>
      </c>
      <c r="U45" s="38">
        <f>+Tabla_master_rend[[#This Row],[L_suero Total]]/Tabla_master_rend[[#This Row],[Litros_Leche_Total]]</f>
        <v>1.1849021061919118</v>
      </c>
      <c r="V45" s="5">
        <v>1.7000000000000001E-3</v>
      </c>
      <c r="W45" s="5">
        <v>8.0000000000000002E-3</v>
      </c>
      <c r="X45" s="8">
        <v>190038</v>
      </c>
      <c r="Y45" s="57">
        <v>61623</v>
      </c>
      <c r="Z45" s="58">
        <f>IF(Tabla_master_rend[[#This Row],[L_suero para con]]=0,0,+Tabla_master_rend[[#This Row],[L_suero para con]]/Tabla_master_rend[[#This Row],[L_suero_con]])</f>
        <v>3.0838810184509029</v>
      </c>
      <c r="AA45" s="8">
        <f>+Tabla_master_rend[[#This Row],[L_suero Total]]-Tabla_master_rend[[#This Row],[L_suero para con]]</f>
        <v>28862</v>
      </c>
      <c r="AD45" s="8"/>
      <c r="AE45" s="8"/>
      <c r="AF45" s="8"/>
      <c r="AG45" s="5"/>
      <c r="AI45" s="7">
        <f>+Tabla_master_rend[[#This Row],[Kg_Finos]]+Tabla_master_rend[[#This Row],[Kg_Llenadora]]+Tabla_master_rend[[#This Row],[Kg_Desmoldeo]]+Tabla_master_rend[[#This Row],[L_Agua]]+Tabla_master_rend[[#This Row],[Kg_SalidaSecadero]]</f>
        <v>27372.43</v>
      </c>
      <c r="AJ45" s="59">
        <f>+Tabla_master_rend[[#This Row],[Litros_Leche_Total]]/Tabla_master_rend[[#This Row],[Kg_Queso_Blan]]</f>
        <v>6.7491633004450096</v>
      </c>
      <c r="AK45" s="59">
        <f>+Tabla_master_rend[[#This Row],[Litros_Leche_Total]]/(Tabla_master_rend[[#This Row],[Kg_Queso_Blan]]-Tabla_master_rend[[#This Row],[Merma_TOT]])</f>
        <v>6.9144279608760923</v>
      </c>
      <c r="AL45" s="59">
        <f>VLOOKUP(G45,REND_TARGET[#All],8,FALSE)</f>
        <v>7.1889999999999992</v>
      </c>
      <c r="AM45" s="7">
        <f>(I45*1.03*Tabla_master_rend[[#This Row],[%MG_Leche]])+(I45*1.03*Tabla_master_rend[[#This Row],[%MP_Leche]])</f>
        <v>14252.213927000001</v>
      </c>
      <c r="AN45" s="38">
        <v>0.29100000000000004</v>
      </c>
      <c r="AO45" s="38">
        <v>0.24050000000000002</v>
      </c>
      <c r="AP45" s="60">
        <v>0.57920000000000005</v>
      </c>
      <c r="AQ45" s="38">
        <f>+Tabla_master_rend[[#This Row],[Kg_Queso_Blan]]*Tabla_master_rend[[#This Row],[ES_QUESO]]/(Tabla_master_rend[[#This Row],[Kg_Solidos_leche]])</f>
        <v>1.1123963994088875</v>
      </c>
      <c r="AR45" s="7">
        <f t="shared" si="20"/>
        <v>2392.4</v>
      </c>
      <c r="AS45" s="61">
        <f>+(Tabla_master_rend[[#This Row],[Kg_Queso_Blan]]*Tabla_master_rend[[#This Row],[%MG_QUESO]]+(Tabla_master_rend[[#This Row],[Kg_MG_Nata]]))/(Tabla_master_rend[[#This Row],[Litros_Leche_Total]]*1.03*Tabla_master_rend[[#This Row],[%MG_Leche]])</f>
        <v>1.292956611744196</v>
      </c>
      <c r="AT45" s="62">
        <f>+Tabla_master_rend[[#This Row],[Kg_Queso_Blan]]*Tabla_master_rend[[#This Row],[%PT_QUESO]]/(Tabla_master_rend[[#This Row],[Litros_Leche_Total]]*1.03*Tabla_master_rend[[#This Row],[%MP_Leche]])</f>
        <v>1.0547610308232143</v>
      </c>
      <c r="AU45" s="63">
        <f t="shared" si="21"/>
        <v>17943</v>
      </c>
      <c r="AV45" s="7">
        <v>52.43</v>
      </c>
      <c r="AW45" s="7">
        <v>70</v>
      </c>
      <c r="AX45" s="7">
        <v>8</v>
      </c>
      <c r="AY45" s="8">
        <f>SUM(Tabla_master_rend[[#This Row],[Kg_Finos]:[Kg_Desmoldeo]])</f>
        <v>130.43</v>
      </c>
      <c r="AZ45" s="60">
        <f>+(Tabla_master_rend[[#This Row],[Kg_Finos]]+Tabla_master_rend[[#This Row],[Kg_Llenadora]]+Tabla_master_rend[[#This Row],[Kg_Desmoldeo]])/(Tabla_master_rend[[#This Row],[Kg_Queso_Blan]])</f>
        <v>4.7650135556105179E-3</v>
      </c>
      <c r="BA45" s="7">
        <v>360</v>
      </c>
      <c r="BB45" s="60">
        <f>+Tabla_master_rend[[#This Row],[L_Agua]]/(Tabla_master_rend[[#This Row],[L_Agua]]+Tabla_master_rend[[#This Row],[Kg_SalidaSecadero]])</f>
        <v>1.3214888774686146E-2</v>
      </c>
      <c r="BC45" s="8">
        <v>3770</v>
      </c>
      <c r="BD45" s="8">
        <v>3729</v>
      </c>
      <c r="BE45" s="8">
        <v>27002</v>
      </c>
      <c r="BF45" s="8">
        <f>60*5.7</f>
        <v>342</v>
      </c>
      <c r="BG45" s="8">
        <f>17*5.7</f>
        <v>96.9</v>
      </c>
      <c r="BH45" s="7">
        <f>1*5.7</f>
        <v>5.7</v>
      </c>
      <c r="BI45" s="7">
        <f>5*5.7</f>
        <v>28.5</v>
      </c>
      <c r="BJ45" s="8">
        <v>110</v>
      </c>
      <c r="BK45" s="8">
        <v>26882</v>
      </c>
      <c r="BL45" s="8">
        <v>0.35</v>
      </c>
      <c r="BM45" s="8">
        <v>131.03</v>
      </c>
      <c r="BN45" s="7">
        <v>32.43</v>
      </c>
      <c r="BO45" s="68">
        <f>+SUM(Tabla_master_rend[[#This Row],[B_altas]:[B_lab]])/Tabla_master_rend[[#This Row],[Kg_SalidaSecadero]]</f>
        <v>2.1691094412618104E-2</v>
      </c>
      <c r="BP45" s="68">
        <f>+(Tabla_master_rend[[#This Row],[Kg_mer_env_real]]+Tabla_master_rend[[#This Row],[kg_mer_lab_real]])/Tabla_master_rend[[#This Row],[Kg_SalidaSecadero]]</f>
        <v>6.0806487612528829E-3</v>
      </c>
      <c r="BQ45" s="64">
        <f>+Tabla_master_rend[[#This Row],[Merma_TOT]]/Tabla_master_rend[[#This Row],[Kg_Queso_Blan]]</f>
        <v>2.390142197824599E-2</v>
      </c>
      <c r="BR45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654.2399999999999</v>
      </c>
      <c r="BS45" s="8"/>
      <c r="BT45" s="63">
        <f>IF(+Tabla_master_rend[[#This Row],[Kg_Env_Total]]=0,0,Tabla_master_rend[[#This Row],[Kg_Env_Total]]-Tabla_master_rend[[#This Row],[Kg_SalidaSecadero]])</f>
        <v>0</v>
      </c>
      <c r="BU45" s="60">
        <f>+Tabla_master_rend[[#This Row],[Diferencia_Env_vs_Sec_kg]]/Tabla_master_rend[[#This Row],[Kg_SalidaSecadero]]</f>
        <v>0</v>
      </c>
      <c r="BV45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45" s="65">
        <f>+(Tabla_master_rend[[#This Row],[Coste_Leche_€]]-Tabla_master_rend[[#This Row],[Kg_MG_Nata]]*$CO$3)/Tabla_master_rend[[#This Row],[Kg_Queso_Blan]]</f>
        <v>-0.65551359524894204</v>
      </c>
      <c r="BX45" s="8">
        <f>SUM(Tabla_master_rend[[#This Row],[Kg_Finos]:[Kg_Desmoldeo]])+Tabla_master_rend[[#This Row],[L_Agua]]+SUM(Tabla_master_rend[[#This Row],[B_altas]:[B_lab]])</f>
        <v>1073.53</v>
      </c>
      <c r="BY45" s="8">
        <f>+BX45-Tabla_master_rend[[#This Row],[Merma_TOT]]</f>
        <v>419.29000000000008</v>
      </c>
      <c r="BZ45" s="62">
        <f t="shared" si="22"/>
        <v>0.39057129283764785</v>
      </c>
      <c r="CA45" s="8">
        <f>+Tabla_master_rend[[#This Row],[Kg_Queso_Blan]]*$CA$1</f>
        <v>177.920795</v>
      </c>
      <c r="CB45" s="8">
        <f>+Tabla_master_rend[[#This Row],[Kg_Queso_Blan]]*($CB$1-$CA$1)</f>
        <v>95.803505000000015</v>
      </c>
      <c r="CC45" s="8">
        <f>+(Tabla_master_rend[[#This Row],[Kg_Queso_Blan]]-CA45-CB45)*$CC$1</f>
        <v>284.53640985000004</v>
      </c>
      <c r="CD45" s="8">
        <f t="shared" si="23"/>
        <v>558.26070985000001</v>
      </c>
      <c r="CE45" s="80">
        <f>+CD45/Tabla_master_rend[[#This Row],[Kg_Queso_Blan]]</f>
        <v>2.0395E-2</v>
      </c>
      <c r="CF45" s="62">
        <f>+Tabla_master_rend[[#This Row],[Merma_TOT]]/Tabla_master_rend[[#This Row],[Kg_Queso_Blan]]</f>
        <v>2.390142197824599E-2</v>
      </c>
      <c r="CG45" s="8">
        <f>CD45-Tabla_master_rend[[#This Row],[Merma_TOT]]</f>
        <v>-95.979290149999883</v>
      </c>
      <c r="CH45" s="81" cm="1">
        <f t="array" ref="CH45">-BR45 * IFERROR(INDEX('Precio Leche_EBITDA_Ventas'!$BD$87:$BD$110,MATCH(1,('Precio Leche_EBITDA_Ventas'!$AZ$87:$AZ$110=YEAR(A45))*('Precio Leche_EBITDA_Ventas'!$BB$87:$BB$110=C45),0)),1.3)</f>
        <v>-2015.812885050703</v>
      </c>
      <c r="CI45" s="81">
        <f t="shared" si="24"/>
        <v>-124.77307719499986</v>
      </c>
    </row>
    <row r="46" spans="1:87" x14ac:dyDescent="0.35">
      <c r="A46" s="9">
        <v>45755</v>
      </c>
      <c r="B46" s="7">
        <v>4</v>
      </c>
      <c r="C46" s="7" t="str">
        <f>+UPPER(TEXT(Tabla_master_rend[[#This Row],[Fecha]],"MMM"))</f>
        <v>ABR</v>
      </c>
      <c r="D46" s="7" t="str">
        <f>+UPPER(TEXT(Tabla_master_rend[[#This Row],[Fecha]],"ddd"))</f>
        <v>MA</v>
      </c>
      <c r="E46" s="3" t="s">
        <v>476</v>
      </c>
      <c r="F46" s="3" t="s">
        <v>244</v>
      </c>
      <c r="G46" s="84" t="s">
        <v>301</v>
      </c>
      <c r="H46">
        <v>6</v>
      </c>
      <c r="I46" s="8">
        <f>+Tabla_master_rend[[#This Row],[L_Leche_ent]]+Tabla_master_rend[[#This Row],[L_desn_ext]]+Tabla_master_rend[[#This Row],[L_cabra]]+Tabla_master_rend[[#This Row],[L_oveja]]</f>
        <v>96002</v>
      </c>
      <c r="J46" s="8">
        <v>96002</v>
      </c>
      <c r="K46" s="5">
        <v>3.5724724484906566E-2</v>
      </c>
      <c r="L46" s="5">
        <v>3.2861907043603263E-2</v>
      </c>
      <c r="M46" s="5">
        <f t="shared" si="19"/>
        <v>0.10554180498322951</v>
      </c>
      <c r="N46" s="35" t="s">
        <v>188</v>
      </c>
      <c r="O46" s="8">
        <v>0</v>
      </c>
      <c r="P46" s="8">
        <v>0</v>
      </c>
      <c r="Q46" s="8">
        <v>0</v>
      </c>
      <c r="R46" s="8">
        <v>1012</v>
      </c>
      <c r="T46" s="8">
        <v>82800</v>
      </c>
      <c r="U46" s="38">
        <f>+Tabla_master_rend[[#This Row],[L_suero Total]]/Tabla_master_rend[[#This Row],[Litros_Leche_Total]]</f>
        <v>0.86248203162434112</v>
      </c>
      <c r="V46" s="5">
        <v>2E-3</v>
      </c>
      <c r="W46" s="5">
        <v>9.0000000000000011E-3</v>
      </c>
      <c r="X46" s="8">
        <f>103681/(162150+82800)*82800</f>
        <v>35047.098591549293</v>
      </c>
      <c r="Y46" s="57">
        <f>28056/(162150+82800)*82800</f>
        <v>9483.7183098591559</v>
      </c>
      <c r="Z46" s="58">
        <f>IF(Tabla_master_rend[[#This Row],[L_suero para con]]=0,0,+Tabla_master_rend[[#This Row],[L_suero para con]]/Tabla_master_rend[[#This Row],[L_suero_con]])</f>
        <v>3.6955018534359847</v>
      </c>
      <c r="AA46" s="8">
        <f>+Tabla_master_rend[[#This Row],[L_suero Total]]-Tabla_master_rend[[#This Row],[L_suero para con]]</f>
        <v>47752.901408450707</v>
      </c>
      <c r="AD46" s="8"/>
      <c r="AE46" s="8"/>
      <c r="AF46" s="8"/>
      <c r="AG46" s="5"/>
      <c r="AI46" s="7">
        <f>+Tabla_master_rend[[#This Row],[Kg_Finos]]+Tabla_master_rend[[#This Row],[Kg_Llenadora]]+Tabla_master_rend[[#This Row],[Kg_Desmoldeo]]+Tabla_master_rend[[#This Row],[L_Agua]]+Tabla_master_rend[[#This Row],[Kg_SalidaSecadero]]</f>
        <v>10560.916169931763</v>
      </c>
      <c r="AJ46" s="59">
        <f>+Tabla_master_rend[[#This Row],[Litros_Leche_Total]]/Tabla_master_rend[[#This Row],[Kg_Queso_Blan]]</f>
        <v>9.0903098230558435</v>
      </c>
      <c r="AK46" s="59">
        <f>+Tabla_master_rend[[#This Row],[Litros_Leche_Total]]/(Tabla_master_rend[[#This Row],[Kg_Queso_Blan]]-Tabla_master_rend[[#This Row],[Merma_TOT]])</f>
        <v>9.3425238497013865</v>
      </c>
      <c r="AL46" s="59">
        <f>VLOOKUP(G46,REND_TARGET[#All],8,FALSE)</f>
        <v>9.3549429999999987</v>
      </c>
      <c r="AM46" s="7"/>
      <c r="AN46" s="38">
        <v>0.28839999999999999</v>
      </c>
      <c r="AO46" s="38">
        <v>0.2384</v>
      </c>
      <c r="AP46" s="60">
        <v>0.57789999999999997</v>
      </c>
      <c r="AQ46" s="38" t="e">
        <f>+Tabla_master_rend[[#This Row],[Kg_Queso_Blan]]*Tabla_master_rend[[#This Row],[ES_QUESO]]/(Tabla_master_rend[[#This Row],[Kg_Solidos_leche]])</f>
        <v>#DIV/0!</v>
      </c>
      <c r="AR46" s="7">
        <f t="shared" si="20"/>
        <v>404.8</v>
      </c>
      <c r="AS46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0.97679679276390352</v>
      </c>
      <c r="AT46" s="62">
        <f>+Tabla_master_rend[[#This Row],[Kg_Queso_Blan]]*Tabla_master_rend[[#This Row],[%PT_QUESO]]/(Tabla_master_rend[[#This Row],[Litros_Leche_Total]]*1.03*Tabla_master_rend[[#This Row],[%MP_Leche]])</f>
        <v>0.774814211906934</v>
      </c>
      <c r="AU46" s="63">
        <f t="shared" si="21"/>
        <v>3036</v>
      </c>
      <c r="AV46" s="7">
        <v>18.116169931763149</v>
      </c>
      <c r="AW46" s="7">
        <v>22.1</v>
      </c>
      <c r="AX46" s="7">
        <v>2.7</v>
      </c>
      <c r="AY46" s="8">
        <f>SUM(Tabla_master_rend[[#This Row],[Kg_Finos]:[Kg_Desmoldeo]])</f>
        <v>42.91616993176315</v>
      </c>
      <c r="AZ46" s="60">
        <f>+(Tabla_master_rend[[#This Row],[Kg_Finos]]+Tabla_master_rend[[#This Row],[Kg_Llenadora]]+Tabla_master_rend[[#This Row],[Kg_Desmoldeo]])/(Tabla_master_rend[[#This Row],[Kg_Queso_Blan]])</f>
        <v>4.063678684804904E-3</v>
      </c>
      <c r="BA46" s="7">
        <v>117</v>
      </c>
      <c r="BB46" s="60">
        <f>+Tabla_master_rend[[#This Row],[L_Agua]]/(Tabla_master_rend[[#This Row],[L_Agua]]+Tabla_master_rend[[#This Row],[Kg_SalidaSecadero]])</f>
        <v>1.1123787792355962E-2</v>
      </c>
      <c r="BC46" s="8">
        <v>1476</v>
      </c>
      <c r="BD46" s="8">
        <v>1446</v>
      </c>
      <c r="BE46" s="8">
        <v>10333</v>
      </c>
      <c r="BF46" s="8">
        <f>27*6.2</f>
        <v>167.4</v>
      </c>
      <c r="BG46" s="8">
        <f>11*6.2</f>
        <v>68.2</v>
      </c>
      <c r="BH46" s="7">
        <f>3*6.2</f>
        <v>18.600000000000001</v>
      </c>
      <c r="BI46" s="7">
        <f>4*6.2</f>
        <v>24.8</v>
      </c>
      <c r="BJ46" s="8">
        <v>74</v>
      </c>
      <c r="BK46" s="8">
        <v>10401</v>
      </c>
      <c r="BL46" s="8">
        <v>1.65</v>
      </c>
      <c r="BM46" s="8">
        <v>115.11</v>
      </c>
      <c r="BN46" s="7">
        <v>8.43</v>
      </c>
      <c r="BO46" s="68">
        <f>+SUM(Tabla_master_rend[[#This Row],[B_altas]:[B_lab]])/Tabla_master_rend[[#This Row],[Kg_SalidaSecadero]]</f>
        <v>3.3939044322661281E-2</v>
      </c>
      <c r="BP46" s="68">
        <f>+(Tabla_master_rend[[#This Row],[Kg_mer_env_real]]+Tabla_master_rend[[#This Row],[kg_mer_lab_real]])/Tabla_master_rend[[#This Row],[Kg_SalidaSecadero]]</f>
        <v>1.1877704066916642E-2</v>
      </c>
      <c r="BQ46" s="64">
        <f>+Tabla_master_rend[[#This Row],[Merma_TOT]]/Tabla_master_rend[[#This Row],[Kg_Queso_Blan]]</f>
        <v>2.6996348171335338E-2</v>
      </c>
      <c r="BR46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285.10616993176313</v>
      </c>
      <c r="BS46" s="8"/>
      <c r="BT46" s="63">
        <f>IF(+Tabla_master_rend[[#This Row],[Kg_Env_Total]]=0,0,Tabla_master_rend[[#This Row],[Kg_Env_Total]]-Tabla_master_rend[[#This Row],[Kg_SalidaSecadero]])</f>
        <v>0</v>
      </c>
      <c r="BU46" s="60">
        <f>+Tabla_master_rend[[#This Row],[Diferencia_Env_vs_Sec_kg]]/Tabla_master_rend[[#This Row],[Kg_SalidaSecadero]]</f>
        <v>0</v>
      </c>
      <c r="BV46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46" s="65">
        <f>+(Tabla_master_rend[[#This Row],[Coste_Leche_€]]-Tabla_master_rend[[#This Row],[Kg_MG_Nata]]*$CO$3)/Tabla_master_rend[[#This Row],[Kg_Queso_Blan]]</f>
        <v>-0.28747505909040999</v>
      </c>
      <c r="BX46" s="8">
        <f>SUM(Tabla_master_rend[[#This Row],[Kg_Finos]:[Kg_Desmoldeo]])+Tabla_master_rend[[#This Row],[L_Agua]]+SUM(Tabla_master_rend[[#This Row],[B_altas]:[B_lab]])</f>
        <v>512.91616993176308</v>
      </c>
      <c r="BY46" s="8">
        <f>+BX46-Tabla_master_rend[[#This Row],[Merma_TOT]]</f>
        <v>227.80999999999995</v>
      </c>
      <c r="BZ46" s="62">
        <f t="shared" si="22"/>
        <v>0.4441466527177475</v>
      </c>
      <c r="CA46" s="8">
        <f>+Tabla_master_rend[[#This Row],[Kg_Queso_Blan]]*$CA$1</f>
        <v>68.64595510455645</v>
      </c>
      <c r="CB46" s="8">
        <f>+Tabla_master_rend[[#This Row],[Kg_Queso_Blan]]*($CB$1-$CA$1)</f>
        <v>36.963206594761175</v>
      </c>
      <c r="CC46" s="8">
        <f>+(Tabla_master_rend[[#This Row],[Kg_Queso_Blan]]-CA46-CB46)*$CC$1</f>
        <v>109.78072358644067</v>
      </c>
      <c r="CD46" s="8">
        <f t="shared" si="23"/>
        <v>215.38988528575828</v>
      </c>
      <c r="CE46" s="80">
        <f>+CD46/Tabla_master_rend[[#This Row],[Kg_Queso_Blan]]</f>
        <v>2.0394999999999996E-2</v>
      </c>
      <c r="CF46" s="62">
        <f>+Tabla_master_rend[[#This Row],[Merma_TOT]]/Tabla_master_rend[[#This Row],[Kg_Queso_Blan]]</f>
        <v>2.6996348171335338E-2</v>
      </c>
      <c r="CG46" s="8">
        <f>CD46-Tabla_master_rend[[#This Row],[Merma_TOT]]</f>
        <v>-69.716284646004851</v>
      </c>
      <c r="CH46" s="81" cm="1">
        <f t="array" ref="CH46">-BR46 * IFERROR(INDEX('Precio Leche_EBITDA_Ventas'!$BD$87:$BD$110,MATCH(1,('Precio Leche_EBITDA_Ventas'!$AZ$87:$AZ$110=YEAR(A46))*('Precio Leche_EBITDA_Ventas'!$BB$87:$BB$110=C46),0)),1.3)</f>
        <v>-878.45544594629428</v>
      </c>
      <c r="CI46" s="81">
        <f t="shared" si="24"/>
        <v>-90.631170039806307</v>
      </c>
    </row>
    <row r="47" spans="1:87" x14ac:dyDescent="0.35">
      <c r="A47" s="9">
        <v>45755</v>
      </c>
      <c r="B47" s="7">
        <v>4</v>
      </c>
      <c r="C47" s="7" t="str">
        <f>+UPPER(TEXT(Tabla_master_rend[[#This Row],[Fecha]],"MMM"))</f>
        <v>ABR</v>
      </c>
      <c r="D47" s="7" t="str">
        <f>+UPPER(TEXT(Tabla_master_rend[[#This Row],[Fecha]],"ddd"))</f>
        <v>MA</v>
      </c>
      <c r="E47" s="3" t="s">
        <v>477</v>
      </c>
      <c r="F47" s="3" t="s">
        <v>244</v>
      </c>
      <c r="G47" s="84" t="s">
        <v>190</v>
      </c>
      <c r="H47">
        <v>12</v>
      </c>
      <c r="I47" s="8">
        <f>+Tabla_master_rend[[#This Row],[L_Leche_ent]]+Tabla_master_rend[[#This Row],[L_desn_ext]]+Tabla_master_rend[[#This Row],[L_cabra]]+Tabla_master_rend[[#This Row],[L_oveja]]</f>
        <v>177627</v>
      </c>
      <c r="J47" s="8">
        <v>177627</v>
      </c>
      <c r="K47" s="5">
        <v>3.6909009891514244E-2</v>
      </c>
      <c r="L47" s="5">
        <v>3.3129759552320309E-2</v>
      </c>
      <c r="M47" s="5">
        <f t="shared" si="19"/>
        <v>0.10684140126782528</v>
      </c>
      <c r="N47" s="35" t="s">
        <v>188</v>
      </c>
      <c r="O47" s="8">
        <v>0</v>
      </c>
      <c r="P47" s="8">
        <v>0</v>
      </c>
      <c r="Q47" s="8">
        <v>0</v>
      </c>
      <c r="R47" s="8">
        <v>1592</v>
      </c>
      <c r="T47" s="8">
        <v>162150</v>
      </c>
      <c r="U47" s="38">
        <f>+Tabla_master_rend[[#This Row],[L_suero Total]]/Tabla_master_rend[[#This Row],[Litros_Leche_Total]]</f>
        <v>0.91286797615227411</v>
      </c>
      <c r="V47" s="5">
        <v>2E-3</v>
      </c>
      <c r="W47" s="5">
        <v>9.0000000000000011E-3</v>
      </c>
      <c r="X47" s="8">
        <f>103681/(162150+82800)*162150</f>
        <v>68633.901408450707</v>
      </c>
      <c r="Y47" s="57">
        <f>28056/(162150+82800)*162150</f>
        <v>18572.281690140848</v>
      </c>
      <c r="Z47" s="58">
        <f>IF(Tabla_master_rend[[#This Row],[L_suero para con]]=0,0,+Tabla_master_rend[[#This Row],[L_suero para con]]/Tabla_master_rend[[#This Row],[L_suero_con]])</f>
        <v>3.6955018534359847</v>
      </c>
      <c r="AA47" s="8">
        <f>+Tabla_master_rend[[#This Row],[L_suero Total]]-Tabla_master_rend[[#This Row],[L_suero para con]]</f>
        <v>93516.098591549293</v>
      </c>
      <c r="AD47" s="8"/>
      <c r="AE47" s="8"/>
      <c r="AF47" s="8"/>
      <c r="AG47" s="5"/>
      <c r="AI47" s="7">
        <f>+Tabla_master_rend[[#This Row],[Kg_Finos]]+Tabla_master_rend[[#This Row],[Kg_Llenadora]]+Tabla_master_rend[[#This Row],[Kg_Desmoldeo]]+Tabla_master_rend[[#This Row],[L_Agua]]+Tabla_master_rend[[#This Row],[Kg_SalidaSecadero]]</f>
        <v>21378.943830068238</v>
      </c>
      <c r="AJ47" s="59">
        <f>+Tabla_master_rend[[#This Row],[Litros_Leche_Total]]/Tabla_master_rend[[#This Row],[Kg_Queso_Blan]]</f>
        <v>8.3085021136627901</v>
      </c>
      <c r="AK47" s="59">
        <f>+Tabla_master_rend[[#This Row],[Litros_Leche_Total]]/(Tabla_master_rend[[#This Row],[Kg_Queso_Blan]]-Tabla_master_rend[[#This Row],[Merma_TOT]])</f>
        <v>8.5051624138540287</v>
      </c>
      <c r="AL47" s="59">
        <f>VLOOKUP(G47,REND_TARGET[#All],8,FALSE)</f>
        <v>8.4943170000000006</v>
      </c>
      <c r="AM47" s="7">
        <f>(I47*1.03*Tabla_master_rend[[#This Row],[%MG_Leche]])+(I47*1.03*Tabla_master_rend[[#This Row],[%MP_Leche]])</f>
        <v>12813.999795</v>
      </c>
      <c r="AN47" s="38">
        <v>0.28760000000000002</v>
      </c>
      <c r="AO47" s="38">
        <v>0.23190000000000002</v>
      </c>
      <c r="AP47" s="60">
        <v>0.57150000000000001</v>
      </c>
      <c r="AQ47" s="38">
        <f>+Tabla_master_rend[[#This Row],[Kg_Queso_Blan]]*Tabla_master_rend[[#This Row],[ES_QUESO]]/(Tabla_master_rend[[#This Row],[Kg_Solidos_leche]])</f>
        <v>0.95349356909241301</v>
      </c>
      <c r="AR47" s="7">
        <f t="shared" si="20"/>
        <v>636.80000000000007</v>
      </c>
      <c r="AS47" s="61">
        <f>+(Tabla_master_rend[[#This Row],[Kg_Queso_Blan]]*Tabla_master_rend[[#This Row],[%MG_QUESO]]+(Tabla_master_rend[[#This Row],[Kg_MG_Nata]]))/(Tabla_master_rend[[#This Row],[Litros_Leche_Total]]*1.03*Tabla_master_rend[[#This Row],[%MG_Leche]])</f>
        <v>1.0048375254957032</v>
      </c>
      <c r="AT47" s="62">
        <f>+Tabla_master_rend[[#This Row],[Kg_Queso_Blan]]*Tabla_master_rend[[#This Row],[%PT_QUESO]]/(Tabla_master_rend[[#This Row],[Litros_Leche_Total]]*1.03*Tabla_master_rend[[#This Row],[%MP_Leche]])</f>
        <v>0.81794199298110171</v>
      </c>
      <c r="AU47" s="63">
        <f t="shared" si="21"/>
        <v>4776.0000000000009</v>
      </c>
      <c r="AV47" s="7">
        <v>37.643830068236845</v>
      </c>
      <c r="AW47" s="7">
        <v>114.5</v>
      </c>
      <c r="AX47" s="7">
        <v>29.8</v>
      </c>
      <c r="AY47" s="8">
        <f>SUM(Tabla_master_rend[[#This Row],[Kg_Finos]:[Kg_Desmoldeo]])</f>
        <v>181.94383006823685</v>
      </c>
      <c r="AZ47" s="60">
        <f>+(Tabla_master_rend[[#This Row],[Kg_Finos]]+Tabla_master_rend[[#This Row],[Kg_Llenadora]]+Tabla_master_rend[[#This Row],[Kg_Desmoldeo]])/(Tabla_master_rend[[#This Row],[Kg_Queso_Blan]])</f>
        <v>8.5104218203868182E-3</v>
      </c>
      <c r="BA47" s="7">
        <v>198</v>
      </c>
      <c r="BB47" s="60">
        <f>+Tabla_master_rend[[#This Row],[L_Agua]]/(Tabla_master_rend[[#This Row],[L_Agua]]+Tabla_master_rend[[#This Row],[Kg_SalidaSecadero]])</f>
        <v>9.3409444732745206E-3</v>
      </c>
      <c r="BC47" s="8">
        <v>3044</v>
      </c>
      <c r="BD47" s="8">
        <v>3047</v>
      </c>
      <c r="BE47" s="8">
        <v>21035</v>
      </c>
      <c r="BF47" s="8">
        <v>0</v>
      </c>
      <c r="BG47" s="8">
        <f>9*5.8</f>
        <v>52.199999999999996</v>
      </c>
      <c r="BH47" s="7">
        <f>1*5.8</f>
        <v>5.8</v>
      </c>
      <c r="BI47" s="7">
        <f>3*5.8</f>
        <v>17.399999999999999</v>
      </c>
      <c r="BJ47" s="8">
        <v>86</v>
      </c>
      <c r="BK47" s="8">
        <v>20999</v>
      </c>
      <c r="BL47" s="8">
        <v>1.02</v>
      </c>
      <c r="BM47" s="8">
        <v>105</v>
      </c>
      <c r="BN47" s="7">
        <v>8.3699999999999992</v>
      </c>
      <c r="BO47" s="68">
        <f>+SUM(Tabla_master_rend[[#This Row],[B_altas]:[B_lab]])/Tabla_master_rend[[#This Row],[Kg_SalidaSecadero]]</f>
        <v>7.6860802895375958E-3</v>
      </c>
      <c r="BP47" s="68">
        <f>+(Tabla_master_rend[[#This Row],[Kg_mer_env_real]]+Tabla_master_rend[[#This Row],[kg_mer_lab_real]])/Tabla_master_rend[[#This Row],[Kg_SalidaSecadero]]</f>
        <v>5.3988285156436021E-3</v>
      </c>
      <c r="BQ47" s="64">
        <f>+Tabla_master_rend[[#This Row],[Merma_TOT]]/Tabla_master_rend[[#This Row],[Kg_Queso_Blan]]</f>
        <v>2.3122462643499965E-2</v>
      </c>
      <c r="BR47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494.33383006823686</v>
      </c>
      <c r="BS47" s="8"/>
      <c r="BT47" s="63">
        <f>IF(+Tabla_master_rend[[#This Row],[Kg_Env_Total]]=0,0,Tabla_master_rend[[#This Row],[Kg_Env_Total]]-Tabla_master_rend[[#This Row],[Kg_SalidaSecadero]])</f>
        <v>0</v>
      </c>
      <c r="BU47" s="60">
        <f>+Tabla_master_rend[[#This Row],[Diferencia_Env_vs_Sec_kg]]/Tabla_master_rend[[#This Row],[Kg_SalidaSecadero]]</f>
        <v>0</v>
      </c>
      <c r="BV47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47" s="65">
        <f>+(Tabla_master_rend[[#This Row],[Coste_Leche_€]]-Tabla_master_rend[[#This Row],[Kg_MG_Nata]]*$CO$3)/Tabla_master_rend[[#This Row],[Kg_Queso_Blan]]</f>
        <v>-0.22339737818492397</v>
      </c>
      <c r="BX47" s="8">
        <f>SUM(Tabla_master_rend[[#This Row],[Kg_Finos]:[Kg_Desmoldeo]])+Tabla_master_rend[[#This Row],[L_Agua]]+SUM(Tabla_master_rend[[#This Row],[B_altas]:[B_lab]])</f>
        <v>541.3438300682368</v>
      </c>
      <c r="BY47" s="8">
        <f>+BX47-Tabla_master_rend[[#This Row],[Merma_TOT]]</f>
        <v>47.009999999999934</v>
      </c>
      <c r="BZ47" s="62">
        <f t="shared" si="22"/>
        <v>8.6839449142838268E-2</v>
      </c>
      <c r="CA47" s="8">
        <f>+Tabla_master_rend[[#This Row],[Kg_Queso_Blan]]*$CA$1</f>
        <v>138.96313489544355</v>
      </c>
      <c r="CB47" s="8">
        <f>+Tabla_master_rend[[#This Row],[Kg_Queso_Blan]]*($CB$1-$CA$1)</f>
        <v>74.826303405238846</v>
      </c>
      <c r="CC47" s="8">
        <f>+(Tabla_master_rend[[#This Row],[Kg_Queso_Blan]]-CA47-CB47)*$CC$1</f>
        <v>222.23412111355935</v>
      </c>
      <c r="CD47" s="8">
        <f t="shared" si="23"/>
        <v>436.02355941424173</v>
      </c>
      <c r="CE47" s="80">
        <f>+CD47/Tabla_master_rend[[#This Row],[Kg_Queso_Blan]]</f>
        <v>2.0395E-2</v>
      </c>
      <c r="CF47" s="62">
        <f>+Tabla_master_rend[[#This Row],[Merma_TOT]]/Tabla_master_rend[[#This Row],[Kg_Queso_Blan]]</f>
        <v>2.3122462643499965E-2</v>
      </c>
      <c r="CG47" s="8">
        <f>CD47-Tabla_master_rend[[#This Row],[Merma_TOT]]</f>
        <v>-58.310270653995133</v>
      </c>
      <c r="CH47" s="81" cm="1">
        <f t="array" ref="CH47">-BR47 * IFERROR(INDEX('Precio Leche_EBITDA_Ventas'!$BD$87:$BD$110,MATCH(1,('Precio Leche_EBITDA_Ventas'!$AZ$87:$AZ$110=YEAR(A47))*('Precio Leche_EBITDA_Ventas'!$BB$87:$BB$110=C47),0)),1.3)</f>
        <v>-1523.1176696136229</v>
      </c>
      <c r="CI47" s="81">
        <f t="shared" si="24"/>
        <v>-75.803351850193678</v>
      </c>
    </row>
    <row r="48" spans="1:87" x14ac:dyDescent="0.35">
      <c r="A48" s="9">
        <v>45757</v>
      </c>
      <c r="B48" s="7">
        <v>4</v>
      </c>
      <c r="C48" s="7" t="str">
        <f>+UPPER(TEXT(Tabla_master_rend[[#This Row],[Fecha]],"MMM"))</f>
        <v>ABR</v>
      </c>
      <c r="D48" s="7" t="str">
        <f>+UPPER(TEXT(Tabla_master_rend[[#This Row],[Fecha]],"ddd"))</f>
        <v>JU</v>
      </c>
      <c r="E48" s="3">
        <v>100425026</v>
      </c>
      <c r="F48" s="3" t="s">
        <v>244</v>
      </c>
      <c r="G48" s="84" t="s">
        <v>190</v>
      </c>
      <c r="H48">
        <v>20</v>
      </c>
      <c r="I48" s="8">
        <f>+Tabla_master_rend[[#This Row],[L_Leche_ent]]+Tabla_master_rend[[#This Row],[L_desn_ext]]+Tabla_master_rend[[#This Row],[L_cabra]]+Tabla_master_rend[[#This Row],[L_oveja]]</f>
        <v>297350</v>
      </c>
      <c r="J48" s="8">
        <v>297350</v>
      </c>
      <c r="K48" s="5">
        <v>3.73E-2</v>
      </c>
      <c r="L48" s="5">
        <v>3.3099999999999997E-2</v>
      </c>
      <c r="M48" s="5">
        <f t="shared" si="19"/>
        <v>0.107183</v>
      </c>
      <c r="N48" s="35" t="s">
        <v>188</v>
      </c>
      <c r="O48" s="8">
        <v>0</v>
      </c>
      <c r="P48" s="8">
        <v>0</v>
      </c>
      <c r="Q48" s="8">
        <v>0</v>
      </c>
      <c r="R48" s="8">
        <v>2617</v>
      </c>
      <c r="T48" s="8">
        <v>273800</v>
      </c>
      <c r="U48" s="38">
        <f>+Tabla_master_rend[[#This Row],[L_suero Total]]/Tabla_master_rend[[#This Row],[Litros_Leche_Total]]</f>
        <v>0.92080040356482262</v>
      </c>
      <c r="V48" s="5">
        <v>2.0999999999999999E-3</v>
      </c>
      <c r="W48" s="5">
        <v>9.4999999999999998E-3</v>
      </c>
      <c r="X48" s="8">
        <v>144205</v>
      </c>
      <c r="Y48" s="57">
        <v>41831</v>
      </c>
      <c r="Z48" s="58">
        <f>IF(Tabla_master_rend[[#This Row],[L_suero para con]]=0,0,+Tabla_master_rend[[#This Row],[L_suero para con]]/Tabla_master_rend[[#This Row],[L_suero_con]])</f>
        <v>3.4473237551098466</v>
      </c>
      <c r="AA48" s="8">
        <f>+Tabla_master_rend[[#This Row],[L_suero Total]]-Tabla_master_rend[[#This Row],[L_suero para con]]</f>
        <v>129595</v>
      </c>
      <c r="AD48" s="8"/>
      <c r="AE48" s="8"/>
      <c r="AF48" s="8"/>
      <c r="AG48" s="5"/>
      <c r="AI48" s="7">
        <f>+Tabla_master_rend[[#This Row],[Kg_Finos]]+Tabla_master_rend[[#This Row],[Kg_Llenadora]]+Tabla_master_rend[[#This Row],[Kg_Desmoldeo]]+Tabla_master_rend[[#This Row],[L_Agua]]+Tabla_master_rend[[#This Row],[Kg_SalidaSecadero]]</f>
        <v>35874.480000000003</v>
      </c>
      <c r="AJ48" s="59">
        <f>+Tabla_master_rend[[#This Row],[Litros_Leche_Total]]/Tabla_master_rend[[#This Row],[Kg_Queso_Blan]]</f>
        <v>8.2886218838572709</v>
      </c>
      <c r="AK48" s="59">
        <f>+Tabla_master_rend[[#This Row],[Litros_Leche_Total]]/(Tabla_master_rend[[#This Row],[Kg_Queso_Blan]]-Tabla_master_rend[[#This Row],[Merma_TOT]])</f>
        <v>8.5121281007290914</v>
      </c>
      <c r="AL48" s="59">
        <f>VLOOKUP(G48,REND_TARGET[#All],8,FALSE)</f>
        <v>8.4943170000000006</v>
      </c>
      <c r="AM48" s="7">
        <f>(I48*1.03*Tabla_master_rend[[#This Row],[%MG_Leche]])+(I48*1.03*Tabla_master_rend[[#This Row],[%MP_Leche]])</f>
        <v>21561.443199999998</v>
      </c>
      <c r="AN48" s="38">
        <v>0.2908</v>
      </c>
      <c r="AO48" s="38">
        <v>0.23050000000000001</v>
      </c>
      <c r="AP48" s="60">
        <v>0.57220000000000004</v>
      </c>
      <c r="AQ48" s="38">
        <f>+Tabla_master_rend[[#This Row],[Kg_Queso_Blan]]*Tabla_master_rend[[#This Row],[ES_QUESO]]/(Tabla_master_rend[[#This Row],[Kg_Solidos_leche]])</f>
        <v>0.95204097729413606</v>
      </c>
      <c r="AR48" s="7">
        <f t="shared" si="20"/>
        <v>1046.8</v>
      </c>
      <c r="AS48" s="61">
        <f>+(Tabla_master_rend[[#This Row],[Kg_Queso_Blan]]*Tabla_master_rend[[#This Row],[%MG_QUESO]]+(Tabla_master_rend[[#This Row],[Kg_MG_Nata]]))/(Tabla_master_rend[[#This Row],[Litros_Leche_Total]]*1.03*Tabla_master_rend[[#This Row],[%MG_Leche]])</f>
        <v>1.0048327790001019</v>
      </c>
      <c r="AT48" s="62">
        <f>+Tabla_master_rend[[#This Row],[Kg_Queso_Blan]]*Tabla_master_rend[[#This Row],[%PT_QUESO]]/(Tabla_master_rend[[#This Row],[Litros_Leche_Total]]*1.03*Tabla_master_rend[[#This Row],[%MP_Leche]])</f>
        <v>0.81568670382017383</v>
      </c>
      <c r="AU48" s="63">
        <f t="shared" si="21"/>
        <v>7851</v>
      </c>
      <c r="AV48" s="7">
        <v>78.38</v>
      </c>
      <c r="AW48" s="7">
        <v>142.80000000000001</v>
      </c>
      <c r="AX48" s="7">
        <v>16.3</v>
      </c>
      <c r="AY48" s="8">
        <f>SUM(Tabla_master_rend[[#This Row],[Kg_Finos]:[Kg_Desmoldeo]])</f>
        <v>237.48000000000002</v>
      </c>
      <c r="AZ48" s="60">
        <f>+(Tabla_master_rend[[#This Row],[Kg_Finos]]+Tabla_master_rend[[#This Row],[Kg_Llenadora]]+Tabla_master_rend[[#This Row],[Kg_Desmoldeo]])/(Tabla_master_rend[[#This Row],[Kg_Queso_Blan]])</f>
        <v>6.6197475196853031E-3</v>
      </c>
      <c r="BA48" s="7">
        <v>510</v>
      </c>
      <c r="BB48" s="60">
        <f>+Tabla_master_rend[[#This Row],[L_Agua]]/(Tabla_master_rend[[#This Row],[L_Agua]]+Tabla_master_rend[[#This Row],[Kg_SalidaSecadero]])</f>
        <v>1.4310968936779191E-2</v>
      </c>
      <c r="BC48" s="8">
        <v>5097</v>
      </c>
      <c r="BD48" s="8">
        <v>5053</v>
      </c>
      <c r="BE48" s="8">
        <v>35364</v>
      </c>
      <c r="BF48" s="8">
        <f>28*6.4</f>
        <v>179.20000000000002</v>
      </c>
      <c r="BG48" s="8">
        <f>11*6.4</f>
        <v>70.400000000000006</v>
      </c>
      <c r="BH48" s="7">
        <f>4*6.4</f>
        <v>25.6</v>
      </c>
      <c r="BI48" s="7">
        <f>6*6.4</f>
        <v>38.400000000000006</v>
      </c>
      <c r="BJ48" s="8">
        <v>138</v>
      </c>
      <c r="BK48" s="8">
        <v>35127</v>
      </c>
      <c r="BL48" s="8">
        <v>2.1</v>
      </c>
      <c r="BM48" s="8">
        <v>163.43</v>
      </c>
      <c r="BN48" s="7">
        <v>28.96</v>
      </c>
      <c r="BO48" s="68">
        <f>+SUM(Tabla_master_rend[[#This Row],[B_altas]:[B_lab]])/Tabla_master_rend[[#This Row],[Kg_SalidaSecadero]]</f>
        <v>1.285620747573092E-2</v>
      </c>
      <c r="BP48" s="68">
        <f>+(Tabla_master_rend[[#This Row],[Kg_mer_env_real]]+Tabla_master_rend[[#This Row],[kg_mer_lab_real]])/Tabla_master_rend[[#This Row],[Kg_SalidaSecadero]]</f>
        <v>5.4769835169527718E-3</v>
      </c>
      <c r="BQ48" s="64">
        <f>+Tabla_master_rend[[#This Row],[Merma_TOT]]/Tabla_master_rend[[#This Row],[Kg_Queso_Blan]]</f>
        <v>2.6257384079155986E-2</v>
      </c>
      <c r="BR48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941.96999999999991</v>
      </c>
      <c r="BS48" s="8"/>
      <c r="BT48" s="63">
        <f>IF(+Tabla_master_rend[[#This Row],[Kg_Env_Total]]=0,0,Tabla_master_rend[[#This Row],[Kg_Env_Total]]-Tabla_master_rend[[#This Row],[Kg_SalidaSecadero]])</f>
        <v>0</v>
      </c>
      <c r="BU48" s="60">
        <f>+Tabla_master_rend[[#This Row],[Diferencia_Env_vs_Sec_kg]]/Tabla_master_rend[[#This Row],[Kg_SalidaSecadero]]</f>
        <v>0</v>
      </c>
      <c r="BV48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48" s="65">
        <f>+(Tabla_master_rend[[#This Row],[Coste_Leche_€]]-Tabla_master_rend[[#This Row],[Kg_MG_Nata]]*$CO$3)/Tabla_master_rend[[#This Row],[Kg_Queso_Blan]]</f>
        <v>-0.21884637770359316</v>
      </c>
      <c r="BX48" s="8">
        <f>SUM(Tabla_master_rend[[#This Row],[Kg_Finos]:[Kg_Desmoldeo]])+Tabla_master_rend[[#This Row],[L_Agua]]+SUM(Tabla_master_rend[[#This Row],[B_altas]:[B_lab]])</f>
        <v>1199.08</v>
      </c>
      <c r="BY48" s="8">
        <f>+BX48-Tabla_master_rend[[#This Row],[Merma_TOT]]</f>
        <v>257.11</v>
      </c>
      <c r="BZ48" s="62">
        <f t="shared" si="22"/>
        <v>0.21442272408846785</v>
      </c>
      <c r="CA48" s="8">
        <f>+Tabla_master_rend[[#This Row],[Kg_Queso_Blan]]*$CA$1</f>
        <v>233.18412000000001</v>
      </c>
      <c r="CB48" s="8">
        <f>+Tabla_master_rend[[#This Row],[Kg_Queso_Blan]]*($CB$1-$CA$1)</f>
        <v>125.56068000000003</v>
      </c>
      <c r="CC48" s="8">
        <f>+(Tabla_master_rend[[#This Row],[Kg_Queso_Blan]]-CA48-CB48)*$CC$1</f>
        <v>372.91521960000006</v>
      </c>
      <c r="CD48" s="8">
        <f t="shared" si="23"/>
        <v>731.66001960000017</v>
      </c>
      <c r="CE48" s="80">
        <f>+CD48/Tabla_master_rend[[#This Row],[Kg_Queso_Blan]]</f>
        <v>2.0395000000000003E-2</v>
      </c>
      <c r="CF48" s="62">
        <f>+Tabla_master_rend[[#This Row],[Merma_TOT]]/Tabla_master_rend[[#This Row],[Kg_Queso_Blan]]</f>
        <v>2.6257384079155986E-2</v>
      </c>
      <c r="CG48" s="8">
        <f>CD48-Tabla_master_rend[[#This Row],[Merma_TOT]]</f>
        <v>-210.30998039999974</v>
      </c>
      <c r="CH48" s="81" cm="1">
        <f t="array" ref="CH48">-BR48 * IFERROR(INDEX('Precio Leche_EBITDA_Ventas'!$BD$87:$BD$110,MATCH(1,('Precio Leche_EBITDA_Ventas'!$AZ$87:$AZ$110=YEAR(A48))*('Precio Leche_EBITDA_Ventas'!$BB$87:$BB$110=C48),0)),1.3)</f>
        <v>-2902.3527502616944</v>
      </c>
      <c r="CI48" s="81">
        <f t="shared" si="24"/>
        <v>-273.4029745199997</v>
      </c>
    </row>
    <row r="49" spans="1:87" x14ac:dyDescent="0.35">
      <c r="A49" s="9">
        <v>45761</v>
      </c>
      <c r="B49" s="7">
        <v>4</v>
      </c>
      <c r="C49" s="7" t="str">
        <f>+UPPER(TEXT(Tabla_master_rend[[#This Row],[Fecha]],"MMM"))</f>
        <v>ABR</v>
      </c>
      <c r="D49" s="7" t="str">
        <f>+UPPER(TEXT(Tabla_master_rend[[#This Row],[Fecha]],"ddd"))</f>
        <v>LU</v>
      </c>
      <c r="E49" s="3">
        <v>140425316</v>
      </c>
      <c r="F49" s="3" t="s">
        <v>244</v>
      </c>
      <c r="G49" s="84" t="s">
        <v>299</v>
      </c>
      <c r="H49">
        <v>20</v>
      </c>
      <c r="I49" s="8">
        <f>+Tabla_master_rend[[#This Row],[L_Leche_ent]]+Tabla_master_rend[[#This Row],[L_desn_ext]]+Tabla_master_rend[[#This Row],[L_cabra]]+Tabla_master_rend[[#This Row],[L_oveja]]</f>
        <v>330629</v>
      </c>
      <c r="J49" s="8">
        <v>330629</v>
      </c>
      <c r="K49" s="5">
        <v>3.8100000000000002E-2</v>
      </c>
      <c r="L49" s="5">
        <v>3.3500000000000002E-2</v>
      </c>
      <c r="M49" s="5">
        <f t="shared" si="19"/>
        <v>0.10822300000000001</v>
      </c>
      <c r="N49" s="35" t="s">
        <v>43</v>
      </c>
      <c r="O49" s="8">
        <v>0</v>
      </c>
      <c r="P49" s="8">
        <v>0</v>
      </c>
      <c r="Q49" s="8">
        <v>0</v>
      </c>
      <c r="R49" s="8">
        <v>11290</v>
      </c>
      <c r="T49" s="8">
        <v>274980</v>
      </c>
      <c r="U49" s="38">
        <f>+Tabla_master_rend[[#This Row],[L_suero Total]]/Tabla_master_rend[[#This Row],[Litros_Leche_Total]]</f>
        <v>0.83168748052953612</v>
      </c>
      <c r="V49" s="5">
        <v>1.1000000000000001E-3</v>
      </c>
      <c r="W49" s="5">
        <v>8.3999999999999995E-3</v>
      </c>
      <c r="X49" s="8">
        <v>234390</v>
      </c>
      <c r="Y49" s="57">
        <v>85419</v>
      </c>
      <c r="Z49" s="58">
        <f>IF(Tabla_master_rend[[#This Row],[L_suero para con]]=0,0,+Tabla_master_rend[[#This Row],[L_suero para con]]/Tabla_master_rend[[#This Row],[L_suero_con]])</f>
        <v>2.7440030906472801</v>
      </c>
      <c r="AA49" s="8">
        <f>+Tabla_master_rend[[#This Row],[L_suero Total]]-Tabla_master_rend[[#This Row],[L_suero para con]]</f>
        <v>40590</v>
      </c>
      <c r="AD49" s="8"/>
      <c r="AE49" s="8"/>
      <c r="AF49" s="8"/>
      <c r="AG49" s="5"/>
      <c r="AI49" s="7">
        <f>+Tabla_master_rend[[#This Row],[Kg_Finos]]+Tabla_master_rend[[#This Row],[Kg_Llenadora]]+Tabla_master_rend[[#This Row],[Kg_Desmoldeo]]+Tabla_master_rend[[#This Row],[L_Agua]]+Tabla_master_rend[[#This Row],[Kg_SalidaSecadero]]</f>
        <v>34197.89</v>
      </c>
      <c r="AJ49" s="59">
        <f>+Tabla_master_rend[[#This Row],[Litros_Leche_Total]]/Tabla_master_rend[[#This Row],[Kg_Queso_Blan]]</f>
        <v>9.6681111027610189</v>
      </c>
      <c r="AK49" s="59">
        <f>+Tabla_master_rend[[#This Row],[Litros_Leche_Total]]/(Tabla_master_rend[[#This Row],[Kg_Queso_Blan]]-Tabla_master_rend[[#This Row],[Merma_TOT]])</f>
        <v>10.46433386715956</v>
      </c>
      <c r="AL49" s="59">
        <f>VLOOKUP(G49,REND_TARGET[#All],8,FALSE)</f>
        <v>9.8078500000000002</v>
      </c>
      <c r="AM49" s="7">
        <f>(I49*1.03*Tabla_master_rend[[#This Row],[%MG_Leche]])+(I49*1.03*Tabla_master_rend[[#This Row],[%MP_Leche]])</f>
        <v>24383.227492000002</v>
      </c>
      <c r="AN49" s="38">
        <v>0.23170000000000002</v>
      </c>
      <c r="AO49" s="38">
        <v>0.26150000000000001</v>
      </c>
      <c r="AP49" s="60">
        <v>0.54200000000000004</v>
      </c>
      <c r="AQ49" s="38">
        <f>+Tabla_master_rend[[#This Row],[Kg_Queso_Blan]]*Tabla_master_rend[[#This Row],[ES_QUESO]]/(Tabla_master_rend[[#This Row],[Kg_Solidos_leche]])</f>
        <v>0.76016419016232839</v>
      </c>
      <c r="AR49" s="7">
        <f t="shared" si="20"/>
        <v>4516</v>
      </c>
      <c r="AS49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0.95874929187664104</v>
      </c>
      <c r="AT49" s="62">
        <f>+Tabla_master_rend[[#This Row],[Kg_Queso_Blan]]*Tabla_master_rend[[#This Row],[%PT_QUESO]]/(Tabla_master_rend[[#This Row],[Litros_Leche_Total]]*1.03*Tabla_master_rend[[#This Row],[%MP_Leche]])</f>
        <v>0.78387719326349825</v>
      </c>
      <c r="AU49" s="63">
        <f t="shared" si="21"/>
        <v>33870</v>
      </c>
      <c r="AV49" s="7">
        <v>65.39</v>
      </c>
      <c r="AW49" s="7">
        <v>95.7</v>
      </c>
      <c r="AX49" s="7">
        <v>99.8</v>
      </c>
      <c r="AY49" s="8">
        <f>SUM(Tabla_master_rend[[#This Row],[Kg_Finos]:[Kg_Desmoldeo]])</f>
        <v>260.89</v>
      </c>
      <c r="AZ49" s="60">
        <f>+(Tabla_master_rend[[#This Row],[Kg_Finos]]+Tabla_master_rend[[#This Row],[Kg_Llenadora]]+Tabla_master_rend[[#This Row],[Kg_Desmoldeo]])/(Tabla_master_rend[[#This Row],[Kg_Queso_Blan]])</f>
        <v>7.6288332408812358E-3</v>
      </c>
      <c r="BA49" s="7">
        <v>475</v>
      </c>
      <c r="BB49" s="60">
        <f>+Tabla_master_rend[[#This Row],[L_Agua]]/(Tabla_master_rend[[#This Row],[L_Agua]]+Tabla_master_rend[[#This Row],[Kg_SalidaSecadero]])</f>
        <v>1.3996522969030851E-2</v>
      </c>
      <c r="BC49" s="8">
        <v>4944</v>
      </c>
      <c r="BD49" s="8">
        <v>4560</v>
      </c>
      <c r="BE49" s="8">
        <v>31603</v>
      </c>
      <c r="BF49" s="8">
        <f>18*6.1</f>
        <v>109.8</v>
      </c>
      <c r="BG49" s="8">
        <f>154*6.1</f>
        <v>939.4</v>
      </c>
      <c r="BH49" s="7">
        <v>0</v>
      </c>
      <c r="BI49" s="7">
        <f>210*6.1</f>
        <v>1281</v>
      </c>
      <c r="BJ49" s="8">
        <v>122</v>
      </c>
      <c r="BK49" s="8">
        <v>33462</v>
      </c>
      <c r="BL49" s="8">
        <v>0</v>
      </c>
      <c r="BM49" s="8">
        <v>1842.16</v>
      </c>
      <c r="BN49" s="7">
        <v>24.04</v>
      </c>
      <c r="BO49" s="68">
        <f>+SUM(Tabla_master_rend[[#This Row],[B_altas]:[B_lab]])/Tabla_master_rend[[#This Row],[Kg_SalidaSecadero]]</f>
        <v>7.3283127129280964E-2</v>
      </c>
      <c r="BP49" s="68">
        <f>+(Tabla_master_rend[[#This Row],[Kg_mer_env_real]]+Tabla_master_rend[[#This Row],[kg_mer_lab_real]])/Tabla_master_rend[[#This Row],[Kg_SalidaSecadero]]</f>
        <v>5.5770725001494235E-2</v>
      </c>
      <c r="BQ49" s="64">
        <f>+Tabla_master_rend[[#This Row],[Merma_TOT]]/Tabla_master_rend[[#This Row],[Kg_Queso_Blan]]</f>
        <v>7.6089197315974744E-2</v>
      </c>
      <c r="BR49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2602.0899999999997</v>
      </c>
      <c r="BS49" s="8"/>
      <c r="BT49" s="63">
        <f>IF(+Tabla_master_rend[[#This Row],[Kg_Env_Total]]=0,0,Tabla_master_rend[[#This Row],[Kg_Env_Total]]-Tabla_master_rend[[#This Row],[Kg_SalidaSecadero]])</f>
        <v>0</v>
      </c>
      <c r="BU49" s="60">
        <f>+Tabla_master_rend[[#This Row],[Diferencia_Env_vs_Sec_kg]]/Tabla_master_rend[[#This Row],[Kg_SalidaSecadero]]</f>
        <v>0</v>
      </c>
      <c r="BV49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49" s="65">
        <f>+(Tabla_master_rend[[#This Row],[Coste_Leche_€]]-Tabla_master_rend[[#This Row],[Kg_MG_Nata]]*$CO$3)/Tabla_master_rend[[#This Row],[Kg_Queso_Blan]]</f>
        <v>-0.99041198155792654</v>
      </c>
      <c r="BX49" s="8">
        <f>SUM(Tabla_master_rend[[#This Row],[Kg_Finos]:[Kg_Desmoldeo]])+Tabla_master_rend[[#This Row],[L_Agua]]+SUM(Tabla_master_rend[[#This Row],[B_altas]:[B_lab]])</f>
        <v>3188.0899999999997</v>
      </c>
      <c r="BY49" s="8">
        <f>+BX49-Tabla_master_rend[[#This Row],[Merma_TOT]]</f>
        <v>586</v>
      </c>
      <c r="BZ49" s="62">
        <f t="shared" si="22"/>
        <v>0.18380911454820914</v>
      </c>
      <c r="CA49" s="8">
        <f>+Tabla_master_rend[[#This Row],[Kg_Queso_Blan]]*$CA$1</f>
        <v>222.28628499999999</v>
      </c>
      <c r="CB49" s="8">
        <f>+Tabla_master_rend[[#This Row],[Kg_Queso_Blan]]*($CB$1-$CA$1)</f>
        <v>119.69261500000002</v>
      </c>
      <c r="CC49" s="8">
        <f>+(Tabla_master_rend[[#This Row],[Kg_Queso_Blan]]-CA49-CB49)*$CC$1</f>
        <v>355.48706655000001</v>
      </c>
      <c r="CD49" s="8">
        <f t="shared" si="23"/>
        <v>697.46596655000008</v>
      </c>
      <c r="CE49" s="80">
        <f>+CD49/Tabla_master_rend[[#This Row],[Kg_Queso_Blan]]</f>
        <v>2.0395000000000003E-2</v>
      </c>
      <c r="CF49" s="62">
        <f>+Tabla_master_rend[[#This Row],[Merma_TOT]]/Tabla_master_rend[[#This Row],[Kg_Queso_Blan]]</f>
        <v>7.6089197315974744E-2</v>
      </c>
      <c r="CG49" s="8">
        <f>CD49-Tabla_master_rend[[#This Row],[Merma_TOT]]</f>
        <v>-1904.6240334499996</v>
      </c>
      <c r="CH49" s="81" cm="1">
        <f t="array" ref="CH49">-BR49 * IFERROR(INDEX('Precio Leche_EBITDA_Ventas'!$BD$87:$BD$110,MATCH(1,('Precio Leche_EBITDA_Ventas'!$AZ$87:$AZ$110=YEAR(A49))*('Precio Leche_EBITDA_Ventas'!$BB$87:$BB$110=C49),0)),1.3)</f>
        <v>-8017.4348099498411</v>
      </c>
      <c r="CI49" s="81">
        <f t="shared" si="24"/>
        <v>-2476.0112434849998</v>
      </c>
    </row>
    <row r="50" spans="1:87" x14ac:dyDescent="0.35">
      <c r="A50" s="9">
        <v>45762</v>
      </c>
      <c r="B50" s="7">
        <v>4</v>
      </c>
      <c r="C50" s="7" t="str">
        <f>+UPPER(TEXT(Tabla_master_rend[[#This Row],[Fecha]],"MMM"))</f>
        <v>ABR</v>
      </c>
      <c r="D50" s="7" t="str">
        <f>+UPPER(TEXT(Tabla_master_rend[[#This Row],[Fecha]],"ddd"))</f>
        <v>MA</v>
      </c>
      <c r="E50" s="3">
        <v>150425316</v>
      </c>
      <c r="F50" s="3" t="s">
        <v>244</v>
      </c>
      <c r="G50" s="84" t="s">
        <v>299</v>
      </c>
      <c r="H50">
        <v>20</v>
      </c>
      <c r="I50" s="8">
        <f>+Tabla_master_rend[[#This Row],[L_Leche_ent]]+Tabla_master_rend[[#This Row],[L_desn_ext]]+Tabla_master_rend[[#This Row],[L_cabra]]+Tabla_master_rend[[#This Row],[L_oveja]]</f>
        <v>328017</v>
      </c>
      <c r="J50" s="8">
        <v>328017</v>
      </c>
      <c r="K50" s="5">
        <v>3.7400000000000003E-2</v>
      </c>
      <c r="L50" s="5">
        <v>3.3500000000000002E-2</v>
      </c>
      <c r="M50" s="5">
        <f t="shared" si="19"/>
        <v>0.107572</v>
      </c>
      <c r="N50" s="35" t="s">
        <v>43</v>
      </c>
      <c r="O50" s="8">
        <v>0</v>
      </c>
      <c r="P50" s="8">
        <v>0</v>
      </c>
      <c r="Q50" s="8">
        <v>0</v>
      </c>
      <c r="R50" s="8">
        <v>10822</v>
      </c>
      <c r="T50" s="8">
        <v>279510</v>
      </c>
      <c r="U50" s="38">
        <f>+Tabla_master_rend[[#This Row],[L_suero Total]]/Tabla_master_rend[[#This Row],[Litros_Leche_Total]]</f>
        <v>0.85212046936591701</v>
      </c>
      <c r="V50" s="5">
        <v>1E-3</v>
      </c>
      <c r="W50" s="5">
        <v>8.3999999999999995E-3</v>
      </c>
      <c r="X50" s="8">
        <v>291919</v>
      </c>
      <c r="Y50" s="57">
        <v>99028</v>
      </c>
      <c r="Z50" s="58">
        <f>IF(Tabla_master_rend[[#This Row],[L_suero para con]]=0,0,+Tabla_master_rend[[#This Row],[L_suero para con]]/Tabla_master_rend[[#This Row],[L_suero_con]])</f>
        <v>2.9478430342933311</v>
      </c>
      <c r="AA50" s="8">
        <f>+Tabla_master_rend[[#This Row],[L_suero Total]]-Tabla_master_rend[[#This Row],[L_suero para con]]</f>
        <v>-12409</v>
      </c>
      <c r="AD50" s="8"/>
      <c r="AE50" s="8"/>
      <c r="AF50" s="8"/>
      <c r="AG50" s="5"/>
      <c r="AI50" s="7">
        <f>+Tabla_master_rend[[#This Row],[Kg_Finos]]+Tabla_master_rend[[#This Row],[Kg_Llenadora]]+Tabla_master_rend[[#This Row],[Kg_Desmoldeo]]+Tabla_master_rend[[#This Row],[L_Agua]]+Tabla_master_rend[[#This Row],[Kg_SalidaSecadero]]</f>
        <v>33916.800000000003</v>
      </c>
      <c r="AJ50" s="59">
        <f>+Tabla_master_rend[[#This Row],[Litros_Leche_Total]]/Tabla_master_rend[[#This Row],[Kg_Queso_Blan]]</f>
        <v>9.6712248797056315</v>
      </c>
      <c r="AK50" s="59">
        <f>+Tabla_master_rend[[#This Row],[Litros_Leche_Total]]/(Tabla_master_rend[[#This Row],[Kg_Queso_Blan]]-Tabla_master_rend[[#This Row],[Merma_TOT]])</f>
        <v>10.373952103288845</v>
      </c>
      <c r="AL50" s="59">
        <f>VLOOKUP(G50,REND_TARGET[#All],8,FALSE)</f>
        <v>9.8078500000000002</v>
      </c>
      <c r="AM50" s="7">
        <f>(I50*1.03*Tabla_master_rend[[#This Row],[%MG_Leche]])+(I50*1.03*Tabla_master_rend[[#This Row],[%MP_Leche]])</f>
        <v>23954.097459000004</v>
      </c>
      <c r="AN50" s="38">
        <v>0.23010000000000003</v>
      </c>
      <c r="AO50" s="38">
        <v>0.25640000000000002</v>
      </c>
      <c r="AP50" s="60">
        <v>0.54049999999999998</v>
      </c>
      <c r="AQ50" s="38">
        <f>+Tabla_master_rend[[#This Row],[Kg_Queso_Blan]]*Tabla_master_rend[[#This Row],[ES_QUESO]]/(Tabla_master_rend[[#This Row],[Kg_Solidos_leche]])</f>
        <v>0.76529831405158255</v>
      </c>
      <c r="AR50" s="7">
        <f t="shared" si="20"/>
        <v>4328.8</v>
      </c>
      <c r="AS50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0.96020731780073743</v>
      </c>
      <c r="AT50" s="62">
        <f>+Tabla_master_rend[[#This Row],[Kg_Queso_Blan]]*Tabla_master_rend[[#This Row],[%PT_QUESO]]/(Tabla_master_rend[[#This Row],[Litros_Leche_Total]]*1.03*Tabla_master_rend[[#This Row],[%MP_Leche]])</f>
        <v>0.76834188242220991</v>
      </c>
      <c r="AU50" s="63">
        <f t="shared" si="21"/>
        <v>32466</v>
      </c>
      <c r="AV50" s="7">
        <v>80.7</v>
      </c>
      <c r="AW50" s="7">
        <v>62.7</v>
      </c>
      <c r="AX50" s="7">
        <v>288.39999999999998</v>
      </c>
      <c r="AY50" s="8">
        <f>SUM(Tabla_master_rend[[#This Row],[Kg_Finos]:[Kg_Desmoldeo]])</f>
        <v>431.79999999999995</v>
      </c>
      <c r="AZ50" s="60">
        <f>+(Tabla_master_rend[[#This Row],[Kg_Finos]]+Tabla_master_rend[[#This Row],[Kg_Llenadora]]+Tabla_master_rend[[#This Row],[Kg_Desmoldeo]])/(Tabla_master_rend[[#This Row],[Kg_Queso_Blan]])</f>
        <v>1.2731153882441738E-2</v>
      </c>
      <c r="BA50" s="7">
        <v>270</v>
      </c>
      <c r="BB50" s="60">
        <f>+Tabla_master_rend[[#This Row],[L_Agua]]/(Tabla_master_rend[[#This Row],[L_Agua]]+Tabla_master_rend[[#This Row],[Kg_SalidaSecadero]])</f>
        <v>8.0633119307152463E-3</v>
      </c>
      <c r="BC50" s="8">
        <v>4874</v>
      </c>
      <c r="BD50" s="8">
        <v>4554</v>
      </c>
      <c r="BE50" s="8">
        <v>31546</v>
      </c>
      <c r="BF50" s="8">
        <f>29*6.1</f>
        <v>176.89999999999998</v>
      </c>
      <c r="BG50" s="8">
        <f>157*6.1</f>
        <v>957.69999999999993</v>
      </c>
      <c r="BH50" s="7">
        <v>0</v>
      </c>
      <c r="BI50" s="7">
        <f>144*6.1</f>
        <v>878.4</v>
      </c>
      <c r="BJ50" s="8">
        <v>113</v>
      </c>
      <c r="BK50" s="8">
        <v>33215</v>
      </c>
      <c r="BL50" s="8">
        <v>8.42</v>
      </c>
      <c r="BM50" s="8">
        <v>1572.41</v>
      </c>
      <c r="BN50" s="7">
        <v>14.88</v>
      </c>
      <c r="BO50" s="68">
        <f>+SUM(Tabla_master_rend[[#This Row],[B_altas]:[B_lab]])/Tabla_master_rend[[#This Row],[Kg_SalidaSecadero]]</f>
        <v>6.4007225651061261E-2</v>
      </c>
      <c r="BP50" s="68">
        <f>+(Tabla_master_rend[[#This Row],[Kg_mer_env_real]]+Tabla_master_rend[[#This Row],[kg_mer_lab_real]])/Tabla_master_rend[[#This Row],[Kg_SalidaSecadero]]</f>
        <v>4.7788348637663715E-2</v>
      </c>
      <c r="BQ50" s="64">
        <f>+Tabla_master_rend[[#This Row],[Merma_TOT]]/Tabla_master_rend[[#This Row],[Kg_Queso_Blan]]</f>
        <v>6.7739586281724676E-2</v>
      </c>
      <c r="BR50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2297.5099999999998</v>
      </c>
      <c r="BS50" s="8"/>
      <c r="BT50" s="63">
        <f>IF(+Tabla_master_rend[[#This Row],[Kg_Env_Total]]=0,0,Tabla_master_rend[[#This Row],[Kg_Env_Total]]-Tabla_master_rend[[#This Row],[Kg_SalidaSecadero]])</f>
        <v>0</v>
      </c>
      <c r="BU50" s="60">
        <f>+Tabla_master_rend[[#This Row],[Diferencia_Env_vs_Sec_kg]]/Tabla_master_rend[[#This Row],[Kg_SalidaSecadero]]</f>
        <v>0</v>
      </c>
      <c r="BV50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50" s="65">
        <f>+(Tabla_master_rend[[#This Row],[Coste_Leche_€]]-Tabla_master_rend[[#This Row],[Kg_MG_Nata]]*$CO$3)/Tabla_master_rend[[#This Row],[Kg_Queso_Blan]]</f>
        <v>-0.95722473818284737</v>
      </c>
      <c r="BX50" s="8">
        <f>SUM(Tabla_master_rend[[#This Row],[Kg_Finos]:[Kg_Desmoldeo]])+Tabla_master_rend[[#This Row],[L_Agua]]+SUM(Tabla_master_rend[[#This Row],[B_altas]:[B_lab]])</f>
        <v>2827.8</v>
      </c>
      <c r="BY50" s="8">
        <f>+BX50-Tabla_master_rend[[#This Row],[Merma_TOT]]</f>
        <v>530.29000000000042</v>
      </c>
      <c r="BZ50" s="62">
        <f t="shared" si="22"/>
        <v>0.18752740646438942</v>
      </c>
      <c r="CA50" s="8">
        <f>+Tabla_master_rend[[#This Row],[Kg_Queso_Blan]]*$CA$1</f>
        <v>220.45920000000001</v>
      </c>
      <c r="CB50" s="8">
        <f>+Tabla_master_rend[[#This Row],[Kg_Queso_Blan]]*($CB$1-$CA$1)</f>
        <v>118.70880000000002</v>
      </c>
      <c r="CC50" s="8">
        <f>+(Tabla_master_rend[[#This Row],[Kg_Queso_Blan]]-CA50-CB50)*$CC$1</f>
        <v>352.56513600000005</v>
      </c>
      <c r="CD50" s="8">
        <f t="shared" si="23"/>
        <v>691.73313600000006</v>
      </c>
      <c r="CE50" s="80">
        <f>+CD50/Tabla_master_rend[[#This Row],[Kg_Queso_Blan]]</f>
        <v>2.0395E-2</v>
      </c>
      <c r="CF50" s="62">
        <f>+Tabla_master_rend[[#This Row],[Merma_TOT]]/Tabla_master_rend[[#This Row],[Kg_Queso_Blan]]</f>
        <v>6.7739586281724676E-2</v>
      </c>
      <c r="CG50" s="8">
        <f>CD50-Tabla_master_rend[[#This Row],[Merma_TOT]]</f>
        <v>-1605.7768639999997</v>
      </c>
      <c r="CH50" s="81" cm="1">
        <f t="array" ref="CH50">-BR50 * IFERROR(INDEX('Precio Leche_EBITDA_Ventas'!$BD$87:$BD$110,MATCH(1,('Precio Leche_EBITDA_Ventas'!$AZ$87:$AZ$110=YEAR(A50))*('Precio Leche_EBITDA_Ventas'!$BB$87:$BB$110=C50),0)),1.3)</f>
        <v>-7078.977533524152</v>
      </c>
      <c r="CI50" s="81">
        <f t="shared" si="24"/>
        <v>-2087.5099231999998</v>
      </c>
    </row>
    <row r="51" spans="1:87" x14ac:dyDescent="0.35">
      <c r="A51" s="9">
        <v>45763</v>
      </c>
      <c r="B51" s="7">
        <v>4</v>
      </c>
      <c r="C51" s="7" t="str">
        <f>+UPPER(TEXT(Tabla_master_rend[[#This Row],[Fecha]],"MMM"))</f>
        <v>ABR</v>
      </c>
      <c r="D51" s="7" t="str">
        <f>+UPPER(TEXT(Tabla_master_rend[[#This Row],[Fecha]],"ddd"))</f>
        <v>MI</v>
      </c>
      <c r="E51" s="3">
        <v>160425346</v>
      </c>
      <c r="F51" s="3" t="s">
        <v>244</v>
      </c>
      <c r="G51" s="84" t="s">
        <v>40</v>
      </c>
      <c r="H51">
        <v>20</v>
      </c>
      <c r="I51" s="8">
        <f>+Tabla_master_rend[[#This Row],[L_Leche_ent]]+Tabla_master_rend[[#This Row],[L_desn_ext]]+Tabla_master_rend[[#This Row],[L_cabra]]+Tabla_master_rend[[#This Row],[L_oveja]]</f>
        <v>334718</v>
      </c>
      <c r="J51" s="8">
        <v>334718</v>
      </c>
      <c r="K51" s="5">
        <v>3.8399999999999997E-2</v>
      </c>
      <c r="L51" s="5">
        <v>3.32E-2</v>
      </c>
      <c r="M51" s="5">
        <f t="shared" si="19"/>
        <v>0.10828</v>
      </c>
      <c r="N51" s="35" t="s">
        <v>43</v>
      </c>
      <c r="O51" s="8">
        <v>0</v>
      </c>
      <c r="P51" s="8">
        <v>0</v>
      </c>
      <c r="Q51" s="8">
        <v>0</v>
      </c>
      <c r="R51" s="8">
        <v>3810</v>
      </c>
      <c r="T51" s="8">
        <v>276580</v>
      </c>
      <c r="U51" s="38">
        <f>+Tabla_master_rend[[#This Row],[L_suero Total]]/Tabla_master_rend[[#This Row],[Litros_Leche_Total]]</f>
        <v>0.8263075185678691</v>
      </c>
      <c r="V51" s="5">
        <v>1.9E-3</v>
      </c>
      <c r="W51" s="5">
        <v>9.1999999999999998E-3</v>
      </c>
      <c r="X51" s="8">
        <v>207128</v>
      </c>
      <c r="Y51" s="57">
        <v>67703</v>
      </c>
      <c r="Z51" s="58">
        <f>IF(Tabla_master_rend[[#This Row],[L_suero para con]]=0,0,+Tabla_master_rend[[#This Row],[L_suero para con]]/Tabla_master_rend[[#This Row],[L_suero_con]])</f>
        <v>3.0593622143775017</v>
      </c>
      <c r="AA51" s="8">
        <f>+Tabla_master_rend[[#This Row],[L_suero Total]]-Tabla_master_rend[[#This Row],[L_suero para con]]</f>
        <v>69452</v>
      </c>
      <c r="AD51" s="8"/>
      <c r="AE51" s="8"/>
      <c r="AF51" s="8"/>
      <c r="AG51" s="5"/>
      <c r="AI51" s="7">
        <f>+Tabla_master_rend[[#This Row],[Kg_Finos]]+Tabla_master_rend[[#This Row],[Kg_Llenadora]]+Tabla_master_rend[[#This Row],[Kg_Desmoldeo]]+Tabla_master_rend[[#This Row],[L_Agua]]+Tabla_master_rend[[#This Row],[Kg_SalidaSecadero]]</f>
        <v>38454.17</v>
      </c>
      <c r="AJ51" s="59">
        <f>+Tabla_master_rend[[#This Row],[Litros_Leche_Total]]/Tabla_master_rend[[#This Row],[Kg_Queso_Blan]]</f>
        <v>8.7043355766097665</v>
      </c>
      <c r="AK51" s="59">
        <f>+Tabla_master_rend[[#This Row],[Litros_Leche_Total]]/(Tabla_master_rend[[#This Row],[Kg_Queso_Blan]]-Tabla_master_rend[[#This Row],[Merma_TOT]])</f>
        <v>8.9506053166464028</v>
      </c>
      <c r="AL51" s="59">
        <f>VLOOKUP(G51,REND_TARGET[#All],8,FALSE)</f>
        <v>8.9338729999999984</v>
      </c>
      <c r="AM51" s="7">
        <f>(I51*1.03*Tabla_master_rend[[#This Row],[%MG_Leche]])+(I51*1.03*Tabla_master_rend[[#This Row],[%MP_Leche]])</f>
        <v>24684.783064000003</v>
      </c>
      <c r="AN51" s="38">
        <v>0.2918</v>
      </c>
      <c r="AO51" s="38">
        <v>0.2271</v>
      </c>
      <c r="AP51" s="60">
        <v>0.56899999999999995</v>
      </c>
      <c r="AQ51" s="38">
        <f>+Tabla_master_rend[[#This Row],[Kg_Queso_Blan]]*Tabla_master_rend[[#This Row],[ES_QUESO]]/(Tabla_master_rend[[#This Row],[Kg_Solidos_leche]])</f>
        <v>0.88639315457100976</v>
      </c>
      <c r="AR51" s="7">
        <f t="shared" si="20"/>
        <v>1524</v>
      </c>
      <c r="AS51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0.96269746610323426</v>
      </c>
      <c r="AT51" s="62">
        <f>+Tabla_master_rend[[#This Row],[Kg_Queso_Blan]]*Tabla_master_rend[[#This Row],[%PT_QUESO]]/(Tabla_master_rend[[#This Row],[Litros_Leche_Total]]*1.03*Tabla_master_rend[[#This Row],[%MP_Leche]])</f>
        <v>0.76296778298750001</v>
      </c>
      <c r="AU51" s="63">
        <f t="shared" si="21"/>
        <v>11430</v>
      </c>
      <c r="AV51" s="7">
        <v>71.67</v>
      </c>
      <c r="AW51" s="7">
        <v>177.3</v>
      </c>
      <c r="AX51" s="7">
        <v>32.200000000000003</v>
      </c>
      <c r="AY51" s="8">
        <f>SUM(Tabla_master_rend[[#This Row],[Kg_Finos]:[Kg_Desmoldeo]])</f>
        <v>281.17</v>
      </c>
      <c r="AZ51" s="60">
        <f>+(Tabla_master_rend[[#This Row],[Kg_Finos]]+Tabla_master_rend[[#This Row],[Kg_Llenadora]]+Tabla_master_rend[[#This Row],[Kg_Desmoldeo]])/(Tabla_master_rend[[#This Row],[Kg_Queso_Blan]])</f>
        <v>7.3118207986286017E-3</v>
      </c>
      <c r="BA51" s="7">
        <v>360</v>
      </c>
      <c r="BB51" s="60">
        <f>+Tabla_master_rend[[#This Row],[L_Agua]]/(Tabla_master_rend[[#This Row],[L_Agua]]+Tabla_master_rend[[#This Row],[Kg_SalidaSecadero]])</f>
        <v>9.4307494826186052E-3</v>
      </c>
      <c r="BC51" s="8">
        <v>5454</v>
      </c>
      <c r="BD51" s="8">
        <v>5338</v>
      </c>
      <c r="BE51" s="8">
        <v>37444</v>
      </c>
      <c r="BF51" s="8">
        <f>50*6.3</f>
        <v>315</v>
      </c>
      <c r="BG51" s="8">
        <f>10*6.3</f>
        <v>63</v>
      </c>
      <c r="BH51" s="7">
        <f>8*6.3</f>
        <v>50.4</v>
      </c>
      <c r="BI51" s="7">
        <f>60*6.3</f>
        <v>378</v>
      </c>
      <c r="BJ51" s="8">
        <v>174</v>
      </c>
      <c r="BK51" s="8">
        <v>37813</v>
      </c>
      <c r="BL51" s="8">
        <v>0</v>
      </c>
      <c r="BM51" s="8">
        <v>391.02</v>
      </c>
      <c r="BN51" s="7">
        <v>25.85</v>
      </c>
      <c r="BO51" s="68">
        <f>+SUM(Tabla_master_rend[[#This Row],[B_altas]:[B_lab]])/Tabla_master_rend[[#This Row],[Kg_SalidaSecadero]]</f>
        <v>2.5927591040118478E-2</v>
      </c>
      <c r="BP51" s="68">
        <f>+(Tabla_master_rend[[#This Row],[Kg_mer_env_real]]+Tabla_master_rend[[#This Row],[kg_mer_lab_real]])/Tabla_master_rend[[#This Row],[Kg_SalidaSecadero]]</f>
        <v>1.1024515378309048E-2</v>
      </c>
      <c r="BQ51" s="64">
        <f>+Tabla_master_rend[[#This Row],[Merma_TOT]]/Tabla_master_rend[[#This Row],[Kg_Queso_Blan]]</f>
        <v>2.7514311191738118E-2</v>
      </c>
      <c r="BR51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1058.0400000000002</v>
      </c>
      <c r="BS51" s="8"/>
      <c r="BT51" s="63">
        <f>IF(+Tabla_master_rend[[#This Row],[Kg_Env_Total]]=0,0,Tabla_master_rend[[#This Row],[Kg_Env_Total]]-Tabla_master_rend[[#This Row],[Kg_SalidaSecadero]])</f>
        <v>0</v>
      </c>
      <c r="BU51" s="60">
        <f>+Tabla_master_rend[[#This Row],[Diferencia_Env_vs_Sec_kg]]/Tabla_master_rend[[#This Row],[Kg_SalidaSecadero]]</f>
        <v>0</v>
      </c>
      <c r="BV51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51" s="65">
        <f>+(Tabla_master_rend[[#This Row],[Coste_Leche_€]]-Tabla_master_rend[[#This Row],[Kg_MG_Nata]]*$CO$3)/Tabla_master_rend[[#This Row],[Kg_Queso_Blan]]</f>
        <v>-0.2972369446538568</v>
      </c>
      <c r="BX51" s="8">
        <f>SUM(Tabla_master_rend[[#This Row],[Kg_Finos]:[Kg_Desmoldeo]])+Tabla_master_rend[[#This Row],[L_Agua]]+SUM(Tabla_master_rend[[#This Row],[B_altas]:[B_lab]])</f>
        <v>1621.5700000000002</v>
      </c>
      <c r="BY51" s="8">
        <f>+BX51-Tabla_master_rend[[#This Row],[Merma_TOT]]</f>
        <v>563.53</v>
      </c>
      <c r="BZ51" s="62">
        <f t="shared" si="22"/>
        <v>0.34752122942580332</v>
      </c>
      <c r="CA51" s="8">
        <f>+Tabla_master_rend[[#This Row],[Kg_Queso_Blan]]*$CA$1</f>
        <v>249.95210499999999</v>
      </c>
      <c r="CB51" s="8">
        <f>+Tabla_master_rend[[#This Row],[Kg_Queso_Blan]]*($CB$1-$CA$1)</f>
        <v>134.589595</v>
      </c>
      <c r="CC51" s="8">
        <f>+(Tabla_master_rend[[#This Row],[Kg_Queso_Blan]]-CA51-CB51)*$CC$1</f>
        <v>399.73109715000004</v>
      </c>
      <c r="CD51" s="8">
        <f t="shared" si="23"/>
        <v>784.27279715000009</v>
      </c>
      <c r="CE51" s="80">
        <f>+CD51/Tabla_master_rend[[#This Row],[Kg_Queso_Blan]]</f>
        <v>2.0395000000000003E-2</v>
      </c>
      <c r="CF51" s="62">
        <f>+Tabla_master_rend[[#This Row],[Merma_TOT]]/Tabla_master_rend[[#This Row],[Kg_Queso_Blan]]</f>
        <v>2.7514311191738118E-2</v>
      </c>
      <c r="CG51" s="8">
        <f>CD51-Tabla_master_rend[[#This Row],[Merma_TOT]]</f>
        <v>-273.7672028500001</v>
      </c>
      <c r="CH51" s="81" cm="1">
        <f t="array" ref="CH51">-BR51 * IFERROR(INDEX('Precio Leche_EBITDA_Ventas'!$BD$87:$BD$110,MATCH(1,('Precio Leche_EBITDA_Ventas'!$AZ$87:$AZ$110=YEAR(A51))*('Precio Leche_EBITDA_Ventas'!$BB$87:$BB$110=C51),0)),1.3)</f>
        <v>-3259.9820630029449</v>
      </c>
      <c r="CI51" s="81">
        <f t="shared" si="24"/>
        <v>-355.89736370500015</v>
      </c>
    </row>
    <row r="52" spans="1:87" x14ac:dyDescent="0.35">
      <c r="A52" s="9">
        <v>45768</v>
      </c>
      <c r="B52" s="7">
        <v>4</v>
      </c>
      <c r="C52" s="7" t="str">
        <f>+UPPER(TEXT(Tabla_master_rend[[#This Row],[Fecha]],"MMM"))</f>
        <v>ABR</v>
      </c>
      <c r="D52" s="7" t="str">
        <f>+UPPER(TEXT(Tabla_master_rend[[#This Row],[Fecha]],"ddd"))</f>
        <v>LU</v>
      </c>
      <c r="E52" s="3">
        <v>210425326</v>
      </c>
      <c r="F52" s="3" t="s">
        <v>244</v>
      </c>
      <c r="G52" s="84" t="s">
        <v>301</v>
      </c>
      <c r="H52">
        <v>20</v>
      </c>
      <c r="I52" s="8">
        <f>+Tabla_master_rend[[#This Row],[L_Leche_ent]]+Tabla_master_rend[[#This Row],[L_desn_ext]]+Tabla_master_rend[[#This Row],[L_cabra]]+Tabla_master_rend[[#This Row],[L_oveja]]</f>
        <v>321490</v>
      </c>
      <c r="J52" s="8">
        <v>321490</v>
      </c>
      <c r="K52" s="5">
        <v>3.9199999999999999E-2</v>
      </c>
      <c r="L52" s="5">
        <v>3.3399999999999999E-2</v>
      </c>
      <c r="M52" s="5">
        <f t="shared" si="19"/>
        <v>0.10917200000000001</v>
      </c>
      <c r="N52" s="35" t="s">
        <v>43</v>
      </c>
      <c r="O52" s="8">
        <v>0</v>
      </c>
      <c r="P52" s="8">
        <v>0</v>
      </c>
      <c r="Q52" s="8">
        <v>0</v>
      </c>
      <c r="R52" s="8">
        <v>5151</v>
      </c>
      <c r="T52" s="8">
        <v>290750</v>
      </c>
      <c r="U52" s="38">
        <f>+Tabla_master_rend[[#This Row],[L_suero Total]]/Tabla_master_rend[[#This Row],[Litros_Leche_Total]]</f>
        <v>0.90438271796945469</v>
      </c>
      <c r="V52" s="5">
        <v>2.7000000000000001E-3</v>
      </c>
      <c r="W52" s="5">
        <v>9.5999999999999992E-3</v>
      </c>
      <c r="X52" s="8">
        <v>236332</v>
      </c>
      <c r="Y52" s="57">
        <v>81445</v>
      </c>
      <c r="Z52" s="58">
        <f>IF(Tabla_master_rend[[#This Row],[L_suero para con]]=0,0,+Tabla_master_rend[[#This Row],[L_suero para con]]/Tabla_master_rend[[#This Row],[L_suero_con]])</f>
        <v>2.9017373687764749</v>
      </c>
      <c r="AA52" s="8">
        <f>+Tabla_master_rend[[#This Row],[L_suero Total]]-Tabla_master_rend[[#This Row],[L_suero para con]]</f>
        <v>54418</v>
      </c>
      <c r="AD52" s="8"/>
      <c r="AE52" s="8"/>
      <c r="AF52" s="8"/>
      <c r="AG52" s="5"/>
      <c r="AI52" s="7">
        <f>+Tabla_master_rend[[#This Row],[Kg_Finos]]+Tabla_master_rend[[#This Row],[Kg_Llenadora]]+Tabla_master_rend[[#This Row],[Kg_Desmoldeo]]+Tabla_master_rend[[#This Row],[L_Agua]]+Tabla_master_rend[[#This Row],[Kg_SalidaSecadero]]</f>
        <v>35581.199999999997</v>
      </c>
      <c r="AJ52" s="59">
        <f>+Tabla_master_rend[[#This Row],[Litros_Leche_Total]]/Tabla_master_rend[[#This Row],[Kg_Queso_Blan]]</f>
        <v>9.0353894753409119</v>
      </c>
      <c r="AK52" s="59">
        <f>+Tabla_master_rend[[#This Row],[Litros_Leche_Total]]/(Tabla_master_rend[[#This Row],[Kg_Queso_Blan]]-Tabla_master_rend[[#This Row],[Merma_TOT]])</f>
        <v>9.1922439637388305</v>
      </c>
      <c r="AL52" s="59">
        <f>VLOOKUP(G52,REND_TARGET[#All],8,FALSE)</f>
        <v>9.3549429999999987</v>
      </c>
      <c r="AM52" s="7">
        <f>(I52*1.03*Tabla_master_rend[[#This Row],[%MG_Leche]])+(I52*1.03*Tabla_master_rend[[#This Row],[%MP_Leche]])</f>
        <v>24040.379220000003</v>
      </c>
      <c r="AN52" s="38">
        <v>0.29760000000000003</v>
      </c>
      <c r="AO52" s="38">
        <v>0.24600000000000002</v>
      </c>
      <c r="AP52" s="60">
        <v>0.58760000000000001</v>
      </c>
      <c r="AQ52" s="38">
        <f>+Tabla_master_rend[[#This Row],[Kg_Queso_Blan]]*Tabla_master_rend[[#This Row],[ES_QUESO]]/(Tabla_master_rend[[#This Row],[Kg_Solidos_leche]])</f>
        <v>0.86968316633734022</v>
      </c>
      <c r="AR52" s="7">
        <f t="shared" si="20"/>
        <v>2060.4</v>
      </c>
      <c r="AS52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0.97449130433713438</v>
      </c>
      <c r="AT52" s="62">
        <f>+Tabla_master_rend[[#This Row],[Kg_Queso_Blan]]*Tabla_master_rend[[#This Row],[%PT_QUESO]]/(Tabla_master_rend[[#This Row],[Litros_Leche_Total]]*1.03*Tabla_master_rend[[#This Row],[%MP_Leche]])</f>
        <v>0.79141547457425332</v>
      </c>
      <c r="AU52" s="63">
        <f t="shared" si="21"/>
        <v>15453</v>
      </c>
      <c r="AV52" s="7">
        <v>56.7</v>
      </c>
      <c r="AW52" s="7">
        <v>53</v>
      </c>
      <c r="AX52" s="7">
        <v>33.5</v>
      </c>
      <c r="AY52" s="8">
        <f>SUM(Tabla_master_rend[[#This Row],[Kg_Finos]:[Kg_Desmoldeo]])</f>
        <v>143.19999999999999</v>
      </c>
      <c r="AZ52" s="60">
        <f>+(Tabla_master_rend[[#This Row],[Kg_Finos]]+Tabla_master_rend[[#This Row],[Kg_Llenadora]]+Tabla_master_rend[[#This Row],[Kg_Desmoldeo]])/(Tabla_master_rend[[#This Row],[Kg_Queso_Blan]])</f>
        <v>4.0245972592267828E-3</v>
      </c>
      <c r="BA52" s="7">
        <v>290</v>
      </c>
      <c r="BB52" s="60">
        <f>+Tabla_master_rend[[#This Row],[L_Agua]]/(Tabla_master_rend[[#This Row],[L_Agua]]+Tabla_master_rend[[#This Row],[Kg_SalidaSecadero]])</f>
        <v>8.1833060556464818E-3</v>
      </c>
      <c r="BC52" s="8">
        <v>5009</v>
      </c>
      <c r="BD52" s="8">
        <v>4949</v>
      </c>
      <c r="BE52" s="8">
        <v>35064</v>
      </c>
      <c r="BF52" s="8">
        <f>10*6.4</f>
        <v>64</v>
      </c>
      <c r="BG52" s="8">
        <v>0</v>
      </c>
      <c r="BH52" s="7">
        <v>0</v>
      </c>
      <c r="BI52" s="7">
        <f>40*6.4</f>
        <v>256</v>
      </c>
      <c r="BJ52" s="8">
        <v>118</v>
      </c>
      <c r="BK52" s="8">
        <v>35148</v>
      </c>
      <c r="BL52" s="8">
        <v>1.19</v>
      </c>
      <c r="BM52" s="8">
        <v>146.37</v>
      </c>
      <c r="BN52" s="7">
        <v>26.39</v>
      </c>
      <c r="BO52" s="68">
        <f>+SUM(Tabla_master_rend[[#This Row],[B_altas]:[B_lab]])/Tabla_master_rend[[#This Row],[Kg_SalidaSecadero]]</f>
        <v>1.2461590986684876E-2</v>
      </c>
      <c r="BP52" s="68">
        <f>+(Tabla_master_rend[[#This Row],[Kg_mer_env_real]]+Tabla_master_rend[[#This Row],[kg_mer_lab_real]])/Tabla_master_rend[[#This Row],[Kg_SalidaSecadero]]</f>
        <v>4.9152156594969836E-3</v>
      </c>
      <c r="BQ52" s="64">
        <f>+Tabla_master_rend[[#This Row],[Merma_TOT]]/Tabla_master_rend[[#This Row],[Kg_Queso_Blan]]</f>
        <v>1.7063786493991213E-2</v>
      </c>
      <c r="BR52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607.15000000000009</v>
      </c>
      <c r="BS52" s="8"/>
      <c r="BT52" s="63">
        <f>IF(+Tabla_master_rend[[#This Row],[Kg_Env_Total]]=0,0,Tabla_master_rend[[#This Row],[Kg_Env_Total]]-Tabla_master_rend[[#This Row],[Kg_SalidaSecadero]])</f>
        <v>0</v>
      </c>
      <c r="BU52" s="60">
        <f>+Tabla_master_rend[[#This Row],[Diferencia_Env_vs_Sec_kg]]/Tabla_master_rend[[#This Row],[Kg_SalidaSecadero]]</f>
        <v>0</v>
      </c>
      <c r="BV52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52" s="65">
        <f>+(Tabla_master_rend[[#This Row],[Coste_Leche_€]]-Tabla_master_rend[[#This Row],[Kg_MG_Nata]]*$CO$3)/Tabla_master_rend[[#This Row],[Kg_Queso_Blan]]</f>
        <v>-0.43430238440524777</v>
      </c>
      <c r="BX52" s="8">
        <f>SUM(Tabla_master_rend[[#This Row],[Kg_Finos]:[Kg_Desmoldeo]])+Tabla_master_rend[[#This Row],[L_Agua]]+SUM(Tabla_master_rend[[#This Row],[B_altas]:[B_lab]])</f>
        <v>871.2</v>
      </c>
      <c r="BY52" s="8">
        <f>+BX52-Tabla_master_rend[[#This Row],[Merma_TOT]]</f>
        <v>264.04999999999995</v>
      </c>
      <c r="BZ52" s="62">
        <f t="shared" si="22"/>
        <v>0.30308769513314959</v>
      </c>
      <c r="CA52" s="8">
        <f>+Tabla_master_rend[[#This Row],[Kg_Queso_Blan]]*$CA$1</f>
        <v>231.27779999999996</v>
      </c>
      <c r="CB52" s="8">
        <f>+Tabla_master_rend[[#This Row],[Kg_Queso_Blan]]*($CB$1-$CA$1)</f>
        <v>124.53420000000001</v>
      </c>
      <c r="CC52" s="8">
        <f>+(Tabla_master_rend[[#This Row],[Kg_Queso_Blan]]-CA52-CB52)*$CC$1</f>
        <v>369.86657399999996</v>
      </c>
      <c r="CD52" s="8">
        <f t="shared" si="23"/>
        <v>725.67857399999991</v>
      </c>
      <c r="CE52" s="80">
        <f>+CD52/Tabla_master_rend[[#This Row],[Kg_Queso_Blan]]</f>
        <v>2.0395E-2</v>
      </c>
      <c r="CF52" s="62">
        <f>+Tabla_master_rend[[#This Row],[Merma_TOT]]/Tabla_master_rend[[#This Row],[Kg_Queso_Blan]]</f>
        <v>1.7063786493991213E-2</v>
      </c>
      <c r="CG52" s="8">
        <f>CD52-Tabla_master_rend[[#This Row],[Merma_TOT]]</f>
        <v>118.52857399999982</v>
      </c>
      <c r="CH52" s="81" cm="1">
        <f t="array" ref="CH52">-BR52 * IFERROR(INDEX('Precio Leche_EBITDA_Ventas'!$BD$87:$BD$110,MATCH(1,('Precio Leche_EBITDA_Ventas'!$AZ$87:$AZ$110=YEAR(A52))*('Precio Leche_EBITDA_Ventas'!$BB$87:$BB$110=C52),0)),1.3)</f>
        <v>-1870.7214373296263</v>
      </c>
      <c r="CI52" s="81">
        <f t="shared" si="24"/>
        <v>154.08714619999978</v>
      </c>
    </row>
    <row r="53" spans="1:87" x14ac:dyDescent="0.35">
      <c r="A53" s="9">
        <v>45769</v>
      </c>
      <c r="B53" s="7">
        <v>4</v>
      </c>
      <c r="C53" s="7" t="str">
        <f>+UPPER(TEXT(Tabla_master_rend[[#This Row],[Fecha]],"MMM"))</f>
        <v>ABR</v>
      </c>
      <c r="D53" s="7" t="str">
        <f>+UPPER(TEXT(Tabla_master_rend[[#This Row],[Fecha]],"ddd"))</f>
        <v>MA</v>
      </c>
      <c r="E53" s="3">
        <v>220425116</v>
      </c>
      <c r="F53" s="3" t="s">
        <v>244</v>
      </c>
      <c r="G53" s="84" t="s">
        <v>299</v>
      </c>
      <c r="H53">
        <v>20</v>
      </c>
      <c r="I53" s="8">
        <f>+Tabla_master_rend[[#This Row],[L_Leche_ent]]+Tabla_master_rend[[#This Row],[L_desn_ext]]+Tabla_master_rend[[#This Row],[L_cabra]]+Tabla_master_rend[[#This Row],[L_oveja]]</f>
        <v>337941</v>
      </c>
      <c r="J53" s="8">
        <v>337941</v>
      </c>
      <c r="K53" s="5">
        <v>3.6299999999999999E-2</v>
      </c>
      <c r="L53" s="5">
        <v>3.3700000000000001E-2</v>
      </c>
      <c r="M53" s="5">
        <f t="shared" si="19"/>
        <v>0.106697</v>
      </c>
      <c r="N53" s="35" t="s">
        <v>43</v>
      </c>
      <c r="O53" s="8">
        <v>0</v>
      </c>
      <c r="P53" s="8">
        <v>0</v>
      </c>
      <c r="Q53" s="8">
        <v>0</v>
      </c>
      <c r="R53" s="8">
        <v>10843</v>
      </c>
      <c r="T53" s="8">
        <v>278830</v>
      </c>
      <c r="U53" s="38">
        <f>+Tabla_master_rend[[#This Row],[L_suero Total]]/Tabla_master_rend[[#This Row],[Litros_Leche_Total]]</f>
        <v>0.82508485208956595</v>
      </c>
      <c r="V53" s="5">
        <v>1E-3</v>
      </c>
      <c r="W53" s="5">
        <v>8.6999999999999994E-3</v>
      </c>
      <c r="X53" s="8">
        <v>176245</v>
      </c>
      <c r="Y53" s="57">
        <v>56911</v>
      </c>
      <c r="Z53" s="58">
        <f>IF(Tabla_master_rend[[#This Row],[L_suero para con]]=0,0,+Tabla_master_rend[[#This Row],[L_suero para con]]/Tabla_master_rend[[#This Row],[L_suero_con]])</f>
        <v>3.0968529809702869</v>
      </c>
      <c r="AA53" s="8">
        <f>+Tabla_master_rend[[#This Row],[L_suero Total]]-Tabla_master_rend[[#This Row],[L_suero para con]]</f>
        <v>102585</v>
      </c>
      <c r="AD53" s="8"/>
      <c r="AE53" s="8"/>
      <c r="AF53" s="8"/>
      <c r="AG53" s="5"/>
      <c r="AI53" s="7">
        <f>+Tabla_master_rend[[#This Row],[Kg_Finos]]+Tabla_master_rend[[#This Row],[Kg_Llenadora]]+Tabla_master_rend[[#This Row],[Kg_Desmoldeo]]+Tabla_master_rend[[#This Row],[L_Agua]]+Tabla_master_rend[[#This Row],[Kg_SalidaSecadero]]</f>
        <v>34106.46</v>
      </c>
      <c r="AJ53" s="59">
        <f>+Tabla_master_rend[[#This Row],[Litros_Leche_Total]]/Tabla_master_rend[[#This Row],[Kg_Queso_Blan]]</f>
        <v>9.9084161768767558</v>
      </c>
      <c r="AK53" s="59">
        <f>+Tabla_master_rend[[#This Row],[Litros_Leche_Total]]/(Tabla_master_rend[[#This Row],[Kg_Queso_Blan]]-Tabla_master_rend[[#This Row],[Merma_TOT]])</f>
        <v>10.796485226360035</v>
      </c>
      <c r="AL53" s="59">
        <f>VLOOKUP(G53,REND_TARGET[#All],8,FALSE)</f>
        <v>9.8078500000000002</v>
      </c>
      <c r="AM53" s="7">
        <f>(I53*1.03*Tabla_master_rend[[#This Row],[%MG_Leche]])+(I53*1.03*Tabla_master_rend[[#This Row],[%MP_Leche]])</f>
        <v>24365.5461</v>
      </c>
      <c r="AN53" s="38">
        <v>0.23190000000000002</v>
      </c>
      <c r="AO53" s="38">
        <v>0.25769999999999998</v>
      </c>
      <c r="AP53" s="60">
        <v>0.54390000000000005</v>
      </c>
      <c r="AQ53" s="38">
        <f>+Tabla_master_rend[[#This Row],[Kg_Queso_Blan]]*Tabla_master_rend[[#This Row],[ES_QUESO]]/(Tabla_master_rend[[#This Row],[Kg_Solidos_leche]])</f>
        <v>0.76134158938469276</v>
      </c>
      <c r="AR53" s="7">
        <f t="shared" si="20"/>
        <v>4337.2</v>
      </c>
      <c r="AS53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0.96922995797699507</v>
      </c>
      <c r="AT53" s="62">
        <f>+Tabla_master_rend[[#This Row],[Kg_Queso_Blan]]*Tabla_master_rend[[#This Row],[%PT_QUESO]]/(Tabla_master_rend[[#This Row],[Litros_Leche_Total]]*1.03*Tabla_master_rend[[#This Row],[%MP_Leche]])</f>
        <v>0.74927812435577479</v>
      </c>
      <c r="AU53" s="63">
        <f t="shared" si="21"/>
        <v>32529</v>
      </c>
      <c r="AV53" s="7">
        <v>82.16</v>
      </c>
      <c r="AW53" s="7">
        <v>105.3</v>
      </c>
      <c r="AX53" s="7">
        <v>247</v>
      </c>
      <c r="AY53" s="8">
        <f>SUM(Tabla_master_rend[[#This Row],[Kg_Finos]:[Kg_Desmoldeo]])</f>
        <v>434.46</v>
      </c>
      <c r="AZ53" s="60">
        <f>+(Tabla_master_rend[[#This Row],[Kg_Finos]]+Tabla_master_rend[[#This Row],[Kg_Llenadora]]+Tabla_master_rend[[#This Row],[Kg_Desmoldeo]])/(Tabla_master_rend[[#This Row],[Kg_Queso_Blan]])</f>
        <v>1.27383492745949E-2</v>
      </c>
      <c r="BA53" s="7">
        <v>325</v>
      </c>
      <c r="BB53" s="60">
        <f>+Tabla_master_rend[[#This Row],[L_Agua]]/(Tabla_master_rend[[#This Row],[L_Agua]]+Tabla_master_rend[[#This Row],[Kg_SalidaSecadero]])</f>
        <v>9.6519363269185077E-3</v>
      </c>
      <c r="BC53" s="8">
        <v>5016</v>
      </c>
      <c r="BD53" s="8">
        <v>4611</v>
      </c>
      <c r="BE53" s="8">
        <v>31240</v>
      </c>
      <c r="BF53" s="8">
        <f>9*6</f>
        <v>54</v>
      </c>
      <c r="BG53" s="8">
        <f>160*6</f>
        <v>960</v>
      </c>
      <c r="BH53" s="7">
        <v>0</v>
      </c>
      <c r="BI53" s="7">
        <f>226*6</f>
        <v>1356</v>
      </c>
      <c r="BJ53" s="8">
        <v>114</v>
      </c>
      <c r="BK53" s="8">
        <v>33347</v>
      </c>
      <c r="BL53" s="8">
        <v>4.1900000000000004</v>
      </c>
      <c r="BM53" s="8">
        <v>2017.73</v>
      </c>
      <c r="BN53" s="7">
        <v>24.06</v>
      </c>
      <c r="BO53" s="68">
        <f>+SUM(Tabla_master_rend[[#This Row],[B_altas]:[B_lab]])/Tabla_master_rend[[#This Row],[Kg_SalidaSecadero]]</f>
        <v>7.4489459321678109E-2</v>
      </c>
      <c r="BP53" s="68">
        <f>+(Tabla_master_rend[[#This Row],[Kg_mer_env_real]]+Tabla_master_rend[[#This Row],[kg_mer_lab_real]])/Tabla_master_rend[[#This Row],[Kg_SalidaSecadero]]</f>
        <v>6.1228596275527035E-2</v>
      </c>
      <c r="BQ53" s="64">
        <f>+Tabla_master_rend[[#This Row],[Merma_TOT]]/Tabla_master_rend[[#This Row],[Kg_Queso_Blan]]</f>
        <v>8.225538505022216E-2</v>
      </c>
      <c r="BR53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2805.44</v>
      </c>
      <c r="BS53" s="8"/>
      <c r="BT53" s="63">
        <f>IF(+Tabla_master_rend[[#This Row],[Kg_Env_Total]]=0,0,Tabla_master_rend[[#This Row],[Kg_Env_Total]]-Tabla_master_rend[[#This Row],[Kg_SalidaSecadero]])</f>
        <v>0</v>
      </c>
      <c r="BU53" s="60">
        <f>+Tabla_master_rend[[#This Row],[Diferencia_Env_vs_Sec_kg]]/Tabla_master_rend[[#This Row],[Kg_SalidaSecadero]]</f>
        <v>0</v>
      </c>
      <c r="BV53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53" s="65">
        <f>+(Tabla_master_rend[[#This Row],[Coste_Leche_€]]-Tabla_master_rend[[#This Row],[Kg_MG_Nata]]*$CO$3)/Tabla_master_rend[[#This Row],[Kg_Queso_Blan]]</f>
        <v>-0.95374893788449466</v>
      </c>
      <c r="BX53" s="8">
        <f>SUM(Tabla_master_rend[[#This Row],[Kg_Finos]:[Kg_Desmoldeo]])+Tabla_master_rend[[#This Row],[L_Agua]]+SUM(Tabla_master_rend[[#This Row],[B_altas]:[B_lab]])</f>
        <v>3243.46</v>
      </c>
      <c r="BY53" s="8">
        <f>+BX53-Tabla_master_rend[[#This Row],[Merma_TOT]]</f>
        <v>438.02</v>
      </c>
      <c r="BZ53" s="62">
        <f t="shared" si="22"/>
        <v>0.13504714101607543</v>
      </c>
      <c r="CA53" s="8">
        <f>+Tabla_master_rend[[#This Row],[Kg_Queso_Blan]]*$CA$1</f>
        <v>221.69198999999998</v>
      </c>
      <c r="CB53" s="8">
        <f>+Tabla_master_rend[[#This Row],[Kg_Queso_Blan]]*($CB$1-$CA$1)</f>
        <v>119.37261000000001</v>
      </c>
      <c r="CC53" s="8">
        <f>+(Tabla_master_rend[[#This Row],[Kg_Queso_Blan]]-CA53-CB53)*$CC$1</f>
        <v>354.53665170000005</v>
      </c>
      <c r="CD53" s="8">
        <f t="shared" si="23"/>
        <v>695.60125170000003</v>
      </c>
      <c r="CE53" s="80">
        <f>+CD53/Tabla_master_rend[[#This Row],[Kg_Queso_Blan]]</f>
        <v>2.0395E-2</v>
      </c>
      <c r="CF53" s="62">
        <f>+Tabla_master_rend[[#This Row],[Merma_TOT]]/Tabla_master_rend[[#This Row],[Kg_Queso_Blan]]</f>
        <v>8.225538505022216E-2</v>
      </c>
      <c r="CG53" s="8">
        <f>CD53-Tabla_master_rend[[#This Row],[Merma_TOT]]</f>
        <v>-2109.8387483000001</v>
      </c>
      <c r="CH53" s="81" cm="1">
        <f t="array" ref="CH53">-BR53 * IFERROR(INDEX('Precio Leche_EBITDA_Ventas'!$BD$87:$BD$110,MATCH(1,('Precio Leche_EBITDA_Ventas'!$AZ$87:$AZ$110=YEAR(A53))*('Precio Leche_EBITDA_Ventas'!$BB$87:$BB$110=C53),0)),1.3)</f>
        <v>-8643.9870693272278</v>
      </c>
      <c r="CI53" s="81">
        <f t="shared" si="24"/>
        <v>-2742.7903727900002</v>
      </c>
    </row>
    <row r="54" spans="1:87" x14ac:dyDescent="0.35">
      <c r="A54" s="9">
        <v>45771</v>
      </c>
      <c r="B54" s="7">
        <v>4</v>
      </c>
      <c r="C54" s="7" t="str">
        <f>+UPPER(TEXT(Tabla_master_rend[[#This Row],[Fecha]],"MMM"))</f>
        <v>ABR</v>
      </c>
      <c r="D54" s="7" t="str">
        <f>+UPPER(TEXT(Tabla_master_rend[[#This Row],[Fecha]],"ddd"))</f>
        <v>JU</v>
      </c>
      <c r="E54" s="3">
        <v>240425026</v>
      </c>
      <c r="F54" s="3" t="s">
        <v>244</v>
      </c>
      <c r="G54" s="84" t="s">
        <v>190</v>
      </c>
      <c r="H54">
        <v>20</v>
      </c>
      <c r="I54" s="8">
        <f>+Tabla_master_rend[[#This Row],[L_Leche_ent]]+Tabla_master_rend[[#This Row],[L_desn_ext]]+Tabla_master_rend[[#This Row],[L_cabra]]+Tabla_master_rend[[#This Row],[L_oveja]]</f>
        <v>298583</v>
      </c>
      <c r="J54" s="8">
        <v>298583</v>
      </c>
      <c r="K54" s="5">
        <v>3.6400000000000002E-2</v>
      </c>
      <c r="L54" s="5">
        <v>3.3099999999999997E-2</v>
      </c>
      <c r="M54" s="5">
        <f t="shared" si="19"/>
        <v>0.106346</v>
      </c>
      <c r="N54" s="35" t="s">
        <v>43</v>
      </c>
      <c r="O54" s="8">
        <v>0</v>
      </c>
      <c r="P54" s="8">
        <v>0</v>
      </c>
      <c r="Q54" s="8">
        <v>0</v>
      </c>
      <c r="R54" s="8">
        <v>2201</v>
      </c>
      <c r="T54" s="8">
        <v>273410</v>
      </c>
      <c r="U54" s="38">
        <f>+Tabla_master_rend[[#This Row],[L_suero Total]]/Tabla_master_rend[[#This Row],[Litros_Leche_Total]]</f>
        <v>0.91569178419400976</v>
      </c>
      <c r="V54" s="5">
        <v>2E-3</v>
      </c>
      <c r="W54" s="5">
        <v>9.1999999999999998E-3</v>
      </c>
      <c r="X54" s="8">
        <v>148714</v>
      </c>
      <c r="Y54" s="57">
        <v>49200</v>
      </c>
      <c r="Z54" s="58">
        <f>IF(Tabla_master_rend[[#This Row],[L_suero para con]]=0,0,+Tabla_master_rend[[#This Row],[L_suero para con]]/Tabla_master_rend[[#This Row],[L_suero_con]])</f>
        <v>3.0226422764227641</v>
      </c>
      <c r="AA54" s="8">
        <f>+Tabla_master_rend[[#This Row],[L_suero Total]]-Tabla_master_rend[[#This Row],[L_suero para con]]</f>
        <v>124696</v>
      </c>
      <c r="AD54" s="8"/>
      <c r="AE54" s="8"/>
      <c r="AF54" s="8"/>
      <c r="AG54" s="5"/>
      <c r="AI54" s="7">
        <f>+Tabla_master_rend[[#This Row],[Kg_Finos]]+Tabla_master_rend[[#This Row],[Kg_Llenadora]]+Tabla_master_rend[[#This Row],[Kg_Desmoldeo]]+Tabla_master_rend[[#This Row],[L_Agua]]+Tabla_master_rend[[#This Row],[Kg_SalidaSecadero]]</f>
        <v>35887.29</v>
      </c>
      <c r="AJ54" s="59">
        <f>+Tabla_master_rend[[#This Row],[Litros_Leche_Total]]/Tabla_master_rend[[#This Row],[Kg_Queso_Blan]]</f>
        <v>8.3200208207418278</v>
      </c>
      <c r="AK54" s="59">
        <f>+Tabla_master_rend[[#This Row],[Litros_Leche_Total]]/(Tabla_master_rend[[#This Row],[Kg_Queso_Blan]]-Tabla_master_rend[[#This Row],[Merma_TOT]])</f>
        <v>8.5785809426288377</v>
      </c>
      <c r="AL54" s="59">
        <f>VLOOKUP(G54,REND_TARGET[#All],8,FALSE)</f>
        <v>8.4943170000000006</v>
      </c>
      <c r="AM54" s="7">
        <f>(I54*1.03*Tabla_master_rend[[#This Row],[%MG_Leche]])+(I54*1.03*Tabla_master_rend[[#This Row],[%MP_Leche]])</f>
        <v>21374.064055000003</v>
      </c>
      <c r="AN54" s="38">
        <v>0.28489999999999999</v>
      </c>
      <c r="AO54" s="38">
        <v>0.22940000000000002</v>
      </c>
      <c r="AP54" s="60">
        <v>0.56669999999999998</v>
      </c>
      <c r="AQ54" s="38">
        <f>+Tabla_master_rend[[#This Row],[Kg_Queso_Blan]]*Tabla_master_rend[[#This Row],[ES_QUESO]]/(Tabla_master_rend[[#This Row],[Kg_Solidos_leche]])</f>
        <v>0.95149556914715616</v>
      </c>
      <c r="AR54" s="7">
        <f t="shared" si="20"/>
        <v>880.40000000000009</v>
      </c>
      <c r="AS54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0.99197953237326209</v>
      </c>
      <c r="AT54" s="62">
        <f>+Tabla_master_rend[[#This Row],[Kg_Queso_Blan]]*Tabla_master_rend[[#This Row],[%PT_QUESO]]/(Tabla_master_rend[[#This Row],[Litros_Leche_Total]]*1.03*Tabla_master_rend[[#This Row],[%MP_Leche]])</f>
        <v>0.80873042518294336</v>
      </c>
      <c r="AU54" s="63">
        <f t="shared" si="21"/>
        <v>6603.0000000000009</v>
      </c>
      <c r="AV54" s="7">
        <v>65.39</v>
      </c>
      <c r="AW54" s="7">
        <v>133.19999999999999</v>
      </c>
      <c r="AX54" s="7">
        <v>19.7</v>
      </c>
      <c r="AY54" s="8">
        <f>SUM(Tabla_master_rend[[#This Row],[Kg_Finos]:[Kg_Desmoldeo]])</f>
        <v>218.28999999999996</v>
      </c>
      <c r="AZ54" s="60">
        <f>+(Tabla_master_rend[[#This Row],[Kg_Finos]]+Tabla_master_rend[[#This Row],[Kg_Llenadora]]+Tabla_master_rend[[#This Row],[Kg_Desmoldeo]])/(Tabla_master_rend[[#This Row],[Kg_Queso_Blan]])</f>
        <v>6.0826548897952443E-3</v>
      </c>
      <c r="BA54" s="7">
        <v>690</v>
      </c>
      <c r="BB54" s="60">
        <f>+Tabla_master_rend[[#This Row],[L_Agua]]/(Tabla_master_rend[[#This Row],[L_Agua]]+Tabla_master_rend[[#This Row],[Kg_SalidaSecadero]])</f>
        <v>1.9344528862597774E-2</v>
      </c>
      <c r="BC54" s="8">
        <v>5075</v>
      </c>
      <c r="BD54" s="8">
        <v>5039</v>
      </c>
      <c r="BE54" s="8">
        <v>35445</v>
      </c>
      <c r="BF54" s="8">
        <f>10*6.3</f>
        <v>63</v>
      </c>
      <c r="BG54" s="8">
        <f>4*6.3</f>
        <v>25.2</v>
      </c>
      <c r="BH54" s="7">
        <f>8*6.3</f>
        <v>50.4</v>
      </c>
      <c r="BI54" s="7">
        <f>8*6.3</f>
        <v>50.4</v>
      </c>
      <c r="BJ54" s="8">
        <v>98</v>
      </c>
      <c r="BK54" s="8">
        <v>34979</v>
      </c>
      <c r="BL54" s="8">
        <v>1.05</v>
      </c>
      <c r="BM54" s="8">
        <v>147.01</v>
      </c>
      <c r="BN54" s="7">
        <v>25.3</v>
      </c>
      <c r="BO54" s="68">
        <f>+SUM(Tabla_master_rend[[#This Row],[B_altas]:[B_lab]])/Tabla_master_rend[[#This Row],[Kg_SalidaSecadero]]</f>
        <v>8.2049229537722642E-3</v>
      </c>
      <c r="BP54" s="68">
        <f>+(Tabla_master_rend[[#This Row],[Kg_mer_env_real]]+Tabla_master_rend[[#This Row],[kg_mer_lab_real]])/Tabla_master_rend[[#This Row],[Kg_SalidaSecadero]]</f>
        <v>4.9260985162526087E-3</v>
      </c>
      <c r="BQ54" s="64">
        <f>+Tabla_master_rend[[#This Row],[Merma_TOT]]/Tabla_master_rend[[#This Row],[Kg_Queso_Blan]]</f>
        <v>3.0140197267612016E-2</v>
      </c>
      <c r="BR54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1081.6500000000001</v>
      </c>
      <c r="BS54" s="8"/>
      <c r="BT54" s="63">
        <f>IF(+Tabla_master_rend[[#This Row],[Kg_Env_Total]]=0,0,Tabla_master_rend[[#This Row],[Kg_Env_Total]]-Tabla_master_rend[[#This Row],[Kg_SalidaSecadero]])</f>
        <v>0</v>
      </c>
      <c r="BU54" s="60">
        <f>+Tabla_master_rend[[#This Row],[Diferencia_Env_vs_Sec_kg]]/Tabla_master_rend[[#This Row],[Kg_SalidaSecadero]]</f>
        <v>0</v>
      </c>
      <c r="BV54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54" s="65">
        <f>+(Tabla_master_rend[[#This Row],[Coste_Leche_€]]-Tabla_master_rend[[#This Row],[Kg_MG_Nata]]*$CO$3)/Tabla_master_rend[[#This Row],[Kg_Queso_Blan]]</f>
        <v>-0.18399271719876314</v>
      </c>
      <c r="BX54" s="8">
        <f>SUM(Tabla_master_rend[[#This Row],[Kg_Finos]:[Kg_Desmoldeo]])+Tabla_master_rend[[#This Row],[L_Agua]]+SUM(Tabla_master_rend[[#This Row],[B_altas]:[B_lab]])</f>
        <v>1195.29</v>
      </c>
      <c r="BY54" s="8">
        <f>+BX54-Tabla_master_rend[[#This Row],[Merma_TOT]]</f>
        <v>113.63999999999987</v>
      </c>
      <c r="BZ54" s="62">
        <f t="shared" si="22"/>
        <v>9.5073162161483718E-2</v>
      </c>
      <c r="CA54" s="8">
        <f>+Tabla_master_rend[[#This Row],[Kg_Queso_Blan]]*$CA$1</f>
        <v>233.26738499999999</v>
      </c>
      <c r="CB54" s="8">
        <f>+Tabla_master_rend[[#This Row],[Kg_Queso_Blan]]*($CB$1-$CA$1)</f>
        <v>125.60551500000003</v>
      </c>
      <c r="CC54" s="8">
        <f>+(Tabla_master_rend[[#This Row],[Kg_Queso_Blan]]-CA54-CB54)*$CC$1</f>
        <v>373.04837954999999</v>
      </c>
      <c r="CD54" s="8">
        <f t="shared" si="23"/>
        <v>731.92127955000001</v>
      </c>
      <c r="CE54" s="80">
        <f>+CD54/Tabla_master_rend[[#This Row],[Kg_Queso_Blan]]</f>
        <v>2.0395E-2</v>
      </c>
      <c r="CF54" s="62">
        <f>+Tabla_master_rend[[#This Row],[Merma_TOT]]/Tabla_master_rend[[#This Row],[Kg_Queso_Blan]]</f>
        <v>3.0140197267612016E-2</v>
      </c>
      <c r="CG54" s="8">
        <f>CD54-Tabla_master_rend[[#This Row],[Merma_TOT]]</f>
        <v>-349.72872045000008</v>
      </c>
      <c r="CH54" s="81" cm="1">
        <f t="array" ref="CH54">-BR54 * IFERROR(INDEX('Precio Leche_EBITDA_Ventas'!$BD$87:$BD$110,MATCH(1,('Precio Leche_EBITDA_Ventas'!$AZ$87:$AZ$110=YEAR(A54))*('Precio Leche_EBITDA_Ventas'!$BB$87:$BB$110=C54),0)),1.3)</f>
        <v>-3332.7280617435399</v>
      </c>
      <c r="CI54" s="81">
        <f t="shared" si="24"/>
        <v>-454.64733658500012</v>
      </c>
    </row>
    <row r="55" spans="1:87" x14ac:dyDescent="0.35">
      <c r="A55" s="9">
        <v>45772</v>
      </c>
      <c r="B55" s="7">
        <v>4</v>
      </c>
      <c r="C55" s="7" t="str">
        <f>+UPPER(TEXT(Tabla_master_rend[[#This Row],[Fecha]],"MMM"))</f>
        <v>ABR</v>
      </c>
      <c r="D55" s="7" t="str">
        <f>+UPPER(TEXT(Tabla_master_rend[[#This Row],[Fecha]],"ddd"))</f>
        <v>VI</v>
      </c>
      <c r="E55" s="3">
        <v>250425016</v>
      </c>
      <c r="F55" s="3" t="s">
        <v>244</v>
      </c>
      <c r="G55" s="84" t="s">
        <v>189</v>
      </c>
      <c r="H55">
        <v>20</v>
      </c>
      <c r="I55" s="8">
        <f>+Tabla_master_rend[[#This Row],[L_Leche_ent]]+Tabla_master_rend[[#This Row],[L_desn_ext]]+Tabla_master_rend[[#This Row],[L_cabra]]+Tabla_master_rend[[#This Row],[L_oveja]]</f>
        <v>305541</v>
      </c>
      <c r="J55" s="8">
        <v>305541</v>
      </c>
      <c r="K55" s="5">
        <v>3.6900000000000002E-2</v>
      </c>
      <c r="L55" s="5">
        <v>3.3399999999999999E-2</v>
      </c>
      <c r="M55" s="5">
        <f t="shared" si="19"/>
        <v>0.107033</v>
      </c>
      <c r="N55" s="35" t="s">
        <v>43</v>
      </c>
      <c r="O55" s="8">
        <v>0</v>
      </c>
      <c r="P55" s="8">
        <v>0</v>
      </c>
      <c r="Q55" s="8">
        <v>0</v>
      </c>
      <c r="R55" s="8">
        <v>8764</v>
      </c>
      <c r="T55" s="8">
        <v>274100</v>
      </c>
      <c r="U55" s="38">
        <f>+Tabla_master_rend[[#This Row],[L_suero Total]]/Tabla_master_rend[[#This Row],[Litros_Leche_Total]]</f>
        <v>0.89709727990678834</v>
      </c>
      <c r="V55" s="5">
        <v>1.4000000000000002E-3</v>
      </c>
      <c r="W55" s="5">
        <v>9.8999999999999991E-3</v>
      </c>
      <c r="X55" s="8">
        <v>149409</v>
      </c>
      <c r="Y55" s="57">
        <v>48661</v>
      </c>
      <c r="Z55" s="58">
        <f>IF(Tabla_master_rend[[#This Row],[L_suero para con]]=0,0,+Tabla_master_rend[[#This Row],[L_suero para con]]/Tabla_master_rend[[#This Row],[L_suero_con]])</f>
        <v>3.070405458169787</v>
      </c>
      <c r="AA55" s="8">
        <f>+Tabla_master_rend[[#This Row],[L_suero Total]]-Tabla_master_rend[[#This Row],[L_suero para con]]</f>
        <v>124691</v>
      </c>
      <c r="AD55" s="8"/>
      <c r="AE55" s="8"/>
      <c r="AF55" s="8"/>
      <c r="AG55" s="5"/>
      <c r="AI55" s="7">
        <f>+Tabla_master_rend[[#This Row],[Kg_Finos]]+Tabla_master_rend[[#This Row],[Kg_Llenadora]]+Tabla_master_rend[[#This Row],[Kg_Desmoldeo]]+Tabla_master_rend[[#This Row],[L_Agua]]+Tabla_master_rend[[#This Row],[Kg_SalidaSecadero]]</f>
        <v>33044.03</v>
      </c>
      <c r="AJ55" s="59">
        <f>+Tabla_master_rend[[#This Row],[Litros_Leche_Total]]/Tabla_master_rend[[#This Row],[Kg_Queso_Blan]]</f>
        <v>9.2464811344136901</v>
      </c>
      <c r="AK55" s="59">
        <f>+Tabla_master_rend[[#This Row],[Litros_Leche_Total]]/(Tabla_master_rend[[#This Row],[Kg_Queso_Blan]]-Tabla_master_rend[[#This Row],[Merma_TOT]])</f>
        <v>9.7218739857834695</v>
      </c>
      <c r="AL55" s="59">
        <f>VLOOKUP(G55,REND_TARGET[#All],8,FALSE)</f>
        <v>9.1957579999999997</v>
      </c>
      <c r="AM55" s="7">
        <f>(I55*1.03*Tabla_master_rend[[#This Row],[%MG_Leche]])+(I55*1.03*Tabla_master_rend[[#This Row],[%MP_Leche]])</f>
        <v>22123.918269000002</v>
      </c>
      <c r="AN55" s="38">
        <v>0.23680000000000001</v>
      </c>
      <c r="AO55" s="38">
        <v>0.25609999999999999</v>
      </c>
      <c r="AP55" s="60">
        <v>0.52600000000000002</v>
      </c>
      <c r="AQ55" s="38">
        <f>+Tabla_master_rend[[#This Row],[Kg_Queso_Blan]]*Tabla_master_rend[[#This Row],[ES_QUESO]]/(Tabla_master_rend[[#This Row],[Kg_Solidos_leche]])</f>
        <v>0.78562755334141943</v>
      </c>
      <c r="AR55" s="7">
        <f t="shared" si="20"/>
        <v>3505.6000000000004</v>
      </c>
      <c r="AS55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0.97569294297634701</v>
      </c>
      <c r="AT55" s="62">
        <f>+Tabla_master_rend[[#This Row],[Kg_Queso_Blan]]*Tabla_master_rend[[#This Row],[%PT_QUESO]]/(Tabla_master_rend[[#This Row],[Litros_Leche_Total]]*1.03*Tabla_master_rend[[#This Row],[%MP_Leche]])</f>
        <v>0.80509920730828344</v>
      </c>
      <c r="AU55" s="63">
        <f t="shared" si="21"/>
        <v>26292.000000000004</v>
      </c>
      <c r="AV55" s="7">
        <v>53.53</v>
      </c>
      <c r="AW55" s="7">
        <v>45.5</v>
      </c>
      <c r="AX55" s="7">
        <v>245</v>
      </c>
      <c r="AY55" s="8">
        <f>SUM(Tabla_master_rend[[#This Row],[Kg_Finos]:[Kg_Desmoldeo]])</f>
        <v>344.03</v>
      </c>
      <c r="AZ55" s="60">
        <f>+(Tabla_master_rend[[#This Row],[Kg_Finos]]+Tabla_master_rend[[#This Row],[Kg_Llenadora]]+Tabla_master_rend[[#This Row],[Kg_Desmoldeo]])/(Tabla_master_rend[[#This Row],[Kg_Queso_Blan]])</f>
        <v>1.0411260369876192E-2</v>
      </c>
      <c r="BA55" s="7">
        <v>350</v>
      </c>
      <c r="BB55" s="60">
        <f>+Tabla_master_rend[[#This Row],[L_Agua]]/(Tabla_master_rend[[#This Row],[L_Agua]]+Tabla_master_rend[[#This Row],[Kg_SalidaSecadero]])</f>
        <v>1.0703363914373088E-2</v>
      </c>
      <c r="BC55" s="8">
        <v>4589</v>
      </c>
      <c r="BD55" s="8">
        <v>4388</v>
      </c>
      <c r="BE55" s="8">
        <v>31459</v>
      </c>
      <c r="BF55" s="8">
        <f>9*6.2</f>
        <v>55.800000000000004</v>
      </c>
      <c r="BG55" s="8">
        <f>19*6.2</f>
        <v>117.8</v>
      </c>
      <c r="BH55" s="7">
        <v>0</v>
      </c>
      <c r="BI55" s="7">
        <f>165*6.2</f>
        <v>1023</v>
      </c>
      <c r="BJ55" s="8">
        <v>108</v>
      </c>
      <c r="BK55" s="8">
        <v>32350</v>
      </c>
      <c r="BL55" s="8">
        <v>2.48</v>
      </c>
      <c r="BM55" s="8">
        <v>894.02</v>
      </c>
      <c r="BN55" s="7">
        <v>25.3</v>
      </c>
      <c r="BO55" s="68">
        <f>+SUM(Tabla_master_rend[[#This Row],[B_altas]:[B_lab]])/Tabla_master_rend[[#This Row],[Kg_SalidaSecadero]]</f>
        <v>4.0327666151468315E-2</v>
      </c>
      <c r="BP55" s="68">
        <f>+(Tabla_master_rend[[#This Row],[Kg_mer_env_real]]+Tabla_master_rend[[#This Row],[kg_mer_lab_real]])/Tabla_master_rend[[#This Row],[Kg_SalidaSecadero]]</f>
        <v>2.8417928902627509E-2</v>
      </c>
      <c r="BQ55" s="64">
        <f>+Tabla_master_rend[[#This Row],[Merma_TOT]]/Tabla_master_rend[[#This Row],[Kg_Queso_Blan]]</f>
        <v>4.8899301931392754E-2</v>
      </c>
      <c r="BR55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1615.83</v>
      </c>
      <c r="BS55" s="8"/>
      <c r="BT55" s="63">
        <f>IF(+Tabla_master_rend[[#This Row],[Kg_Env_Total]]=0,0,Tabla_master_rend[[#This Row],[Kg_Env_Total]]-Tabla_master_rend[[#This Row],[Kg_SalidaSecadero]])</f>
        <v>0</v>
      </c>
      <c r="BU55" s="60">
        <f>+Tabla_master_rend[[#This Row],[Diferencia_Env_vs_Sec_kg]]/Tabla_master_rend[[#This Row],[Kg_SalidaSecadero]]</f>
        <v>0</v>
      </c>
      <c r="BV55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55" s="65">
        <f>+(Tabla_master_rend[[#This Row],[Coste_Leche_€]]-Tabla_master_rend[[#This Row],[Kg_MG_Nata]]*$CO$3)/Tabla_master_rend[[#This Row],[Kg_Queso_Blan]]</f>
        <v>-0.7956656618457254</v>
      </c>
      <c r="BX55" s="8">
        <f>SUM(Tabla_master_rend[[#This Row],[Kg_Finos]:[Kg_Desmoldeo]])+Tabla_master_rend[[#This Row],[L_Agua]]+SUM(Tabla_master_rend[[#This Row],[B_altas]:[B_lab]])</f>
        <v>1998.6299999999999</v>
      </c>
      <c r="BY55" s="8">
        <f>+BX55-Tabla_master_rend[[#This Row],[Merma_TOT]]</f>
        <v>382.79999999999995</v>
      </c>
      <c r="BZ55" s="62">
        <f t="shared" si="22"/>
        <v>0.19153119887122677</v>
      </c>
      <c r="CA55" s="8">
        <f>+Tabla_master_rend[[#This Row],[Kg_Queso_Blan]]*$CA$1</f>
        <v>214.78619499999999</v>
      </c>
      <c r="CB55" s="8">
        <f>+Tabla_master_rend[[#This Row],[Kg_Queso_Blan]]*($CB$1-$CA$1)</f>
        <v>115.65410500000002</v>
      </c>
      <c r="CC55" s="8">
        <f>+(Tabla_master_rend[[#This Row],[Kg_Queso_Blan]]-CA55-CB55)*$CC$1</f>
        <v>343.49269184999997</v>
      </c>
      <c r="CD55" s="8">
        <f t="shared" si="23"/>
        <v>673.93299185000001</v>
      </c>
      <c r="CE55" s="80">
        <f>+CD55/Tabla_master_rend[[#This Row],[Kg_Queso_Blan]]</f>
        <v>2.0395E-2</v>
      </c>
      <c r="CF55" s="62">
        <f>+Tabla_master_rend[[#This Row],[Merma_TOT]]/Tabla_master_rend[[#This Row],[Kg_Queso_Blan]]</f>
        <v>4.8899301931392754E-2</v>
      </c>
      <c r="CG55" s="8">
        <f>CD55-Tabla_master_rend[[#This Row],[Merma_TOT]]</f>
        <v>-941.89700814999992</v>
      </c>
      <c r="CH55" s="81" cm="1">
        <f t="array" ref="CH55">-BR55 * IFERROR(INDEX('Precio Leche_EBITDA_Ventas'!$BD$87:$BD$110,MATCH(1,('Precio Leche_EBITDA_Ventas'!$AZ$87:$AZ$110=YEAR(A55))*('Precio Leche_EBITDA_Ventas'!$BB$87:$BB$110=C55),0)),1.3)</f>
        <v>-4978.6178375695126</v>
      </c>
      <c r="CI55" s="81">
        <f t="shared" si="24"/>
        <v>-1224.4661105949999</v>
      </c>
    </row>
    <row r="56" spans="1:87" x14ac:dyDescent="0.35">
      <c r="A56" s="9">
        <v>45775</v>
      </c>
      <c r="B56" s="7">
        <v>4</v>
      </c>
      <c r="C56" s="7" t="str">
        <f>+UPPER(TEXT(Tabla_master_rend[[#This Row],[Fecha]],"MMM"))</f>
        <v>ABR</v>
      </c>
      <c r="D56" s="7" t="str">
        <f>+UPPER(TEXT(Tabla_master_rend[[#This Row],[Fecha]],"ddd"))</f>
        <v>LU</v>
      </c>
      <c r="E56" s="3">
        <v>280425226</v>
      </c>
      <c r="F56" s="3" t="s">
        <v>244</v>
      </c>
      <c r="G56" s="84" t="s">
        <v>190</v>
      </c>
      <c r="H56">
        <v>12</v>
      </c>
      <c r="I56" s="8">
        <f>+Tabla_master_rend[[#This Row],[L_Leche_ent]]+Tabla_master_rend[[#This Row],[L_desn_ext]]+Tabla_master_rend[[#This Row],[L_cabra]]+Tabla_master_rend[[#This Row],[L_oveja]]</f>
        <v>167060</v>
      </c>
      <c r="J56" s="8">
        <v>167060</v>
      </c>
      <c r="K56" s="5">
        <v>3.6699999999999997E-2</v>
      </c>
      <c r="L56" s="5">
        <v>3.3000000000000002E-2</v>
      </c>
      <c r="M56" s="5">
        <f t="shared" si="19"/>
        <v>0.10655100000000001</v>
      </c>
      <c r="N56" s="35" t="s">
        <v>188</v>
      </c>
      <c r="O56" s="8">
        <v>0</v>
      </c>
      <c r="P56" s="8">
        <v>0</v>
      </c>
      <c r="Q56" s="8">
        <v>0</v>
      </c>
      <c r="R56" s="8">
        <v>1725.2331994645249</v>
      </c>
      <c r="T56" s="8">
        <v>151800</v>
      </c>
      <c r="U56" s="38">
        <f>+Tabla_master_rend[[#This Row],[L_suero Total]]/Tabla_master_rend[[#This Row],[Litros_Leche_Total]]</f>
        <v>0.90865557284807852</v>
      </c>
      <c r="V56" s="5">
        <v>3.7000000000000002E-3</v>
      </c>
      <c r="W56" s="5">
        <v>1.01E-2</v>
      </c>
      <c r="X56" s="8">
        <v>61700</v>
      </c>
      <c r="Y56" s="57">
        <v>23300</v>
      </c>
      <c r="Z56" s="58">
        <f>IF(Tabla_master_rend[[#This Row],[L_suero para con]]=0,0,+Tabla_master_rend[[#This Row],[L_suero para con]]/Tabla_master_rend[[#This Row],[L_suero_con]])</f>
        <v>2.648068669527897</v>
      </c>
      <c r="AA56" s="8">
        <f>+Tabla_master_rend[[#This Row],[L_suero Total]]-Tabla_master_rend[[#This Row],[L_suero para con]]</f>
        <v>90100</v>
      </c>
      <c r="AD56" s="8"/>
      <c r="AE56" s="8"/>
      <c r="AF56" s="8"/>
      <c r="AG56" s="5"/>
      <c r="AI56" s="7">
        <f>+Tabla_master_rend[[#This Row],[Kg_Finos]]+Tabla_master_rend[[#This Row],[Kg_Llenadora]]+Tabla_master_rend[[#This Row],[Kg_Desmoldeo]]+Tabla_master_rend[[#This Row],[L_Agua]]+Tabla_master_rend[[#This Row],[Kg_SalidaSecadero]]</f>
        <v>16653.63</v>
      </c>
      <c r="AJ56" s="59">
        <f>+Tabla_master_rend[[#This Row],[Litros_Leche_Total]]/Tabla_master_rend[[#This Row],[Kg_Queso_Blan]]</f>
        <v>10.031446597528586</v>
      </c>
      <c r="AK56" s="59">
        <f>+Tabla_master_rend[[#This Row],[Litros_Leche_Total]]/(Tabla_master_rend[[#This Row],[Kg_Queso_Blan]]-Tabla_master_rend[[#This Row],[Merma_TOT]])</f>
        <v>14.951046197354524</v>
      </c>
      <c r="AL56" s="59">
        <f>VLOOKUP(G56,REND_TARGET[#All],8,FALSE)</f>
        <v>8.4943170000000006</v>
      </c>
      <c r="AM56" s="7">
        <f>(I56*1.03*Tabla_master_rend[[#This Row],[%MG_Leche]])+(I56*1.03*Tabla_master_rend[[#This Row],[%MP_Leche]])</f>
        <v>11993.404460000002</v>
      </c>
      <c r="AN56" s="38">
        <v>0.28859999999999997</v>
      </c>
      <c r="AO56" s="38">
        <v>0.23530000000000001</v>
      </c>
      <c r="AP56" s="60">
        <v>0.56999999999999995</v>
      </c>
      <c r="AQ56" s="38">
        <f>+Tabla_master_rend[[#This Row],[Kg_Queso_Blan]]*Tabla_master_rend[[#This Row],[ES_QUESO]]/(Tabla_master_rend[[#This Row],[Kg_Solidos_leche]])</f>
        <v>0.79148244617775521</v>
      </c>
      <c r="AR56" s="7">
        <f t="shared" si="20"/>
        <v>690.09327978580995</v>
      </c>
      <c r="AS56" s="61">
        <f>+(Tabla_master_rend[[#This Row],[Kg_Queso_Blan]]*Tabla_master_rend[[#This Row],[%MG_QUESO]]+(Tabla_master_rend[[#This Row],[Kg_MG_Nata]]))/(Tabla_master_rend[[#This Row],[Litros_Leche_Total]]*1.03*Tabla_master_rend[[#This Row],[%MG_Leche]])</f>
        <v>0.87035635520063293</v>
      </c>
      <c r="AT56" s="62">
        <f>+Tabla_master_rend[[#This Row],[Kg_Queso_Blan]]*Tabla_master_rend[[#This Row],[%PT_QUESO]]/(Tabla_master_rend[[#This Row],[Litros_Leche_Total]]*1.03*Tabla_master_rend[[#This Row],[%MP_Leche]])</f>
        <v>0.6900923245676831</v>
      </c>
      <c r="AU56" s="63">
        <f t="shared" si="21"/>
        <v>5175.6995983935749</v>
      </c>
      <c r="AV56" s="7">
        <v>21.63</v>
      </c>
      <c r="AW56" s="7">
        <v>4587</v>
      </c>
      <c r="AX56" s="7">
        <v>0</v>
      </c>
      <c r="AY56" s="8">
        <f>SUM(Tabla_master_rend[[#This Row],[Kg_Finos]:[Kg_Desmoldeo]])</f>
        <v>4608.63</v>
      </c>
      <c r="AZ56" s="60">
        <f>+(Tabla_master_rend[[#This Row],[Kg_Finos]]+Tabla_master_rend[[#This Row],[Kg_Llenadora]]+Tabla_master_rend[[#This Row],[Kg_Desmoldeo]])/(Tabla_master_rend[[#This Row],[Kg_Queso_Blan]])</f>
        <v>0.27673426153937608</v>
      </c>
      <c r="BA56" s="7">
        <v>140</v>
      </c>
      <c r="BB56" s="60">
        <f>+Tabla_master_rend[[#This Row],[L_Agua]]/(Tabla_master_rend[[#This Row],[L_Agua]]+Tabla_master_rend[[#This Row],[Kg_SalidaSecadero]])</f>
        <v>1.1623080116230802E-2</v>
      </c>
      <c r="BC56" s="8">
        <v>1718</v>
      </c>
      <c r="BD56" s="8">
        <v>1715</v>
      </c>
      <c r="BE56" s="8">
        <v>12026</v>
      </c>
      <c r="BF56" s="8">
        <v>0</v>
      </c>
      <c r="BG56" s="8">
        <v>0</v>
      </c>
      <c r="BH56" s="7">
        <v>0</v>
      </c>
      <c r="BI56" s="7">
        <v>0</v>
      </c>
      <c r="BJ56" s="8">
        <v>19</v>
      </c>
      <c r="BK56" s="8">
        <v>11905</v>
      </c>
      <c r="BL56" s="8">
        <v>1.59</v>
      </c>
      <c r="BM56" s="8">
        <v>714.86</v>
      </c>
      <c r="BN56" s="7">
        <v>14.75</v>
      </c>
      <c r="BO56" s="68">
        <f>+SUM(Tabla_master_rend[[#This Row],[B_altas]:[B_lab]])/Tabla_master_rend[[#This Row],[Kg_SalidaSecadero]]</f>
        <v>1.5959680806383872E-3</v>
      </c>
      <c r="BP56" s="68">
        <f>+(Tabla_master_rend[[#This Row],[Kg_mer_env_real]]+Tabla_master_rend[[#This Row],[kg_mer_lab_real]])/Tabla_master_rend[[#This Row],[Kg_SalidaSecadero]]</f>
        <v>6.1286014279714404E-2</v>
      </c>
      <c r="BQ56" s="64">
        <f>+Tabla_master_rend[[#This Row],[Merma_TOT]]/Tabla_master_rend[[#This Row],[Kg_Queso_Blan]]</f>
        <v>0.32904718070474726</v>
      </c>
      <c r="BR56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5479.83</v>
      </c>
      <c r="BS56" s="8"/>
      <c r="BT56" s="63">
        <f>IF(+Tabla_master_rend[[#This Row],[Kg_Env_Total]]=0,0,Tabla_master_rend[[#This Row],[Kg_Env_Total]]-Tabla_master_rend[[#This Row],[Kg_SalidaSecadero]])</f>
        <v>0</v>
      </c>
      <c r="BU56" s="60">
        <f>+Tabla_master_rend[[#This Row],[Diferencia_Env_vs_Sec_kg]]/Tabla_master_rend[[#This Row],[Kg_SalidaSecadero]]</f>
        <v>0</v>
      </c>
      <c r="BV56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56" s="65">
        <f>+(Tabla_master_rend[[#This Row],[Coste_Leche_€]]-Tabla_master_rend[[#This Row],[Kg_MG_Nata]]*$CO$3)/Tabla_master_rend[[#This Row],[Kg_Queso_Blan]]</f>
        <v>-0.31078507198692262</v>
      </c>
      <c r="BX56" s="8">
        <f>SUM(Tabla_master_rend[[#This Row],[Kg_Finos]:[Kg_Desmoldeo]])+Tabla_master_rend[[#This Row],[L_Agua]]+SUM(Tabla_master_rend[[#This Row],[B_altas]:[B_lab]])</f>
        <v>4767.63</v>
      </c>
      <c r="BY56" s="8">
        <f>+BX56-Tabla_master_rend[[#This Row],[Merma_TOT]]</f>
        <v>-712.19999999999982</v>
      </c>
      <c r="BZ56" s="62">
        <f t="shared" si="22"/>
        <v>-0.14938239754343349</v>
      </c>
      <c r="CA56" s="8">
        <f>+Tabla_master_rend[[#This Row],[Kg_Queso_Blan]]*$CA$1</f>
        <v>108.24859499999999</v>
      </c>
      <c r="CB56" s="8">
        <f>+Tabla_master_rend[[#This Row],[Kg_Queso_Blan]]*($CB$1-$CA$1)</f>
        <v>58.28770500000001</v>
      </c>
      <c r="CC56" s="8">
        <f>+(Tabla_master_rend[[#This Row],[Kg_Queso_Blan]]-CA56-CB56)*$CC$1</f>
        <v>173.11448385000003</v>
      </c>
      <c r="CD56" s="8">
        <f t="shared" si="23"/>
        <v>339.65078385000004</v>
      </c>
      <c r="CE56" s="80">
        <f>+CD56/Tabla_master_rend[[#This Row],[Kg_Queso_Blan]]</f>
        <v>2.0395E-2</v>
      </c>
      <c r="CF56" s="62">
        <f>+Tabla_master_rend[[#This Row],[Merma_TOT]]/Tabla_master_rend[[#This Row],[Kg_Queso_Blan]]</f>
        <v>0.32904718070474726</v>
      </c>
      <c r="CG56" s="8">
        <f>CD56-Tabla_master_rend[[#This Row],[Merma_TOT]]</f>
        <v>-5140.1792161499998</v>
      </c>
      <c r="CH56" s="81" cm="1">
        <f t="array" ref="CH56">-BR56 * IFERROR(INDEX('Precio Leche_EBITDA_Ventas'!$BD$87:$BD$110,MATCH(1,('Precio Leche_EBITDA_Ventas'!$AZ$87:$AZ$110=YEAR(A56))*('Precio Leche_EBITDA_Ventas'!$BB$87:$BB$110=C56),0)),1.3)</f>
        <v>-16884.189168940138</v>
      </c>
      <c r="CI56" s="81">
        <f t="shared" si="24"/>
        <v>-6682.2329809949997</v>
      </c>
    </row>
    <row r="57" spans="1:87" x14ac:dyDescent="0.35">
      <c r="A57" s="9">
        <v>45776</v>
      </c>
      <c r="B57" s="7">
        <v>4</v>
      </c>
      <c r="C57" s="7" t="str">
        <f>+UPPER(TEXT(Tabla_master_rend[[#This Row],[Fecha]],"MMM"))</f>
        <v>ABR</v>
      </c>
      <c r="D57" s="7" t="str">
        <f>+UPPER(TEXT(Tabla_master_rend[[#This Row],[Fecha]],"ddd"))</f>
        <v>MA</v>
      </c>
      <c r="E57" s="3">
        <v>290425226</v>
      </c>
      <c r="F57" s="3" t="s">
        <v>244</v>
      </c>
      <c r="G57" s="84" t="s">
        <v>190</v>
      </c>
      <c r="H57">
        <v>9</v>
      </c>
      <c r="I57" s="8">
        <f>+Tabla_master_rend[[#This Row],[L_Leche_ent]]+Tabla_master_rend[[#This Row],[L_desn_ext]]+Tabla_master_rend[[#This Row],[L_cabra]]+Tabla_master_rend[[#This Row],[L_oveja]]</f>
        <v>131740</v>
      </c>
      <c r="J57" s="8">
        <v>131740</v>
      </c>
      <c r="K57" s="5">
        <v>3.61E-2</v>
      </c>
      <c r="L57" s="5">
        <v>3.2899999999999999E-2</v>
      </c>
      <c r="M57" s="5">
        <f t="shared" si="19"/>
        <v>0.105919</v>
      </c>
      <c r="N57" s="35" t="s">
        <v>188</v>
      </c>
      <c r="O57" s="8">
        <v>0</v>
      </c>
      <c r="P57" s="8">
        <v>0</v>
      </c>
      <c r="Q57" s="8">
        <v>0</v>
      </c>
      <c r="R57" s="8">
        <v>1002.7668005354753</v>
      </c>
      <c r="T57" s="8">
        <v>122950</v>
      </c>
      <c r="U57" s="38">
        <f>+Tabla_master_rend[[#This Row],[L_suero Total]]/Tabla_master_rend[[#This Row],[Litros_Leche_Total]]</f>
        <v>0.93327766813420376</v>
      </c>
      <c r="V57" s="5">
        <v>2.5000000000000001E-3</v>
      </c>
      <c r="W57" s="5">
        <v>1.01E-2</v>
      </c>
      <c r="X57" s="8">
        <v>124636</v>
      </c>
      <c r="Y57" s="57">
        <v>41090</v>
      </c>
      <c r="Z57" s="58">
        <f>IF(Tabla_master_rend[[#This Row],[L_suero para con]]=0,0,+Tabla_master_rend[[#This Row],[L_suero para con]]/Tabla_master_rend[[#This Row],[L_suero_con]])</f>
        <v>3.0332440983207594</v>
      </c>
      <c r="AA57" s="8">
        <f>+Tabla_master_rend[[#This Row],[L_suero Total]]-Tabla_master_rend[[#This Row],[L_suero para con]]</f>
        <v>-1686</v>
      </c>
      <c r="AD57" s="8"/>
      <c r="AE57" s="8"/>
      <c r="AF57" s="8"/>
      <c r="AG57" s="5"/>
      <c r="AI57" s="7">
        <f>+Tabla_master_rend[[#This Row],[Kg_Finos]]+Tabla_master_rend[[#This Row],[Kg_Llenadora]]+Tabla_master_rend[[#This Row],[Kg_Desmoldeo]]+Tabla_master_rend[[#This Row],[L_Agua]]+Tabla_master_rend[[#This Row],[Kg_SalidaSecadero]]</f>
        <v>15180.96</v>
      </c>
      <c r="AJ57" s="59">
        <f>+Tabla_master_rend[[#This Row],[Litros_Leche_Total]]/Tabla_master_rend[[#This Row],[Kg_Queso_Blan]]</f>
        <v>8.6779755693974554</v>
      </c>
      <c r="AK57" s="59">
        <f>+Tabla_master_rend[[#This Row],[Litros_Leche_Total]]/(Tabla_master_rend[[#This Row],[Kg_Queso_Blan]]-Tabla_master_rend[[#This Row],[Merma_TOT]])</f>
        <v>8.883596163883265</v>
      </c>
      <c r="AL57" s="59">
        <f>VLOOKUP(G57,REND_TARGET[#All],8,FALSE)</f>
        <v>8.4943170000000006</v>
      </c>
      <c r="AM57" s="7">
        <f>(I57*1.03*Tabla_master_rend[[#This Row],[%MG_Leche]])+(I57*1.03*Tabla_master_rend[[#This Row],[%MP_Leche]])</f>
        <v>9362.7618000000002</v>
      </c>
      <c r="AN57" s="38">
        <v>0.29160000000000003</v>
      </c>
      <c r="AO57" s="38">
        <v>0.2349</v>
      </c>
      <c r="AP57" s="60">
        <v>0.57420000000000004</v>
      </c>
      <c r="AQ57" s="38">
        <f>+Tabla_master_rend[[#This Row],[Kg_Queso_Blan]]*Tabla_master_rend[[#This Row],[ES_QUESO]]/(Tabla_master_rend[[#This Row],[Kg_Solidos_leche]])</f>
        <v>0.93101879746636285</v>
      </c>
      <c r="AR57" s="7">
        <f t="shared" si="20"/>
        <v>401.10672021419015</v>
      </c>
      <c r="AS57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0.98558458084794043</v>
      </c>
      <c r="AT57" s="62">
        <f>+Tabla_master_rend[[#This Row],[Kg_Queso_Blan]]*Tabla_master_rend[[#This Row],[%PT_QUESO]]/(Tabla_master_rend[[#This Row],[Litros_Leche_Total]]*1.03*Tabla_master_rend[[#This Row],[%MP_Leche]])</f>
        <v>0.79878788785107946</v>
      </c>
      <c r="AU57" s="63">
        <f t="shared" si="21"/>
        <v>3008.300401606426</v>
      </c>
      <c r="AV57" s="7">
        <v>69.959999999999994</v>
      </c>
      <c r="AW57" s="7">
        <v>92</v>
      </c>
      <c r="AX57" s="7">
        <v>0</v>
      </c>
      <c r="AY57" s="8">
        <f>SUM(Tabla_master_rend[[#This Row],[Kg_Finos]:[Kg_Desmoldeo]])</f>
        <v>161.95999999999998</v>
      </c>
      <c r="AZ57" s="60">
        <f>+(Tabla_master_rend[[#This Row],[Kg_Finos]]+Tabla_master_rend[[#This Row],[Kg_Llenadora]]+Tabla_master_rend[[#This Row],[Kg_Desmoldeo]])/(Tabla_master_rend[[#This Row],[Kg_Queso_Blan]])</f>
        <v>1.0668627017000241E-2</v>
      </c>
      <c r="BA57" s="7">
        <v>120</v>
      </c>
      <c r="BB57" s="60">
        <f>+Tabla_master_rend[[#This Row],[L_Agua]]/(Tabla_master_rend[[#This Row],[L_Agua]]+Tabla_master_rend[[#This Row],[Kg_SalidaSecadero]])</f>
        <v>7.9898794859844195E-3</v>
      </c>
      <c r="BC57" s="8">
        <v>2159</v>
      </c>
      <c r="BD57" s="8">
        <v>2126</v>
      </c>
      <c r="BE57" s="8">
        <v>14830</v>
      </c>
      <c r="BF57" s="8">
        <v>0</v>
      </c>
      <c r="BG57" s="8">
        <f>18*5.6</f>
        <v>100.8</v>
      </c>
      <c r="BH57" s="7">
        <v>0</v>
      </c>
      <c r="BI57" s="7">
        <f>6*5.6</f>
        <v>33.599999999999994</v>
      </c>
      <c r="BJ57" s="8">
        <v>54</v>
      </c>
      <c r="BK57" s="8">
        <v>14899</v>
      </c>
      <c r="BL57" s="8">
        <v>0</v>
      </c>
      <c r="BM57" s="8">
        <v>52.21</v>
      </c>
      <c r="BN57" s="7">
        <v>17.21</v>
      </c>
      <c r="BO57" s="68">
        <f>+SUM(Tabla_master_rend[[#This Row],[B_altas]:[B_lab]])/Tabla_master_rend[[#This Row],[Kg_SalidaSecadero]]</f>
        <v>1.2645143969393917E-2</v>
      </c>
      <c r="BP57" s="68">
        <f>+(Tabla_master_rend[[#This Row],[Kg_mer_env_real]]+Tabla_master_rend[[#This Row],[kg_mer_lab_real]])/Tabla_master_rend[[#This Row],[Kg_SalidaSecadero]]</f>
        <v>4.6593731122894153E-3</v>
      </c>
      <c r="BQ57" s="64">
        <f>+Tabla_master_rend[[#This Row],[Merma_TOT]]/Tabla_master_rend[[#This Row],[Kg_Queso_Blan]]</f>
        <v>2.3146098797441006E-2</v>
      </c>
      <c r="BR57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351.38</v>
      </c>
      <c r="BS57" s="8"/>
      <c r="BT57" s="63">
        <f>IF(+Tabla_master_rend[[#This Row],[Kg_Env_Total]]=0,0,Tabla_master_rend[[#This Row],[Kg_Env_Total]]-Tabla_master_rend[[#This Row],[Kg_SalidaSecadero]])</f>
        <v>0</v>
      </c>
      <c r="BU57" s="60">
        <f>+Tabla_master_rend[[#This Row],[Diferencia_Env_vs_Sec_kg]]/Tabla_master_rend[[#This Row],[Kg_SalidaSecadero]]</f>
        <v>0</v>
      </c>
      <c r="BV57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57" s="65">
        <f>+(Tabla_master_rend[[#This Row],[Coste_Leche_€]]-Tabla_master_rend[[#This Row],[Kg_MG_Nata]]*$CO$3)/Tabla_master_rend[[#This Row],[Kg_Queso_Blan]]</f>
        <v>-0.19816272499278215</v>
      </c>
      <c r="BX57" s="8">
        <f>SUM(Tabla_master_rend[[#This Row],[Kg_Finos]:[Kg_Desmoldeo]])+Tabla_master_rend[[#This Row],[L_Agua]]+SUM(Tabla_master_rend[[#This Row],[B_altas]:[B_lab]])</f>
        <v>470.35999999999996</v>
      </c>
      <c r="BY57" s="8">
        <f>+BX57-Tabla_master_rend[[#This Row],[Merma_TOT]]</f>
        <v>118.97999999999996</v>
      </c>
      <c r="BZ57" s="62">
        <f t="shared" si="22"/>
        <v>0.25295518326388294</v>
      </c>
      <c r="CA57" s="8">
        <f>+Tabla_master_rend[[#This Row],[Kg_Queso_Blan]]*$CA$1</f>
        <v>98.676239999999993</v>
      </c>
      <c r="CB57" s="8">
        <f>+Tabla_master_rend[[#This Row],[Kg_Queso_Blan]]*($CB$1-$CA$1)</f>
        <v>53.133360000000003</v>
      </c>
      <c r="CC57" s="8">
        <f>+(Tabla_master_rend[[#This Row],[Kg_Queso_Blan]]-CA57-CB57)*$CC$1</f>
        <v>157.8060792</v>
      </c>
      <c r="CD57" s="8">
        <f t="shared" si="23"/>
        <v>309.61567919999999</v>
      </c>
      <c r="CE57" s="80">
        <f>+CD57/Tabla_master_rend[[#This Row],[Kg_Queso_Blan]]</f>
        <v>2.0395E-2</v>
      </c>
      <c r="CF57" s="62">
        <f>+Tabla_master_rend[[#This Row],[Merma_TOT]]/Tabla_master_rend[[#This Row],[Kg_Queso_Blan]]</f>
        <v>2.3146098797441006E-2</v>
      </c>
      <c r="CG57" s="8">
        <f>CD57-Tabla_master_rend[[#This Row],[Merma_TOT]]</f>
        <v>-41.764320800000007</v>
      </c>
      <c r="CH57" s="81" cm="1">
        <f t="array" ref="CH57">-BR57 * IFERROR(INDEX('Precio Leche_EBITDA_Ventas'!$BD$87:$BD$110,MATCH(1,('Precio Leche_EBITDA_Ventas'!$AZ$87:$AZ$110=YEAR(A57))*('Precio Leche_EBITDA_Ventas'!$BB$87:$BB$110=C57),0)),1.3)</f>
        <v>-1082.655190066514</v>
      </c>
      <c r="CI57" s="81">
        <f t="shared" si="24"/>
        <v>-54.293617040000008</v>
      </c>
    </row>
    <row r="58" spans="1:87" x14ac:dyDescent="0.35">
      <c r="A58" s="9">
        <v>45777</v>
      </c>
      <c r="B58" s="7">
        <v>4</v>
      </c>
      <c r="C58" s="7" t="str">
        <f>+UPPER(TEXT(Tabla_master_rend[[#This Row],[Fecha]],"MMM"))</f>
        <v>ABR</v>
      </c>
      <c r="D58" s="7" t="str">
        <f>+UPPER(TEXT(Tabla_master_rend[[#This Row],[Fecha]],"ddd"))</f>
        <v>MI</v>
      </c>
      <c r="E58" s="3">
        <v>300425316</v>
      </c>
      <c r="F58" s="3" t="s">
        <v>244</v>
      </c>
      <c r="G58" s="84" t="s">
        <v>299</v>
      </c>
      <c r="H58">
        <v>20</v>
      </c>
      <c r="I58" s="8">
        <f>+Tabla_master_rend[[#This Row],[L_Leche_ent]]+Tabla_master_rend[[#This Row],[L_desn_ext]]+Tabla_master_rend[[#This Row],[L_cabra]]+Tabla_master_rend[[#This Row],[L_oveja]]</f>
        <v>329668</v>
      </c>
      <c r="J58" s="8">
        <v>329668</v>
      </c>
      <c r="K58" s="5">
        <v>3.9800000000000002E-2</v>
      </c>
      <c r="L58" s="5">
        <v>3.3500000000000002E-2</v>
      </c>
      <c r="M58" s="5">
        <f t="shared" ref="M58:M89" si="25">0.93*K58+0.74*L58+0.048</f>
        <v>0.10980400000000001</v>
      </c>
      <c r="N58" s="35" t="s">
        <v>43</v>
      </c>
      <c r="O58" s="8">
        <v>0</v>
      </c>
      <c r="P58" s="8">
        <v>0</v>
      </c>
      <c r="Q58" s="8">
        <v>0</v>
      </c>
      <c r="R58" s="8">
        <v>11961</v>
      </c>
      <c r="T58" s="8">
        <v>279510</v>
      </c>
      <c r="U58" s="38">
        <f>+Tabla_master_rend[[#This Row],[L_suero Total]]/Tabla_master_rend[[#This Row],[Litros_Leche_Total]]</f>
        <v>0.84785299149447324</v>
      </c>
      <c r="V58" s="5">
        <v>1.1999999999999999E-3</v>
      </c>
      <c r="W58" s="5">
        <v>9.0000000000000011E-3</v>
      </c>
      <c r="X58" s="8">
        <v>195942</v>
      </c>
      <c r="Y58" s="57">
        <v>62902</v>
      </c>
      <c r="Z58" s="58">
        <f>IF(Tabla_master_rend[[#This Row],[L_suero para con]]=0,0,+Tabla_master_rend[[#This Row],[L_suero para con]]/Tabla_master_rend[[#This Row],[L_suero_con]])</f>
        <v>3.1150360878827383</v>
      </c>
      <c r="AA58" s="8">
        <f>+Tabla_master_rend[[#This Row],[L_suero Total]]-Tabla_master_rend[[#This Row],[L_suero para con]]</f>
        <v>83568</v>
      </c>
      <c r="AD58" s="8"/>
      <c r="AE58" s="8"/>
      <c r="AF58" s="8"/>
      <c r="AG58" s="5"/>
      <c r="AI58" s="7">
        <f>+Tabla_master_rend[[#This Row],[Kg_Finos]]+Tabla_master_rend[[#This Row],[Kg_Llenadora]]+Tabla_master_rend[[#This Row],[Kg_Desmoldeo]]+Tabla_master_rend[[#This Row],[L_Agua]]+Tabla_master_rend[[#This Row],[Kg_SalidaSecadero]]</f>
        <v>32627.38</v>
      </c>
      <c r="AJ58" s="59">
        <f>+Tabla_master_rend[[#This Row],[Litros_Leche_Total]]/Tabla_master_rend[[#This Row],[Kg_Queso_Blan]]</f>
        <v>10.104029192659661</v>
      </c>
      <c r="AK58" s="59">
        <f>+Tabla_master_rend[[#This Row],[Litros_Leche_Total]]/(Tabla_master_rend[[#This Row],[Kg_Queso_Blan]]-Tabla_master_rend[[#This Row],[Merma_TOT]])</f>
        <v>10.858590433302119</v>
      </c>
      <c r="AL58" s="59">
        <f>VLOOKUP(G58,REND_TARGET[#All],8,FALSE)</f>
        <v>9.8078500000000002</v>
      </c>
      <c r="AM58" s="7">
        <f>(I58*1.03*Tabla_master_rend[[#This Row],[%MG_Leche]])+(I58*1.03*Tabla_master_rend[[#This Row],[%MP_Leche]])</f>
        <v>24889.604332000003</v>
      </c>
      <c r="AN58" s="38">
        <v>0.23760000000000001</v>
      </c>
      <c r="AO58" s="38">
        <v>0.27329999999999999</v>
      </c>
      <c r="AP58" s="60">
        <v>0.55920000000000003</v>
      </c>
      <c r="AQ58" s="38">
        <f>+Tabla_master_rend[[#This Row],[Kg_Queso_Blan]]*Tabla_master_rend[[#This Row],[ES_QUESO]]/(Tabla_master_rend[[#This Row],[Kg_Solidos_leche]])</f>
        <v>0.73304624101808313</v>
      </c>
      <c r="AR58" s="7">
        <f t="shared" ref="AR58:AR89" si="26">R58*0.4</f>
        <v>4784.4000000000005</v>
      </c>
      <c r="AS58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0.92765170624697724</v>
      </c>
      <c r="AT58" s="62">
        <f>+Tabla_master_rend[[#This Row],[Kg_Queso_Blan]]*Tabla_master_rend[[#This Row],[%PT_QUESO]]/(Tabla_master_rend[[#This Row],[Litros_Leche_Total]]*1.03*Tabla_master_rend[[#This Row],[%MP_Leche]])</f>
        <v>0.78390422945512483</v>
      </c>
      <c r="AU58" s="63">
        <f t="shared" ref="AU58:AU89" si="27">AR58*$CO$3</f>
        <v>35883.000000000007</v>
      </c>
      <c r="AV58" s="7">
        <v>56.98</v>
      </c>
      <c r="AW58" s="7">
        <v>331</v>
      </c>
      <c r="AX58" s="7">
        <v>94.4</v>
      </c>
      <c r="AY58" s="8">
        <f>SUM(Tabla_master_rend[[#This Row],[Kg_Finos]:[Kg_Desmoldeo]])</f>
        <v>482.38</v>
      </c>
      <c r="AZ58" s="60">
        <f>+(Tabla_master_rend[[#This Row],[Kg_Finos]]+Tabla_master_rend[[#This Row],[Kg_Llenadora]]+Tabla_master_rend[[#This Row],[Kg_Desmoldeo]])/(Tabla_master_rend[[#This Row],[Kg_Queso_Blan]])</f>
        <v>1.4784515336505719E-2</v>
      </c>
      <c r="BA58" s="7">
        <v>320</v>
      </c>
      <c r="BB58" s="60">
        <f>+Tabla_master_rend[[#This Row],[L_Agua]]/(Tabla_master_rend[[#This Row],[L_Agua]]+Tabla_master_rend[[#This Row],[Kg_SalidaSecadero]])</f>
        <v>9.954891896095816E-3</v>
      </c>
      <c r="BC58" s="8">
        <v>4653</v>
      </c>
      <c r="BD58" s="8">
        <v>4321</v>
      </c>
      <c r="BE58" s="8">
        <v>30080</v>
      </c>
      <c r="BF58" s="8">
        <v>0</v>
      </c>
      <c r="BG58" s="8">
        <f>112*6.2</f>
        <v>694.4</v>
      </c>
      <c r="BH58" s="7"/>
      <c r="BI58" s="7">
        <f>198*6.2</f>
        <v>1227.6000000000001</v>
      </c>
      <c r="BJ58" s="8">
        <v>133</v>
      </c>
      <c r="BK58" s="8">
        <v>31825</v>
      </c>
      <c r="BL58" s="8">
        <v>3.75</v>
      </c>
      <c r="BM58" s="8">
        <v>1430.28</v>
      </c>
      <c r="BN58" s="7">
        <v>30.86</v>
      </c>
      <c r="BO58" s="68">
        <f>+SUM(Tabla_master_rend[[#This Row],[B_altas]:[B_lab]])/Tabla_master_rend[[#This Row],[Kg_SalidaSecadero]]</f>
        <v>6.4571877454831103E-2</v>
      </c>
      <c r="BP58" s="68">
        <f>+(Tabla_master_rend[[#This Row],[Kg_mer_env_real]]+Tabla_master_rend[[#This Row],[kg_mer_lab_real]])/Tabla_master_rend[[#This Row],[Kg_SalidaSecadero]]</f>
        <v>4.5911704634721127E-2</v>
      </c>
      <c r="BQ58" s="64">
        <f>+Tabla_master_rend[[#This Row],[Merma_TOT]]/Tabla_master_rend[[#This Row],[Kg_Queso_Blan]]</f>
        <v>6.9489796606408485E-2</v>
      </c>
      <c r="BR58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2267.27</v>
      </c>
      <c r="BS58" s="8"/>
      <c r="BT58" s="63">
        <f>IF(+Tabla_master_rend[[#This Row],[Kg_Env_Total]]=0,0,Tabla_master_rend[[#This Row],[Kg_Env_Total]]-Tabla_master_rend[[#This Row],[Kg_SalidaSecadero]])</f>
        <v>0</v>
      </c>
      <c r="BU58" s="60">
        <f>+Tabla_master_rend[[#This Row],[Diferencia_Env_vs_Sec_kg]]/Tabla_master_rend[[#This Row],[Kg_SalidaSecadero]]</f>
        <v>0</v>
      </c>
      <c r="BV58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58" s="65">
        <f>+(Tabla_master_rend[[#This Row],[Coste_Leche_€]]-Tabla_master_rend[[#This Row],[Kg_MG_Nata]]*$CO$3)/Tabla_master_rend[[#This Row],[Kg_Queso_Blan]]</f>
        <v>-1.0997818396696273</v>
      </c>
      <c r="BX58" s="8">
        <f>SUM(Tabla_master_rend[[#This Row],[Kg_Finos]:[Kg_Desmoldeo]])+Tabla_master_rend[[#This Row],[L_Agua]]+SUM(Tabla_master_rend[[#This Row],[B_altas]:[B_lab]])</f>
        <v>2857.38</v>
      </c>
      <c r="BY58" s="8">
        <f>+BX58-Tabla_master_rend[[#This Row],[Merma_TOT]]</f>
        <v>590.11000000000013</v>
      </c>
      <c r="BZ58" s="62">
        <f t="shared" ref="BZ58:BZ89" si="28">+BY58/BX58</f>
        <v>0.20652135872722568</v>
      </c>
      <c r="CA58" s="8">
        <f>+Tabla_master_rend[[#This Row],[Kg_Queso_Blan]]*$CA$1</f>
        <v>212.07796999999999</v>
      </c>
      <c r="CB58" s="8">
        <f>+Tabla_master_rend[[#This Row],[Kg_Queso_Blan]]*($CB$1-$CA$1)</f>
        <v>114.19583000000002</v>
      </c>
      <c r="CC58" s="8">
        <f>+(Tabla_master_rend[[#This Row],[Kg_Queso_Blan]]-CA58-CB58)*$CC$1</f>
        <v>339.16161510000006</v>
      </c>
      <c r="CD58" s="8">
        <f t="shared" ref="CD58:CD89" si="29">+CA58+CB58+CC58</f>
        <v>665.4354151</v>
      </c>
      <c r="CE58" s="80">
        <f>+CD58/Tabla_master_rend[[#This Row],[Kg_Queso_Blan]]</f>
        <v>2.0395E-2</v>
      </c>
      <c r="CF58" s="62">
        <f>+Tabla_master_rend[[#This Row],[Merma_TOT]]/Tabla_master_rend[[#This Row],[Kg_Queso_Blan]]</f>
        <v>6.9489796606408485E-2</v>
      </c>
      <c r="CG58" s="8">
        <f>CD58-Tabla_master_rend[[#This Row],[Merma_TOT]]</f>
        <v>-1601.8345849</v>
      </c>
      <c r="CH58" s="81" cm="1">
        <f t="array" ref="CH58">-BR58 * IFERROR(INDEX('Precio Leche_EBITDA_Ventas'!$BD$87:$BD$110,MATCH(1,('Precio Leche_EBITDA_Ventas'!$AZ$87:$AZ$110=YEAR(A58))*('Precio Leche_EBITDA_Ventas'!$BB$87:$BB$110=C58),0)),1.3)</f>
        <v>-6985.8034970177732</v>
      </c>
      <c r="CI58" s="81">
        <f t="shared" ref="CI58:CI89" si="30">+CG58*$CM$2</f>
        <v>-2082.38496037</v>
      </c>
    </row>
    <row r="59" spans="1:87" x14ac:dyDescent="0.35">
      <c r="A59" s="9">
        <v>45779</v>
      </c>
      <c r="B59" s="7">
        <v>5</v>
      </c>
      <c r="C59" s="7" t="str">
        <f>+UPPER(TEXT(Tabla_master_rend[[#This Row],[Fecha]],"MMM"))</f>
        <v>MAY</v>
      </c>
      <c r="D59" s="7" t="str">
        <f>+UPPER(TEXT(Tabla_master_rend[[#This Row],[Fecha]],"ddd"))</f>
        <v>VI</v>
      </c>
      <c r="E59" s="3" t="s">
        <v>478</v>
      </c>
      <c r="F59" s="3" t="s">
        <v>244</v>
      </c>
      <c r="G59" s="84" t="s">
        <v>299</v>
      </c>
      <c r="H59">
        <v>20</v>
      </c>
      <c r="I59" s="8">
        <f>+Tabla_master_rend[[#This Row],[L_Leche_ent]]+Tabla_master_rend[[#This Row],[L_desn_ext]]+Tabla_master_rend[[#This Row],[L_cabra]]+Tabla_master_rend[[#This Row],[L_oveja]]</f>
        <v>334779</v>
      </c>
      <c r="J59" s="8">
        <v>334779</v>
      </c>
      <c r="K59" s="5">
        <v>3.7200000000000004E-2</v>
      </c>
      <c r="L59" s="5">
        <v>3.2899999999999999E-2</v>
      </c>
      <c r="M59" s="5">
        <f t="shared" si="25"/>
        <v>0.10694200000000001</v>
      </c>
      <c r="N59" s="35" t="s">
        <v>43</v>
      </c>
      <c r="O59" s="8">
        <v>0</v>
      </c>
      <c r="P59" s="8">
        <v>0</v>
      </c>
      <c r="Q59" s="8">
        <v>0</v>
      </c>
      <c r="R59" s="8">
        <v>11153</v>
      </c>
      <c r="T59" s="8">
        <v>277660</v>
      </c>
      <c r="U59" s="38">
        <f>+Tabla_master_rend[[#This Row],[L_suero Total]]/Tabla_master_rend[[#This Row],[Litros_Leche_Total]]</f>
        <v>0.82938296607612783</v>
      </c>
      <c r="V59" s="5">
        <v>2.0999999999999999E-3</v>
      </c>
      <c r="W59" s="5">
        <v>9.300000000000001E-3</v>
      </c>
      <c r="X59" s="8">
        <v>163756</v>
      </c>
      <c r="Y59" s="57">
        <v>53348</v>
      </c>
      <c r="Z59" s="58">
        <f>IF(Tabla_master_rend[[#This Row],[L_suero para con]]=0,0,+Tabla_master_rend[[#This Row],[L_suero para con]]/Tabla_master_rend[[#This Row],[L_suero_con]])</f>
        <v>3.0695808652620529</v>
      </c>
      <c r="AA59" s="8">
        <f>+Tabla_master_rend[[#This Row],[L_suero Total]]-Tabla_master_rend[[#This Row],[L_suero para con]]</f>
        <v>113904</v>
      </c>
      <c r="AD59" s="8"/>
      <c r="AE59" s="8"/>
      <c r="AF59" s="8"/>
      <c r="AG59" s="5"/>
      <c r="AI59" s="7">
        <f>+Tabla_master_rend[[#This Row],[Kg_Finos]]+Tabla_master_rend[[#This Row],[Kg_Llenadora]]+Tabla_master_rend[[#This Row],[Kg_Desmoldeo]]+Tabla_master_rend[[#This Row],[L_Agua]]+Tabla_master_rend[[#This Row],[Kg_SalidaSecadero]]</f>
        <v>33295.64</v>
      </c>
      <c r="AJ59" s="59">
        <f>+Tabla_master_rend[[#This Row],[Litros_Leche_Total]]/Tabla_master_rend[[#This Row],[Kg_Queso_Blan]]</f>
        <v>10.054739899878783</v>
      </c>
      <c r="AK59" s="59">
        <f>+Tabla_master_rend[[#This Row],[Litros_Leche_Total]]/(Tabla_master_rend[[#This Row],[Kg_Queso_Blan]]-Tabla_master_rend[[#This Row],[Merma_TOT]])</f>
        <v>10.663205048331427</v>
      </c>
      <c r="AL59" s="59">
        <f>VLOOKUP(G59,REND_TARGET[#All],8,FALSE)</f>
        <v>9.8078500000000002</v>
      </c>
      <c r="AM59" s="7">
        <f>(I59*1.03*Tabla_master_rend[[#This Row],[%MG_Leche]])+(I59*1.03*Tabla_master_rend[[#This Row],[%MP_Leche]])</f>
        <v>24172.048136999998</v>
      </c>
      <c r="AN59" s="38">
        <v>0.23649999999999999</v>
      </c>
      <c r="AO59" s="38">
        <v>0.26239999999999997</v>
      </c>
      <c r="AP59" s="60">
        <v>0.55200000000000005</v>
      </c>
      <c r="AQ59" s="38">
        <f>+Tabla_master_rend[[#This Row],[Kg_Queso_Blan]]*Tabla_master_rend[[#This Row],[ES_QUESO]]/(Tabla_master_rend[[#This Row],[Kg_Solidos_leche]])</f>
        <v>0.76034902693525119</v>
      </c>
      <c r="AR59" s="7">
        <f t="shared" si="26"/>
        <v>4461.2</v>
      </c>
      <c r="AS59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0.96166225389287141</v>
      </c>
      <c r="AT59" s="62">
        <f>+Tabla_master_rend[[#This Row],[Kg_Queso_Blan]]*Tabla_master_rend[[#This Row],[%PT_QUESO]]/(Tabla_master_rend[[#This Row],[Litros_Leche_Total]]*1.03*Tabla_master_rend[[#This Row],[%MP_Leche]])</f>
        <v>0.77012259841050346</v>
      </c>
      <c r="AU59" s="63">
        <f t="shared" si="27"/>
        <v>33459</v>
      </c>
      <c r="AV59" s="7">
        <v>60.64</v>
      </c>
      <c r="AW59" s="7">
        <v>158</v>
      </c>
      <c r="AX59" s="7">
        <v>90</v>
      </c>
      <c r="AY59" s="8">
        <f>SUM(Tabla_master_rend[[#This Row],[Kg_Finos]:[Kg_Desmoldeo]])</f>
        <v>308.64</v>
      </c>
      <c r="AZ59" s="60">
        <f>+(Tabla_master_rend[[#This Row],[Kg_Finos]]+Tabla_master_rend[[#This Row],[Kg_Llenadora]]+Tabla_master_rend[[#This Row],[Kg_Desmoldeo]])/(Tabla_master_rend[[#This Row],[Kg_Queso_Blan]])</f>
        <v>9.2696821565826631E-3</v>
      </c>
      <c r="BA59" s="7">
        <v>250</v>
      </c>
      <c r="BB59" s="60">
        <f>+Tabla_master_rend[[#This Row],[L_Agua]]/(Tabla_master_rend[[#This Row],[L_Agua]]+Tabla_master_rend[[#This Row],[Kg_SalidaSecadero]])</f>
        <v>7.5787431412374573E-3</v>
      </c>
      <c r="BC59" s="8">
        <v>4762</v>
      </c>
      <c r="BD59" s="8">
        <v>4523</v>
      </c>
      <c r="BE59" s="8">
        <v>31532</v>
      </c>
      <c r="BF59" s="8">
        <f>17*6.1</f>
        <v>103.69999999999999</v>
      </c>
      <c r="BG59" s="8">
        <f>116*6.1</f>
        <v>707.59999999999991</v>
      </c>
      <c r="BH59" s="7">
        <v>0</v>
      </c>
      <c r="BI59" s="7">
        <f>105*6.1</f>
        <v>640.5</v>
      </c>
      <c r="BJ59" s="8">
        <v>108</v>
      </c>
      <c r="BK59" s="8">
        <v>32737</v>
      </c>
      <c r="BL59" s="8">
        <v>4.24</v>
      </c>
      <c r="BM59" s="8">
        <v>1312</v>
      </c>
      <c r="BN59" s="7">
        <v>25.04</v>
      </c>
      <c r="BO59" s="68">
        <f>+SUM(Tabla_master_rend[[#This Row],[B_altas]:[B_lab]])/Tabla_master_rend[[#This Row],[Kg_SalidaSecadero]]</f>
        <v>4.7646393988453432E-2</v>
      </c>
      <c r="BP59" s="68">
        <f>+(Tabla_master_rend[[#This Row],[Kg_mer_env_real]]+Tabla_master_rend[[#This Row],[kg_mer_lab_real]])/Tabla_master_rend[[#This Row],[Kg_SalidaSecadero]]</f>
        <v>4.0841860891346185E-2</v>
      </c>
      <c r="BQ59" s="64">
        <f>+Tabla_master_rend[[#This Row],[Merma_TOT]]/Tabla_master_rend[[#This Row],[Kg_Queso_Blan]]</f>
        <v>5.7062125851913344E-2</v>
      </c>
      <c r="BR59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1899.92</v>
      </c>
      <c r="BS59" s="8"/>
      <c r="BT59" s="63">
        <f>IF(+Tabla_master_rend[[#This Row],[Kg_Env_Total]]=0,0,Tabla_master_rend[[#This Row],[Kg_Env_Total]]-Tabla_master_rend[[#This Row],[Kg_SalidaSecadero]])</f>
        <v>0</v>
      </c>
      <c r="BU59" s="60">
        <f>+Tabla_master_rend[[#This Row],[Diferencia_Env_vs_Sec_kg]]/Tabla_master_rend[[#This Row],[Kg_SalidaSecadero]]</f>
        <v>0</v>
      </c>
      <c r="BV59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59" s="65">
        <f>+(Tabla_master_rend[[#This Row],[Coste_Leche_€]]-Tabla_master_rend[[#This Row],[Kg_MG_Nata]]*$CO$3)/Tabla_master_rend[[#This Row],[Kg_Queso_Blan]]</f>
        <v>-1.0049063480984297</v>
      </c>
      <c r="BX59" s="8">
        <f>SUM(Tabla_master_rend[[#This Row],[Kg_Finos]:[Kg_Desmoldeo]])+Tabla_master_rend[[#This Row],[L_Agua]]+SUM(Tabla_master_rend[[#This Row],[B_altas]:[B_lab]])</f>
        <v>2118.44</v>
      </c>
      <c r="BY59" s="8">
        <f>+BX59-Tabla_master_rend[[#This Row],[Merma_TOT]]</f>
        <v>218.51999999999998</v>
      </c>
      <c r="BZ59" s="62">
        <f t="shared" si="28"/>
        <v>0.10315137554049204</v>
      </c>
      <c r="CA59" s="8">
        <f>+Tabla_master_rend[[#This Row],[Kg_Queso_Blan]]*$CA$1</f>
        <v>216.42165999999997</v>
      </c>
      <c r="CB59" s="8">
        <f>+Tabla_master_rend[[#This Row],[Kg_Queso_Blan]]*($CB$1-$CA$1)</f>
        <v>116.53474000000001</v>
      </c>
      <c r="CC59" s="8">
        <f>+(Tabla_master_rend[[#This Row],[Kg_Queso_Blan]]-CA59-CB59)*$CC$1</f>
        <v>346.10817779999996</v>
      </c>
      <c r="CD59" s="8">
        <f t="shared" si="29"/>
        <v>679.06457779999994</v>
      </c>
      <c r="CE59" s="80">
        <f>+CD59/Tabla_master_rend[[#This Row],[Kg_Queso_Blan]]</f>
        <v>2.0395E-2</v>
      </c>
      <c r="CF59" s="62">
        <f>+Tabla_master_rend[[#This Row],[Merma_TOT]]/Tabla_master_rend[[#This Row],[Kg_Queso_Blan]]</f>
        <v>5.7062125851913344E-2</v>
      </c>
      <c r="CG59" s="8">
        <f>CD59-Tabla_master_rend[[#This Row],[Merma_TOT]]</f>
        <v>-1220.8554222000002</v>
      </c>
      <c r="CH59" s="81" cm="1">
        <f t="array" ref="CH59">-BR59 * IFERROR(INDEX('Precio Leche_EBITDA_Ventas'!$BD$87:$BD$110,MATCH(1,('Precio Leche_EBITDA_Ventas'!$AZ$87:$AZ$110=YEAR(A59))*('Precio Leche_EBITDA_Ventas'!$BB$87:$BB$110=C59),0)),1.3)</f>
        <v>-6649.72</v>
      </c>
      <c r="CI59" s="81">
        <f t="shared" si="30"/>
        <v>-1587.1120488600004</v>
      </c>
    </row>
    <row r="60" spans="1:87" x14ac:dyDescent="0.35">
      <c r="A60" s="9">
        <v>45782</v>
      </c>
      <c r="B60" s="7">
        <v>5</v>
      </c>
      <c r="C60" s="7" t="str">
        <f>+UPPER(TEXT(Tabla_master_rend[[#This Row],[Fecha]],"MMM"))</f>
        <v>MAY</v>
      </c>
      <c r="D60" s="7" t="str">
        <f>+UPPER(TEXT(Tabla_master_rend[[#This Row],[Fecha]],"ddd"))</f>
        <v>LU</v>
      </c>
      <c r="E60" s="3" t="s">
        <v>479</v>
      </c>
      <c r="F60" s="3" t="s">
        <v>244</v>
      </c>
      <c r="G60" s="84" t="s">
        <v>190</v>
      </c>
      <c r="H60">
        <v>20</v>
      </c>
      <c r="I60" s="8">
        <f>+Tabla_master_rend[[#This Row],[L_Leche_ent]]+Tabla_master_rend[[#This Row],[L_desn_ext]]+Tabla_master_rend[[#This Row],[L_cabra]]+Tabla_master_rend[[#This Row],[L_oveja]]</f>
        <v>299994</v>
      </c>
      <c r="J60" s="8">
        <v>299994</v>
      </c>
      <c r="K60" s="5">
        <v>3.6299999999999999E-2</v>
      </c>
      <c r="L60" s="5">
        <v>3.27E-2</v>
      </c>
      <c r="M60" s="5">
        <f t="shared" si="25"/>
        <v>0.105957</v>
      </c>
      <c r="N60" s="35" t="s">
        <v>43</v>
      </c>
      <c r="O60" s="8">
        <v>0</v>
      </c>
      <c r="P60" s="8">
        <v>0</v>
      </c>
      <c r="Q60" s="8">
        <v>0</v>
      </c>
      <c r="R60" s="8">
        <v>2670</v>
      </c>
      <c r="T60" s="8">
        <v>271150</v>
      </c>
      <c r="U60" s="38">
        <f>+Tabla_master_rend[[#This Row],[L_suero Total]]/Tabla_master_rend[[#This Row],[Litros_Leche_Total]]</f>
        <v>0.9038514103615406</v>
      </c>
      <c r="V60" s="5">
        <v>1.5E-3</v>
      </c>
      <c r="W60" s="5">
        <v>8.0000000000000002E-3</v>
      </c>
      <c r="X60" s="8">
        <v>161367</v>
      </c>
      <c r="Y60" s="57">
        <v>53442</v>
      </c>
      <c r="Z60" s="58">
        <f>IF(Tabla_master_rend[[#This Row],[L_suero para con]]=0,0,+Tabla_master_rend[[#This Row],[L_suero para con]]/Tabla_master_rend[[#This Row],[L_suero_con]])</f>
        <v>3.0194790614123721</v>
      </c>
      <c r="AA60" s="8">
        <f>+Tabla_master_rend[[#This Row],[L_suero Total]]-Tabla_master_rend[[#This Row],[L_suero para con]]</f>
        <v>109783</v>
      </c>
      <c r="AD60" s="8"/>
      <c r="AE60" s="8"/>
      <c r="AF60" s="8"/>
      <c r="AG60" s="5"/>
      <c r="AI60" s="7">
        <f>+Tabla_master_rend[[#This Row],[Kg_Finos]]+Tabla_master_rend[[#This Row],[Kg_Llenadora]]+Tabla_master_rend[[#This Row],[Kg_Desmoldeo]]+Tabla_master_rend[[#This Row],[L_Agua]]+Tabla_master_rend[[#This Row],[Kg_SalidaSecadero]]</f>
        <v>35454.82</v>
      </c>
      <c r="AJ60" s="59">
        <f>+Tabla_master_rend[[#This Row],[Litros_Leche_Total]]/Tabla_master_rend[[#This Row],[Kg_Queso_Blan]]</f>
        <v>8.4613037099046053</v>
      </c>
      <c r="AK60" s="59">
        <f>+Tabla_master_rend[[#This Row],[Litros_Leche_Total]]/(Tabla_master_rend[[#This Row],[Kg_Queso_Blan]]-Tabla_master_rend[[#This Row],[Merma_TOT]])</f>
        <v>8.6112329465472861</v>
      </c>
      <c r="AL60" s="59">
        <f>VLOOKUP(G60,REND_TARGET[#All],8,FALSE)</f>
        <v>8.4943170000000006</v>
      </c>
      <c r="AM60" s="7">
        <f>(I60*1.03*Tabla_master_rend[[#This Row],[%MG_Leche]])+(I60*1.03*Tabla_master_rend[[#This Row],[%MP_Leche]])</f>
        <v>21320.57358</v>
      </c>
      <c r="AN60" s="38">
        <v>0.27829999999999999</v>
      </c>
      <c r="AO60" s="38">
        <v>0.23019999999999999</v>
      </c>
      <c r="AP60" s="60">
        <v>0.56320000000000003</v>
      </c>
      <c r="AQ60" s="38">
        <f>+Tabla_master_rend[[#This Row],[Kg_Queso_Blan]]*Tabla_master_rend[[#This Row],[ES_QUESO]]/(Tabla_master_rend[[#This Row],[Kg_Solidos_leche]])</f>
        <v>0.93656742155995987</v>
      </c>
      <c r="AR60" s="7">
        <f t="shared" si="26"/>
        <v>1068</v>
      </c>
      <c r="AS60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0.97491197160503873</v>
      </c>
      <c r="AT60" s="62">
        <f>+Tabla_master_rend[[#This Row],[Kg_Queso_Blan]]*Tabla_master_rend[[#This Row],[%PT_QUESO]]/(Tabla_master_rend[[#This Row],[Litros_Leche_Total]]*1.03*Tabla_master_rend[[#This Row],[%MP_Leche]])</f>
        <v>0.80776132945934154</v>
      </c>
      <c r="AU60" s="63">
        <f t="shared" si="27"/>
        <v>8010</v>
      </c>
      <c r="AV60" s="7">
        <v>48.22</v>
      </c>
      <c r="AW60" s="7">
        <v>136.30000000000001</v>
      </c>
      <c r="AX60" s="7">
        <v>23.3</v>
      </c>
      <c r="AY60" s="8">
        <f>SUM(Tabla_master_rend[[#This Row],[Kg_Finos]:[Kg_Desmoldeo]])</f>
        <v>207.82000000000002</v>
      </c>
      <c r="AZ60" s="60">
        <f>+(Tabla_master_rend[[#This Row],[Kg_Finos]]+Tabla_master_rend[[#This Row],[Kg_Llenadora]]+Tabla_master_rend[[#This Row],[Kg_Desmoldeo]])/(Tabla_master_rend[[#This Row],[Kg_Queso_Blan]])</f>
        <v>5.8615443541950012E-3</v>
      </c>
      <c r="BA60" s="7">
        <v>270</v>
      </c>
      <c r="BB60" s="60">
        <f>+Tabla_master_rend[[#This Row],[L_Agua]]/(Tabla_master_rend[[#This Row],[L_Agua]]+Tabla_master_rend[[#This Row],[Kg_SalidaSecadero]])</f>
        <v>7.6602264022469996E-3</v>
      </c>
      <c r="BC60" s="8">
        <v>5022</v>
      </c>
      <c r="BD60" s="8">
        <v>4967</v>
      </c>
      <c r="BE60" s="8">
        <v>34918</v>
      </c>
      <c r="BF60" s="8">
        <f>16*6.2</f>
        <v>99.2</v>
      </c>
      <c r="BG60" s="8">
        <f>13*6.2</f>
        <v>80.600000000000009</v>
      </c>
      <c r="BH60" s="7">
        <v>0</v>
      </c>
      <c r="BI60" s="7">
        <f>18*6.2</f>
        <v>111.60000000000001</v>
      </c>
      <c r="BJ60" s="8">
        <v>112</v>
      </c>
      <c r="BK60" s="8">
        <v>34977</v>
      </c>
      <c r="BL60" s="8">
        <v>3.68</v>
      </c>
      <c r="BM60" s="8">
        <v>105.04</v>
      </c>
      <c r="BN60" s="7">
        <v>30.76</v>
      </c>
      <c r="BO60" s="68">
        <f>+SUM(Tabla_master_rend[[#This Row],[B_altas]:[B_lab]])/Tabla_master_rend[[#This Row],[Kg_SalidaSecadero]]</f>
        <v>1.1533293307030335E-2</v>
      </c>
      <c r="BP60" s="68">
        <f>+(Tabla_master_rend[[#This Row],[Kg_mer_env_real]]+Tabla_master_rend[[#This Row],[kg_mer_lab_real]])/Tabla_master_rend[[#This Row],[Kg_SalidaSecadero]]</f>
        <v>3.8825513909140296E-3</v>
      </c>
      <c r="BQ60" s="64">
        <f>+Tabla_master_rend[[#This Row],[Merma_TOT]]/Tabla_master_rend[[#This Row],[Kg_Queso_Blan]]</f>
        <v>1.7410890818230076E-2</v>
      </c>
      <c r="BR60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617.30000000000007</v>
      </c>
      <c r="BS60" s="8"/>
      <c r="BT60" s="63">
        <f>IF(+Tabla_master_rend[[#This Row],[Kg_Env_Total]]=0,0,Tabla_master_rend[[#This Row],[Kg_Env_Total]]-Tabla_master_rend[[#This Row],[Kg_SalidaSecadero]])</f>
        <v>0</v>
      </c>
      <c r="BU60" s="60">
        <f>+Tabla_master_rend[[#This Row],[Diferencia_Env_vs_Sec_kg]]/Tabla_master_rend[[#This Row],[Kg_SalidaSecadero]]</f>
        <v>0</v>
      </c>
      <c r="BV60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60" s="65">
        <f>+(Tabla_master_rend[[#This Row],[Coste_Leche_€]]-Tabla_master_rend[[#This Row],[Kg_MG_Nata]]*$CO$3)/Tabla_master_rend[[#This Row],[Kg_Queso_Blan]]</f>
        <v>-0.22592132748100258</v>
      </c>
      <c r="BX60" s="8">
        <f>SUM(Tabla_master_rend[[#This Row],[Kg_Finos]:[Kg_Desmoldeo]])+Tabla_master_rend[[#This Row],[L_Agua]]+SUM(Tabla_master_rend[[#This Row],[B_altas]:[B_lab]])</f>
        <v>881.22</v>
      </c>
      <c r="BY60" s="8">
        <f>+BX60-Tabla_master_rend[[#This Row],[Merma_TOT]]</f>
        <v>263.91999999999996</v>
      </c>
      <c r="BZ60" s="62">
        <f t="shared" si="28"/>
        <v>0.29949388347972122</v>
      </c>
      <c r="CA60" s="8">
        <f>+Tabla_master_rend[[#This Row],[Kg_Queso_Blan]]*$CA$1</f>
        <v>230.45632999999998</v>
      </c>
      <c r="CB60" s="8">
        <f>+Tabla_master_rend[[#This Row],[Kg_Queso_Blan]]*($CB$1-$CA$1)</f>
        <v>124.09187000000001</v>
      </c>
      <c r="CC60" s="8">
        <f>+(Tabla_master_rend[[#This Row],[Kg_Queso_Blan]]-CA60-CB60)*$CC$1</f>
        <v>368.55285390000006</v>
      </c>
      <c r="CD60" s="8">
        <f t="shared" si="29"/>
        <v>723.10105390000012</v>
      </c>
      <c r="CE60" s="80">
        <f>+CD60/Tabla_master_rend[[#This Row],[Kg_Queso_Blan]]</f>
        <v>2.0395000000000003E-2</v>
      </c>
      <c r="CF60" s="62">
        <f>+Tabla_master_rend[[#This Row],[Merma_TOT]]/Tabla_master_rend[[#This Row],[Kg_Queso_Blan]]</f>
        <v>1.7410890818230076E-2</v>
      </c>
      <c r="CG60" s="8">
        <f>CD60-Tabla_master_rend[[#This Row],[Merma_TOT]]</f>
        <v>105.80105390000006</v>
      </c>
      <c r="CH60" s="81" cm="1">
        <f t="array" ref="CH60">-BR60 * IFERROR(INDEX('Precio Leche_EBITDA_Ventas'!$BD$87:$BD$110,MATCH(1,('Precio Leche_EBITDA_Ventas'!$AZ$87:$AZ$110=YEAR(A60))*('Precio Leche_EBITDA_Ventas'!$BB$87:$BB$110=C60),0)),1.3)</f>
        <v>-2160.5500000000002</v>
      </c>
      <c r="CI60" s="81">
        <f t="shared" si="30"/>
        <v>137.54137007000008</v>
      </c>
    </row>
    <row r="61" spans="1:87" x14ac:dyDescent="0.35">
      <c r="A61" s="9">
        <v>45783</v>
      </c>
      <c r="B61" s="7">
        <v>5</v>
      </c>
      <c r="C61" s="7" t="str">
        <f>+UPPER(TEXT(Tabla_master_rend[[#This Row],[Fecha]],"MMM"))</f>
        <v>MAY</v>
      </c>
      <c r="D61" s="7" t="str">
        <f>+UPPER(TEXT(Tabla_master_rend[[#This Row],[Fecha]],"ddd"))</f>
        <v>MA</v>
      </c>
      <c r="E61" s="3" t="s">
        <v>480</v>
      </c>
      <c r="F61" s="3" t="s">
        <v>244</v>
      </c>
      <c r="G61" s="84" t="s">
        <v>299</v>
      </c>
      <c r="H61">
        <v>20</v>
      </c>
      <c r="I61" s="8">
        <f>+Tabla_master_rend[[#This Row],[L_Leche_ent]]+Tabla_master_rend[[#This Row],[L_desn_ext]]+Tabla_master_rend[[#This Row],[L_cabra]]+Tabla_master_rend[[#This Row],[L_oveja]]</f>
        <v>334382</v>
      </c>
      <c r="J61" s="8">
        <v>334382</v>
      </c>
      <c r="K61" s="5">
        <v>3.7900000000000003E-2</v>
      </c>
      <c r="L61" s="5">
        <v>3.32E-2</v>
      </c>
      <c r="M61" s="5">
        <f t="shared" si="25"/>
        <v>0.10781500000000001</v>
      </c>
      <c r="N61" s="35" t="s">
        <v>43</v>
      </c>
      <c r="O61" s="8">
        <v>0</v>
      </c>
      <c r="P61" s="8">
        <v>0</v>
      </c>
      <c r="Q61" s="8">
        <v>0</v>
      </c>
      <c r="R61" s="8">
        <v>10646</v>
      </c>
      <c r="T61" s="8">
        <v>277490</v>
      </c>
      <c r="U61" s="38">
        <f>+Tabla_master_rend[[#This Row],[L_suero Total]]/Tabla_master_rend[[#This Row],[Litros_Leche_Total]]</f>
        <v>0.82985926275935906</v>
      </c>
      <c r="V61" s="5">
        <v>1.1000000000000001E-3</v>
      </c>
      <c r="W61" s="5">
        <v>8.8999999999999999E-3</v>
      </c>
      <c r="X61" s="8">
        <v>276166</v>
      </c>
      <c r="Y61" s="57">
        <v>94613</v>
      </c>
      <c r="Z61" s="58">
        <f>IF(Tabla_master_rend[[#This Row],[L_suero para con]]=0,0,+Tabla_master_rend[[#This Row],[L_suero para con]]/Tabla_master_rend[[#This Row],[L_suero_con]])</f>
        <v>2.918901208079228</v>
      </c>
      <c r="AA61" s="8">
        <f>+Tabla_master_rend[[#This Row],[L_suero Total]]-Tabla_master_rend[[#This Row],[L_suero para con]]</f>
        <v>1324</v>
      </c>
      <c r="AD61" s="8"/>
      <c r="AE61" s="8"/>
      <c r="AF61" s="8"/>
      <c r="AG61" s="5"/>
      <c r="AI61" s="7">
        <f>+Tabla_master_rend[[#This Row],[Kg_Finos]]+Tabla_master_rend[[#This Row],[Kg_Llenadora]]+Tabla_master_rend[[#This Row],[Kg_Desmoldeo]]+Tabla_master_rend[[#This Row],[L_Agua]]+Tabla_master_rend[[#This Row],[Kg_SalidaSecadero]]</f>
        <v>33726.71</v>
      </c>
      <c r="AJ61" s="59">
        <f>+Tabla_master_rend[[#This Row],[Litros_Leche_Total]]/Tabla_master_rend[[#This Row],[Kg_Queso_Blan]]</f>
        <v>9.9144565242207143</v>
      </c>
      <c r="AK61" s="59">
        <f>+Tabla_master_rend[[#This Row],[Litros_Leche_Total]]/(Tabla_master_rend[[#This Row],[Kg_Queso_Blan]]-Tabla_master_rend[[#This Row],[Merma_TOT]])</f>
        <v>10.464781485853633</v>
      </c>
      <c r="AL61" s="59">
        <f>VLOOKUP(G61,REND_TARGET[#All],8,FALSE)</f>
        <v>9.8078500000000002</v>
      </c>
      <c r="AM61" s="7">
        <f>(I61*1.03*Tabla_master_rend[[#This Row],[%MG_Leche]])+(I61*1.03*Tabla_master_rend[[#This Row],[%MP_Leche]])</f>
        <v>24487.797006000001</v>
      </c>
      <c r="AN61" s="38">
        <v>0.23850000000000002</v>
      </c>
      <c r="AO61" s="38">
        <v>0.2581</v>
      </c>
      <c r="AP61" s="60">
        <v>0.54930000000000001</v>
      </c>
      <c r="AQ61" s="38">
        <f>+Tabla_master_rend[[#This Row],[Kg_Queso_Blan]]*Tabla_master_rend[[#This Row],[ES_QUESO]]/(Tabla_master_rend[[#This Row],[Kg_Solidos_leche]])</f>
        <v>0.7565434244028052</v>
      </c>
      <c r="AR61" s="7">
        <f t="shared" si="26"/>
        <v>4258.4000000000005</v>
      </c>
      <c r="AS61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0.94246270924526931</v>
      </c>
      <c r="AT61" s="62">
        <f>+Tabla_master_rend[[#This Row],[Kg_Queso_Blan]]*Tabla_master_rend[[#This Row],[%PT_QUESO]]/(Tabla_master_rend[[#This Row],[Litros_Leche_Total]]*1.03*Tabla_master_rend[[#This Row],[%MP_Leche]])</f>
        <v>0.76127888354662132</v>
      </c>
      <c r="AU61" s="63">
        <f t="shared" si="27"/>
        <v>31938.000000000004</v>
      </c>
      <c r="AV61" s="7">
        <v>40.21</v>
      </c>
      <c r="AW61" s="7">
        <v>437</v>
      </c>
      <c r="AX61" s="7">
        <v>75.5</v>
      </c>
      <c r="AY61" s="8">
        <f>SUM(Tabla_master_rend[[#This Row],[Kg_Finos]:[Kg_Desmoldeo]])</f>
        <v>552.71</v>
      </c>
      <c r="AZ61" s="60">
        <f>+(Tabla_master_rend[[#This Row],[Kg_Finos]]+Tabla_master_rend[[#This Row],[Kg_Llenadora]]+Tabla_master_rend[[#This Row],[Kg_Desmoldeo]])/(Tabla_master_rend[[#This Row],[Kg_Queso_Blan]])</f>
        <v>1.6387901458517599E-2</v>
      </c>
      <c r="BA61" s="7">
        <v>250</v>
      </c>
      <c r="BB61" s="60">
        <f>+Tabla_master_rend[[#This Row],[L_Agua]]/(Tabla_master_rend[[#This Row],[L_Agua]]+Tabla_master_rend[[#This Row],[Kg_SalidaSecadero]])</f>
        <v>7.5360221860493156E-3</v>
      </c>
      <c r="BC61" s="8">
        <v>4743</v>
      </c>
      <c r="BD61" s="8">
        <v>4552</v>
      </c>
      <c r="BE61" s="8">
        <v>31986</v>
      </c>
      <c r="BF61" s="8">
        <f>22*6.2</f>
        <v>136.4</v>
      </c>
      <c r="BG61" s="8">
        <f>79*6.2</f>
        <v>489.8</v>
      </c>
      <c r="BH61" s="7">
        <f>2*6.2</f>
        <v>12.4</v>
      </c>
      <c r="BI61" s="7">
        <f>91*6.2</f>
        <v>564.20000000000005</v>
      </c>
      <c r="BJ61" s="8">
        <v>117</v>
      </c>
      <c r="BK61" s="8">
        <v>32924</v>
      </c>
      <c r="BL61" s="8">
        <v>2.17</v>
      </c>
      <c r="BM61" s="8">
        <v>938.28</v>
      </c>
      <c r="BN61" s="7">
        <v>30.47</v>
      </c>
      <c r="BO61" s="68">
        <f>+SUM(Tabla_master_rend[[#This Row],[B_altas]:[B_lab]])/Tabla_master_rend[[#This Row],[Kg_SalidaSecadero]]</f>
        <v>4.0086259263758965E-2</v>
      </c>
      <c r="BP61" s="68">
        <f>+(Tabla_master_rend[[#This Row],[Kg_mer_env_real]]+Tabla_master_rend[[#This Row],[kg_mer_lab_real]])/Tabla_master_rend[[#This Row],[Kg_SalidaSecadero]]</f>
        <v>2.9423824565666383E-2</v>
      </c>
      <c r="BQ61" s="64">
        <f>+Tabla_master_rend[[#This Row],[Merma_TOT]]/Tabla_master_rend[[#This Row],[Kg_Queso_Blan]]</f>
        <v>5.2588289815401507E-2</v>
      </c>
      <c r="BR61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1773.63</v>
      </c>
      <c r="BS61" s="8"/>
      <c r="BT61" s="63">
        <f>IF(+Tabla_master_rend[[#This Row],[Kg_Env_Total]]=0,0,Tabla_master_rend[[#This Row],[Kg_Env_Total]]-Tabla_master_rend[[#This Row],[Kg_SalidaSecadero]])</f>
        <v>0</v>
      </c>
      <c r="BU61" s="60">
        <f>+Tabla_master_rend[[#This Row],[Diferencia_Env_vs_Sec_kg]]/Tabla_master_rend[[#This Row],[Kg_SalidaSecadero]]</f>
        <v>0</v>
      </c>
      <c r="BV61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61" s="65">
        <f>+(Tabla_master_rend[[#This Row],[Coste_Leche_€]]-Tabla_master_rend[[#This Row],[Kg_MG_Nata]]*$CO$3)/Tabla_master_rend[[#This Row],[Kg_Queso_Blan]]</f>
        <v>-0.94696458682154305</v>
      </c>
      <c r="BX61" s="8">
        <f>SUM(Tabla_master_rend[[#This Row],[Kg_Finos]:[Kg_Desmoldeo]])+Tabla_master_rend[[#This Row],[L_Agua]]+SUM(Tabla_master_rend[[#This Row],[B_altas]:[B_lab]])</f>
        <v>2122.5100000000002</v>
      </c>
      <c r="BY61" s="8">
        <f>+BX61-Tabla_master_rend[[#This Row],[Merma_TOT]]</f>
        <v>348.88000000000011</v>
      </c>
      <c r="BZ61" s="62">
        <f t="shared" si="28"/>
        <v>0.16437142816759406</v>
      </c>
      <c r="CA61" s="8">
        <f>+Tabla_master_rend[[#This Row],[Kg_Queso_Blan]]*$CA$1</f>
        <v>219.223615</v>
      </c>
      <c r="CB61" s="8">
        <f>+Tabla_master_rend[[#This Row],[Kg_Queso_Blan]]*($CB$1-$CA$1)</f>
        <v>118.04348500000002</v>
      </c>
      <c r="CC61" s="8">
        <f>+(Tabla_master_rend[[#This Row],[Kg_Queso_Blan]]-CA61-CB61)*$CC$1</f>
        <v>350.58915044999998</v>
      </c>
      <c r="CD61" s="8">
        <f t="shared" si="29"/>
        <v>687.85625045000006</v>
      </c>
      <c r="CE61" s="80">
        <f>+CD61/Tabla_master_rend[[#This Row],[Kg_Queso_Blan]]</f>
        <v>2.0395000000000003E-2</v>
      </c>
      <c r="CF61" s="62">
        <f>+Tabla_master_rend[[#This Row],[Merma_TOT]]/Tabla_master_rend[[#This Row],[Kg_Queso_Blan]]</f>
        <v>5.2588289815401507E-2</v>
      </c>
      <c r="CG61" s="8">
        <f>CD61-Tabla_master_rend[[#This Row],[Merma_TOT]]</f>
        <v>-1085.77374955</v>
      </c>
      <c r="CH61" s="81" cm="1">
        <f t="array" ref="CH61">-BR61 * IFERROR(INDEX('Precio Leche_EBITDA_Ventas'!$BD$87:$BD$110,MATCH(1,('Precio Leche_EBITDA_Ventas'!$AZ$87:$AZ$110=YEAR(A61))*('Precio Leche_EBITDA_Ventas'!$BB$87:$BB$110=C61),0)),1.3)</f>
        <v>-6207.7049999999999</v>
      </c>
      <c r="CI61" s="81">
        <f t="shared" si="30"/>
        <v>-1411.5058744150001</v>
      </c>
    </row>
    <row r="62" spans="1:87" x14ac:dyDescent="0.35">
      <c r="A62" s="9">
        <v>45784</v>
      </c>
      <c r="B62" s="7">
        <v>5</v>
      </c>
      <c r="C62" s="7" t="str">
        <f>+UPPER(TEXT(Tabla_master_rend[[#This Row],[Fecha]],"MMM"))</f>
        <v>MAY</v>
      </c>
      <c r="D62" s="7" t="str">
        <f>+UPPER(TEXT(Tabla_master_rend[[#This Row],[Fecha]],"ddd"))</f>
        <v>MI</v>
      </c>
      <c r="E62" s="3" t="s">
        <v>481</v>
      </c>
      <c r="F62" s="3" t="s">
        <v>244</v>
      </c>
      <c r="G62" s="84" t="s">
        <v>190</v>
      </c>
      <c r="H62">
        <v>20</v>
      </c>
      <c r="I62" s="8">
        <f>+Tabla_master_rend[[#This Row],[L_Leche_ent]]+Tabla_master_rend[[#This Row],[L_desn_ext]]+Tabla_master_rend[[#This Row],[L_cabra]]+Tabla_master_rend[[#This Row],[L_oveja]]</f>
        <v>303720</v>
      </c>
      <c r="J62" s="8">
        <v>303720</v>
      </c>
      <c r="K62" s="5">
        <v>3.6699999999999997E-2</v>
      </c>
      <c r="L62" s="5">
        <v>3.2799999999999996E-2</v>
      </c>
      <c r="M62" s="5">
        <f t="shared" si="25"/>
        <v>0.106403</v>
      </c>
      <c r="N62" s="35" t="s">
        <v>43</v>
      </c>
      <c r="O62" s="8">
        <v>0</v>
      </c>
      <c r="P62" s="8">
        <v>0</v>
      </c>
      <c r="Q62" s="8">
        <v>0</v>
      </c>
      <c r="R62" s="8">
        <v>2258</v>
      </c>
      <c r="T62" s="8">
        <v>273010</v>
      </c>
      <c r="U62" s="38">
        <f>+Tabla_master_rend[[#This Row],[L_suero Total]]/Tabla_master_rend[[#This Row],[Litros_Leche_Total]]</f>
        <v>0.89888713288555244</v>
      </c>
      <c r="V62" s="5">
        <v>2.3999999999999998E-3</v>
      </c>
      <c r="W62" s="5">
        <v>9.7999999999999997E-3</v>
      </c>
      <c r="X62" s="8">
        <v>240500</v>
      </c>
      <c r="Y62" s="57">
        <v>84745</v>
      </c>
      <c r="Z62" s="58">
        <f>IF(Tabla_master_rend[[#This Row],[L_suero para con]]=0,0,+Tabla_master_rend[[#This Row],[L_suero para con]]/Tabla_master_rend[[#This Row],[L_suero_con]])</f>
        <v>2.8379255413298718</v>
      </c>
      <c r="AA62" s="8">
        <f>+Tabla_master_rend[[#This Row],[L_suero Total]]-Tabla_master_rend[[#This Row],[L_suero para con]]</f>
        <v>32510</v>
      </c>
      <c r="AD62" s="8"/>
      <c r="AE62" s="8"/>
      <c r="AF62" s="8"/>
      <c r="AG62" s="5"/>
      <c r="AI62" s="7">
        <f>+Tabla_master_rend[[#This Row],[Kg_Finos]]+Tabla_master_rend[[#This Row],[Kg_Llenadora]]+Tabla_master_rend[[#This Row],[Kg_Desmoldeo]]+Tabla_master_rend[[#This Row],[L_Agua]]+Tabla_master_rend[[#This Row],[Kg_SalidaSecadero]]</f>
        <v>35906.339999999997</v>
      </c>
      <c r="AJ62" s="59">
        <f>+Tabla_master_rend[[#This Row],[Litros_Leche_Total]]/Tabla_master_rend[[#This Row],[Kg_Queso_Blan]]</f>
        <v>8.4586733150747211</v>
      </c>
      <c r="AK62" s="59">
        <f>+Tabla_master_rend[[#This Row],[Litros_Leche_Total]]/(Tabla_master_rend[[#This Row],[Kg_Queso_Blan]]-Tabla_master_rend[[#This Row],[Merma_TOT]])</f>
        <v>8.700547006931048</v>
      </c>
      <c r="AL62" s="59">
        <f>VLOOKUP(G62,REND_TARGET[#All],8,FALSE)</f>
        <v>8.4943170000000006</v>
      </c>
      <c r="AM62" s="7">
        <f>(I62*1.03*Tabla_master_rend[[#This Row],[%MG_Leche]])+(I62*1.03*Tabla_master_rend[[#This Row],[%MP_Leche]])</f>
        <v>21741.796199999997</v>
      </c>
      <c r="AN62" s="38">
        <v>0.28670000000000001</v>
      </c>
      <c r="AO62" s="38">
        <v>0.2271</v>
      </c>
      <c r="AP62" s="60">
        <v>0.56859999999999999</v>
      </c>
      <c r="AQ62" s="38">
        <f>+Tabla_master_rend[[#This Row],[Kg_Queso_Blan]]*Tabla_master_rend[[#This Row],[ES_QUESO]]/(Tabla_master_rend[[#This Row],[Kg_Solidos_leche]])</f>
        <v>0.93903671693877799</v>
      </c>
      <c r="AR62" s="7">
        <f t="shared" si="26"/>
        <v>903.2</v>
      </c>
      <c r="AS62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0.9753180016138987</v>
      </c>
      <c r="AT62" s="62">
        <f>+Tabla_master_rend[[#This Row],[Kg_Queso_Blan]]*Tabla_master_rend[[#This Row],[%PT_QUESO]]/(Tabla_master_rend[[#This Row],[Litros_Leche_Total]]*1.03*Tabla_master_rend[[#This Row],[%MP_Leche]])</f>
        <v>0.7947010988675306</v>
      </c>
      <c r="AU62" s="63">
        <f t="shared" si="27"/>
        <v>6774</v>
      </c>
      <c r="AV62" s="7">
        <v>54.34</v>
      </c>
      <c r="AW62" s="7">
        <v>167</v>
      </c>
      <c r="AX62" s="7">
        <v>50</v>
      </c>
      <c r="AY62" s="8">
        <f>SUM(Tabla_master_rend[[#This Row],[Kg_Finos]:[Kg_Desmoldeo]])</f>
        <v>271.34000000000003</v>
      </c>
      <c r="AZ62" s="60">
        <f>+(Tabla_master_rend[[#This Row],[Kg_Finos]]+Tabla_master_rend[[#This Row],[Kg_Llenadora]]+Tabla_master_rend[[#This Row],[Kg_Desmoldeo]])/(Tabla_master_rend[[#This Row],[Kg_Queso_Blan]])</f>
        <v>7.5568827120781473E-3</v>
      </c>
      <c r="BA62" s="7">
        <v>370</v>
      </c>
      <c r="BB62" s="60">
        <f>+Tabla_master_rend[[#This Row],[L_Agua]]/(Tabla_master_rend[[#This Row],[L_Agua]]+Tabla_master_rend[[#This Row],[Kg_SalidaSecadero]])</f>
        <v>1.0383050371825452E-2</v>
      </c>
      <c r="BC62" s="8">
        <v>5077</v>
      </c>
      <c r="BD62" s="8">
        <v>5000</v>
      </c>
      <c r="BE62" s="8">
        <v>35157</v>
      </c>
      <c r="BF62" s="8">
        <f>17*6.2</f>
        <v>105.4</v>
      </c>
      <c r="BG62" s="8">
        <f>6*6.2</f>
        <v>37.200000000000003</v>
      </c>
      <c r="BH62" s="7">
        <f>8*6.2</f>
        <v>49.6</v>
      </c>
      <c r="BI62" s="7">
        <f>45*6.2</f>
        <v>279</v>
      </c>
      <c r="BJ62" s="8">
        <v>110</v>
      </c>
      <c r="BK62" s="8">
        <v>35265</v>
      </c>
      <c r="BL62" s="8">
        <v>9.0399999999999991</v>
      </c>
      <c r="BM62" s="8">
        <v>283.26</v>
      </c>
      <c r="BN62" s="7">
        <v>64.55</v>
      </c>
      <c r="BO62" s="68">
        <f>+SUM(Tabla_master_rend[[#This Row],[B_altas]:[B_lab]])/Tabla_master_rend[[#This Row],[Kg_SalidaSecadero]]</f>
        <v>1.6480930100666383E-2</v>
      </c>
      <c r="BP62" s="68">
        <f>+(Tabla_master_rend[[#This Row],[Kg_mer_env_real]]+Tabla_master_rend[[#This Row],[kg_mer_lab_real]])/Tabla_master_rend[[#This Row],[Kg_SalidaSecadero]]</f>
        <v>9.8627534382532255E-3</v>
      </c>
      <c r="BQ62" s="64">
        <f>+Tabla_master_rend[[#This Row],[Merma_TOT]]/Tabla_master_rend[[#This Row],[Kg_Queso_Blan]]</f>
        <v>2.7799825880332002E-2</v>
      </c>
      <c r="BR62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998.19</v>
      </c>
      <c r="BS62" s="8"/>
      <c r="BT62" s="63">
        <f>IF(+Tabla_master_rend[[#This Row],[Kg_Env_Total]]=0,0,Tabla_master_rend[[#This Row],[Kg_Env_Total]]-Tabla_master_rend[[#This Row],[Kg_SalidaSecadero]])</f>
        <v>0</v>
      </c>
      <c r="BU62" s="60">
        <f>+Tabla_master_rend[[#This Row],[Diferencia_Env_vs_Sec_kg]]/Tabla_master_rend[[#This Row],[Kg_SalidaSecadero]]</f>
        <v>0</v>
      </c>
      <c r="BV62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62" s="65">
        <f>+(Tabla_master_rend[[#This Row],[Coste_Leche_€]]-Tabla_master_rend[[#This Row],[Kg_MG_Nata]]*$CO$3)/Tabla_master_rend[[#This Row],[Kg_Queso_Blan]]</f>
        <v>-0.18865749057130302</v>
      </c>
      <c r="BX62" s="8">
        <f>SUM(Tabla_master_rend[[#This Row],[Kg_Finos]:[Kg_Desmoldeo]])+Tabla_master_rend[[#This Row],[L_Agua]]+SUM(Tabla_master_rend[[#This Row],[B_altas]:[B_lab]])</f>
        <v>1222.54</v>
      </c>
      <c r="BY62" s="8">
        <f>+BX62-Tabla_master_rend[[#This Row],[Merma_TOT]]</f>
        <v>224.34999999999991</v>
      </c>
      <c r="BZ62" s="62">
        <f t="shared" si="28"/>
        <v>0.18351137795082362</v>
      </c>
      <c r="CA62" s="8">
        <f>+Tabla_master_rend[[#This Row],[Kg_Queso_Blan]]*$CA$1</f>
        <v>233.39120999999997</v>
      </c>
      <c r="CB62" s="8">
        <f>+Tabla_master_rend[[#This Row],[Kg_Queso_Blan]]*($CB$1-$CA$1)</f>
        <v>125.67219</v>
      </c>
      <c r="CC62" s="8">
        <f>+(Tabla_master_rend[[#This Row],[Kg_Queso_Blan]]-CA62-CB62)*$CC$1</f>
        <v>373.24640429999999</v>
      </c>
      <c r="CD62" s="8">
        <f t="shared" si="29"/>
        <v>732.3098043</v>
      </c>
      <c r="CE62" s="80">
        <f>+CD62/Tabla_master_rend[[#This Row],[Kg_Queso_Blan]]</f>
        <v>2.0395000000000003E-2</v>
      </c>
      <c r="CF62" s="62">
        <f>+Tabla_master_rend[[#This Row],[Merma_TOT]]/Tabla_master_rend[[#This Row],[Kg_Queso_Blan]]</f>
        <v>2.7799825880332002E-2</v>
      </c>
      <c r="CG62" s="8">
        <f>CD62-Tabla_master_rend[[#This Row],[Merma_TOT]]</f>
        <v>-265.88019570000006</v>
      </c>
      <c r="CH62" s="81" cm="1">
        <f t="array" ref="CH62">-BR62 * IFERROR(INDEX('Precio Leche_EBITDA_Ventas'!$BD$87:$BD$110,MATCH(1,('Precio Leche_EBITDA_Ventas'!$AZ$87:$AZ$110=YEAR(A62))*('Precio Leche_EBITDA_Ventas'!$BB$87:$BB$110=C62),0)),1.3)</f>
        <v>-3493.665</v>
      </c>
      <c r="CI62" s="81">
        <f t="shared" si="30"/>
        <v>-345.64425441000009</v>
      </c>
    </row>
    <row r="63" spans="1:87" x14ac:dyDescent="0.35">
      <c r="A63" s="9">
        <v>45785</v>
      </c>
      <c r="B63" s="7">
        <v>5</v>
      </c>
      <c r="C63" s="7" t="str">
        <f>+UPPER(TEXT(Tabla_master_rend[[#This Row],[Fecha]],"MMM"))</f>
        <v>MAY</v>
      </c>
      <c r="D63" s="7" t="str">
        <f>+UPPER(TEXT(Tabla_master_rend[[#This Row],[Fecha]],"ddd"))</f>
        <v>JU</v>
      </c>
      <c r="E63" s="3" t="s">
        <v>482</v>
      </c>
      <c r="F63" s="3" t="s">
        <v>244</v>
      </c>
      <c r="G63" s="84" t="s">
        <v>301</v>
      </c>
      <c r="H63">
        <v>19</v>
      </c>
      <c r="I63" s="8">
        <f>+Tabla_master_rend[[#This Row],[L_Leche_ent]]+Tabla_master_rend[[#This Row],[L_desn_ext]]+Tabla_master_rend[[#This Row],[L_cabra]]+Tabla_master_rend[[#This Row],[L_oveja]]</f>
        <v>307912</v>
      </c>
      <c r="J63" s="8">
        <v>307912</v>
      </c>
      <c r="K63" s="5">
        <v>3.5499999999999997E-2</v>
      </c>
      <c r="L63" s="5">
        <v>3.27E-2</v>
      </c>
      <c r="M63" s="5">
        <f t="shared" si="25"/>
        <v>0.105213</v>
      </c>
      <c r="N63" s="35" t="s">
        <v>43</v>
      </c>
      <c r="O63" s="8">
        <v>0</v>
      </c>
      <c r="P63" s="8">
        <v>0</v>
      </c>
      <c r="Q63" s="8">
        <v>0</v>
      </c>
      <c r="R63" s="8">
        <v>4060</v>
      </c>
      <c r="T63" s="8">
        <v>258180</v>
      </c>
      <c r="U63" s="38">
        <f>+Tabla_master_rend[[#This Row],[L_suero Total]]/Tabla_master_rend[[#This Row],[Litros_Leche_Total]]</f>
        <v>0.83848632076697238</v>
      </c>
      <c r="V63" s="5">
        <v>2.0999999999999999E-3</v>
      </c>
      <c r="W63" s="5">
        <v>8.6E-3</v>
      </c>
      <c r="X63" s="8">
        <v>93715</v>
      </c>
      <c r="Y63" s="57">
        <v>27822</v>
      </c>
      <c r="Z63" s="58">
        <f>IF(Tabla_master_rend[[#This Row],[L_suero para con]]=0,0,+Tabla_master_rend[[#This Row],[L_suero para con]]/Tabla_master_rend[[#This Row],[L_suero_con]])</f>
        <v>3.3683775429516212</v>
      </c>
      <c r="AA63" s="8">
        <f>+Tabla_master_rend[[#This Row],[L_suero Total]]-Tabla_master_rend[[#This Row],[L_suero para con]]</f>
        <v>164465</v>
      </c>
      <c r="AD63" s="8"/>
      <c r="AE63" s="8"/>
      <c r="AF63" s="8"/>
      <c r="AG63" s="5"/>
      <c r="AI63" s="7">
        <f>+Tabla_master_rend[[#This Row],[Kg_Finos]]+Tabla_master_rend[[#This Row],[Kg_Llenadora]]+Tabla_master_rend[[#This Row],[Kg_Desmoldeo]]+Tabla_master_rend[[#This Row],[L_Agua]]+Tabla_master_rend[[#This Row],[Kg_SalidaSecadero]]</f>
        <v>33080.300000000003</v>
      </c>
      <c r="AJ63" s="59">
        <f>+Tabla_master_rend[[#This Row],[Litros_Leche_Total]]/Tabla_master_rend[[#This Row],[Kg_Queso_Blan]]</f>
        <v>9.308017158248262</v>
      </c>
      <c r="AK63" s="59">
        <f>+Tabla_master_rend[[#This Row],[Litros_Leche_Total]]/(Tabla_master_rend[[#This Row],[Kg_Queso_Blan]]-Tabla_master_rend[[#This Row],[Merma_TOT]])</f>
        <v>9.5298580264337254</v>
      </c>
      <c r="AL63" s="59">
        <f>VLOOKUP(G63,REND_TARGET[#All],8,FALSE)</f>
        <v>9.3549429999999987</v>
      </c>
      <c r="AM63" s="7">
        <f>(I63*1.03*Tabla_master_rend[[#This Row],[%MG_Leche]])+(I63*1.03*Tabla_master_rend[[#This Row],[%MP_Leche]])</f>
        <v>21629.586351999998</v>
      </c>
      <c r="AN63" s="38">
        <v>0.28000000000000003</v>
      </c>
      <c r="AO63" s="38">
        <v>0.2465</v>
      </c>
      <c r="AP63" s="60">
        <v>0.58889999999999998</v>
      </c>
      <c r="AQ63" s="38">
        <f>+Tabla_master_rend[[#This Row],[Kg_Queso_Blan]]*Tabla_master_rend[[#This Row],[ES_QUESO]]/(Tabla_master_rend[[#This Row],[Kg_Solidos_leche]])</f>
        <v>0.90066394950723017</v>
      </c>
      <c r="AR63" s="7">
        <f t="shared" si="26"/>
        <v>1624</v>
      </c>
      <c r="AS63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0.96693091585226809</v>
      </c>
      <c r="AT63" s="62">
        <f>+Tabla_master_rend[[#This Row],[Kg_Queso_Blan]]*Tabla_master_rend[[#This Row],[%PT_QUESO]]/(Tabla_master_rend[[#This Row],[Litros_Leche_Total]]*1.03*Tabla_master_rend[[#This Row],[%MP_Leche]])</f>
        <v>0.78627554998620741</v>
      </c>
      <c r="AU63" s="63">
        <f t="shared" si="27"/>
        <v>12180</v>
      </c>
      <c r="AV63" s="7">
        <v>41.4</v>
      </c>
      <c r="AW63" s="7">
        <v>87</v>
      </c>
      <c r="AX63" s="7">
        <v>42.9</v>
      </c>
      <c r="AY63" s="8">
        <f>SUM(Tabla_master_rend[[#This Row],[Kg_Finos]:[Kg_Desmoldeo]])</f>
        <v>171.3</v>
      </c>
      <c r="AZ63" s="60">
        <f>+(Tabla_master_rend[[#This Row],[Kg_Finos]]+Tabla_master_rend[[#This Row],[Kg_Llenadora]]+Tabla_master_rend[[#This Row],[Kg_Desmoldeo]])/(Tabla_master_rend[[#This Row],[Kg_Queso_Blan]])</f>
        <v>5.1783085401281128E-3</v>
      </c>
      <c r="BA63" s="7">
        <v>260</v>
      </c>
      <c r="BB63" s="60">
        <f>+Tabla_master_rend[[#This Row],[L_Agua]]/(Tabla_master_rend[[#This Row],[L_Agua]]+Tabla_master_rend[[#This Row],[Kg_SalidaSecadero]])</f>
        <v>7.9005743109787589E-3</v>
      </c>
      <c r="BC63" s="8">
        <v>4741</v>
      </c>
      <c r="BD63" s="8">
        <v>4569</v>
      </c>
      <c r="BE63" s="8">
        <v>31857</v>
      </c>
      <c r="BF63" s="8">
        <f>22*6.1</f>
        <v>134.19999999999999</v>
      </c>
      <c r="BG63" s="8">
        <f>95*6.1</f>
        <v>579.5</v>
      </c>
      <c r="BH63" s="7">
        <f>2*6.1</f>
        <v>12.2</v>
      </c>
      <c r="BI63" s="7">
        <f>59*6.1</f>
        <v>359.9</v>
      </c>
      <c r="BJ63" s="8">
        <v>93</v>
      </c>
      <c r="BK63" s="8">
        <v>32649</v>
      </c>
      <c r="BL63" s="8">
        <v>2.34</v>
      </c>
      <c r="BM63" s="8">
        <v>318.02</v>
      </c>
      <c r="BN63" s="7">
        <v>18.399999999999999</v>
      </c>
      <c r="BO63" s="68">
        <f>+SUM(Tabla_master_rend[[#This Row],[B_altas]:[B_lab]])/Tabla_master_rend[[#This Row],[Kg_SalidaSecadero]]</f>
        <v>3.6105240589298301E-2</v>
      </c>
      <c r="BP63" s="68">
        <f>+(Tabla_master_rend[[#This Row],[Kg_mer_env_real]]+Tabla_master_rend[[#This Row],[kg_mer_lab_real]])/Tabla_master_rend[[#This Row],[Kg_SalidaSecadero]]</f>
        <v>1.0304144077919689E-2</v>
      </c>
      <c r="BQ63" s="64">
        <f>+Tabla_master_rend[[#This Row],[Merma_TOT]]/Tabla_master_rend[[#This Row],[Kg_Queso_Blan]]</f>
        <v>2.3278507147758632E-2</v>
      </c>
      <c r="BR63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770.06</v>
      </c>
      <c r="BS63" s="8"/>
      <c r="BT63" s="63">
        <f>IF(+Tabla_master_rend[[#This Row],[Kg_Env_Total]]=0,0,Tabla_master_rend[[#This Row],[Kg_Env_Total]]-Tabla_master_rend[[#This Row],[Kg_SalidaSecadero]])</f>
        <v>0</v>
      </c>
      <c r="BU63" s="60">
        <f>+Tabla_master_rend[[#This Row],[Diferencia_Env_vs_Sec_kg]]/Tabla_master_rend[[#This Row],[Kg_SalidaSecadero]]</f>
        <v>0</v>
      </c>
      <c r="BV63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63" s="65">
        <f>+(Tabla_master_rend[[#This Row],[Coste_Leche_€]]-Tabla_master_rend[[#This Row],[Kg_MG_Nata]]*$CO$3)/Tabla_master_rend[[#This Row],[Kg_Queso_Blan]]</f>
        <v>-0.36819496800210394</v>
      </c>
      <c r="BX63" s="8">
        <f>SUM(Tabla_master_rend[[#This Row],[Kg_Finos]:[Kg_Desmoldeo]])+Tabla_master_rend[[#This Row],[L_Agua]]+SUM(Tabla_master_rend[[#This Row],[B_altas]:[B_lab]])</f>
        <v>1610.1000000000001</v>
      </c>
      <c r="BY63" s="8">
        <f>+BX63-Tabla_master_rend[[#This Row],[Merma_TOT]]</f>
        <v>840.04000000000019</v>
      </c>
      <c r="BZ63" s="62">
        <f t="shared" si="28"/>
        <v>0.52173156946773502</v>
      </c>
      <c r="CA63" s="8">
        <f>+Tabla_master_rend[[#This Row],[Kg_Queso_Blan]]*$CA$1</f>
        <v>215.02195</v>
      </c>
      <c r="CB63" s="8">
        <f>+Tabla_master_rend[[#This Row],[Kg_Queso_Blan]]*($CB$1-$CA$1)</f>
        <v>115.78105000000002</v>
      </c>
      <c r="CC63" s="8">
        <f>+(Tabla_master_rend[[#This Row],[Kg_Queso_Blan]]-CA63-CB63)*$CC$1</f>
        <v>343.86971850000003</v>
      </c>
      <c r="CD63" s="8">
        <f t="shared" si="29"/>
        <v>674.67271849999997</v>
      </c>
      <c r="CE63" s="80">
        <f>+CD63/Tabla_master_rend[[#This Row],[Kg_Queso_Blan]]</f>
        <v>2.0394999999999996E-2</v>
      </c>
      <c r="CF63" s="62">
        <f>+Tabla_master_rend[[#This Row],[Merma_TOT]]/Tabla_master_rend[[#This Row],[Kg_Queso_Blan]]</f>
        <v>2.3278507147758632E-2</v>
      </c>
      <c r="CG63" s="8">
        <f>CD63-Tabla_master_rend[[#This Row],[Merma_TOT]]</f>
        <v>-95.387281499999972</v>
      </c>
      <c r="CH63" s="81" cm="1">
        <f t="array" ref="CH63">-BR63 * IFERROR(INDEX('Precio Leche_EBITDA_Ventas'!$BD$87:$BD$110,MATCH(1,('Precio Leche_EBITDA_Ventas'!$AZ$87:$AZ$110=YEAR(A63))*('Precio Leche_EBITDA_Ventas'!$BB$87:$BB$110=C63),0)),1.3)</f>
        <v>-2695.21</v>
      </c>
      <c r="CI63" s="81">
        <f t="shared" si="30"/>
        <v>-124.00346594999996</v>
      </c>
    </row>
    <row r="64" spans="1:87" x14ac:dyDescent="0.35">
      <c r="A64" s="9">
        <v>45789</v>
      </c>
      <c r="B64" s="7">
        <v>5</v>
      </c>
      <c r="C64" s="7" t="str">
        <f>+UPPER(TEXT(Tabla_master_rend[[#This Row],[Fecha]],"MMM"))</f>
        <v>MAY</v>
      </c>
      <c r="D64" s="7" t="str">
        <f>+UPPER(TEXT(Tabla_master_rend[[#This Row],[Fecha]],"ddd"))</f>
        <v>LU</v>
      </c>
      <c r="E64" s="3">
        <v>120525226</v>
      </c>
      <c r="F64" s="3" t="s">
        <v>244</v>
      </c>
      <c r="G64" s="84" t="s">
        <v>190</v>
      </c>
      <c r="H64">
        <v>16</v>
      </c>
      <c r="I64" s="8">
        <f>+Tabla_master_rend[[#This Row],[L_Leche_ent]]+Tabla_master_rend[[#This Row],[L_desn_ext]]+Tabla_master_rend[[#This Row],[L_cabra]]+Tabla_master_rend[[#This Row],[L_oveja]]</f>
        <v>240763</v>
      </c>
      <c r="J64" s="8">
        <v>240763</v>
      </c>
      <c r="K64" s="5">
        <v>3.7200000000000004E-2</v>
      </c>
      <c r="L64" s="5">
        <v>3.2899999999999999E-2</v>
      </c>
      <c r="M64" s="5">
        <f t="shared" si="25"/>
        <v>0.10694200000000001</v>
      </c>
      <c r="N64" s="35" t="s">
        <v>43</v>
      </c>
      <c r="O64" s="8">
        <v>0</v>
      </c>
      <c r="P64" s="8">
        <v>0</v>
      </c>
      <c r="Q64" s="8">
        <v>0</v>
      </c>
      <c r="R64" s="8">
        <v>2034</v>
      </c>
      <c r="T64" s="8">
        <v>218820</v>
      </c>
      <c r="U64" s="38">
        <f>+Tabla_master_rend[[#This Row],[L_suero Total]]/Tabla_master_rend[[#This Row],[Litros_Leche_Total]]</f>
        <v>0.90886058073707343</v>
      </c>
      <c r="V64" s="5">
        <v>2E-3</v>
      </c>
      <c r="W64" s="5">
        <v>9.5999999999999992E-3</v>
      </c>
      <c r="X64" s="8">
        <v>73796</v>
      </c>
      <c r="Y64" s="57">
        <v>19745</v>
      </c>
      <c r="Z64" s="58">
        <f>IF(Tabla_master_rend[[#This Row],[L_suero para con]]=0,0,+Tabla_master_rend[[#This Row],[L_suero para con]]/Tabla_master_rend[[#This Row],[L_suero_con]])</f>
        <v>3.7374525196252217</v>
      </c>
      <c r="AA64" s="8">
        <f>+Tabla_master_rend[[#This Row],[L_suero Total]]-Tabla_master_rend[[#This Row],[L_suero para con]]</f>
        <v>145024</v>
      </c>
      <c r="AD64" s="8"/>
      <c r="AE64" s="8"/>
      <c r="AF64" s="8"/>
      <c r="AG64" s="5"/>
      <c r="AI64" s="7">
        <f>+Tabla_master_rend[[#This Row],[Kg_Finos]]+Tabla_master_rend[[#This Row],[Kg_Llenadora]]+Tabla_master_rend[[#This Row],[Kg_Desmoldeo]]+Tabla_master_rend[[#This Row],[L_Agua]]+Tabla_master_rend[[#This Row],[Kg_SalidaSecadero]]</f>
        <v>28469.9</v>
      </c>
      <c r="AJ64" s="59">
        <f>+Tabla_master_rend[[#This Row],[Litros_Leche_Total]]/Tabla_master_rend[[#This Row],[Kg_Queso_Blan]]</f>
        <v>8.4567560827400161</v>
      </c>
      <c r="AK64" s="59">
        <f>+Tabla_master_rend[[#This Row],[Litros_Leche_Total]]/(Tabla_master_rend[[#This Row],[Kg_Queso_Blan]]-Tabla_master_rend[[#This Row],[Merma_TOT]])</f>
        <v>8.7709142678949785</v>
      </c>
      <c r="AL64" s="59">
        <f>VLOOKUP(G64,REND_TARGET[#All],8,FALSE)</f>
        <v>8.4943170000000006</v>
      </c>
      <c r="AM64" s="7">
        <f>(I64*1.03*Tabla_master_rend[[#This Row],[%MG_Leche]])+(I64*1.03*Tabla_master_rend[[#This Row],[%MP_Leche]])</f>
        <v>17383.810889</v>
      </c>
      <c r="AN64" s="38">
        <v>0.29220000000000002</v>
      </c>
      <c r="AO64" s="38">
        <v>0.22989999999999999</v>
      </c>
      <c r="AP64" s="60">
        <v>0.57489999999999997</v>
      </c>
      <c r="AQ64" s="38">
        <f>+Tabla_master_rend[[#This Row],[Kg_Queso_Blan]]*Tabla_master_rend[[#This Row],[ES_QUESO]]/(Tabla_master_rend[[#This Row],[Kg_Solidos_leche]])</f>
        <v>0.94152804666995127</v>
      </c>
      <c r="AR64" s="7">
        <f t="shared" si="26"/>
        <v>813.6</v>
      </c>
      <c r="AS64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0.98996535779749661</v>
      </c>
      <c r="AT64" s="62">
        <f>+Tabla_master_rend[[#This Row],[Kg_Queso_Blan]]*Tabla_master_rend[[#This Row],[%PT_QUESO]]/(Tabla_master_rend[[#This Row],[Litros_Leche_Total]]*1.03*Tabla_master_rend[[#This Row],[%MP_Leche]])</f>
        <v>0.80223581026394808</v>
      </c>
      <c r="AU64" s="63">
        <f t="shared" si="27"/>
        <v>6102</v>
      </c>
      <c r="AV64" s="7">
        <v>119</v>
      </c>
      <c r="AW64" s="7">
        <v>150.6</v>
      </c>
      <c r="AX64" s="7">
        <v>28.3</v>
      </c>
      <c r="AY64" s="8">
        <f>SUM(Tabla_master_rend[[#This Row],[Kg_Finos]:[Kg_Desmoldeo]])</f>
        <v>297.90000000000003</v>
      </c>
      <c r="AZ64" s="60">
        <f>+(Tabla_master_rend[[#This Row],[Kg_Finos]]+Tabla_master_rend[[#This Row],[Kg_Llenadora]]+Tabla_master_rend[[#This Row],[Kg_Desmoldeo]])/(Tabla_master_rend[[#This Row],[Kg_Queso_Blan]])</f>
        <v>1.0463682696461878E-2</v>
      </c>
      <c r="BA64" s="7">
        <v>385</v>
      </c>
      <c r="BB64" s="60">
        <f>+Tabla_master_rend[[#This Row],[L_Agua]]/(Tabla_master_rend[[#This Row],[L_Agua]]+Tabla_master_rend[[#This Row],[Kg_SalidaSecadero]])</f>
        <v>1.3666051398551754E-2</v>
      </c>
      <c r="BC64" s="8">
        <v>4014</v>
      </c>
      <c r="BD64" s="8">
        <v>3935</v>
      </c>
      <c r="BE64" s="8">
        <v>27705</v>
      </c>
      <c r="BF64" s="8">
        <f>4*5.9</f>
        <v>23.6</v>
      </c>
      <c r="BG64" s="8">
        <f>37*5.9</f>
        <v>218.3</v>
      </c>
      <c r="BH64" s="7">
        <f>7*5.9</f>
        <v>41.300000000000004</v>
      </c>
      <c r="BI64" s="7">
        <f>20*5.9</f>
        <v>118</v>
      </c>
      <c r="BJ64" s="8">
        <v>91</v>
      </c>
      <c r="BK64" s="8">
        <v>27787</v>
      </c>
      <c r="BL64" s="8">
        <v>5.17</v>
      </c>
      <c r="BM64" s="8">
        <v>307.77999999999997</v>
      </c>
      <c r="BN64" s="7">
        <v>23.89</v>
      </c>
      <c r="BO64" s="68">
        <f>+SUM(Tabla_master_rend[[#This Row],[B_altas]:[B_lab]])/Tabla_master_rend[[#This Row],[Kg_SalidaSecadero]]</f>
        <v>1.7713319178032892E-2</v>
      </c>
      <c r="BP64" s="68">
        <f>+(Tabla_master_rend[[#This Row],[Kg_mer_env_real]]+Tabla_master_rend[[#This Row],[kg_mer_lab_real]])/Tabla_master_rend[[#This Row],[Kg_SalidaSecadero]]</f>
        <v>1.193615719581099E-2</v>
      </c>
      <c r="BQ64" s="64">
        <f>+Tabla_master_rend[[#This Row],[Merma_TOT]]/Tabla_master_rend[[#This Row],[Kg_Queso_Blan]]</f>
        <v>3.5818179902282754E-2</v>
      </c>
      <c r="BR64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1019.7399999999999</v>
      </c>
      <c r="BS64" s="8"/>
      <c r="BT64" s="63">
        <f>IF(+Tabla_master_rend[[#This Row],[Kg_Env_Total]]=0,0,Tabla_master_rend[[#This Row],[Kg_Env_Total]]-Tabla_master_rend[[#This Row],[Kg_SalidaSecadero]])</f>
        <v>0</v>
      </c>
      <c r="BU64" s="60">
        <f>+Tabla_master_rend[[#This Row],[Diferencia_Env_vs_Sec_kg]]/Tabla_master_rend[[#This Row],[Kg_SalidaSecadero]]</f>
        <v>0</v>
      </c>
      <c r="BV64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64" s="65">
        <f>+(Tabla_master_rend[[#This Row],[Coste_Leche_€]]-Tabla_master_rend[[#This Row],[Kg_MG_Nata]]*$CO$3)/Tabla_master_rend[[#This Row],[Kg_Queso_Blan]]</f>
        <v>-0.21433162743810127</v>
      </c>
      <c r="BX64" s="8">
        <f>SUM(Tabla_master_rend[[#This Row],[Kg_Finos]:[Kg_Desmoldeo]])+Tabla_master_rend[[#This Row],[L_Agua]]+SUM(Tabla_master_rend[[#This Row],[B_altas]:[B_lab]])</f>
        <v>1175.1000000000001</v>
      </c>
      <c r="BY64" s="8">
        <f>+BX64-Tabla_master_rend[[#This Row],[Merma_TOT]]</f>
        <v>155.36000000000024</v>
      </c>
      <c r="BZ64" s="62">
        <f t="shared" si="28"/>
        <v>0.13221002467875093</v>
      </c>
      <c r="CA64" s="8">
        <f>+Tabla_master_rend[[#This Row],[Kg_Queso_Blan]]*$CA$1</f>
        <v>185.05435</v>
      </c>
      <c r="CB64" s="8">
        <f>+Tabla_master_rend[[#This Row],[Kg_Queso_Blan]]*($CB$1-$CA$1)</f>
        <v>99.644650000000013</v>
      </c>
      <c r="CC64" s="8">
        <f>+(Tabla_master_rend[[#This Row],[Kg_Queso_Blan]]-CA64-CB64)*$CC$1</f>
        <v>295.94461050000007</v>
      </c>
      <c r="CD64" s="8">
        <f t="shared" si="29"/>
        <v>580.64361050000002</v>
      </c>
      <c r="CE64" s="80">
        <f>+CD64/Tabla_master_rend[[#This Row],[Kg_Queso_Blan]]</f>
        <v>2.0395E-2</v>
      </c>
      <c r="CF64" s="62">
        <f>+Tabla_master_rend[[#This Row],[Merma_TOT]]/Tabla_master_rend[[#This Row],[Kg_Queso_Blan]]</f>
        <v>3.5818179902282754E-2</v>
      </c>
      <c r="CG64" s="8">
        <f>CD64-Tabla_master_rend[[#This Row],[Merma_TOT]]</f>
        <v>-439.09638949999987</v>
      </c>
      <c r="CH64" s="81" cm="1">
        <f t="array" ref="CH64">-BR64 * IFERROR(INDEX('Precio Leche_EBITDA_Ventas'!$BD$87:$BD$110,MATCH(1,('Precio Leche_EBITDA_Ventas'!$AZ$87:$AZ$110=YEAR(A64))*('Precio Leche_EBITDA_Ventas'!$BB$87:$BB$110=C64),0)),1.3)</f>
        <v>-3569.0899999999997</v>
      </c>
      <c r="CI64" s="81">
        <f t="shared" si="30"/>
        <v>-570.82530634999989</v>
      </c>
    </row>
    <row r="65" spans="1:87" x14ac:dyDescent="0.35">
      <c r="A65" s="9">
        <v>45791</v>
      </c>
      <c r="B65" s="7">
        <v>5</v>
      </c>
      <c r="C65" s="7" t="str">
        <f>+UPPER(TEXT(Tabla_master_rend[[#This Row],[Fecha]],"MMM"))</f>
        <v>MAY</v>
      </c>
      <c r="D65" s="7" t="str">
        <f>+UPPER(TEXT(Tabla_master_rend[[#This Row],[Fecha]],"ddd"))</f>
        <v>MI</v>
      </c>
      <c r="E65" s="3">
        <v>140525316</v>
      </c>
      <c r="F65" s="3" t="s">
        <v>244</v>
      </c>
      <c r="G65" s="84" t="s">
        <v>299</v>
      </c>
      <c r="H65">
        <v>14</v>
      </c>
      <c r="I65" s="8">
        <f>+Tabla_master_rend[[#This Row],[L_Leche_ent]]+Tabla_master_rend[[#This Row],[L_desn_ext]]+Tabla_master_rend[[#This Row],[L_cabra]]+Tabla_master_rend[[#This Row],[L_oveja]]</f>
        <v>232996</v>
      </c>
      <c r="J65" s="8">
        <v>232996</v>
      </c>
      <c r="K65" s="5">
        <v>3.8800000000000001E-2</v>
      </c>
      <c r="L65" s="5">
        <v>3.3000000000000002E-2</v>
      </c>
      <c r="M65" s="5">
        <f t="shared" si="25"/>
        <v>0.108504</v>
      </c>
      <c r="N65" s="35" t="s">
        <v>43</v>
      </c>
      <c r="O65" s="8">
        <v>0</v>
      </c>
      <c r="P65" s="8">
        <v>0</v>
      </c>
      <c r="Q65" s="8">
        <v>0</v>
      </c>
      <c r="R65" s="8">
        <v>8767</v>
      </c>
      <c r="T65" s="8">
        <v>195110</v>
      </c>
      <c r="U65" s="38">
        <f>+Tabla_master_rend[[#This Row],[L_suero Total]]/Tabla_master_rend[[#This Row],[Litros_Leche_Total]]</f>
        <v>0.83739635015193392</v>
      </c>
      <c r="V65" s="5">
        <v>1.1999999999999999E-3</v>
      </c>
      <c r="W65" s="5">
        <v>8.6E-3</v>
      </c>
      <c r="X65" s="8">
        <v>197487</v>
      </c>
      <c r="Y65" s="57">
        <v>64828</v>
      </c>
      <c r="Z65" s="58">
        <f>IF(Tabla_master_rend[[#This Row],[L_suero para con]]=0,0,+Tabla_master_rend[[#This Row],[L_suero para con]]/Tabla_master_rend[[#This Row],[L_suero_con]])</f>
        <v>3.0463225766644042</v>
      </c>
      <c r="AA65" s="8">
        <f>+Tabla_master_rend[[#This Row],[L_suero Total]]-Tabla_master_rend[[#This Row],[L_suero para con]]</f>
        <v>-2377</v>
      </c>
      <c r="AD65" s="8"/>
      <c r="AE65" s="8"/>
      <c r="AF65" s="8"/>
      <c r="AG65" s="5"/>
      <c r="AI65" s="7">
        <f>+Tabla_master_rend[[#This Row],[Kg_Finos]]+Tabla_master_rend[[#This Row],[Kg_Llenadora]]+Tabla_master_rend[[#This Row],[Kg_Desmoldeo]]+Tabla_master_rend[[#This Row],[L_Agua]]+Tabla_master_rend[[#This Row],[Kg_SalidaSecadero]]</f>
        <v>23504.48</v>
      </c>
      <c r="AJ65" s="59">
        <f>+Tabla_master_rend[[#This Row],[Litros_Leche_Total]]/Tabla_master_rend[[#This Row],[Kg_Queso_Blan]]</f>
        <v>9.9128336385233791</v>
      </c>
      <c r="AK65" s="59">
        <f>+Tabla_master_rend[[#This Row],[Litros_Leche_Total]]/(Tabla_master_rend[[#This Row],[Kg_Queso_Blan]]-Tabla_master_rend[[#This Row],[Merma_TOT]])</f>
        <v>10.654835480571053</v>
      </c>
      <c r="AL65" s="59">
        <f>VLOOKUP(G65,REND_TARGET[#All],8,FALSE)</f>
        <v>9.8078500000000002</v>
      </c>
      <c r="AM65" s="7">
        <f>(I65*1.03*Tabla_master_rend[[#This Row],[%MG_Leche]])+(I65*1.03*Tabla_master_rend[[#This Row],[%MP_Leche]])</f>
        <v>17230.986184000001</v>
      </c>
      <c r="AN65" s="38">
        <v>0.23420000000000002</v>
      </c>
      <c r="AO65" s="38">
        <v>0.26860000000000001</v>
      </c>
      <c r="AP65" s="60">
        <v>0.55559999999999998</v>
      </c>
      <c r="AQ65" s="38">
        <f>+Tabla_master_rend[[#This Row],[Kg_Queso_Blan]]*Tabla_master_rend[[#This Row],[ES_QUESO]]/(Tabla_master_rend[[#This Row],[Kg_Solidos_leche]])</f>
        <v>0.75788402059808635</v>
      </c>
      <c r="AR65" s="7">
        <f t="shared" si="26"/>
        <v>3506.8</v>
      </c>
      <c r="AS65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0.96779203465130315</v>
      </c>
      <c r="AT65" s="62">
        <f>+Tabla_master_rend[[#This Row],[Kg_Queso_Blan]]*Tabla_master_rend[[#This Row],[%PT_QUESO]]/(Tabla_master_rend[[#This Row],[Litros_Leche_Total]]*1.03*Tabla_master_rend[[#This Row],[%MP_Leche]])</f>
        <v>0.79718115941073719</v>
      </c>
      <c r="AU65" s="63">
        <f t="shared" si="27"/>
        <v>26301</v>
      </c>
      <c r="AV65" s="7">
        <v>34.979999999999997</v>
      </c>
      <c r="AW65" s="7">
        <v>65.900000000000006</v>
      </c>
      <c r="AX65" s="7">
        <v>32.6</v>
      </c>
      <c r="AY65" s="8">
        <f>SUM(Tabla_master_rend[[#This Row],[Kg_Finos]:[Kg_Desmoldeo]])</f>
        <v>133.47999999999999</v>
      </c>
      <c r="AZ65" s="60">
        <f>+(Tabla_master_rend[[#This Row],[Kg_Finos]]+Tabla_master_rend[[#This Row],[Kg_Llenadora]]+Tabla_master_rend[[#This Row],[Kg_Desmoldeo]])/(Tabla_master_rend[[#This Row],[Kg_Queso_Blan]])</f>
        <v>5.6789173808567553E-3</v>
      </c>
      <c r="BA65" s="7">
        <v>220</v>
      </c>
      <c r="BB65" s="60">
        <f>+Tabla_master_rend[[#This Row],[L_Agua]]/(Tabla_master_rend[[#This Row],[L_Agua]]+Tabla_master_rend[[#This Row],[Kg_SalidaSecadero]])</f>
        <v>9.41337555089641E-3</v>
      </c>
      <c r="BC65" s="8">
        <v>3344</v>
      </c>
      <c r="BD65" s="8">
        <v>3102</v>
      </c>
      <c r="BE65" s="8">
        <v>21797</v>
      </c>
      <c r="BF65" s="8">
        <f>7*6.5</f>
        <v>45.5</v>
      </c>
      <c r="BG65" s="8">
        <f>128*6.5</f>
        <v>832</v>
      </c>
      <c r="BH65" s="7">
        <f>2*6.5</f>
        <v>13</v>
      </c>
      <c r="BI65" s="7">
        <f>97*6.5</f>
        <v>630.5</v>
      </c>
      <c r="BJ65" s="8">
        <v>91</v>
      </c>
      <c r="BK65" s="8">
        <v>23151</v>
      </c>
      <c r="BL65" s="8">
        <v>0</v>
      </c>
      <c r="BM65" s="8">
        <v>1260.0899999999999</v>
      </c>
      <c r="BN65" s="7">
        <v>23.28</v>
      </c>
      <c r="BO65" s="68">
        <f>+SUM(Tabla_master_rend[[#This Row],[B_altas]:[B_lab]])/Tabla_master_rend[[#This Row],[Kg_SalidaSecadero]]</f>
        <v>6.9629821605978137E-2</v>
      </c>
      <c r="BP65" s="68">
        <f>+(Tabla_master_rend[[#This Row],[Kg_mer_env_real]]+Tabla_master_rend[[#This Row],[kg_mer_lab_real]])/Tabla_master_rend[[#This Row],[Kg_SalidaSecadero]]</f>
        <v>5.54347544382532E-2</v>
      </c>
      <c r="BQ65" s="64">
        <f>+Tabla_master_rend[[#This Row],[Merma_TOT]]/Tabla_master_rend[[#This Row],[Kg_Queso_Blan]]</f>
        <v>6.9639915454415502E-2</v>
      </c>
      <c r="BR65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1636.85</v>
      </c>
      <c r="BS65" s="8"/>
      <c r="BT65" s="63">
        <f>IF(+Tabla_master_rend[[#This Row],[Kg_Env_Total]]=0,0,Tabla_master_rend[[#This Row],[Kg_Env_Total]]-Tabla_master_rend[[#This Row],[Kg_SalidaSecadero]])</f>
        <v>0</v>
      </c>
      <c r="BU65" s="60">
        <f>+Tabla_master_rend[[#This Row],[Diferencia_Env_vs_Sec_kg]]/Tabla_master_rend[[#This Row],[Kg_SalidaSecadero]]</f>
        <v>0</v>
      </c>
      <c r="BV65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65" s="65">
        <f>+(Tabla_master_rend[[#This Row],[Coste_Leche_€]]-Tabla_master_rend[[#This Row],[Kg_MG_Nata]]*$CO$3)/Tabla_master_rend[[#This Row],[Kg_Queso_Blan]]</f>
        <v>-1.1189781692681566</v>
      </c>
      <c r="BX65" s="8">
        <f>SUM(Tabla_master_rend[[#This Row],[Kg_Finos]:[Kg_Desmoldeo]])+Tabla_master_rend[[#This Row],[L_Agua]]+SUM(Tabla_master_rend[[#This Row],[B_altas]:[B_lab]])</f>
        <v>1965.48</v>
      </c>
      <c r="BY65" s="8">
        <f>+BX65-Tabla_master_rend[[#This Row],[Merma_TOT]]</f>
        <v>328.63000000000011</v>
      </c>
      <c r="BZ65" s="62">
        <f t="shared" si="28"/>
        <v>0.16720088731505794</v>
      </c>
      <c r="CA65" s="8">
        <f>+Tabla_master_rend[[#This Row],[Kg_Queso_Blan]]*$CA$1</f>
        <v>152.77911999999998</v>
      </c>
      <c r="CB65" s="8">
        <f>+Tabla_master_rend[[#This Row],[Kg_Queso_Blan]]*($CB$1-$CA$1)</f>
        <v>82.265680000000017</v>
      </c>
      <c r="CC65" s="8">
        <f>+(Tabla_master_rend[[#This Row],[Kg_Queso_Blan]]-CA65-CB65)*$CC$1</f>
        <v>244.32906960000003</v>
      </c>
      <c r="CD65" s="8">
        <f t="shared" si="29"/>
        <v>479.37386960000003</v>
      </c>
      <c r="CE65" s="80">
        <f>+CD65/Tabla_master_rend[[#This Row],[Kg_Queso_Blan]]</f>
        <v>2.0395000000000003E-2</v>
      </c>
      <c r="CF65" s="62">
        <f>+Tabla_master_rend[[#This Row],[Merma_TOT]]/Tabla_master_rend[[#This Row],[Kg_Queso_Blan]]</f>
        <v>6.9639915454415502E-2</v>
      </c>
      <c r="CG65" s="8">
        <f>CD65-Tabla_master_rend[[#This Row],[Merma_TOT]]</f>
        <v>-1157.4761303999999</v>
      </c>
      <c r="CH65" s="81" cm="1">
        <f t="array" ref="CH65">-BR65 * IFERROR(INDEX('Precio Leche_EBITDA_Ventas'!$BD$87:$BD$110,MATCH(1,('Precio Leche_EBITDA_Ventas'!$AZ$87:$AZ$110=YEAR(A65))*('Precio Leche_EBITDA_Ventas'!$BB$87:$BB$110=C65),0)),1.3)</f>
        <v>-5728.9749999999995</v>
      </c>
      <c r="CI65" s="81">
        <f t="shared" si="30"/>
        <v>-1504.71896952</v>
      </c>
    </row>
    <row r="66" spans="1:87" x14ac:dyDescent="0.35">
      <c r="A66" s="9">
        <v>45792</v>
      </c>
      <c r="B66" s="7">
        <v>5</v>
      </c>
      <c r="C66" s="7" t="str">
        <f>+UPPER(TEXT(Tabla_master_rend[[#This Row],[Fecha]],"MMM"))</f>
        <v>MAY</v>
      </c>
      <c r="D66" s="7" t="str">
        <f>+UPPER(TEXT(Tabla_master_rend[[#This Row],[Fecha]],"ddd"))</f>
        <v>JU</v>
      </c>
      <c r="E66" s="3">
        <v>150525326</v>
      </c>
      <c r="F66" s="3" t="s">
        <v>244</v>
      </c>
      <c r="G66" s="84" t="s">
        <v>301</v>
      </c>
      <c r="H66">
        <v>2</v>
      </c>
      <c r="I66" s="8">
        <f>+Tabla_master_rend[[#This Row],[L_Leche_ent]]+Tabla_master_rend[[#This Row],[L_desn_ext]]+Tabla_master_rend[[#This Row],[L_cabra]]+Tabla_master_rend[[#This Row],[L_oveja]]</f>
        <v>32134</v>
      </c>
      <c r="J66" s="8">
        <v>32134</v>
      </c>
      <c r="K66" s="5">
        <v>3.6200000000000003E-2</v>
      </c>
      <c r="L66" s="5">
        <v>3.2799999999999996E-2</v>
      </c>
      <c r="M66" s="5">
        <f t="shared" si="25"/>
        <v>0.105938</v>
      </c>
      <c r="N66" s="35" t="s">
        <v>188</v>
      </c>
      <c r="O66" s="8">
        <v>0</v>
      </c>
      <c r="P66" s="8">
        <v>0</v>
      </c>
      <c r="Q66" s="8">
        <v>0</v>
      </c>
      <c r="R66" s="8">
        <v>259.81865434594283</v>
      </c>
      <c r="T66" s="8">
        <v>27600</v>
      </c>
      <c r="U66" s="38">
        <f>+Tabla_master_rend[[#This Row],[L_suero Total]]/Tabla_master_rend[[#This Row],[Litros_Leche_Total]]</f>
        <v>0.85890334225431009</v>
      </c>
      <c r="V66" s="5">
        <v>1.8E-3</v>
      </c>
      <c r="W66" s="5">
        <v>8.6E-3</v>
      </c>
      <c r="X66" s="8">
        <f>248064/(219180+27600)*27600</f>
        <v>27743.603209336252</v>
      </c>
      <c r="Y66" s="57">
        <f>92252/(219180+27600)*27600</f>
        <v>10317.510333090202</v>
      </c>
      <c r="Z66" s="58">
        <f>IF(Tabla_master_rend[[#This Row],[L_suero para con]]=0,0,+Tabla_master_rend[[#This Row],[L_suero para con]]/Tabla_master_rend[[#This Row],[L_suero_con]])</f>
        <v>2.6889823526861205</v>
      </c>
      <c r="AA66" s="8">
        <f>+Tabla_master_rend[[#This Row],[L_suero Total]]-Tabla_master_rend[[#This Row],[L_suero para con]]</f>
        <v>-143.60320933625189</v>
      </c>
      <c r="AD66" s="8"/>
      <c r="AE66" s="8"/>
      <c r="AF66" s="8"/>
      <c r="AG66" s="5"/>
      <c r="AI66" s="7">
        <f>+Tabla_master_rend[[#This Row],[Kg_Finos]]+Tabla_master_rend[[#This Row],[Kg_Llenadora]]+Tabla_master_rend[[#This Row],[Kg_Desmoldeo]]+Tabla_master_rend[[#This Row],[L_Agua]]+Tabla_master_rend[[#This Row],[Kg_SalidaSecadero]]</f>
        <v>3474.9868178245979</v>
      </c>
      <c r="AJ66" s="59">
        <f>+Tabla_master_rend[[#This Row],[Litros_Leche_Total]]/Tabla_master_rend[[#This Row],[Kg_Queso_Blan]]</f>
        <v>9.2472293233378196</v>
      </c>
      <c r="AK66" s="59">
        <f>+Tabla_master_rend[[#This Row],[Litros_Leche_Total]]/(Tabla_master_rend[[#This Row],[Kg_Queso_Blan]]-Tabla_master_rend[[#This Row],[Merma_TOT]])</f>
        <v>10.049412059044284</v>
      </c>
      <c r="AL66" s="59">
        <f>VLOOKUP(G66,REND_TARGET[#All],8,FALSE)</f>
        <v>9.3549429999999987</v>
      </c>
      <c r="AM66" s="7">
        <f>(I66*1.03*Tabla_master_rend[[#This Row],[%MG_Leche]])+(I66*1.03*Tabla_master_rend[[#This Row],[%MP_Leche]])</f>
        <v>2283.7633800000003</v>
      </c>
      <c r="AN66" s="38">
        <v>0.31290000000000001</v>
      </c>
      <c r="AO66" s="38">
        <v>0.24840000000000001</v>
      </c>
      <c r="AP66" s="60">
        <v>0.61450000000000005</v>
      </c>
      <c r="AQ66" s="38">
        <f>+Tabla_master_rend[[#This Row],[Kg_Queso_Blan]]*Tabla_master_rend[[#This Row],[ES_QUESO]]/(Tabla_master_rend[[#This Row],[Kg_Solidos_leche]])</f>
        <v>0.93502655233626486</v>
      </c>
      <c r="AR66" s="7">
        <f t="shared" si="26"/>
        <v>103.92746173837713</v>
      </c>
      <c r="AS66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0.99424321110655212</v>
      </c>
      <c r="AT66" s="62">
        <f>+Tabla_master_rend[[#This Row],[Kg_Queso_Blan]]*Tabla_master_rend[[#This Row],[%PT_QUESO]]/(Tabla_master_rend[[#This Row],[Litros_Leche_Total]]*1.03*Tabla_master_rend[[#This Row],[%MP_Leche]])</f>
        <v>0.79511307509687867</v>
      </c>
      <c r="AU66" s="63">
        <f t="shared" si="27"/>
        <v>779.4559630378285</v>
      </c>
      <c r="AV66" s="7">
        <v>7.4868178245978285</v>
      </c>
      <c r="AW66" s="7">
        <v>111.9</v>
      </c>
      <c r="AX66" s="7">
        <v>43.6</v>
      </c>
      <c r="AY66" s="8">
        <f>SUM(Tabla_master_rend[[#This Row],[Kg_Finos]:[Kg_Desmoldeo]])</f>
        <v>162.98681782459784</v>
      </c>
      <c r="AZ66" s="60">
        <f>+(Tabla_master_rend[[#This Row],[Kg_Finos]]+Tabla_master_rend[[#This Row],[Kg_Llenadora]]+Tabla_master_rend[[#This Row],[Kg_Desmoldeo]])/(Tabla_master_rend[[#This Row],[Kg_Queso_Blan]])</f>
        <v>4.6902859311170109E-2</v>
      </c>
      <c r="BA66" s="7">
        <v>20</v>
      </c>
      <c r="BB66" s="60">
        <f>+Tabla_master_rend[[#This Row],[L_Agua]]/(Tabla_master_rend[[#This Row],[L_Agua]]+Tabla_master_rend[[#This Row],[Kg_SalidaSecadero]])</f>
        <v>6.038647342995169E-3</v>
      </c>
      <c r="BC66" s="8">
        <v>467</v>
      </c>
      <c r="BD66" s="8">
        <v>447</v>
      </c>
      <c r="BE66" s="8">
        <v>3182</v>
      </c>
      <c r="BF66" s="8">
        <f>10*6.3</f>
        <v>63</v>
      </c>
      <c r="BG66" s="8">
        <f>4*6.3</f>
        <v>25.2</v>
      </c>
      <c r="BH66" s="7">
        <v>0</v>
      </c>
      <c r="BI66" s="7">
        <f>12*6.3</f>
        <v>75.599999999999994</v>
      </c>
      <c r="BJ66" s="8">
        <v>30</v>
      </c>
      <c r="BK66" s="8">
        <v>3292</v>
      </c>
      <c r="BL66" s="8">
        <v>1.66</v>
      </c>
      <c r="BM66" s="8">
        <v>92.74</v>
      </c>
      <c r="BN66" s="7">
        <v>0</v>
      </c>
      <c r="BO66" s="68">
        <f>+SUM(Tabla_master_rend[[#This Row],[B_altas]:[B_lab]])/Tabla_master_rend[[#This Row],[Kg_SalidaSecadero]]</f>
        <v>5.8869987849331715E-2</v>
      </c>
      <c r="BP66" s="68">
        <f>+(Tabla_master_rend[[#This Row],[Kg_mer_env_real]]+Tabla_master_rend[[#This Row],[kg_mer_lab_real]])/Tabla_master_rend[[#This Row],[Kg_SalidaSecadero]]</f>
        <v>2.8171324422843255E-2</v>
      </c>
      <c r="BQ66" s="64">
        <f>+Tabla_master_rend[[#This Row],[Merma_TOT]]/Tabla_master_rend[[#This Row],[Kg_Queso_Blan]]</f>
        <v>7.9823847504045142E-2</v>
      </c>
      <c r="BR66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277.38681782459781</v>
      </c>
      <c r="BS66" s="8"/>
      <c r="BT66" s="63">
        <f>IF(+Tabla_master_rend[[#This Row],[Kg_Env_Total]]=0,0,Tabla_master_rend[[#This Row],[Kg_Env_Total]]-Tabla_master_rend[[#This Row],[Kg_SalidaSecadero]])</f>
        <v>0</v>
      </c>
      <c r="BU66" s="60">
        <f>+Tabla_master_rend[[#This Row],[Diferencia_Env_vs_Sec_kg]]/Tabla_master_rend[[#This Row],[Kg_SalidaSecadero]]</f>
        <v>0</v>
      </c>
      <c r="BV66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66" s="65">
        <f>+(Tabla_master_rend[[#This Row],[Coste_Leche_€]]-Tabla_master_rend[[#This Row],[Kg_MG_Nata]]*$CO$3)/Tabla_master_rend[[#This Row],[Kg_Queso_Blan]]</f>
        <v>-0.22430472514016081</v>
      </c>
      <c r="BX66" s="8">
        <f>SUM(Tabla_master_rend[[#This Row],[Kg_Finos]:[Kg_Desmoldeo]])+Tabla_master_rend[[#This Row],[L_Agua]]+SUM(Tabla_master_rend[[#This Row],[B_altas]:[B_lab]])</f>
        <v>376.78681782459785</v>
      </c>
      <c r="BY66" s="8">
        <f>+BX66-Tabla_master_rend[[#This Row],[Merma_TOT]]</f>
        <v>99.400000000000034</v>
      </c>
      <c r="BZ66" s="62">
        <f t="shared" si="28"/>
        <v>0.26380965388835026</v>
      </c>
      <c r="CA66" s="8">
        <f>+Tabla_master_rend[[#This Row],[Kg_Queso_Blan]]*$CA$1</f>
        <v>22.587414315859885</v>
      </c>
      <c r="CB66" s="8">
        <f>+Tabla_master_rend[[#This Row],[Kg_Queso_Blan]]*($CB$1-$CA$1)</f>
        <v>12.162453862386094</v>
      </c>
      <c r="CC66" s="8">
        <f>+(Tabla_master_rend[[#This Row],[Kg_Queso_Blan]]-CA66-CB66)*$CC$1</f>
        <v>36.122487971286702</v>
      </c>
      <c r="CD66" s="8">
        <f t="shared" si="29"/>
        <v>70.872356149532678</v>
      </c>
      <c r="CE66" s="80">
        <f>+CD66/Tabla_master_rend[[#This Row],[Kg_Queso_Blan]]</f>
        <v>2.0395E-2</v>
      </c>
      <c r="CF66" s="62">
        <f>+Tabla_master_rend[[#This Row],[Merma_TOT]]/Tabla_master_rend[[#This Row],[Kg_Queso_Blan]]</f>
        <v>7.9823847504045142E-2</v>
      </c>
      <c r="CG66" s="8">
        <f>CD66-Tabla_master_rend[[#This Row],[Merma_TOT]]</f>
        <v>-206.51446167506515</v>
      </c>
      <c r="CH66" s="81" cm="1">
        <f t="array" ref="CH66">-BR66 * IFERROR(INDEX('Precio Leche_EBITDA_Ventas'!$BD$87:$BD$110,MATCH(1,('Precio Leche_EBITDA_Ventas'!$AZ$87:$AZ$110=YEAR(A66))*('Precio Leche_EBITDA_Ventas'!$BB$87:$BB$110=C66),0)),1.3)</f>
        <v>-970.85386238609237</v>
      </c>
      <c r="CI66" s="81">
        <f t="shared" si="30"/>
        <v>-268.46880017758468</v>
      </c>
    </row>
    <row r="67" spans="1:87" x14ac:dyDescent="0.35">
      <c r="A67" s="9">
        <v>45792</v>
      </c>
      <c r="B67" s="7">
        <v>5</v>
      </c>
      <c r="C67" s="7" t="str">
        <f>+UPPER(TEXT(Tabla_master_rend[[#This Row],[Fecha]],"MMM"))</f>
        <v>MAY</v>
      </c>
      <c r="D67" s="7" t="str">
        <f>+UPPER(TEXT(Tabla_master_rend[[#This Row],[Fecha]],"ddd"))</f>
        <v>JU</v>
      </c>
      <c r="E67" s="3">
        <v>150525226</v>
      </c>
      <c r="F67" s="3" t="s">
        <v>244</v>
      </c>
      <c r="G67" s="84" t="s">
        <v>190</v>
      </c>
      <c r="H67">
        <v>16</v>
      </c>
      <c r="I67" s="8">
        <f>+Tabla_master_rend[[#This Row],[L_Leche_ent]]+Tabla_master_rend[[#This Row],[L_desn_ext]]+Tabla_master_rend[[#This Row],[L_cabra]]+Tabla_master_rend[[#This Row],[L_oveja]]</f>
        <v>241443</v>
      </c>
      <c r="J67" s="8">
        <v>241443</v>
      </c>
      <c r="K67" s="5">
        <v>3.5499999999999997E-2</v>
      </c>
      <c r="L67" s="5">
        <v>3.27E-2</v>
      </c>
      <c r="M67" s="5">
        <f t="shared" si="25"/>
        <v>0.105213</v>
      </c>
      <c r="N67" s="35" t="s">
        <v>188</v>
      </c>
      <c r="O67" s="8">
        <v>0</v>
      </c>
      <c r="P67" s="8">
        <v>0</v>
      </c>
      <c r="Q67" s="8">
        <v>0</v>
      </c>
      <c r="R67" s="8">
        <v>1952.1813456540574</v>
      </c>
      <c r="T67" s="8">
        <v>219180</v>
      </c>
      <c r="U67" s="38">
        <f>+Tabla_master_rend[[#This Row],[L_suero Total]]/Tabla_master_rend[[#This Row],[Litros_Leche_Total]]</f>
        <v>0.90779190119407061</v>
      </c>
      <c r="V67" s="5">
        <v>2.0999999999999999E-3</v>
      </c>
      <c r="W67" s="5">
        <v>8.6E-3</v>
      </c>
      <c r="X67" s="8">
        <f>248064/(219180+27600)*219180</f>
        <v>220320.39679066374</v>
      </c>
      <c r="Y67" s="57">
        <f>92252/(219180+27600)*219180</f>
        <v>81934.489666909794</v>
      </c>
      <c r="Z67" s="58">
        <f>IF(Tabla_master_rend[[#This Row],[L_suero para con]]=0,0,+Tabla_master_rend[[#This Row],[L_suero para con]]/Tabla_master_rend[[#This Row],[L_suero_con]])</f>
        <v>2.6889823526861205</v>
      </c>
      <c r="AA67" s="8">
        <f>+Tabla_master_rend[[#This Row],[L_suero Total]]-Tabla_master_rend[[#This Row],[L_suero para con]]</f>
        <v>-1140.3967906637408</v>
      </c>
      <c r="AD67" s="8"/>
      <c r="AE67" s="8"/>
      <c r="AF67" s="8"/>
      <c r="AG67" s="5"/>
      <c r="AI67" s="7">
        <f>+Tabla_master_rend[[#This Row],[Kg_Finos]]+Tabla_master_rend[[#This Row],[Kg_Llenadora]]+Tabla_master_rend[[#This Row],[Kg_Desmoldeo]]+Tabla_master_rend[[#This Row],[L_Agua]]+Tabla_master_rend[[#This Row],[Kg_SalidaSecadero]]</f>
        <v>28481.153182175403</v>
      </c>
      <c r="AJ67" s="59">
        <f>+Tabla_master_rend[[#This Row],[Litros_Leche_Total]]/Tabla_master_rend[[#This Row],[Kg_Queso_Blan]]</f>
        <v>8.4772901734577335</v>
      </c>
      <c r="AK67" s="59">
        <f>+Tabla_master_rend[[#This Row],[Litros_Leche_Total]]/(Tabla_master_rend[[#This Row],[Kg_Queso_Blan]]-Tabla_master_rend[[#This Row],[Merma_TOT]])</f>
        <v>8.8799631035938695</v>
      </c>
      <c r="AL67" s="59">
        <f>VLOOKUP(G67,REND_TARGET[#All],8,FALSE)</f>
        <v>8.4943170000000006</v>
      </c>
      <c r="AM67" s="7">
        <f>(I67*1.03*Tabla_master_rend[[#This Row],[%MG_Leche]])+(I67*1.03*Tabla_master_rend[[#This Row],[%MP_Leche]])</f>
        <v>16960.404977999999</v>
      </c>
      <c r="AN67" s="38">
        <v>0.28000000000000003</v>
      </c>
      <c r="AO67" s="38">
        <v>0.2465</v>
      </c>
      <c r="AP67" s="60">
        <v>0.57320000000000004</v>
      </c>
      <c r="AQ67" s="38">
        <f>+Tabla_master_rend[[#This Row],[Kg_Queso_Blan]]*Tabla_master_rend[[#This Row],[ES_QUESO]]/(Tabla_master_rend[[#This Row],[Kg_Solidos_leche]])</f>
        <v>0.96255938612310565</v>
      </c>
      <c r="AR67" s="7">
        <f t="shared" si="26"/>
        <v>780.87253826162305</v>
      </c>
      <c r="AS67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0.99175749079441755</v>
      </c>
      <c r="AT67" s="62">
        <f>+Tabla_master_rend[[#This Row],[Kg_Queso_Blan]]*Tabla_master_rend[[#This Row],[%PT_QUESO]]/(Tabla_master_rend[[#This Row],[Litros_Leche_Total]]*1.03*Tabla_master_rend[[#This Row],[%MP_Leche]])</f>
        <v>0.86332615265398616</v>
      </c>
      <c r="AU67" s="63">
        <f t="shared" si="27"/>
        <v>5856.5440369621729</v>
      </c>
      <c r="AV67" s="7">
        <v>56.253182175402173</v>
      </c>
      <c r="AW67" s="7">
        <v>110.9</v>
      </c>
      <c r="AX67" s="7">
        <v>232</v>
      </c>
      <c r="AY67" s="8">
        <f>SUM(Tabla_master_rend[[#This Row],[Kg_Finos]:[Kg_Desmoldeo]])</f>
        <v>399.15318217540221</v>
      </c>
      <c r="AZ67" s="60">
        <f>+(Tabla_master_rend[[#This Row],[Kg_Finos]]+Tabla_master_rend[[#This Row],[Kg_Llenadora]]+Tabla_master_rend[[#This Row],[Kg_Desmoldeo]])/(Tabla_master_rend[[#This Row],[Kg_Queso_Blan]])</f>
        <v>1.4014642582141216E-2</v>
      </c>
      <c r="BA67" s="7">
        <v>570</v>
      </c>
      <c r="BB67" s="60">
        <f>+Tabla_master_rend[[#This Row],[L_Agua]]/(Tabla_master_rend[[#This Row],[L_Agua]]+Tabla_master_rend[[#This Row],[Kg_SalidaSecadero]])</f>
        <v>2.0297699594046009E-2</v>
      </c>
      <c r="BC67" s="8">
        <v>3982</v>
      </c>
      <c r="BD67" s="8">
        <v>3913</v>
      </c>
      <c r="BE67" s="8">
        <v>27679</v>
      </c>
      <c r="BF67" s="8">
        <f>18*5.8</f>
        <v>104.39999999999999</v>
      </c>
      <c r="BG67" s="8">
        <f>22*5.8</f>
        <v>127.6</v>
      </c>
      <c r="BH67" s="7">
        <f>4*5.8</f>
        <v>23.2</v>
      </c>
      <c r="BI67" s="7">
        <f>29*5.8</f>
        <v>168.2</v>
      </c>
      <c r="BJ67" s="8">
        <v>85</v>
      </c>
      <c r="BK67" s="8">
        <v>27512</v>
      </c>
      <c r="BL67" s="8">
        <v>0</v>
      </c>
      <c r="BM67" s="8">
        <v>297.55</v>
      </c>
      <c r="BN67" s="7">
        <v>24.81</v>
      </c>
      <c r="BO67" s="68">
        <f>+SUM(Tabla_master_rend[[#This Row],[B_altas]:[B_lab]])/Tabla_master_rend[[#This Row],[Kg_SalidaSecadero]]</f>
        <v>1.847920907240477E-2</v>
      </c>
      <c r="BP67" s="68">
        <f>+(Tabla_master_rend[[#This Row],[Kg_mer_env_real]]+Tabla_master_rend[[#This Row],[kg_mer_lab_real]])/Tabla_master_rend[[#This Row],[Kg_SalidaSecadero]]</f>
        <v>1.171706891538238E-2</v>
      </c>
      <c r="BQ67" s="64">
        <f>+Tabla_master_rend[[#This Row],[Merma_TOT]]/Tabla_master_rend[[#This Row],[Kg_Queso_Blan]]</f>
        <v>4.5346239104660999E-2</v>
      </c>
      <c r="BR67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1291.5131821754023</v>
      </c>
      <c r="BS67" s="8"/>
      <c r="BT67" s="63">
        <f>IF(+Tabla_master_rend[[#This Row],[Kg_Env_Total]]=0,0,Tabla_master_rend[[#This Row],[Kg_Env_Total]]-Tabla_master_rend[[#This Row],[Kg_SalidaSecadero]])</f>
        <v>0</v>
      </c>
      <c r="BU67" s="60">
        <f>+Tabla_master_rend[[#This Row],[Diferencia_Env_vs_Sec_kg]]/Tabla_master_rend[[#This Row],[Kg_SalidaSecadero]]</f>
        <v>0</v>
      </c>
      <c r="BV67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67" s="65">
        <f>+(Tabla_master_rend[[#This Row],[Coste_Leche_€]]-Tabla_master_rend[[#This Row],[Kg_MG_Nata]]*$CO$3)/Tabla_master_rend[[#This Row],[Kg_Queso_Blan]]</f>
        <v>-0.20562875384650586</v>
      </c>
      <c r="BX67" s="8">
        <f>SUM(Tabla_master_rend[[#This Row],[Kg_Finos]:[Kg_Desmoldeo]])+Tabla_master_rend[[#This Row],[L_Agua]]+SUM(Tabla_master_rend[[#This Row],[B_altas]:[B_lab]])</f>
        <v>1477.5531821754021</v>
      </c>
      <c r="BY67" s="8">
        <f>+BX67-Tabla_master_rend[[#This Row],[Merma_TOT]]</f>
        <v>186.03999999999974</v>
      </c>
      <c r="BZ67" s="62">
        <f t="shared" si="28"/>
        <v>0.12591086550677857</v>
      </c>
      <c r="CA67" s="8">
        <f>+Tabla_master_rend[[#This Row],[Kg_Queso_Blan]]*$CA$1</f>
        <v>185.12749568414011</v>
      </c>
      <c r="CB67" s="8">
        <f>+Tabla_master_rend[[#This Row],[Kg_Queso_Blan]]*($CB$1-$CA$1)</f>
        <v>99.68403613761393</v>
      </c>
      <c r="CC67" s="8">
        <f>+(Tabla_master_rend[[#This Row],[Kg_Queso_Blan]]-CA67-CB67)*$CC$1</f>
        <v>296.06158732871336</v>
      </c>
      <c r="CD67" s="8">
        <f t="shared" si="29"/>
        <v>580.87311915046735</v>
      </c>
      <c r="CE67" s="80">
        <f>+CD67/Tabla_master_rend[[#This Row],[Kg_Queso_Blan]]</f>
        <v>2.0395E-2</v>
      </c>
      <c r="CF67" s="62">
        <f>+Tabla_master_rend[[#This Row],[Merma_TOT]]/Tabla_master_rend[[#This Row],[Kg_Queso_Blan]]</f>
        <v>4.5346239104660999E-2</v>
      </c>
      <c r="CG67" s="8">
        <f>CD67-Tabla_master_rend[[#This Row],[Merma_TOT]]</f>
        <v>-710.64006302493499</v>
      </c>
      <c r="CH67" s="81" cm="1">
        <f t="array" ref="CH67">-BR67 * IFERROR(INDEX('Precio Leche_EBITDA_Ventas'!$BD$87:$BD$110,MATCH(1,('Precio Leche_EBITDA_Ventas'!$AZ$87:$AZ$110=YEAR(A67))*('Precio Leche_EBITDA_Ventas'!$BB$87:$BB$110=C67),0)),1.3)</f>
        <v>-4520.2961376139083</v>
      </c>
      <c r="CI67" s="81">
        <f t="shared" si="30"/>
        <v>-923.83208193241546</v>
      </c>
    </row>
    <row r="68" spans="1:87" x14ac:dyDescent="0.35">
      <c r="A68" s="9">
        <v>45793</v>
      </c>
      <c r="B68" s="7">
        <v>5</v>
      </c>
      <c r="C68" s="7" t="str">
        <f>+UPPER(TEXT(Tabla_master_rend[[#This Row],[Fecha]],"MMM"))</f>
        <v>MAY</v>
      </c>
      <c r="D68" s="7" t="str">
        <f>+UPPER(TEXT(Tabla_master_rend[[#This Row],[Fecha]],"ddd"))</f>
        <v>VI</v>
      </c>
      <c r="E68" s="3">
        <v>160525346</v>
      </c>
      <c r="F68" s="3" t="s">
        <v>244</v>
      </c>
      <c r="G68" s="84" t="s">
        <v>40</v>
      </c>
      <c r="H68">
        <v>15</v>
      </c>
      <c r="I68" s="8">
        <f>+Tabla_master_rend[[#This Row],[L_Leche_ent]]+Tabla_master_rend[[#This Row],[L_desn_ext]]+Tabla_master_rend[[#This Row],[L_cabra]]+Tabla_master_rend[[#This Row],[L_oveja]]</f>
        <v>251659</v>
      </c>
      <c r="J68" s="8">
        <v>251659</v>
      </c>
      <c r="K68" s="5">
        <v>3.9E-2</v>
      </c>
      <c r="L68" s="5">
        <v>3.2899999999999999E-2</v>
      </c>
      <c r="M68" s="5">
        <f t="shared" si="25"/>
        <v>0.108616</v>
      </c>
      <c r="N68" s="35" t="s">
        <v>43</v>
      </c>
      <c r="O68" s="8">
        <v>0</v>
      </c>
      <c r="P68" s="8">
        <v>0</v>
      </c>
      <c r="Q68" s="8">
        <v>0</v>
      </c>
      <c r="R68" s="8">
        <v>3011</v>
      </c>
      <c r="T68" s="8">
        <v>206550</v>
      </c>
      <c r="U68" s="38">
        <f>+Tabla_master_rend[[#This Row],[L_suero Total]]/Tabla_master_rend[[#This Row],[Litros_Leche_Total]]</f>
        <v>0.82075347990733494</v>
      </c>
      <c r="V68" s="5">
        <v>2.8000000000000004E-3</v>
      </c>
      <c r="W68" s="5">
        <v>1.0200000000000001E-2</v>
      </c>
      <c r="X68" s="8">
        <v>208905</v>
      </c>
      <c r="Y68" s="57">
        <v>70257</v>
      </c>
      <c r="Z68" s="58">
        <f>IF(Tabla_master_rend[[#This Row],[L_suero para con]]=0,0,+Tabla_master_rend[[#This Row],[L_suero para con]]/Tabla_master_rend[[#This Row],[L_suero_con]])</f>
        <v>2.9734403689312097</v>
      </c>
      <c r="AA68" s="8">
        <f>+Tabla_master_rend[[#This Row],[L_suero Total]]-Tabla_master_rend[[#This Row],[L_suero para con]]</f>
        <v>-2355</v>
      </c>
      <c r="AD68" s="8"/>
      <c r="AE68" s="8"/>
      <c r="AF68" s="8"/>
      <c r="AG68" s="5"/>
      <c r="AI68" s="7">
        <f>+Tabla_master_rend[[#This Row],[Kg_Finos]]+Tabla_master_rend[[#This Row],[Kg_Llenadora]]+Tabla_master_rend[[#This Row],[Kg_Desmoldeo]]+Tabla_master_rend[[#This Row],[L_Agua]]+Tabla_master_rend[[#This Row],[Kg_SalidaSecadero]]</f>
        <v>28761.52</v>
      </c>
      <c r="AJ68" s="59">
        <f>+Tabla_master_rend[[#This Row],[Litros_Leche_Total]]/Tabla_master_rend[[#This Row],[Kg_Queso_Blan]]</f>
        <v>8.7498504946887365</v>
      </c>
      <c r="AK68" s="59">
        <f>+Tabla_master_rend[[#This Row],[Litros_Leche_Total]]/(Tabla_master_rend[[#This Row],[Kg_Queso_Blan]]-Tabla_master_rend[[#This Row],[Merma_TOT]])</f>
        <v>8.9337086788594782</v>
      </c>
      <c r="AL68" s="59">
        <f>VLOOKUP(G68,REND_TARGET[#All],8,FALSE)</f>
        <v>8.9338729999999984</v>
      </c>
      <c r="AM68" s="7">
        <f>(I68*1.03*Tabla_master_rend[[#This Row],[%MG_Leche]])+(I68*1.03*Tabla_master_rend[[#This Row],[%MP_Leche]])</f>
        <v>18637.110563000002</v>
      </c>
      <c r="AN68" s="38">
        <v>0.30010000000000003</v>
      </c>
      <c r="AO68" s="38">
        <v>0.22920000000000001</v>
      </c>
      <c r="AP68" s="60">
        <v>0.57740000000000002</v>
      </c>
      <c r="AQ68" s="38">
        <f>+Tabla_master_rend[[#This Row],[Kg_Queso_Blan]]*Tabla_master_rend[[#This Row],[ES_QUESO]]/(Tabla_master_rend[[#This Row],[Kg_Solidos_leche]])</f>
        <v>0.89106632661016971</v>
      </c>
      <c r="AR68" s="7">
        <f t="shared" si="26"/>
        <v>1204.4000000000001</v>
      </c>
      <c r="AS68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0.97295419559952501</v>
      </c>
      <c r="AT68" s="62">
        <f>+Tabla_master_rend[[#This Row],[Kg_Queso_Blan]]*Tabla_master_rend[[#This Row],[%PT_QUESO]]/(Tabla_master_rend[[#This Row],[Litros_Leche_Total]]*1.03*Tabla_master_rend[[#This Row],[%MP_Leche]])</f>
        <v>0.77300242824430221</v>
      </c>
      <c r="AU68" s="63">
        <f t="shared" si="27"/>
        <v>9033</v>
      </c>
      <c r="AV68" s="7">
        <v>61.52</v>
      </c>
      <c r="AW68" s="7">
        <v>88.4</v>
      </c>
      <c r="AX68" s="7">
        <v>35.6</v>
      </c>
      <c r="AY68" s="8">
        <f>SUM(Tabla_master_rend[[#This Row],[Kg_Finos]:[Kg_Desmoldeo]])</f>
        <v>185.52</v>
      </c>
      <c r="AZ68" s="60">
        <f>+(Tabla_master_rend[[#This Row],[Kg_Finos]]+Tabla_master_rend[[#This Row],[Kg_Llenadora]]+Tabla_master_rend[[#This Row],[Kg_Desmoldeo]])/(Tabla_master_rend[[#This Row],[Kg_Queso_Blan]])</f>
        <v>6.4502849640770028E-3</v>
      </c>
      <c r="BA68" s="7">
        <v>260</v>
      </c>
      <c r="BB68" s="60">
        <f>+Tabla_master_rend[[#This Row],[L_Agua]]/(Tabla_master_rend[[#This Row],[L_Agua]]+Tabla_master_rend[[#This Row],[Kg_SalidaSecadero]])</f>
        <v>9.0985442329227315E-3</v>
      </c>
      <c r="BC68" s="8">
        <v>4104</v>
      </c>
      <c r="BD68" s="8">
        <v>4069</v>
      </c>
      <c r="BE68" s="8">
        <v>28364</v>
      </c>
      <c r="BF68" s="8">
        <f>7*6</f>
        <v>42</v>
      </c>
      <c r="BG68" s="8">
        <f>8*6</f>
        <v>48</v>
      </c>
      <c r="BH68" s="7">
        <f>6*6</f>
        <v>36</v>
      </c>
      <c r="BI68" s="7">
        <f>7*6</f>
        <v>42</v>
      </c>
      <c r="BJ68" s="8">
        <v>86</v>
      </c>
      <c r="BK68" s="8">
        <v>28316</v>
      </c>
      <c r="BL68" s="8">
        <v>0</v>
      </c>
      <c r="BM68" s="8">
        <v>128.84</v>
      </c>
      <c r="BN68" s="7">
        <v>17.559999999999999</v>
      </c>
      <c r="BO68" s="68">
        <f>+SUM(Tabla_master_rend[[#This Row],[B_altas]:[B_lab]])/Tabla_master_rend[[#This Row],[Kg_SalidaSecadero]]</f>
        <v>8.9701935301596276E-3</v>
      </c>
      <c r="BP68" s="68">
        <f>+(Tabla_master_rend[[#This Row],[Kg_mer_env_real]]+Tabla_master_rend[[#This Row],[kg_mer_lab_real]])/Tabla_master_rend[[#This Row],[Kg_SalidaSecadero]]</f>
        <v>5.170221782737675E-3</v>
      </c>
      <c r="BQ68" s="64">
        <f>+Tabla_master_rend[[#This Row],[Merma_TOT]]/Tabla_master_rend[[#This Row],[Kg_Queso_Blan]]</f>
        <v>2.0580275312292257E-2</v>
      </c>
      <c r="BR68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591.91999999999996</v>
      </c>
      <c r="BS68" s="8"/>
      <c r="BT68" s="63">
        <f>IF(+Tabla_master_rend[[#This Row],[Kg_Env_Total]]=0,0,Tabla_master_rend[[#This Row],[Kg_Env_Total]]-Tabla_master_rend[[#This Row],[Kg_SalidaSecadero]])</f>
        <v>0</v>
      </c>
      <c r="BU68" s="60">
        <f>+Tabla_master_rend[[#This Row],[Diferencia_Env_vs_Sec_kg]]/Tabla_master_rend[[#This Row],[Kg_SalidaSecadero]]</f>
        <v>0</v>
      </c>
      <c r="BV68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68" s="65">
        <f>+(Tabla_master_rend[[#This Row],[Coste_Leche_€]]-Tabla_master_rend[[#This Row],[Kg_MG_Nata]]*$CO$3)/Tabla_master_rend[[#This Row],[Kg_Queso_Blan]]</f>
        <v>-0.31406545968363286</v>
      </c>
      <c r="BX68" s="8">
        <f>SUM(Tabla_master_rend[[#This Row],[Kg_Finos]:[Kg_Desmoldeo]])+Tabla_master_rend[[#This Row],[L_Agua]]+SUM(Tabla_master_rend[[#This Row],[B_altas]:[B_lab]])</f>
        <v>699.52</v>
      </c>
      <c r="BY68" s="8">
        <f>+BX68-Tabla_master_rend[[#This Row],[Merma_TOT]]</f>
        <v>107.60000000000002</v>
      </c>
      <c r="BZ68" s="62">
        <f t="shared" si="28"/>
        <v>0.1538197621225984</v>
      </c>
      <c r="CA68" s="8">
        <f>+Tabla_master_rend[[#This Row],[Kg_Queso_Blan]]*$CA$1</f>
        <v>186.94988000000001</v>
      </c>
      <c r="CB68" s="8">
        <f>+Tabla_master_rend[[#This Row],[Kg_Queso_Blan]]*($CB$1-$CA$1)</f>
        <v>100.66532000000002</v>
      </c>
      <c r="CC68" s="8">
        <f>+(Tabla_master_rend[[#This Row],[Kg_Queso_Blan]]-CA68-CB68)*$CC$1</f>
        <v>298.97600040000003</v>
      </c>
      <c r="CD68" s="8">
        <f t="shared" si="29"/>
        <v>586.59120040000005</v>
      </c>
      <c r="CE68" s="80">
        <f>+CD68/Tabla_master_rend[[#This Row],[Kg_Queso_Blan]]</f>
        <v>2.0395E-2</v>
      </c>
      <c r="CF68" s="62">
        <f>+Tabla_master_rend[[#This Row],[Merma_TOT]]/Tabla_master_rend[[#This Row],[Kg_Queso_Blan]]</f>
        <v>2.0580275312292257E-2</v>
      </c>
      <c r="CG68" s="8">
        <f>CD68-Tabla_master_rend[[#This Row],[Merma_TOT]]</f>
        <v>-5.3287995999999112</v>
      </c>
      <c r="CH68" s="81" cm="1">
        <f t="array" ref="CH68">-BR68 * IFERROR(INDEX('Precio Leche_EBITDA_Ventas'!$BD$87:$BD$110,MATCH(1,('Precio Leche_EBITDA_Ventas'!$AZ$87:$AZ$110=YEAR(A68))*('Precio Leche_EBITDA_Ventas'!$BB$87:$BB$110=C68),0)),1.3)</f>
        <v>-2071.7199999999998</v>
      </c>
      <c r="CI68" s="81">
        <f t="shared" si="30"/>
        <v>-6.9274394799998849</v>
      </c>
    </row>
    <row r="69" spans="1:87" x14ac:dyDescent="0.35">
      <c r="A69" s="9">
        <v>45796</v>
      </c>
      <c r="B69" s="7">
        <v>5</v>
      </c>
      <c r="C69" s="7" t="str">
        <f>+UPPER(TEXT(Tabla_master_rend[[#This Row],[Fecha]],"MMM"))</f>
        <v>MAY</v>
      </c>
      <c r="D69" s="7" t="str">
        <f>+UPPER(TEXT(Tabla_master_rend[[#This Row],[Fecha]],"ddd"))</f>
        <v>LU</v>
      </c>
      <c r="E69" s="3">
        <v>190525316</v>
      </c>
      <c r="F69" s="3" t="s">
        <v>244</v>
      </c>
      <c r="G69" s="84" t="s">
        <v>299</v>
      </c>
      <c r="H69">
        <v>19</v>
      </c>
      <c r="I69" s="8">
        <f>+Tabla_master_rend[[#This Row],[L_Leche_ent]]+Tabla_master_rend[[#This Row],[L_desn_ext]]+Tabla_master_rend[[#This Row],[L_cabra]]+Tabla_master_rend[[#This Row],[L_oveja]]</f>
        <v>317356</v>
      </c>
      <c r="J69" s="8">
        <f>317356-23760</f>
        <v>293596</v>
      </c>
      <c r="K69" s="5">
        <v>3.7999999999999999E-2</v>
      </c>
      <c r="L69" s="5">
        <v>3.2899999999999999E-2</v>
      </c>
      <c r="M69" s="5">
        <f t="shared" si="25"/>
        <v>0.107686</v>
      </c>
      <c r="N69" s="35" t="s">
        <v>43</v>
      </c>
      <c r="O69" s="8">
        <v>23760</v>
      </c>
      <c r="P69" s="8">
        <v>0</v>
      </c>
      <c r="Q69" s="8">
        <v>0</v>
      </c>
      <c r="R69" s="8">
        <v>11383</v>
      </c>
      <c r="T69" s="8">
        <v>265320</v>
      </c>
      <c r="U69" s="38">
        <f>+Tabla_master_rend[[#This Row],[L_suero Total]]/Tabla_master_rend[[#This Row],[Litros_Leche_Total]]</f>
        <v>0.83603272035190768</v>
      </c>
      <c r="V69" s="5">
        <v>1E-3</v>
      </c>
      <c r="W69" s="5">
        <v>9.0000000000000011E-3</v>
      </c>
      <c r="X69" s="8">
        <v>172071</v>
      </c>
      <c r="Y69" s="57">
        <v>57583</v>
      </c>
      <c r="Z69" s="58">
        <f>IF(Tabla_master_rend[[#This Row],[L_suero para con]]=0,0,+Tabla_master_rend[[#This Row],[L_suero para con]]/Tabla_master_rend[[#This Row],[L_suero_con]])</f>
        <v>2.9882256916103711</v>
      </c>
      <c r="AA69" s="8">
        <f>+Tabla_master_rend[[#This Row],[L_suero Total]]-Tabla_master_rend[[#This Row],[L_suero para con]]</f>
        <v>93249</v>
      </c>
      <c r="AD69" s="8"/>
      <c r="AE69" s="8"/>
      <c r="AF69" s="8"/>
      <c r="AG69" s="5"/>
      <c r="AI69" s="7">
        <f>+Tabla_master_rend[[#This Row],[Kg_Finos]]+Tabla_master_rend[[#This Row],[Kg_Llenadora]]+Tabla_master_rend[[#This Row],[Kg_Desmoldeo]]+Tabla_master_rend[[#This Row],[L_Agua]]+Tabla_master_rend[[#This Row],[Kg_SalidaSecadero]]</f>
        <v>31683.360000000001</v>
      </c>
      <c r="AJ69" s="59">
        <f>+Tabla_master_rend[[#This Row],[Litros_Leche_Total]]/Tabla_master_rend[[#This Row],[Kg_Queso_Blan]]</f>
        <v>10.01648815024669</v>
      </c>
      <c r="AK69" s="59">
        <f>+Tabla_master_rend[[#This Row],[Litros_Leche_Total]]/(Tabla_master_rend[[#This Row],[Kg_Queso_Blan]]-Tabla_master_rend[[#This Row],[Merma_TOT]])</f>
        <v>10.640086232186531</v>
      </c>
      <c r="AL69" s="59">
        <f>VLOOKUP(G69,REND_TARGET[#All],8,FALSE)</f>
        <v>9.8078500000000002</v>
      </c>
      <c r="AM69" s="7">
        <f>(I69*1.03*Tabla_master_rend[[#This Row],[%MG_Leche]])+(I69*1.03*Tabla_master_rend[[#This Row],[%MP_Leche]])</f>
        <v>23175.556612</v>
      </c>
      <c r="AN69" s="38">
        <v>0.23530000000000001</v>
      </c>
      <c r="AO69" s="38">
        <v>0.2591</v>
      </c>
      <c r="AP69" s="60">
        <v>0.54620000000000002</v>
      </c>
      <c r="AQ69" s="38">
        <f>+Tabla_master_rend[[#This Row],[Kg_Queso_Blan]]*Tabla_master_rend[[#This Row],[ES_QUESO]]/(Tabla_master_rend[[#This Row],[Kg_Solidos_leche]])</f>
        <v>0.74671135290185275</v>
      </c>
      <c r="AR69" s="7">
        <f t="shared" si="26"/>
        <v>4553.2</v>
      </c>
      <c r="AS69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0.96674915090946623</v>
      </c>
      <c r="AT69" s="62">
        <f>+Tabla_master_rend[[#This Row],[Kg_Queso_Blan]]*Tabla_master_rend[[#This Row],[%PT_QUESO]]/(Tabla_master_rend[[#This Row],[Litros_Leche_Total]]*1.03*Tabla_master_rend[[#This Row],[%MP_Leche]])</f>
        <v>0.76334138535291007</v>
      </c>
      <c r="AU69" s="63">
        <f t="shared" si="27"/>
        <v>34149</v>
      </c>
      <c r="AV69" s="7">
        <v>57.46</v>
      </c>
      <c r="AW69" s="7">
        <v>72.400000000000006</v>
      </c>
      <c r="AX69" s="7">
        <v>231.5</v>
      </c>
      <c r="AY69" s="8">
        <f>SUM(Tabla_master_rend[[#This Row],[Kg_Finos]:[Kg_Desmoldeo]])</f>
        <v>361.36</v>
      </c>
      <c r="AZ69" s="60">
        <f>+(Tabla_master_rend[[#This Row],[Kg_Finos]]+Tabla_master_rend[[#This Row],[Kg_Llenadora]]+Tabla_master_rend[[#This Row],[Kg_Desmoldeo]])/(Tabla_master_rend[[#This Row],[Kg_Queso_Blan]])</f>
        <v>1.1405355997596215E-2</v>
      </c>
      <c r="BA69" s="7">
        <v>270</v>
      </c>
      <c r="BB69" s="60">
        <f>+Tabla_master_rend[[#This Row],[L_Agua]]/(Tabla_master_rend[[#This Row],[L_Agua]]+Tabla_master_rend[[#This Row],[Kg_SalidaSecadero]])</f>
        <v>8.6201391992848479E-3</v>
      </c>
      <c r="BC69" s="8">
        <v>4483</v>
      </c>
      <c r="BD69" s="8">
        <v>4234</v>
      </c>
      <c r="BE69" s="8">
        <v>29762</v>
      </c>
      <c r="BF69" s="8">
        <v>0</v>
      </c>
      <c r="BG69" s="8">
        <f>91*6.3</f>
        <v>573.29999999999995</v>
      </c>
      <c r="BH69" s="7">
        <v>0</v>
      </c>
      <c r="BI69" s="7">
        <f>140*6.3</f>
        <v>882</v>
      </c>
      <c r="BJ69" s="8">
        <v>112</v>
      </c>
      <c r="BK69" s="8">
        <v>31052</v>
      </c>
      <c r="BL69" s="8">
        <v>3.12</v>
      </c>
      <c r="BM69" s="8">
        <v>1196.75</v>
      </c>
      <c r="BN69" s="7">
        <v>25.68</v>
      </c>
      <c r="BO69" s="68">
        <f>+SUM(Tabla_master_rend[[#This Row],[B_altas]:[B_lab]])/Tabla_master_rend[[#This Row],[Kg_SalidaSecadero]]</f>
        <v>5.0473399458972043E-2</v>
      </c>
      <c r="BP69" s="68">
        <f>+(Tabla_master_rend[[#This Row],[Kg_mer_env_real]]+Tabla_master_rend[[#This Row],[kg_mer_lab_real]])/Tabla_master_rend[[#This Row],[Kg_SalidaSecadero]]</f>
        <v>3.9367190519129201E-2</v>
      </c>
      <c r="BQ69" s="64">
        <f>+Tabla_master_rend[[#This Row],[Merma_TOT]]/Tabla_master_rend[[#This Row],[Kg_Queso_Blan]]</f>
        <v>5.8608367294377871E-2</v>
      </c>
      <c r="BR69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1856.91</v>
      </c>
      <c r="BS69" s="8"/>
      <c r="BT69" s="63">
        <f>IF(+Tabla_master_rend[[#This Row],[Kg_Env_Total]]=0,0,Tabla_master_rend[[#This Row],[Kg_Env_Total]]-Tabla_master_rend[[#This Row],[Kg_SalidaSecadero]])</f>
        <v>0</v>
      </c>
      <c r="BU69" s="60">
        <f>+Tabla_master_rend[[#This Row],[Diferencia_Env_vs_Sec_kg]]/Tabla_master_rend[[#This Row],[Kg_SalidaSecadero]]</f>
        <v>0</v>
      </c>
      <c r="BV69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69" s="65">
        <f>+(Tabla_master_rend[[#This Row],[Coste_Leche_€]]-Tabla_master_rend[[#This Row],[Kg_MG_Nata]]*$CO$3)/Tabla_master_rend[[#This Row],[Kg_Queso_Blan]]</f>
        <v>-1.0778212916811853</v>
      </c>
      <c r="BX69" s="8">
        <f>SUM(Tabla_master_rend[[#This Row],[Kg_Finos]:[Kg_Desmoldeo]])+Tabla_master_rend[[#This Row],[L_Agua]]+SUM(Tabla_master_rend[[#This Row],[B_altas]:[B_lab]])</f>
        <v>2198.66</v>
      </c>
      <c r="BY69" s="8">
        <f>+BX69-Tabla_master_rend[[#This Row],[Merma_TOT]]</f>
        <v>341.74999999999977</v>
      </c>
      <c r="BZ69" s="62">
        <f t="shared" si="28"/>
        <v>0.15543558349176306</v>
      </c>
      <c r="CA69" s="8">
        <f>+Tabla_master_rend[[#This Row],[Kg_Queso_Blan]]*$CA$1</f>
        <v>205.94183999999998</v>
      </c>
      <c r="CB69" s="8">
        <f>+Tabla_master_rend[[#This Row],[Kg_Queso_Blan]]*($CB$1-$CA$1)</f>
        <v>110.89176000000002</v>
      </c>
      <c r="CC69" s="8">
        <f>+(Tabla_master_rend[[#This Row],[Kg_Queso_Blan]]-CA69-CB69)*$CC$1</f>
        <v>329.34852720000004</v>
      </c>
      <c r="CD69" s="8">
        <f t="shared" si="29"/>
        <v>646.18212719999997</v>
      </c>
      <c r="CE69" s="80">
        <f>+CD69/Tabla_master_rend[[#This Row],[Kg_Queso_Blan]]</f>
        <v>2.0395E-2</v>
      </c>
      <c r="CF69" s="62">
        <f>+Tabla_master_rend[[#This Row],[Merma_TOT]]/Tabla_master_rend[[#This Row],[Kg_Queso_Blan]]</f>
        <v>5.8608367294377871E-2</v>
      </c>
      <c r="CG69" s="8">
        <f>CD69-Tabla_master_rend[[#This Row],[Merma_TOT]]</f>
        <v>-1210.7278728000001</v>
      </c>
      <c r="CH69" s="81" cm="1">
        <f t="array" ref="CH69">-BR69 * IFERROR(INDEX('Precio Leche_EBITDA_Ventas'!$BD$87:$BD$110,MATCH(1,('Precio Leche_EBITDA_Ventas'!$AZ$87:$AZ$110=YEAR(A69))*('Precio Leche_EBITDA_Ventas'!$BB$87:$BB$110=C69),0)),1.3)</f>
        <v>-6499.1850000000004</v>
      </c>
      <c r="CI69" s="81">
        <f t="shared" si="30"/>
        <v>-1573.9462346400003</v>
      </c>
    </row>
    <row r="70" spans="1:87" x14ac:dyDescent="0.35">
      <c r="A70" s="9">
        <v>45798</v>
      </c>
      <c r="B70" s="7">
        <v>5</v>
      </c>
      <c r="C70" s="7" t="str">
        <f>+UPPER(TEXT(Tabla_master_rend[[#This Row],[Fecha]],"MMM"))</f>
        <v>MAY</v>
      </c>
      <c r="D70" s="7" t="str">
        <f>+UPPER(TEXT(Tabla_master_rend[[#This Row],[Fecha]],"ddd"))</f>
        <v>MI</v>
      </c>
      <c r="E70" s="3">
        <v>210525316</v>
      </c>
      <c r="F70" s="3" t="s">
        <v>244</v>
      </c>
      <c r="G70" s="84" t="s">
        <v>299</v>
      </c>
      <c r="H70">
        <v>17</v>
      </c>
      <c r="I70" s="8">
        <f>+Tabla_master_rend[[#This Row],[L_Leche_ent]]+Tabla_master_rend[[#This Row],[L_desn_ext]]+Tabla_master_rend[[#This Row],[L_cabra]]+Tabla_master_rend[[#This Row],[L_oveja]]</f>
        <v>265165</v>
      </c>
      <c r="J70" s="8">
        <f>265165-97110</f>
        <v>168055</v>
      </c>
      <c r="K70" s="5">
        <v>2.3799999999999998E-2</v>
      </c>
      <c r="L70" s="5">
        <v>3.3599999999999998E-2</v>
      </c>
      <c r="M70" s="5">
        <f t="shared" si="25"/>
        <v>9.4997999999999999E-2</v>
      </c>
      <c r="N70" s="35" t="s">
        <v>188</v>
      </c>
      <c r="O70" s="8">
        <v>97110</v>
      </c>
      <c r="P70" s="8">
        <v>0</v>
      </c>
      <c r="Q70" s="8">
        <v>0</v>
      </c>
      <c r="R70" s="8">
        <v>0</v>
      </c>
      <c r="T70" s="8">
        <v>239110</v>
      </c>
      <c r="U70" s="38">
        <f>+Tabla_master_rend[[#This Row],[L_suero Total]]/Tabla_master_rend[[#This Row],[Litros_Leche_Total]]</f>
        <v>0.90174042577263214</v>
      </c>
      <c r="V70" s="5">
        <v>1.2999999999999999E-3</v>
      </c>
      <c r="W70" s="5">
        <v>8.0000000000000002E-3</v>
      </c>
      <c r="X70" s="8">
        <v>240207</v>
      </c>
      <c r="Y70" s="57">
        <v>85696</v>
      </c>
      <c r="Z70" s="58">
        <f>IF(Tabla_master_rend[[#This Row],[L_suero para con]]=0,0,+Tabla_master_rend[[#This Row],[L_suero para con]]/Tabla_master_rend[[#This Row],[L_suero_con]])</f>
        <v>2.8030129761015683</v>
      </c>
      <c r="AA70" s="8">
        <f>+Tabla_master_rend[[#This Row],[L_suero Total]]-Tabla_master_rend[[#This Row],[L_suero para con]]</f>
        <v>-1097</v>
      </c>
      <c r="AD70" s="8"/>
      <c r="AE70" s="8"/>
      <c r="AF70" s="8"/>
      <c r="AG70" s="5"/>
      <c r="AI70" s="7">
        <f>+Tabla_master_rend[[#This Row],[Kg_Finos]]+Tabla_master_rend[[#This Row],[Kg_Llenadora]]+Tabla_master_rend[[#This Row],[Kg_Desmoldeo]]+Tabla_master_rend[[#This Row],[L_Agua]]+Tabla_master_rend[[#This Row],[Kg_SalidaSecadero]]</f>
        <v>27951.1</v>
      </c>
      <c r="AJ70" s="59">
        <f>+Tabla_master_rend[[#This Row],[Litros_Leche_Total]]/Tabla_master_rend[[#This Row],[Kg_Queso_Blan]]</f>
        <v>9.4867464965600643</v>
      </c>
      <c r="AK70" s="59">
        <f>+Tabla_master_rend[[#This Row],[Litros_Leche_Total]]/(Tabla_master_rend[[#This Row],[Kg_Queso_Blan]]-Tabla_master_rend[[#This Row],[Merma_TOT]])</f>
        <v>9.7757294700095816</v>
      </c>
      <c r="AL70" s="59">
        <f>VLOOKUP(G70,REND_TARGET[#All],8,FALSE)</f>
        <v>9.8078500000000002</v>
      </c>
      <c r="AM70" s="7">
        <f>(I70*1.03*Tabla_master_rend[[#This Row],[%MG_Leche]])+(I70*1.03*Tabla_master_rend[[#This Row],[%MP_Leche]])</f>
        <v>15677.085129999999</v>
      </c>
      <c r="AN70" s="38">
        <v>0.22899999999999998</v>
      </c>
      <c r="AO70" s="38">
        <v>0.26539999999999997</v>
      </c>
      <c r="AP70" s="60">
        <v>0.54510000000000003</v>
      </c>
      <c r="AQ70" s="38">
        <f>+Tabla_master_rend[[#This Row],[Kg_Queso_Blan]]*Tabla_master_rend[[#This Row],[ES_QUESO]]/(Tabla_master_rend[[#This Row],[Kg_Solidos_leche]])</f>
        <v>0.9718735647383705</v>
      </c>
      <c r="AR70" s="7">
        <f t="shared" si="26"/>
        <v>0</v>
      </c>
      <c r="AS70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0.98470015208526884</v>
      </c>
      <c r="AT70" s="62">
        <f>+Tabla_master_rend[[#This Row],[Kg_Queso_Blan]]*Tabla_master_rend[[#This Row],[%PT_QUESO]]/(Tabla_master_rend[[#This Row],[Litros_Leche_Total]]*1.03*Tabla_master_rend[[#This Row],[%MP_Leche]])</f>
        <v>0.80836429151716072</v>
      </c>
      <c r="AU70" s="63">
        <f t="shared" si="27"/>
        <v>0</v>
      </c>
      <c r="AV70" s="7">
        <v>50.1</v>
      </c>
      <c r="AW70" s="7">
        <v>139</v>
      </c>
      <c r="AX70" s="7">
        <v>54</v>
      </c>
      <c r="AY70" s="8">
        <f>SUM(Tabla_master_rend[[#This Row],[Kg_Finos]:[Kg_Desmoldeo]])</f>
        <v>243.1</v>
      </c>
      <c r="AZ70" s="60">
        <f>+(Tabla_master_rend[[#This Row],[Kg_Finos]]+Tabla_master_rend[[#This Row],[Kg_Llenadora]]+Tabla_master_rend[[#This Row],[Kg_Desmoldeo]])/(Tabla_master_rend[[#This Row],[Kg_Queso_Blan]])</f>
        <v>8.6973321264637166E-3</v>
      </c>
      <c r="BA70" s="7">
        <v>170</v>
      </c>
      <c r="BB70" s="60">
        <f>+Tabla_master_rend[[#This Row],[L_Agua]]/(Tabla_master_rend[[#This Row],[L_Agua]]+Tabla_master_rend[[#This Row],[Kg_SalidaSecadero]])</f>
        <v>6.1354121553341993E-3</v>
      </c>
      <c r="BC70" s="8">
        <v>3968</v>
      </c>
      <c r="BD70" s="8">
        <v>3790</v>
      </c>
      <c r="BE70" s="8">
        <v>26613</v>
      </c>
      <c r="BF70" s="8">
        <f>20*6.1</f>
        <v>122</v>
      </c>
      <c r="BG70" s="8">
        <f>55*6.1</f>
        <v>335.5</v>
      </c>
      <c r="BH70" s="7">
        <v>0</v>
      </c>
      <c r="BI70" s="7">
        <f>109*6.1</f>
        <v>664.9</v>
      </c>
      <c r="BJ70" s="8">
        <v>88</v>
      </c>
      <c r="BK70" s="8">
        <v>27538</v>
      </c>
      <c r="BL70" s="8">
        <v>2.2400000000000002</v>
      </c>
      <c r="BM70" s="8">
        <v>397.04</v>
      </c>
      <c r="BN70" s="7">
        <v>13.89</v>
      </c>
      <c r="BO70" s="68">
        <f>+SUM(Tabla_master_rend[[#This Row],[B_altas]:[B_lab]])/Tabla_master_rend[[#This Row],[Kg_SalidaSecadero]]</f>
        <v>4.3953809281719811E-2</v>
      </c>
      <c r="BP70" s="68">
        <f>+(Tabla_master_rend[[#This Row],[Kg_mer_env_real]]+Tabla_master_rend[[#This Row],[kg_mer_lab_real]])/Tabla_master_rend[[#This Row],[Kg_SalidaSecadero]]</f>
        <v>1.4922289200377661E-2</v>
      </c>
      <c r="BQ70" s="64">
        <f>+Tabla_master_rend[[#This Row],[Merma_TOT]]/Tabla_master_rend[[#This Row],[Kg_Queso_Blan]]</f>
        <v>2.956126950281027E-2</v>
      </c>
      <c r="BR70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826.2700000000001</v>
      </c>
      <c r="BS70" s="8"/>
      <c r="BT70" s="63">
        <f>IF(+Tabla_master_rend[[#This Row],[Kg_Env_Total]]=0,0,Tabla_master_rend[[#This Row],[Kg_Env_Total]]-Tabla_master_rend[[#This Row],[Kg_SalidaSecadero]])</f>
        <v>0</v>
      </c>
      <c r="BU70" s="60">
        <f>+Tabla_master_rend[[#This Row],[Diferencia_Env_vs_Sec_kg]]/Tabla_master_rend[[#This Row],[Kg_SalidaSecadero]]</f>
        <v>0</v>
      </c>
      <c r="BV70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70" s="65">
        <f>+(Tabla_master_rend[[#This Row],[Coste_Leche_€]]-Tabla_master_rend[[#This Row],[Kg_MG_Nata]]*$CO$3)/Tabla_master_rend[[#This Row],[Kg_Queso_Blan]]</f>
        <v>0</v>
      </c>
      <c r="BX70" s="8">
        <f>SUM(Tabla_master_rend[[#This Row],[Kg_Finos]:[Kg_Desmoldeo]])+Tabla_master_rend[[#This Row],[L_Agua]]+SUM(Tabla_master_rend[[#This Row],[B_altas]:[B_lab]])</f>
        <v>1623.5</v>
      </c>
      <c r="BY70" s="8">
        <f>+BX70-Tabla_master_rend[[#This Row],[Merma_TOT]]</f>
        <v>797.2299999999999</v>
      </c>
      <c r="BZ70" s="62">
        <f t="shared" si="28"/>
        <v>0.49105635971666145</v>
      </c>
      <c r="CA70" s="8">
        <f>+Tabla_master_rend[[#This Row],[Kg_Queso_Blan]]*$CA$1</f>
        <v>181.68214999999998</v>
      </c>
      <c r="CB70" s="8">
        <f>+Tabla_master_rend[[#This Row],[Kg_Queso_Blan]]*($CB$1-$CA$1)</f>
        <v>97.828850000000003</v>
      </c>
      <c r="CC70" s="8">
        <f>+(Tabla_master_rend[[#This Row],[Kg_Queso_Blan]]-CA70-CB70)*$CC$1</f>
        <v>290.55168449999996</v>
      </c>
      <c r="CD70" s="8">
        <f t="shared" si="29"/>
        <v>570.06268449999993</v>
      </c>
      <c r="CE70" s="80">
        <f>+CD70/Tabla_master_rend[[#This Row],[Kg_Queso_Blan]]</f>
        <v>2.0395E-2</v>
      </c>
      <c r="CF70" s="62">
        <f>+Tabla_master_rend[[#This Row],[Merma_TOT]]/Tabla_master_rend[[#This Row],[Kg_Queso_Blan]]</f>
        <v>2.956126950281027E-2</v>
      </c>
      <c r="CG70" s="8">
        <f>CD70-Tabla_master_rend[[#This Row],[Merma_TOT]]</f>
        <v>-256.20731550000016</v>
      </c>
      <c r="CH70" s="81" cm="1">
        <f t="array" ref="CH70">-BR70 * IFERROR(INDEX('Precio Leche_EBITDA_Ventas'!$BD$87:$BD$110,MATCH(1,('Precio Leche_EBITDA_Ventas'!$AZ$87:$AZ$110=YEAR(A70))*('Precio Leche_EBITDA_Ventas'!$BB$87:$BB$110=C70),0)),1.3)</f>
        <v>-2891.9450000000002</v>
      </c>
      <c r="CI70" s="81">
        <f t="shared" si="30"/>
        <v>-333.06951015000021</v>
      </c>
    </row>
    <row r="71" spans="1:87" x14ac:dyDescent="0.35">
      <c r="A71" s="9">
        <v>45799</v>
      </c>
      <c r="B71" s="7">
        <v>5</v>
      </c>
      <c r="C71" s="7" t="str">
        <f>+UPPER(TEXT(Tabla_master_rend[[#This Row],[Fecha]],"MMM"))</f>
        <v>MAY</v>
      </c>
      <c r="D71" s="7" t="str">
        <f>+UPPER(TEXT(Tabla_master_rend[[#This Row],[Fecha]],"ddd"))</f>
        <v>JU</v>
      </c>
      <c r="E71" s="3">
        <v>220525126</v>
      </c>
      <c r="F71" s="3" t="s">
        <v>244</v>
      </c>
      <c r="G71" s="84" t="s">
        <v>301</v>
      </c>
      <c r="H71">
        <v>18</v>
      </c>
      <c r="I71" s="8">
        <f>+Tabla_master_rend[[#This Row],[L_Leche_ent]]+Tabla_master_rend[[#This Row],[L_desn_ext]]+Tabla_master_rend[[#This Row],[L_cabra]]+Tabla_master_rend[[#This Row],[L_oveja]]</f>
        <v>297960</v>
      </c>
      <c r="J71" s="8">
        <v>297960</v>
      </c>
      <c r="K71" s="5">
        <v>3.7100000000000001E-2</v>
      </c>
      <c r="L71" s="5">
        <v>3.2400000000000005E-2</v>
      </c>
      <c r="M71" s="5">
        <f t="shared" si="25"/>
        <v>0.10647900000000002</v>
      </c>
      <c r="N71" s="35" t="s">
        <v>188</v>
      </c>
      <c r="O71" s="8">
        <v>0</v>
      </c>
      <c r="P71" s="8">
        <v>0</v>
      </c>
      <c r="Q71" s="8">
        <v>0</v>
      </c>
      <c r="R71" s="8">
        <v>4033</v>
      </c>
      <c r="T71" s="8">
        <v>252640</v>
      </c>
      <c r="U71" s="38">
        <f>+Tabla_master_rend[[#This Row],[L_suero Total]]/Tabla_master_rend[[#This Row],[Litros_Leche_Total]]</f>
        <v>0.84789904685192641</v>
      </c>
      <c r="V71" s="5">
        <v>1.6000000000000001E-3</v>
      </c>
      <c r="W71" s="5">
        <v>8.8000000000000005E-3</v>
      </c>
      <c r="X71" s="8">
        <v>231543</v>
      </c>
      <c r="Y71" s="57">
        <v>84146</v>
      </c>
      <c r="Z71" s="58">
        <f>IF(Tabla_master_rend[[#This Row],[L_suero para con]]=0,0,+Tabla_master_rend[[#This Row],[L_suero para con]]/Tabla_master_rend[[#This Row],[L_suero_con]])</f>
        <v>2.7516816010267866</v>
      </c>
      <c r="AA71" s="8">
        <f>+Tabla_master_rend[[#This Row],[L_suero Total]]-Tabla_master_rend[[#This Row],[L_suero para con]]</f>
        <v>21097</v>
      </c>
      <c r="AD71" s="8"/>
      <c r="AE71" s="8"/>
      <c r="AF71" s="8"/>
      <c r="AG71" s="5"/>
      <c r="AI71" s="7">
        <f>+Tabla_master_rend[[#This Row],[Kg_Finos]]+Tabla_master_rend[[#This Row],[Kg_Llenadora]]+Tabla_master_rend[[#This Row],[Kg_Desmoldeo]]+Tabla_master_rend[[#This Row],[L_Agua]]+Tabla_master_rend[[#This Row],[Kg_SalidaSecadero]]</f>
        <v>32236.89</v>
      </c>
      <c r="AJ71" s="59">
        <f>+Tabla_master_rend[[#This Row],[Litros_Leche_Total]]/Tabla_master_rend[[#This Row],[Kg_Queso_Blan]]</f>
        <v>9.2428270841262918</v>
      </c>
      <c r="AK71" s="59">
        <f>+Tabla_master_rend[[#This Row],[Litros_Leche_Total]]/(Tabla_master_rend[[#This Row],[Kg_Queso_Blan]]-Tabla_master_rend[[#This Row],[Merma_TOT]])</f>
        <v>9.4570211145230783</v>
      </c>
      <c r="AL71" s="59">
        <f>VLOOKUP(G71,REND_TARGET[#All],8,FALSE)</f>
        <v>9.3549429999999987</v>
      </c>
      <c r="AM71" s="7">
        <f>(I71*1.03*Tabla_master_rend[[#This Row],[%MG_Leche]])+(I71*1.03*Tabla_master_rend[[#This Row],[%MP_Leche]])</f>
        <v>21329.4666</v>
      </c>
      <c r="AN71" s="38">
        <v>0.29370000000000002</v>
      </c>
      <c r="AO71" s="38">
        <v>0.2422</v>
      </c>
      <c r="AP71" s="60">
        <v>0.58509999999999995</v>
      </c>
      <c r="AQ71" s="38">
        <f>+Tabla_master_rend[[#This Row],[Kg_Queso_Blan]]*Tabla_master_rend[[#This Row],[ES_QUESO]]/(Tabla_master_rend[[#This Row],[Kg_Solidos_leche]])</f>
        <v>0.88430736186342318</v>
      </c>
      <c r="AR71" s="7">
        <f t="shared" si="26"/>
        <v>1613.2</v>
      </c>
      <c r="AS71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0.97323271154465441</v>
      </c>
      <c r="AT71" s="62">
        <f>+Tabla_master_rend[[#This Row],[Kg_Queso_Blan]]*Tabla_master_rend[[#This Row],[%PT_QUESO]]/(Tabla_master_rend[[#This Row],[Litros_Leche_Total]]*1.03*Tabla_master_rend[[#This Row],[%MP_Leche]])</f>
        <v>0.78521226673876654</v>
      </c>
      <c r="AU71" s="63">
        <f t="shared" si="27"/>
        <v>12099</v>
      </c>
      <c r="AV71" s="7">
        <v>39.590000000000003</v>
      </c>
      <c r="AW71" s="7">
        <v>112.5</v>
      </c>
      <c r="AX71" s="7">
        <v>26.8</v>
      </c>
      <c r="AY71" s="8">
        <f>SUM(Tabla_master_rend[[#This Row],[Kg_Finos]:[Kg_Desmoldeo]])</f>
        <v>178.89000000000001</v>
      </c>
      <c r="AZ71" s="60">
        <f>+(Tabla_master_rend[[#This Row],[Kg_Finos]]+Tabla_master_rend[[#This Row],[Kg_Llenadora]]+Tabla_master_rend[[#This Row],[Kg_Desmoldeo]])/(Tabla_master_rend[[#This Row],[Kg_Queso_Blan]])</f>
        <v>5.5492325717524243E-3</v>
      </c>
      <c r="BA71" s="7">
        <v>290</v>
      </c>
      <c r="BB71" s="60">
        <f>+Tabla_master_rend[[#This Row],[L_Agua]]/(Tabla_master_rend[[#This Row],[L_Agua]]+Tabla_master_rend[[#This Row],[Kg_SalidaSecadero]])</f>
        <v>9.0461039366148861E-3</v>
      </c>
      <c r="BC71" s="8">
        <v>4517</v>
      </c>
      <c r="BD71" s="8">
        <v>4454</v>
      </c>
      <c r="BE71" s="8">
        <v>31705</v>
      </c>
      <c r="BF71" s="8">
        <f>39*6.2</f>
        <v>241.8</v>
      </c>
      <c r="BG71" s="8">
        <f>24*6.2</f>
        <v>148.80000000000001</v>
      </c>
      <c r="BH71" s="7">
        <v>0</v>
      </c>
      <c r="BI71" s="7">
        <f>21*6.2</f>
        <v>130.20000000000002</v>
      </c>
      <c r="BJ71" s="8">
        <v>73</v>
      </c>
      <c r="BK71" s="8">
        <v>31768</v>
      </c>
      <c r="BL71" s="8">
        <v>1.07</v>
      </c>
      <c r="BM71" s="8">
        <v>243.51</v>
      </c>
      <c r="BN71" s="7">
        <v>16.670000000000002</v>
      </c>
      <c r="BO71" s="68">
        <f>+SUM(Tabla_master_rend[[#This Row],[B_altas]:[B_lab]])/Tabla_master_rend[[#This Row],[Kg_SalidaSecadero]]</f>
        <v>1.8691765298413501E-2</v>
      </c>
      <c r="BP71" s="68">
        <f>+(Tabla_master_rend[[#This Row],[Kg_mer_env_real]]+Tabla_master_rend[[#This Row],[kg_mer_lab_real]])/Tabla_master_rend[[#This Row],[Kg_SalidaSecadero]]</f>
        <v>8.1900025182573659E-3</v>
      </c>
      <c r="BQ71" s="64">
        <f>+Tabla_master_rend[[#This Row],[Merma_TOT]]/Tabla_master_rend[[#This Row],[Kg_Queso_Blan]]</f>
        <v>2.2649207166075883E-2</v>
      </c>
      <c r="BR71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730.14</v>
      </c>
      <c r="BS71" s="8"/>
      <c r="BT71" s="63">
        <f>IF(+Tabla_master_rend[[#This Row],[Kg_Env_Total]]=0,0,Tabla_master_rend[[#This Row],[Kg_Env_Total]]-Tabla_master_rend[[#This Row],[Kg_SalidaSecadero]])</f>
        <v>0</v>
      </c>
      <c r="BU71" s="60">
        <f>+Tabla_master_rend[[#This Row],[Diferencia_Env_vs_Sec_kg]]/Tabla_master_rend[[#This Row],[Kg_SalidaSecadero]]</f>
        <v>0</v>
      </c>
      <c r="BV71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71" s="65">
        <f>+(Tabla_master_rend[[#This Row],[Coste_Leche_€]]-Tabla_master_rend[[#This Row],[Kg_MG_Nata]]*$CO$3)/Tabla_master_rend[[#This Row],[Kg_Queso_Blan]]</f>
        <v>-0.37531536075595384</v>
      </c>
      <c r="BX71" s="8">
        <f>SUM(Tabla_master_rend[[#This Row],[Kg_Finos]:[Kg_Desmoldeo]])+Tabla_master_rend[[#This Row],[L_Agua]]+SUM(Tabla_master_rend[[#This Row],[B_altas]:[B_lab]])</f>
        <v>1062.69</v>
      </c>
      <c r="BY71" s="8">
        <f>+BX71-Tabla_master_rend[[#This Row],[Merma_TOT]]</f>
        <v>332.55000000000007</v>
      </c>
      <c r="BZ71" s="62">
        <f t="shared" si="28"/>
        <v>0.31293227564012088</v>
      </c>
      <c r="CA71" s="8">
        <f>+Tabla_master_rend[[#This Row],[Kg_Queso_Blan]]*$CA$1</f>
        <v>209.53978499999999</v>
      </c>
      <c r="CB71" s="8">
        <f>+Tabla_master_rend[[#This Row],[Kg_Queso_Blan]]*($CB$1-$CA$1)</f>
        <v>112.82911500000002</v>
      </c>
      <c r="CC71" s="8">
        <f>+(Tabla_master_rend[[#This Row],[Kg_Queso_Blan]]-CA71-CB71)*$CC$1</f>
        <v>335.10247155000002</v>
      </c>
      <c r="CD71" s="8">
        <f t="shared" si="29"/>
        <v>657.47137154999996</v>
      </c>
      <c r="CE71" s="80">
        <f>+CD71/Tabla_master_rend[[#This Row],[Kg_Queso_Blan]]</f>
        <v>2.0395E-2</v>
      </c>
      <c r="CF71" s="62">
        <f>+Tabla_master_rend[[#This Row],[Merma_TOT]]/Tabla_master_rend[[#This Row],[Kg_Queso_Blan]]</f>
        <v>2.2649207166075883E-2</v>
      </c>
      <c r="CG71" s="8">
        <f>CD71-Tabla_master_rend[[#This Row],[Merma_TOT]]</f>
        <v>-72.668628450000028</v>
      </c>
      <c r="CH71" s="81" cm="1">
        <f t="array" ref="CH71">-BR71 * IFERROR(INDEX('Precio Leche_EBITDA_Ventas'!$BD$87:$BD$110,MATCH(1,('Precio Leche_EBITDA_Ventas'!$AZ$87:$AZ$110=YEAR(A71))*('Precio Leche_EBITDA_Ventas'!$BB$87:$BB$110=C71),0)),1.3)</f>
        <v>-2555.4899999999998</v>
      </c>
      <c r="CI71" s="81">
        <f t="shared" si="30"/>
        <v>-94.469216985000045</v>
      </c>
    </row>
    <row r="72" spans="1:87" x14ac:dyDescent="0.35">
      <c r="A72" s="9">
        <v>45800</v>
      </c>
      <c r="B72" s="7">
        <v>5</v>
      </c>
      <c r="C72" s="7" t="str">
        <f>+UPPER(TEXT(Tabla_master_rend[[#This Row],[Fecha]],"MMM"))</f>
        <v>MAY</v>
      </c>
      <c r="D72" s="7" t="str">
        <f>+UPPER(TEXT(Tabla_master_rend[[#This Row],[Fecha]],"ddd"))</f>
        <v>VI</v>
      </c>
      <c r="E72" s="3">
        <v>230525316</v>
      </c>
      <c r="F72" s="3" t="s">
        <v>244</v>
      </c>
      <c r="G72" s="84" t="s">
        <v>299</v>
      </c>
      <c r="H72">
        <v>20</v>
      </c>
      <c r="I72" s="8">
        <f>+Tabla_master_rend[[#This Row],[L_Leche_ent]]+Tabla_master_rend[[#This Row],[L_desn_ext]]+Tabla_master_rend[[#This Row],[L_cabra]]+Tabla_master_rend[[#This Row],[L_oveja]]</f>
        <v>334663</v>
      </c>
      <c r="J72" s="8">
        <v>334663</v>
      </c>
      <c r="K72" s="5">
        <v>3.8300000000000001E-2</v>
      </c>
      <c r="L72" s="5">
        <v>3.2899999999999999E-2</v>
      </c>
      <c r="M72" s="5">
        <f t="shared" si="25"/>
        <v>0.10796500000000001</v>
      </c>
      <c r="N72" s="35" t="s">
        <v>43</v>
      </c>
      <c r="O72" s="8">
        <v>0</v>
      </c>
      <c r="P72" s="8">
        <v>0</v>
      </c>
      <c r="Q72" s="8">
        <v>0</v>
      </c>
      <c r="R72" s="8">
        <v>11872</v>
      </c>
      <c r="T72" s="8">
        <v>278670</v>
      </c>
      <c r="U72" s="38">
        <f>+Tabla_master_rend[[#This Row],[L_suero Total]]/Tabla_master_rend[[#This Row],[Litros_Leche_Total]]</f>
        <v>0.83268840594867077</v>
      </c>
      <c r="V72" s="5">
        <v>1E-3</v>
      </c>
      <c r="W72" s="5">
        <v>8.6E-3</v>
      </c>
      <c r="X72" s="8">
        <v>299265</v>
      </c>
      <c r="Y72" s="57">
        <v>112724</v>
      </c>
      <c r="Z72" s="58">
        <f>IF(Tabla_master_rend[[#This Row],[L_suero para con]]=0,0,+Tabla_master_rend[[#This Row],[L_suero para con]]/Tabla_master_rend[[#This Row],[L_suero_con]])</f>
        <v>2.6548472375004435</v>
      </c>
      <c r="AA72" s="8">
        <f>+Tabla_master_rend[[#This Row],[L_suero Total]]-Tabla_master_rend[[#This Row],[L_suero para con]]</f>
        <v>-20595</v>
      </c>
      <c r="AD72" s="8"/>
      <c r="AE72" s="8"/>
      <c r="AF72" s="8"/>
      <c r="AG72" s="5"/>
      <c r="AI72" s="7">
        <f>+Tabla_master_rend[[#This Row],[Kg_Finos]]+Tabla_master_rend[[#This Row],[Kg_Llenadora]]+Tabla_master_rend[[#This Row],[Kg_Desmoldeo]]+Tabla_master_rend[[#This Row],[L_Agua]]+Tabla_master_rend[[#This Row],[Kg_SalidaSecadero]]</f>
        <v>33101.9</v>
      </c>
      <c r="AJ72" s="59">
        <f>+Tabla_master_rend[[#This Row],[Litros_Leche_Total]]/Tabla_master_rend[[#This Row],[Kg_Queso_Blan]]</f>
        <v>10.110084315401835</v>
      </c>
      <c r="AK72" s="59">
        <f>+Tabla_master_rend[[#This Row],[Litros_Leche_Total]]/(Tabla_master_rend[[#This Row],[Kg_Queso_Blan]]-Tabla_master_rend[[#This Row],[Merma_TOT]])</f>
        <v>10.784987004700222</v>
      </c>
      <c r="AL72" s="59">
        <f>VLOOKUP(G72,REND_TARGET[#All],8,FALSE)</f>
        <v>9.8078500000000002</v>
      </c>
      <c r="AM72" s="7">
        <f>(I72*1.03*Tabla_master_rend[[#This Row],[%MG_Leche]])+(I72*1.03*Tabla_master_rend[[#This Row],[%MP_Leche]])</f>
        <v>24542.845767999999</v>
      </c>
      <c r="AN72" s="38">
        <v>0.22149999999999997</v>
      </c>
      <c r="AO72" s="38">
        <v>0.27039999999999997</v>
      </c>
      <c r="AP72" s="60">
        <v>0.54600000000000004</v>
      </c>
      <c r="AQ72" s="38">
        <f>+Tabla_master_rend[[#This Row],[Kg_Queso_Blan]]*Tabla_master_rend[[#This Row],[ES_QUESO]]/(Tabla_master_rend[[#This Row],[Kg_Solidos_leche]])</f>
        <v>0.73641164398161096</v>
      </c>
      <c r="AR72" s="7">
        <f t="shared" si="26"/>
        <v>4748.8</v>
      </c>
      <c r="AS72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0.91507047514691442</v>
      </c>
      <c r="AT72" s="62">
        <f>+Tabla_master_rend[[#This Row],[Kg_Queso_Blan]]*Tabla_master_rend[[#This Row],[%PT_QUESO]]/(Tabla_master_rend[[#This Row],[Litros_Leche_Total]]*1.03*Tabla_master_rend[[#This Row],[%MP_Leche]])</f>
        <v>0.78925762648068187</v>
      </c>
      <c r="AU72" s="63">
        <f t="shared" si="27"/>
        <v>35616</v>
      </c>
      <c r="AV72" s="7">
        <v>73</v>
      </c>
      <c r="AW72" s="7">
        <v>197.6</v>
      </c>
      <c r="AX72" s="7">
        <v>138.30000000000001</v>
      </c>
      <c r="AY72" s="8">
        <f>SUM(Tabla_master_rend[[#This Row],[Kg_Finos]:[Kg_Desmoldeo]])</f>
        <v>408.90000000000003</v>
      </c>
      <c r="AZ72" s="60">
        <f>+(Tabla_master_rend[[#This Row],[Kg_Finos]]+Tabla_master_rend[[#This Row],[Kg_Llenadora]]+Tabla_master_rend[[#This Row],[Kg_Desmoldeo]])/(Tabla_master_rend[[#This Row],[Kg_Queso_Blan]])</f>
        <v>1.2352765249124674E-2</v>
      </c>
      <c r="BA72" s="7">
        <v>250</v>
      </c>
      <c r="BB72" s="60">
        <f>+Tabla_master_rend[[#This Row],[L_Agua]]/(Tabla_master_rend[[#This Row],[L_Agua]]+Tabla_master_rend[[#This Row],[Kg_SalidaSecadero]])</f>
        <v>7.6468968892423458E-3</v>
      </c>
      <c r="BC72" s="8">
        <v>4729</v>
      </c>
      <c r="BD72" s="8">
        <v>4352</v>
      </c>
      <c r="BE72" s="8">
        <v>30328</v>
      </c>
      <c r="BF72" s="8">
        <f>41*6.3</f>
        <v>258.3</v>
      </c>
      <c r="BG72" s="8">
        <v>0</v>
      </c>
      <c r="BH72" s="7">
        <v>0</v>
      </c>
      <c r="BI72" s="7">
        <f>359*6.3</f>
        <v>2261.6999999999998</v>
      </c>
      <c r="BJ72" s="8">
        <v>111</v>
      </c>
      <c r="BK72" s="8">
        <v>32443</v>
      </c>
      <c r="BL72" s="8">
        <v>5.16</v>
      </c>
      <c r="BM72" s="8">
        <v>1388.93</v>
      </c>
      <c r="BN72" s="7">
        <v>18.46</v>
      </c>
      <c r="BO72" s="68">
        <f>+SUM(Tabla_master_rend[[#This Row],[B_altas]:[B_lab]])/Tabla_master_rend[[#This Row],[Kg_SalidaSecadero]]</f>
        <v>8.1096076195173075E-2</v>
      </c>
      <c r="BP72" s="68">
        <f>+(Tabla_master_rend[[#This Row],[Kg_mer_env_real]]+Tabla_master_rend[[#This Row],[kg_mer_lab_real]])/Tabla_master_rend[[#This Row],[Kg_SalidaSecadero]]</f>
        <v>4.3380390222852387E-2</v>
      </c>
      <c r="BQ72" s="64">
        <f>+Tabla_master_rend[[#This Row],[Merma_TOT]]/Tabla_master_rend[[#This Row],[Kg_Queso_Blan]]</f>
        <v>6.2577978907555148E-2</v>
      </c>
      <c r="BR72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2071.4499999999998</v>
      </c>
      <c r="BS72" s="8"/>
      <c r="BT72" s="63">
        <f>IF(+Tabla_master_rend[[#This Row],[Kg_Env_Total]]=0,0,Tabla_master_rend[[#This Row],[Kg_Env_Total]]-Tabla_master_rend[[#This Row],[Kg_SalidaSecadero]])</f>
        <v>0</v>
      </c>
      <c r="BU72" s="60">
        <f>+Tabla_master_rend[[#This Row],[Diferencia_Env_vs_Sec_kg]]/Tabla_master_rend[[#This Row],[Kg_SalidaSecadero]]</f>
        <v>0</v>
      </c>
      <c r="BV72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72" s="65">
        <f>+(Tabla_master_rend[[#This Row],[Coste_Leche_€]]-Tabla_master_rend[[#This Row],[Kg_MG_Nata]]*$CO$3)/Tabla_master_rend[[#This Row],[Kg_Queso_Blan]]</f>
        <v>-1.0759503230932363</v>
      </c>
      <c r="BX72" s="8">
        <f>SUM(Tabla_master_rend[[#This Row],[Kg_Finos]:[Kg_Desmoldeo]])+Tabla_master_rend[[#This Row],[L_Agua]]+SUM(Tabla_master_rend[[#This Row],[B_altas]:[B_lab]])</f>
        <v>3289.9</v>
      </c>
      <c r="BY72" s="8">
        <f>+BX72-Tabla_master_rend[[#This Row],[Merma_TOT]]</f>
        <v>1218.4500000000003</v>
      </c>
      <c r="BZ72" s="62">
        <f t="shared" si="28"/>
        <v>0.37036080124015935</v>
      </c>
      <c r="CA72" s="8">
        <f>+Tabla_master_rend[[#This Row],[Kg_Queso_Blan]]*$CA$1</f>
        <v>215.16235</v>
      </c>
      <c r="CB72" s="8">
        <f>+Tabla_master_rend[[#This Row],[Kg_Queso_Blan]]*($CB$1-$CA$1)</f>
        <v>115.85665000000002</v>
      </c>
      <c r="CC72" s="8">
        <f>+(Tabla_master_rend[[#This Row],[Kg_Queso_Blan]]-CA72-CB72)*$CC$1</f>
        <v>344.09425050000004</v>
      </c>
      <c r="CD72" s="8">
        <f t="shared" si="29"/>
        <v>675.11325050000005</v>
      </c>
      <c r="CE72" s="80">
        <f>+CD72/Tabla_master_rend[[#This Row],[Kg_Queso_Blan]]</f>
        <v>2.0395E-2</v>
      </c>
      <c r="CF72" s="62">
        <f>+Tabla_master_rend[[#This Row],[Merma_TOT]]/Tabla_master_rend[[#This Row],[Kg_Queso_Blan]]</f>
        <v>6.2577978907555148E-2</v>
      </c>
      <c r="CG72" s="8">
        <f>CD72-Tabla_master_rend[[#This Row],[Merma_TOT]]</f>
        <v>-1396.3367494999998</v>
      </c>
      <c r="CH72" s="81" cm="1">
        <f t="array" ref="CH72">-BR72 * IFERROR(INDEX('Precio Leche_EBITDA_Ventas'!$BD$87:$BD$110,MATCH(1,('Precio Leche_EBITDA_Ventas'!$AZ$87:$AZ$110=YEAR(A72))*('Precio Leche_EBITDA_Ventas'!$BB$87:$BB$110=C72),0)),1.3)</f>
        <v>-7250.0749999999989</v>
      </c>
      <c r="CI72" s="81">
        <f t="shared" si="30"/>
        <v>-1815.2377743499997</v>
      </c>
    </row>
    <row r="73" spans="1:87" x14ac:dyDescent="0.35">
      <c r="A73" s="9">
        <v>45803</v>
      </c>
      <c r="B73" s="7">
        <v>5</v>
      </c>
      <c r="C73" s="7" t="str">
        <f>+UPPER(TEXT(Tabla_master_rend[[#This Row],[Fecha]],"MMM"))</f>
        <v>MAY</v>
      </c>
      <c r="D73" s="7" t="str">
        <f>+UPPER(TEXT(Tabla_master_rend[[#This Row],[Fecha]],"ddd"))</f>
        <v>LU</v>
      </c>
      <c r="E73" s="3">
        <v>260525316</v>
      </c>
      <c r="F73" s="3" t="s">
        <v>244</v>
      </c>
      <c r="G73" s="84" t="s">
        <v>299</v>
      </c>
      <c r="H73">
        <v>20</v>
      </c>
      <c r="I73" s="8">
        <f>+Tabla_master_rend[[#This Row],[L_Leche_ent]]+Tabla_master_rend[[#This Row],[L_desn_ext]]+Tabla_master_rend[[#This Row],[L_cabra]]+Tabla_master_rend[[#This Row],[L_oveja]]</f>
        <v>333749</v>
      </c>
      <c r="J73" s="8">
        <v>333749</v>
      </c>
      <c r="K73" s="5">
        <v>3.8599999999999995E-2</v>
      </c>
      <c r="L73" s="5">
        <v>3.3099999999999997E-2</v>
      </c>
      <c r="M73" s="5">
        <f t="shared" si="25"/>
        <v>0.108392</v>
      </c>
      <c r="N73" s="35" t="s">
        <v>43</v>
      </c>
      <c r="O73" s="8">
        <v>0</v>
      </c>
      <c r="P73" s="8">
        <v>0</v>
      </c>
      <c r="Q73" s="8">
        <v>0</v>
      </c>
      <c r="R73" s="8">
        <v>12127</v>
      </c>
      <c r="T73" s="8">
        <v>276480</v>
      </c>
      <c r="U73" s="38">
        <f>+Tabla_master_rend[[#This Row],[L_suero Total]]/Tabla_master_rend[[#This Row],[Litros_Leche_Total]]</f>
        <v>0.82840697650030415</v>
      </c>
      <c r="V73" s="5">
        <v>1.5E-3</v>
      </c>
      <c r="W73" s="5">
        <v>8.8999999999999999E-3</v>
      </c>
      <c r="X73" s="8">
        <v>215645</v>
      </c>
      <c r="Y73" s="57">
        <v>81319</v>
      </c>
      <c r="Z73" s="58">
        <f>IF(Tabla_master_rend[[#This Row],[L_suero para con]]=0,0,+Tabla_master_rend[[#This Row],[L_suero para con]]/Tabla_master_rend[[#This Row],[L_suero_con]])</f>
        <v>2.6518402833286192</v>
      </c>
      <c r="AA73" s="8">
        <f>+Tabla_master_rend[[#This Row],[L_suero Total]]-Tabla_master_rend[[#This Row],[L_suero para con]]</f>
        <v>60835</v>
      </c>
      <c r="AD73" s="8"/>
      <c r="AE73" s="8"/>
      <c r="AF73" s="8"/>
      <c r="AG73" s="5"/>
      <c r="AI73" s="7">
        <f>+Tabla_master_rend[[#This Row],[Kg_Finos]]+Tabla_master_rend[[#This Row],[Kg_Llenadora]]+Tabla_master_rend[[#This Row],[Kg_Desmoldeo]]+Tabla_master_rend[[#This Row],[L_Agua]]+Tabla_master_rend[[#This Row],[Kg_SalidaSecadero]]</f>
        <v>33557.89</v>
      </c>
      <c r="AJ73" s="59">
        <f>+Tabla_master_rend[[#This Row],[Litros_Leche_Total]]/Tabla_master_rend[[#This Row],[Kg_Queso_Blan]]</f>
        <v>9.9454703498938706</v>
      </c>
      <c r="AK73" s="59">
        <f>+Tabla_master_rend[[#This Row],[Litros_Leche_Total]]/(Tabla_master_rend[[#This Row],[Kg_Queso_Blan]]-Tabla_master_rend[[#This Row],[Merma_TOT]])</f>
        <v>10.697933681908049</v>
      </c>
      <c r="AL73" s="59">
        <f>VLOOKUP(G73,REND_TARGET[#All],8,FALSE)</f>
        <v>9.8078500000000002</v>
      </c>
      <c r="AM73" s="7">
        <f>(I73*1.03*Tabla_master_rend[[#This Row],[%MG_Leche]])+(I73*1.03*Tabla_master_rend[[#This Row],[%MP_Leche]])</f>
        <v>24647.697398999997</v>
      </c>
      <c r="AN73" s="38">
        <v>0.23530000000000001</v>
      </c>
      <c r="AO73" s="38">
        <v>0.26190000000000002</v>
      </c>
      <c r="AP73" s="60">
        <v>0.54800000000000004</v>
      </c>
      <c r="AQ73" s="38">
        <f>+Tabla_master_rend[[#This Row],[Kg_Queso_Blan]]*Tabla_master_rend[[#This Row],[ES_QUESO]]/(Tabla_master_rend[[#This Row],[Kg_Solidos_leche]])</f>
        <v>0.74610311147142316</v>
      </c>
      <c r="AR73" s="7">
        <f t="shared" si="26"/>
        <v>4850.8</v>
      </c>
      <c r="AS73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0.96064408474925145</v>
      </c>
      <c r="AT73" s="62">
        <f>+Tabla_master_rend[[#This Row],[Kg_Queso_Blan]]*Tabla_master_rend[[#This Row],[%PT_QUESO]]/(Tabla_master_rend[[#This Row],[Litros_Leche_Total]]*1.03*Tabla_master_rend[[#This Row],[%MP_Leche]])</f>
        <v>0.7724047804113845</v>
      </c>
      <c r="AU73" s="63">
        <f t="shared" si="27"/>
        <v>36381</v>
      </c>
      <c r="AV73" s="7">
        <v>41.49</v>
      </c>
      <c r="AW73" s="7">
        <v>86.4</v>
      </c>
      <c r="AX73" s="7">
        <v>137</v>
      </c>
      <c r="AY73" s="8">
        <f>SUM(Tabla_master_rend[[#This Row],[Kg_Finos]:[Kg_Desmoldeo]])</f>
        <v>264.89</v>
      </c>
      <c r="AZ73" s="60">
        <f>+(Tabla_master_rend[[#This Row],[Kg_Finos]]+Tabla_master_rend[[#This Row],[Kg_Llenadora]]+Tabla_master_rend[[#This Row],[Kg_Desmoldeo]])/(Tabla_master_rend[[#This Row],[Kg_Queso_Blan]])</f>
        <v>7.8935236988976355E-3</v>
      </c>
      <c r="BA73" s="7">
        <v>240</v>
      </c>
      <c r="BB73" s="60">
        <f>+Tabla_master_rend[[#This Row],[L_Agua]]/(Tabla_master_rend[[#This Row],[L_Agua]]+Tabla_master_rend[[#This Row],[Kg_SalidaSecadero]])</f>
        <v>7.2087225542906913E-3</v>
      </c>
      <c r="BC73" s="8">
        <v>4786</v>
      </c>
      <c r="BD73" s="8">
        <v>4385</v>
      </c>
      <c r="BE73" s="8">
        <v>30841</v>
      </c>
      <c r="BF73" s="8">
        <f>16*6.1</f>
        <v>97.6</v>
      </c>
      <c r="BG73" s="8">
        <f>213*6.1</f>
        <v>1299.3</v>
      </c>
      <c r="BH73" s="7">
        <v>0</v>
      </c>
      <c r="BI73" s="7">
        <f>171*6.1</f>
        <v>1043.0999999999999</v>
      </c>
      <c r="BJ73" s="8">
        <v>103</v>
      </c>
      <c r="BK73" s="8">
        <v>33053</v>
      </c>
      <c r="BL73" s="8">
        <v>4.84</v>
      </c>
      <c r="BM73" s="8">
        <v>1835</v>
      </c>
      <c r="BN73" s="7">
        <v>15.64</v>
      </c>
      <c r="BO73" s="68">
        <f>+SUM(Tabla_master_rend[[#This Row],[B_altas]:[B_lab]])/Tabla_master_rend[[#This Row],[Kg_SalidaSecadero]]</f>
        <v>7.6937040510694943E-2</v>
      </c>
      <c r="BP73" s="68">
        <f>+(Tabla_master_rend[[#This Row],[Kg_mer_env_real]]+Tabla_master_rend[[#This Row],[kg_mer_lab_real]])/Tabla_master_rend[[#This Row],[Kg_SalidaSecadero]]</f>
        <v>5.5990076543732795E-2</v>
      </c>
      <c r="BQ73" s="64">
        <f>+Tabla_master_rend[[#This Row],[Merma_TOT]]/Tabla_master_rend[[#This Row],[Kg_Queso_Blan]]</f>
        <v>7.0337258987379719E-2</v>
      </c>
      <c r="BR73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2360.37</v>
      </c>
      <c r="BS73" s="8"/>
      <c r="BT73" s="63">
        <f>IF(+Tabla_master_rend[[#This Row],[Kg_Env_Total]]=0,0,Tabla_master_rend[[#This Row],[Kg_Env_Total]]-Tabla_master_rend[[#This Row],[Kg_SalidaSecadero]])</f>
        <v>0</v>
      </c>
      <c r="BU73" s="60">
        <f>+Tabla_master_rend[[#This Row],[Diferencia_Env_vs_Sec_kg]]/Tabla_master_rend[[#This Row],[Kg_SalidaSecadero]]</f>
        <v>0</v>
      </c>
      <c r="BV73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73" s="65">
        <f>+(Tabla_master_rend[[#This Row],[Coste_Leche_€]]-Tabla_master_rend[[#This Row],[Kg_MG_Nata]]*$CO$3)/Tabla_master_rend[[#This Row],[Kg_Queso_Blan]]</f>
        <v>-1.0841265645724449</v>
      </c>
      <c r="BX73" s="8">
        <f>SUM(Tabla_master_rend[[#This Row],[Kg_Finos]:[Kg_Desmoldeo]])+Tabla_master_rend[[#This Row],[L_Agua]]+SUM(Tabla_master_rend[[#This Row],[B_altas]:[B_lab]])</f>
        <v>3047.89</v>
      </c>
      <c r="BY73" s="8">
        <f>+BX73-Tabla_master_rend[[#This Row],[Merma_TOT]]</f>
        <v>687.52</v>
      </c>
      <c r="BZ73" s="62">
        <f t="shared" si="28"/>
        <v>0.22557244519979397</v>
      </c>
      <c r="CA73" s="8">
        <f>+Tabla_master_rend[[#This Row],[Kg_Queso_Blan]]*$CA$1</f>
        <v>218.126285</v>
      </c>
      <c r="CB73" s="8">
        <f>+Tabla_master_rend[[#This Row],[Kg_Queso_Blan]]*($CB$1-$CA$1)</f>
        <v>117.45261500000001</v>
      </c>
      <c r="CC73" s="8">
        <f>+(Tabla_master_rend[[#This Row],[Kg_Queso_Blan]]-CA73-CB73)*$CC$1</f>
        <v>348.83426655</v>
      </c>
      <c r="CD73" s="8">
        <f t="shared" si="29"/>
        <v>684.41316654999991</v>
      </c>
      <c r="CE73" s="80">
        <f>+CD73/Tabla_master_rend[[#This Row],[Kg_Queso_Blan]]</f>
        <v>2.0394999999999996E-2</v>
      </c>
      <c r="CF73" s="62">
        <f>+Tabla_master_rend[[#This Row],[Merma_TOT]]/Tabla_master_rend[[#This Row],[Kg_Queso_Blan]]</f>
        <v>7.0337258987379719E-2</v>
      </c>
      <c r="CG73" s="8">
        <f>CD73-Tabla_master_rend[[#This Row],[Merma_TOT]]</f>
        <v>-1675.95683345</v>
      </c>
      <c r="CH73" s="81" cm="1">
        <f t="array" ref="CH73">-BR73 * IFERROR(INDEX('Precio Leche_EBITDA_Ventas'!$BD$87:$BD$110,MATCH(1,('Precio Leche_EBITDA_Ventas'!$AZ$87:$AZ$110=YEAR(A73))*('Precio Leche_EBITDA_Ventas'!$BB$87:$BB$110=C73),0)),1.3)</f>
        <v>-8261.2950000000001</v>
      </c>
      <c r="CI73" s="81">
        <f t="shared" si="30"/>
        <v>-2178.743883485</v>
      </c>
    </row>
    <row r="74" spans="1:87" x14ac:dyDescent="0.35">
      <c r="A74" s="9">
        <v>45804</v>
      </c>
      <c r="B74" s="7">
        <v>5</v>
      </c>
      <c r="C74" s="7" t="str">
        <f>+UPPER(TEXT(Tabla_master_rend[[#This Row],[Fecha]],"MMM"))</f>
        <v>MAY</v>
      </c>
      <c r="D74" s="7" t="str">
        <f>+UPPER(TEXT(Tabla_master_rend[[#This Row],[Fecha]],"ddd"))</f>
        <v>MA</v>
      </c>
      <c r="E74" s="3">
        <v>270525916</v>
      </c>
      <c r="F74" s="3" t="s">
        <v>244</v>
      </c>
      <c r="G74" s="84" t="s">
        <v>445</v>
      </c>
      <c r="H74">
        <v>5</v>
      </c>
      <c r="I74" s="8">
        <f>+Tabla_master_rend[[#This Row],[L_Leche_ent]]+Tabla_master_rend[[#This Row],[L_desn_ext]]+Tabla_master_rend[[#This Row],[L_cabra]]+Tabla_master_rend[[#This Row],[L_oveja]]</f>
        <v>84100</v>
      </c>
      <c r="J74" s="8">
        <v>84100</v>
      </c>
      <c r="K74" s="5">
        <v>3.7900000000000003E-2</v>
      </c>
      <c r="L74" s="5">
        <v>3.27E-2</v>
      </c>
      <c r="M74" s="5">
        <f t="shared" si="25"/>
        <v>0.10744500000000001</v>
      </c>
      <c r="N74" s="35" t="s">
        <v>43</v>
      </c>
      <c r="O74" s="8">
        <v>0</v>
      </c>
      <c r="P74" s="8">
        <v>0</v>
      </c>
      <c r="Q74" s="8">
        <v>0</v>
      </c>
      <c r="R74" s="8">
        <v>3135.6507789372963</v>
      </c>
      <c r="T74" s="8">
        <v>69000</v>
      </c>
      <c r="U74" s="38">
        <f>+Tabla_master_rend[[#This Row],[L_suero Total]]/Tabla_master_rend[[#This Row],[Litros_Leche_Total]]</f>
        <v>0.82045184304399521</v>
      </c>
      <c r="V74" s="5">
        <v>1E-3</v>
      </c>
      <c r="W74" s="5">
        <v>8.199999999999999E-3</v>
      </c>
      <c r="X74" s="8">
        <f>239341/(205040+69000)*69000</f>
        <v>60263.206101299074</v>
      </c>
      <c r="Y74" s="57">
        <f>92423/(205040+69000)*69000</f>
        <v>23271.007882061014</v>
      </c>
      <c r="Z74" s="58">
        <f>IF(Tabla_master_rend[[#This Row],[L_suero para con]]=0,0,+Tabla_master_rend[[#This Row],[L_suero para con]]/Tabla_master_rend[[#This Row],[L_suero_con]])</f>
        <v>2.5896259589063324</v>
      </c>
      <c r="AA74" s="8">
        <f>+Tabla_master_rend[[#This Row],[L_suero Total]]-Tabla_master_rend[[#This Row],[L_suero para con]]</f>
        <v>8736.7938987009256</v>
      </c>
      <c r="AD74" s="8"/>
      <c r="AE74" s="8"/>
      <c r="AF74" s="8"/>
      <c r="AG74" s="5"/>
      <c r="AI74" s="7">
        <f>+Tabla_master_rend[[#This Row],[Kg_Finos]]+Tabla_master_rend[[#This Row],[Kg_Llenadora]]+Tabla_master_rend[[#This Row],[Kg_Desmoldeo]]+Tabla_master_rend[[#This Row],[L_Agua]]+Tabla_master_rend[[#This Row],[Kg_SalidaSecadero]]</f>
        <v>8367.4555202599549</v>
      </c>
      <c r="AJ74" s="59">
        <f>+Tabla_master_rend[[#This Row],[Litros_Leche_Total]]/Tabla_master_rend[[#This Row],[Kg_Queso_Blan]]</f>
        <v>10.050845181832198</v>
      </c>
      <c r="AK74" s="59">
        <f>+Tabla_master_rend[[#This Row],[Litros_Leche_Total]]/(Tabla_master_rend[[#This Row],[Kg_Queso_Blan]]-Tabla_master_rend[[#This Row],[Merma_TOT]])</f>
        <v>10.250584746496092</v>
      </c>
      <c r="AL74" s="59">
        <f>VLOOKUP(G74,REND_TARGET[#All],8,FALSE)</f>
        <v>9.8078500000000002</v>
      </c>
      <c r="AM74" s="7">
        <f>(I74*1.03*Tabla_master_rend[[#This Row],[%MG_Leche]])+(I74*1.03*Tabla_master_rend[[#This Row],[%MP_Leche]])</f>
        <v>6115.5838000000003</v>
      </c>
      <c r="AN74" s="38">
        <v>0.22489999999999999</v>
      </c>
      <c r="AO74" s="38">
        <v>0.2596</v>
      </c>
      <c r="AP74" s="60">
        <v>0.53700000000000003</v>
      </c>
      <c r="AQ74" s="38">
        <f>+Tabla_master_rend[[#This Row],[Kg_Queso_Blan]]*Tabla_master_rend[[#This Row],[ES_QUESO]]/(Tabla_master_rend[[#This Row],[Kg_Solidos_leche]])</f>
        <v>0.7347333895383128</v>
      </c>
      <c r="AR74" s="7">
        <f t="shared" si="26"/>
        <v>1254.2603115749187</v>
      </c>
      <c r="AS74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0.95525125849578374</v>
      </c>
      <c r="AT74" s="62">
        <f>+Tabla_master_rend[[#This Row],[Kg_Queso_Blan]]*Tabla_master_rend[[#This Row],[%PT_QUESO]]/(Tabla_master_rend[[#This Row],[Litros_Leche_Total]]*1.03*Tabla_master_rend[[#This Row],[%MP_Leche]])</f>
        <v>0.76686184018386849</v>
      </c>
      <c r="AU74" s="63">
        <f t="shared" si="27"/>
        <v>9406.9523368118898</v>
      </c>
      <c r="AV74" s="7">
        <v>9.5584756152259054</v>
      </c>
      <c r="AW74" s="7">
        <v>37.120184447704879</v>
      </c>
      <c r="AX74" s="7">
        <v>4.7768601970236846</v>
      </c>
      <c r="AY74" s="8">
        <f>SUM(Tabla_master_rend[[#This Row],[Kg_Finos]:[Kg_Desmoldeo]])</f>
        <v>51.455520259954476</v>
      </c>
      <c r="AZ74" s="60">
        <f>+(Tabla_master_rend[[#This Row],[Kg_Finos]]+Tabla_master_rend[[#This Row],[Kg_Llenadora]]+Tabla_master_rend[[#This Row],[Kg_Desmoldeo]])/(Tabla_master_rend[[#This Row],[Kg_Queso_Blan]])</f>
        <v>6.1494823767352259E-3</v>
      </c>
      <c r="BA74" s="7">
        <v>80</v>
      </c>
      <c r="BB74" s="60">
        <f>+Tabla_master_rend[[#This Row],[L_Agua]]/(Tabla_master_rend[[#This Row],[L_Agua]]+Tabla_master_rend[[#This Row],[Kg_SalidaSecadero]])</f>
        <v>9.6200096200096206E-3</v>
      </c>
      <c r="BC74" s="8">
        <v>1187</v>
      </c>
      <c r="BD74" s="8">
        <v>1114</v>
      </c>
      <c r="BE74" s="8">
        <v>7889</v>
      </c>
      <c r="BF74" s="8">
        <v>0</v>
      </c>
      <c r="BG74" s="8">
        <f>53*5.8</f>
        <v>307.39999999999998</v>
      </c>
      <c r="BH74" s="7">
        <v>0</v>
      </c>
      <c r="BI74" s="7">
        <f>14*5.8</f>
        <v>81.2</v>
      </c>
      <c r="BJ74" s="8">
        <v>37</v>
      </c>
      <c r="BK74" s="8">
        <v>8236</v>
      </c>
      <c r="BL74" s="8">
        <v>1</v>
      </c>
      <c r="BM74" s="8">
        <v>20.079999999999998</v>
      </c>
      <c r="BN74" s="7">
        <v>10.51</v>
      </c>
      <c r="BO74" s="68">
        <f>+SUM(Tabla_master_rend[[#This Row],[B_altas]:[B_lab]])/Tabla_master_rend[[#This Row],[Kg_SalidaSecadero]]</f>
        <v>5.1675570665371533E-2</v>
      </c>
      <c r="BP74" s="68">
        <f>+(Tabla_master_rend[[#This Row],[Kg_mer_env_real]]+Tabla_master_rend[[#This Row],[kg_mer_lab_real]])/Tabla_master_rend[[#This Row],[Kg_SalidaSecadero]]</f>
        <v>3.714181641573579E-3</v>
      </c>
      <c r="BQ74" s="64">
        <f>+Tabla_master_rend[[#This Row],[Merma_TOT]]/Tabla_master_rend[[#This Row],[Kg_Queso_Blan]]</f>
        <v>1.9485675169133028E-2</v>
      </c>
      <c r="BR74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163.04552025995449</v>
      </c>
      <c r="BS74" s="8"/>
      <c r="BT74" s="63">
        <f>IF(+Tabla_master_rend[[#This Row],[Kg_Env_Total]]=0,0,Tabla_master_rend[[#This Row],[Kg_Env_Total]]-Tabla_master_rend[[#This Row],[Kg_SalidaSecadero]])</f>
        <v>0</v>
      </c>
      <c r="BU74" s="60">
        <f>+Tabla_master_rend[[#This Row],[Diferencia_Env_vs_Sec_kg]]/Tabla_master_rend[[#This Row],[Kg_SalidaSecadero]]</f>
        <v>0</v>
      </c>
      <c r="BV74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74" s="65">
        <f>+(Tabla_master_rend[[#This Row],[Coste_Leche_€]]-Tabla_master_rend[[#This Row],[Kg_MG_Nata]]*$CO$3)/Tabla_master_rend[[#This Row],[Kg_Queso_Blan]]</f>
        <v>-1.124230934246979</v>
      </c>
      <c r="BX74" s="8">
        <f>SUM(Tabla_master_rend[[#This Row],[Kg_Finos]:[Kg_Desmoldeo]])+Tabla_master_rend[[#This Row],[L_Agua]]+SUM(Tabla_master_rend[[#This Row],[B_altas]:[B_lab]])</f>
        <v>557.05552025995439</v>
      </c>
      <c r="BY74" s="8">
        <f>+BX74-Tabla_master_rend[[#This Row],[Merma_TOT]]</f>
        <v>394.00999999999988</v>
      </c>
      <c r="BZ74" s="62">
        <f t="shared" si="28"/>
        <v>0.70730831249303838</v>
      </c>
      <c r="CA74" s="8">
        <f>+Tabla_master_rend[[#This Row],[Kg_Queso_Blan]]*$CA$1</f>
        <v>54.388460881689703</v>
      </c>
      <c r="CB74" s="8">
        <f>+Tabla_master_rend[[#This Row],[Kg_Queso_Blan]]*($CB$1-$CA$1)</f>
        <v>29.286094320909847</v>
      </c>
      <c r="CC74" s="8">
        <f>+(Tabla_master_rend[[#This Row],[Kg_Queso_Blan]]-CA74-CB74)*$CC$1</f>
        <v>86.979700133102227</v>
      </c>
      <c r="CD74" s="8">
        <f t="shared" si="29"/>
        <v>170.65425533570178</v>
      </c>
      <c r="CE74" s="80">
        <f>+CD74/Tabla_master_rend[[#This Row],[Kg_Queso_Blan]]</f>
        <v>2.0395E-2</v>
      </c>
      <c r="CF74" s="62">
        <f>+Tabla_master_rend[[#This Row],[Merma_TOT]]/Tabla_master_rend[[#This Row],[Kg_Queso_Blan]]</f>
        <v>1.9485675169133028E-2</v>
      </c>
      <c r="CG74" s="8">
        <f>CD74-Tabla_master_rend[[#This Row],[Merma_TOT]]</f>
        <v>7.6087350757472905</v>
      </c>
      <c r="CH74" s="81" cm="1">
        <f t="array" ref="CH74">-BR74 * IFERROR(INDEX('Precio Leche_EBITDA_Ventas'!$BD$87:$BD$110,MATCH(1,('Precio Leche_EBITDA_Ventas'!$AZ$87:$AZ$110=YEAR(A74))*('Precio Leche_EBITDA_Ventas'!$BB$87:$BB$110=C74),0)),1.3)</f>
        <v>-570.65932090984074</v>
      </c>
      <c r="CI74" s="81">
        <f t="shared" si="30"/>
        <v>9.8913555984714776</v>
      </c>
    </row>
    <row r="75" spans="1:87" x14ac:dyDescent="0.35">
      <c r="A75" s="9">
        <v>45804</v>
      </c>
      <c r="B75" s="7">
        <v>5</v>
      </c>
      <c r="C75" s="7" t="str">
        <f>+UPPER(TEXT(Tabla_master_rend[[#This Row],[Fecha]],"MMM"))</f>
        <v>MAY</v>
      </c>
      <c r="D75" s="7" t="str">
        <f>+UPPER(TEXT(Tabla_master_rend[[#This Row],[Fecha]],"ddd"))</f>
        <v>MA</v>
      </c>
      <c r="E75" s="3">
        <v>270525316</v>
      </c>
      <c r="F75" s="3" t="s">
        <v>244</v>
      </c>
      <c r="G75" s="84" t="s">
        <v>299</v>
      </c>
      <c r="H75">
        <v>15</v>
      </c>
      <c r="I75" s="8">
        <f>+Tabla_master_rend[[#This Row],[L_Leche_ent]]+Tabla_master_rend[[#This Row],[L_desn_ext]]+Tabla_master_rend[[#This Row],[L_cabra]]+Tabla_master_rend[[#This Row],[L_oveja]]</f>
        <v>250330</v>
      </c>
      <c r="J75" s="8">
        <v>250330</v>
      </c>
      <c r="K75" s="5">
        <v>3.7599999999999995E-2</v>
      </c>
      <c r="L75" s="5">
        <v>3.32E-2</v>
      </c>
      <c r="M75" s="5">
        <f t="shared" si="25"/>
        <v>0.10753599999999999</v>
      </c>
      <c r="N75" s="35" t="s">
        <v>43</v>
      </c>
      <c r="O75" s="8">
        <v>0</v>
      </c>
      <c r="P75" s="8">
        <v>0</v>
      </c>
      <c r="Q75" s="8">
        <v>0</v>
      </c>
      <c r="R75" s="8">
        <v>8786.3492210627046</v>
      </c>
      <c r="T75" s="8">
        <v>205040</v>
      </c>
      <c r="U75" s="38">
        <f>+Tabla_master_rend[[#This Row],[L_suero Total]]/Tabla_master_rend[[#This Row],[Litros_Leche_Total]]</f>
        <v>0.81907881596292897</v>
      </c>
      <c r="V75" s="5">
        <v>1E-3</v>
      </c>
      <c r="W75" s="5">
        <v>8.199999999999999E-3</v>
      </c>
      <c r="X75" s="8">
        <f>239341/(205040+69000)*205040</f>
        <v>179077.79389870091</v>
      </c>
      <c r="Y75" s="57">
        <f>92423/(205040+69000)*205040</f>
        <v>69151.992117938993</v>
      </c>
      <c r="Z75" s="58">
        <f>IF(Tabla_master_rend[[#This Row],[L_suero para con]]=0,0,+Tabla_master_rend[[#This Row],[L_suero para con]]/Tabla_master_rend[[#This Row],[L_suero_con]])</f>
        <v>2.5896259589063324</v>
      </c>
      <c r="AA75" s="8">
        <f>+Tabla_master_rend[[#This Row],[L_suero Total]]-Tabla_master_rend[[#This Row],[L_suero para con]]</f>
        <v>25962.206101299089</v>
      </c>
      <c r="AD75" s="8"/>
      <c r="AE75" s="8"/>
      <c r="AF75" s="8"/>
      <c r="AG75" s="5"/>
      <c r="AI75" s="7">
        <f>+Tabla_master_rend[[#This Row],[Kg_Finos]]+Tabla_master_rend[[#This Row],[Kg_Llenadora]]+Tabla_master_rend[[#This Row],[Kg_Desmoldeo]]+Tabla_master_rend[[#This Row],[L_Agua]]+Tabla_master_rend[[#This Row],[Kg_SalidaSecadero]]</f>
        <v>25330.954479740045</v>
      </c>
      <c r="AJ75" s="59">
        <f>+Tabla_master_rend[[#This Row],[Litros_Leche_Total]]/Tabla_master_rend[[#This Row],[Kg_Queso_Blan]]</f>
        <v>9.8823753443722975</v>
      </c>
      <c r="AK75" s="59">
        <f>+Tabla_master_rend[[#This Row],[Litros_Leche_Total]]/(Tabla_master_rend[[#This Row],[Kg_Queso_Blan]]-Tabla_master_rend[[#This Row],[Merma_TOT]])</f>
        <v>10.057909418949112</v>
      </c>
      <c r="AL75" s="59">
        <f>VLOOKUP(G75,REND_TARGET[#All],8,FALSE)</f>
        <v>9.8078500000000002</v>
      </c>
      <c r="AM75" s="7">
        <f>(I75*1.03*Tabla_master_rend[[#This Row],[%MG_Leche]])+(I75*1.03*Tabla_master_rend[[#This Row],[%MP_Leche]])</f>
        <v>18255.064919999997</v>
      </c>
      <c r="AN75" s="38">
        <v>0.22920000000000001</v>
      </c>
      <c r="AO75" s="38">
        <v>0.2571</v>
      </c>
      <c r="AP75" s="60">
        <v>0.54330000000000001</v>
      </c>
      <c r="AQ75" s="38">
        <f>+Tabla_master_rend[[#This Row],[Kg_Queso_Blan]]*Tabla_master_rend[[#This Row],[ES_QUESO]]/(Tabla_master_rend[[#This Row],[Kg_Solidos_leche]])</f>
        <v>0.75388981793019938</v>
      </c>
      <c r="AR75" s="7">
        <f t="shared" si="26"/>
        <v>3514.5396884250822</v>
      </c>
      <c r="AS75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0.96138274663784462</v>
      </c>
      <c r="AT75" s="62">
        <f>+Tabla_master_rend[[#This Row],[Kg_Queso_Blan]]*Tabla_master_rend[[#This Row],[%PT_QUESO]]/(Tabla_master_rend[[#This Row],[Litros_Leche_Total]]*1.03*Tabla_master_rend[[#This Row],[%MP_Leche]])</f>
        <v>0.76079109985173587</v>
      </c>
      <c r="AU75" s="63">
        <f t="shared" si="27"/>
        <v>26359.047663188117</v>
      </c>
      <c r="AV75" s="7">
        <v>28.451524384774093</v>
      </c>
      <c r="AW75" s="7">
        <v>112.07981555229512</v>
      </c>
      <c r="AX75" s="7">
        <v>14.423139802976316</v>
      </c>
      <c r="AY75" s="8">
        <f>SUM(Tabla_master_rend[[#This Row],[Kg_Finos]:[Kg_Desmoldeo]])</f>
        <v>154.95447974004554</v>
      </c>
      <c r="AZ75" s="60">
        <f>+(Tabla_master_rend[[#This Row],[Kg_Finos]]+Tabla_master_rend[[#This Row],[Kg_Llenadora]]+Tabla_master_rend[[#This Row],[Kg_Desmoldeo]])/(Tabla_master_rend[[#This Row],[Kg_Queso_Blan]])</f>
        <v>6.1171986181562839E-3</v>
      </c>
      <c r="BA75" s="7">
        <v>180</v>
      </c>
      <c r="BB75" s="60">
        <f>+Tabla_master_rend[[#This Row],[L_Agua]]/(Tabla_master_rend[[#This Row],[L_Agua]]+Tabla_master_rend[[#This Row],[Kg_SalidaSecadero]])</f>
        <v>7.1496663489037183E-3</v>
      </c>
      <c r="BC75" s="8">
        <v>3584</v>
      </c>
      <c r="BD75" s="8">
        <v>3420</v>
      </c>
      <c r="BE75" s="8">
        <v>24127</v>
      </c>
      <c r="BF75" s="8">
        <f>27*6.4</f>
        <v>172.8</v>
      </c>
      <c r="BG75" s="8">
        <f>77*6.4</f>
        <v>492.8</v>
      </c>
      <c r="BH75" s="7">
        <v>0</v>
      </c>
      <c r="BI75" s="7">
        <f>72*6.4</f>
        <v>460.8</v>
      </c>
      <c r="BJ75" s="8">
        <v>90</v>
      </c>
      <c r="BK75" s="8">
        <v>24996</v>
      </c>
      <c r="BL75" s="8">
        <v>5.45</v>
      </c>
      <c r="BM75" s="8">
        <v>82.99</v>
      </c>
      <c r="BN75" s="7">
        <v>18.690000000000001</v>
      </c>
      <c r="BO75" s="68">
        <f>+SUM(Tabla_master_rend[[#This Row],[B_altas]:[B_lab]])/Tabla_master_rend[[#This Row],[Kg_SalidaSecadero]]</f>
        <v>4.8663786205792932E-2</v>
      </c>
      <c r="BP75" s="68">
        <f>+(Tabla_master_rend[[#This Row],[Kg_mer_env_real]]+Tabla_master_rend[[#This Row],[kg_mer_lab_real]])/Tabla_master_rend[[#This Row],[Kg_SalidaSecadero]]</f>
        <v>4.0678508561369812E-3</v>
      </c>
      <c r="BQ75" s="64">
        <f>+Tabla_master_rend[[#This Row],[Merma_TOT]]/Tabla_master_rend[[#This Row],[Kg_Queso_Blan]]</f>
        <v>1.7452341959464227E-2</v>
      </c>
      <c r="BR75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442.08447974004548</v>
      </c>
      <c r="BS75" s="8"/>
      <c r="BT75" s="63">
        <f>IF(+Tabla_master_rend[[#This Row],[Kg_Env_Total]]=0,0,Tabla_master_rend[[#This Row],[Kg_Env_Total]]-Tabla_master_rend[[#This Row],[Kg_SalidaSecadero]])</f>
        <v>0</v>
      </c>
      <c r="BU75" s="60">
        <f>+Tabla_master_rend[[#This Row],[Diferencia_Env_vs_Sec_kg]]/Tabla_master_rend[[#This Row],[Kg_SalidaSecadero]]</f>
        <v>0</v>
      </c>
      <c r="BV75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75" s="65">
        <f>+(Tabla_master_rend[[#This Row],[Coste_Leche_€]]-Tabla_master_rend[[#This Row],[Kg_MG_Nata]]*$CO$3)/Tabla_master_rend[[#This Row],[Kg_Queso_Blan]]</f>
        <v>-1.0405864368147024</v>
      </c>
      <c r="BX75" s="8">
        <f>SUM(Tabla_master_rend[[#This Row],[Kg_Finos]:[Kg_Desmoldeo]])+Tabla_master_rend[[#This Row],[L_Agua]]+SUM(Tabla_master_rend[[#This Row],[B_altas]:[B_lab]])</f>
        <v>1551.3544797400457</v>
      </c>
      <c r="BY75" s="8">
        <f>+BX75-Tabla_master_rend[[#This Row],[Merma_TOT]]</f>
        <v>1109.2700000000002</v>
      </c>
      <c r="BZ75" s="62">
        <f t="shared" si="28"/>
        <v>0.71503322708416461</v>
      </c>
      <c r="CA75" s="8">
        <f>+Tabla_master_rend[[#This Row],[Kg_Queso_Blan]]*$CA$1</f>
        <v>164.65120411831029</v>
      </c>
      <c r="CB75" s="8">
        <f>+Tabla_master_rend[[#This Row],[Kg_Queso_Blan]]*($CB$1-$CA$1)</f>
        <v>88.658340679090173</v>
      </c>
      <c r="CC75" s="8">
        <f>+(Tabla_master_rend[[#This Row],[Kg_Queso_Blan]]-CA75-CB75)*$CC$1</f>
        <v>263.31527181689779</v>
      </c>
      <c r="CD75" s="8">
        <f t="shared" si="29"/>
        <v>516.6248166142982</v>
      </c>
      <c r="CE75" s="80">
        <f>+CD75/Tabla_master_rend[[#This Row],[Kg_Queso_Blan]]</f>
        <v>2.0395E-2</v>
      </c>
      <c r="CF75" s="62">
        <f>+Tabla_master_rend[[#This Row],[Merma_TOT]]/Tabla_master_rend[[#This Row],[Kg_Queso_Blan]]</f>
        <v>1.7452341959464227E-2</v>
      </c>
      <c r="CG75" s="8">
        <f>CD75-Tabla_master_rend[[#This Row],[Merma_TOT]]</f>
        <v>74.540336874252716</v>
      </c>
      <c r="CH75" s="81" cm="1">
        <f t="array" ref="CH75">-BR75 * IFERROR(INDEX('Precio Leche_EBITDA_Ventas'!$BD$87:$BD$110,MATCH(1,('Precio Leche_EBITDA_Ventas'!$AZ$87:$AZ$110=YEAR(A75))*('Precio Leche_EBITDA_Ventas'!$BB$87:$BB$110=C75),0)),1.3)</f>
        <v>-1547.2956790901592</v>
      </c>
      <c r="CI75" s="81">
        <f t="shared" si="30"/>
        <v>96.902437936528528</v>
      </c>
    </row>
    <row r="76" spans="1:87" x14ac:dyDescent="0.35">
      <c r="A76" s="9">
        <v>45806</v>
      </c>
      <c r="B76" s="7">
        <v>5</v>
      </c>
      <c r="C76" s="7" t="str">
        <f>+UPPER(TEXT(Tabla_master_rend[[#This Row],[Fecha]],"MMM"))</f>
        <v>MAY</v>
      </c>
      <c r="D76" s="7" t="str">
        <f>+UPPER(TEXT(Tabla_master_rend[[#This Row],[Fecha]],"ddd"))</f>
        <v>JU</v>
      </c>
      <c r="E76" s="3">
        <v>290525126</v>
      </c>
      <c r="F76" s="3" t="s">
        <v>244</v>
      </c>
      <c r="G76" s="84" t="s">
        <v>301</v>
      </c>
      <c r="H76">
        <v>20</v>
      </c>
      <c r="I76" s="8">
        <f>+Tabla_master_rend[[#This Row],[L_Leche_ent]]+Tabla_master_rend[[#This Row],[L_desn_ext]]+Tabla_master_rend[[#This Row],[L_cabra]]+Tabla_master_rend[[#This Row],[L_oveja]]</f>
        <v>324282</v>
      </c>
      <c r="J76" s="8">
        <v>324282</v>
      </c>
      <c r="K76" s="5">
        <v>3.78E-2</v>
      </c>
      <c r="L76" s="5">
        <v>3.2599999999999997E-2</v>
      </c>
      <c r="M76" s="5">
        <f t="shared" si="25"/>
        <v>0.107278</v>
      </c>
      <c r="N76" s="35" t="s">
        <v>188</v>
      </c>
      <c r="O76" s="8">
        <v>0</v>
      </c>
      <c r="P76" s="8">
        <v>0</v>
      </c>
      <c r="Q76" s="8">
        <v>0</v>
      </c>
      <c r="R76" s="8">
        <v>4637</v>
      </c>
      <c r="T76" s="8">
        <v>273250</v>
      </c>
      <c r="U76" s="38">
        <f>+Tabla_master_rend[[#This Row],[L_suero Total]]/Tabla_master_rend[[#This Row],[Litros_Leche_Total]]</f>
        <v>0.84263079665229645</v>
      </c>
      <c r="V76" s="5">
        <v>1.7000000000000001E-3</v>
      </c>
      <c r="W76" s="5">
        <v>8.8999999999999999E-3</v>
      </c>
      <c r="X76" s="8">
        <v>274081</v>
      </c>
      <c r="Y76" s="57">
        <v>96270</v>
      </c>
      <c r="Z76" s="58">
        <f>IF(Tabla_master_rend[[#This Row],[L_suero para con]]=0,0,+Tabla_master_rend[[#This Row],[L_suero para con]]/Tabla_master_rend[[#This Row],[L_suero_con]])</f>
        <v>2.847003220110107</v>
      </c>
      <c r="AA76" s="8">
        <f>+Tabla_master_rend[[#This Row],[L_suero Total]]-Tabla_master_rend[[#This Row],[L_suero para con]]</f>
        <v>-831</v>
      </c>
      <c r="AD76" s="8"/>
      <c r="AE76" s="8"/>
      <c r="AF76" s="8"/>
      <c r="AG76" s="5"/>
      <c r="AI76" s="7">
        <f>+Tabla_master_rend[[#This Row],[Kg_Finos]]+Tabla_master_rend[[#This Row],[Kg_Llenadora]]+Tabla_master_rend[[#This Row],[Kg_Desmoldeo]]+Tabla_master_rend[[#This Row],[L_Agua]]+Tabla_master_rend[[#This Row],[Kg_SalidaSecadero]]</f>
        <v>35315.550000000003</v>
      </c>
      <c r="AJ76" s="59">
        <f>+Tabla_master_rend[[#This Row],[Litros_Leche_Total]]/Tabla_master_rend[[#This Row],[Kg_Queso_Blan]]</f>
        <v>9.1824139791111836</v>
      </c>
      <c r="AK76" s="59">
        <f>+Tabla_master_rend[[#This Row],[Litros_Leche_Total]]/(Tabla_master_rend[[#This Row],[Kg_Queso_Blan]]-Tabla_master_rend[[#This Row],[Merma_TOT]])</f>
        <v>9.425377559206165</v>
      </c>
      <c r="AL76" s="59">
        <f>VLOOKUP(G76,REND_TARGET[#All],8,FALSE)</f>
        <v>9.3549429999999987</v>
      </c>
      <c r="AM76" s="7">
        <f>(I76*1.03*Tabla_master_rend[[#This Row],[%MG_Leche]])+(I76*1.03*Tabla_master_rend[[#This Row],[%MP_Leche]])</f>
        <v>23514.336384000002</v>
      </c>
      <c r="AN76" s="38">
        <v>0.29469999999999996</v>
      </c>
      <c r="AO76" s="38">
        <v>0.24390000000000001</v>
      </c>
      <c r="AP76" s="60">
        <v>0.58579999999999999</v>
      </c>
      <c r="AQ76" s="38">
        <f>+Tabla_master_rend[[#This Row],[Kg_Queso_Blan]]*Tabla_master_rend[[#This Row],[ES_QUESO]]/(Tabla_master_rend[[#This Row],[Kg_Solidos_leche]])</f>
        <v>0.87979727992990509</v>
      </c>
      <c r="AR76" s="7">
        <f t="shared" si="26"/>
        <v>1854.8000000000002</v>
      </c>
      <c r="AS76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0.97122489737432083</v>
      </c>
      <c r="AT76" s="62">
        <f>+Tabla_master_rend[[#This Row],[Kg_Queso_Blan]]*Tabla_master_rend[[#This Row],[%PT_QUESO]]/(Tabla_master_rend[[#This Row],[Litros_Leche_Total]]*1.03*Tabla_master_rend[[#This Row],[%MP_Leche]])</f>
        <v>0.79104302767089174</v>
      </c>
      <c r="AU76" s="63">
        <f t="shared" si="27"/>
        <v>13911.000000000002</v>
      </c>
      <c r="AV76" s="7">
        <v>45.75</v>
      </c>
      <c r="AW76" s="7">
        <v>140.80000000000001</v>
      </c>
      <c r="AX76" s="7">
        <v>62</v>
      </c>
      <c r="AY76" s="8">
        <f>SUM(Tabla_master_rend[[#This Row],[Kg_Finos]:[Kg_Desmoldeo]])</f>
        <v>248.55</v>
      </c>
      <c r="AZ76" s="60">
        <f>+(Tabla_master_rend[[#This Row],[Kg_Finos]]+Tabla_master_rend[[#This Row],[Kg_Llenadora]]+Tabla_master_rend[[#This Row],[Kg_Desmoldeo]])/(Tabla_master_rend[[#This Row],[Kg_Queso_Blan]])</f>
        <v>7.0379761889592541E-3</v>
      </c>
      <c r="BA76" s="7">
        <v>260</v>
      </c>
      <c r="BB76" s="60">
        <f>+Tabla_master_rend[[#This Row],[L_Agua]]/(Tabla_master_rend[[#This Row],[L_Agua]]+Tabla_master_rend[[#This Row],[Kg_SalidaSecadero]])</f>
        <v>7.4143781903213846E-3</v>
      </c>
      <c r="BC76" s="8">
        <v>4903</v>
      </c>
      <c r="BD76" s="8">
        <v>4810</v>
      </c>
      <c r="BE76" s="8">
        <v>34445</v>
      </c>
      <c r="BF76" s="8">
        <f>76*6.8</f>
        <v>516.79999999999995</v>
      </c>
      <c r="BG76" s="8">
        <f>47*6.8</f>
        <v>319.59999999999997</v>
      </c>
      <c r="BH76" s="7">
        <f>7*6.8</f>
        <v>47.6</v>
      </c>
      <c r="BI76" s="7">
        <f>22*6.8</f>
        <v>149.6</v>
      </c>
      <c r="BJ76" s="8">
        <v>105</v>
      </c>
      <c r="BK76" s="8">
        <v>34807</v>
      </c>
      <c r="BL76" s="8">
        <v>6.2</v>
      </c>
      <c r="BM76" s="8">
        <v>376.8</v>
      </c>
      <c r="BN76" s="7">
        <v>18.8</v>
      </c>
      <c r="BO76" s="68">
        <f>+SUM(Tabla_master_rend[[#This Row],[B_altas]:[B_lab]])/Tabla_master_rend[[#This Row],[Kg_SalidaSecadero]]</f>
        <v>3.2711810842646592E-2</v>
      </c>
      <c r="BP76" s="68">
        <f>+(Tabla_master_rend[[#This Row],[Kg_mer_env_real]]+Tabla_master_rend[[#This Row],[kg_mer_lab_real]])/Tabla_master_rend[[#This Row],[Kg_SalidaSecadero]]</f>
        <v>1.1365529922142098E-2</v>
      </c>
      <c r="BQ76" s="64">
        <f>+Tabla_master_rend[[#This Row],[Merma_TOT]]/Tabla_master_rend[[#This Row],[Kg_Queso_Blan]]</f>
        <v>2.5777596554492278E-2</v>
      </c>
      <c r="BR76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910.34999999999991</v>
      </c>
      <c r="BS76" s="8"/>
      <c r="BT76" s="63">
        <f>IF(+Tabla_master_rend[[#This Row],[Kg_Env_Total]]=0,0,Tabla_master_rend[[#This Row],[Kg_Env_Total]]-Tabla_master_rend[[#This Row],[Kg_SalidaSecadero]])</f>
        <v>0</v>
      </c>
      <c r="BU76" s="60">
        <f>+Tabla_master_rend[[#This Row],[Diferencia_Env_vs_Sec_kg]]/Tabla_master_rend[[#This Row],[Kg_SalidaSecadero]]</f>
        <v>0</v>
      </c>
      <c r="BV76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76" s="65">
        <f>+(Tabla_master_rend[[#This Row],[Coste_Leche_€]]-Tabla_master_rend[[#This Row],[Kg_MG_Nata]]*$CO$3)/Tabla_master_rend[[#This Row],[Kg_Queso_Blan]]</f>
        <v>-0.3939058007025234</v>
      </c>
      <c r="BX76" s="8">
        <f>SUM(Tabla_master_rend[[#This Row],[Kg_Finos]:[Kg_Desmoldeo]])+Tabla_master_rend[[#This Row],[L_Agua]]+SUM(Tabla_master_rend[[#This Row],[B_altas]:[B_lab]])</f>
        <v>1647.1499999999999</v>
      </c>
      <c r="BY76" s="8">
        <f>+BX76-Tabla_master_rend[[#This Row],[Merma_TOT]]</f>
        <v>736.8</v>
      </c>
      <c r="BZ76" s="62">
        <f t="shared" si="28"/>
        <v>0.44731809489117569</v>
      </c>
      <c r="CA76" s="8">
        <f>+Tabla_master_rend[[#This Row],[Kg_Queso_Blan]]*$CA$1</f>
        <v>229.551075</v>
      </c>
      <c r="CB76" s="8">
        <f>+Tabla_master_rend[[#This Row],[Kg_Queso_Blan]]*($CB$1-$CA$1)</f>
        <v>123.60442500000003</v>
      </c>
      <c r="CC76" s="8">
        <f>+(Tabla_master_rend[[#This Row],[Kg_Queso_Blan]]-CA76-CB76)*$CC$1</f>
        <v>367.10514225000003</v>
      </c>
      <c r="CD76" s="8">
        <f t="shared" si="29"/>
        <v>720.26064225000005</v>
      </c>
      <c r="CE76" s="80">
        <f>+CD76/Tabla_master_rend[[#This Row],[Kg_Queso_Blan]]</f>
        <v>2.0395E-2</v>
      </c>
      <c r="CF76" s="62">
        <f>+Tabla_master_rend[[#This Row],[Merma_TOT]]/Tabla_master_rend[[#This Row],[Kg_Queso_Blan]]</f>
        <v>2.5777596554492278E-2</v>
      </c>
      <c r="CG76" s="8">
        <f>CD76-Tabla_master_rend[[#This Row],[Merma_TOT]]</f>
        <v>-190.08935774999986</v>
      </c>
      <c r="CH76" s="81" cm="1">
        <f t="array" ref="CH76">-BR76 * IFERROR(INDEX('Precio Leche_EBITDA_Ventas'!$BD$87:$BD$110,MATCH(1,('Precio Leche_EBITDA_Ventas'!$AZ$87:$AZ$110=YEAR(A76))*('Precio Leche_EBITDA_Ventas'!$BB$87:$BB$110=C76),0)),1.3)</f>
        <v>-3186.2249999999995</v>
      </c>
      <c r="CI76" s="81">
        <f t="shared" si="30"/>
        <v>-247.11616507499983</v>
      </c>
    </row>
    <row r="77" spans="1:87" x14ac:dyDescent="0.35">
      <c r="A77" s="9">
        <v>45810</v>
      </c>
      <c r="B77" s="7">
        <v>6</v>
      </c>
      <c r="C77" s="7" t="str">
        <f>+UPPER(TEXT(Tabla_master_rend[[#This Row],[Fecha]],"MMM"))</f>
        <v>JUN</v>
      </c>
      <c r="D77" s="7" t="str">
        <f>+UPPER(TEXT(Tabla_master_rend[[#This Row],[Fecha]],"ddd"))</f>
        <v>LU</v>
      </c>
      <c r="E77" s="3" t="s">
        <v>483</v>
      </c>
      <c r="F77" s="3" t="s">
        <v>244</v>
      </c>
      <c r="G77" s="84" t="s">
        <v>299</v>
      </c>
      <c r="H77">
        <v>18</v>
      </c>
      <c r="I77" s="8">
        <f>+Tabla_master_rend[[#This Row],[L_Leche_ent]]+Tabla_master_rend[[#This Row],[L_desn_ext]]+Tabla_master_rend[[#This Row],[L_cabra]]+Tabla_master_rend[[#This Row],[L_oveja]]</f>
        <v>286857</v>
      </c>
      <c r="J77" s="8">
        <v>286857</v>
      </c>
      <c r="K77" s="5">
        <v>3.8399999999999997E-2</v>
      </c>
      <c r="L77" s="5">
        <v>3.3399999999999999E-2</v>
      </c>
      <c r="M77" s="5">
        <f t="shared" si="25"/>
        <v>0.108428</v>
      </c>
      <c r="N77" s="35" t="s">
        <v>43</v>
      </c>
      <c r="O77" s="8">
        <v>0</v>
      </c>
      <c r="P77" s="8">
        <v>0</v>
      </c>
      <c r="Q77" s="8">
        <v>0</v>
      </c>
      <c r="R77" s="8">
        <v>10172</v>
      </c>
      <c r="T77" s="8">
        <v>260410</v>
      </c>
      <c r="U77" s="38">
        <f>+Tabla_master_rend[[#This Row],[L_suero Total]]/Tabla_master_rend[[#This Row],[Litros_Leche_Total]]</f>
        <v>0.90780423695430124</v>
      </c>
      <c r="V77" s="5">
        <v>2.3E-3</v>
      </c>
      <c r="W77" s="5">
        <v>8.1000000000000013E-3</v>
      </c>
      <c r="X77" s="8">
        <v>260599</v>
      </c>
      <c r="Y77" s="57">
        <v>99510</v>
      </c>
      <c r="Z77" s="58">
        <f>IF(Tabla_master_rend[[#This Row],[L_suero para con]]=0,0,+Tabla_master_rend[[#This Row],[L_suero para con]]/Tabla_master_rend[[#This Row],[L_suero_con]])</f>
        <v>2.6188222289217165</v>
      </c>
      <c r="AA77" s="8">
        <f>+Tabla_master_rend[[#This Row],[L_suero Total]]-Tabla_master_rend[[#This Row],[L_suero para con]]</f>
        <v>-189</v>
      </c>
      <c r="AD77" s="8"/>
      <c r="AE77" s="8"/>
      <c r="AF77" s="8"/>
      <c r="AG77" s="5"/>
      <c r="AI77" s="7">
        <f>+Tabla_master_rend[[#This Row],[Kg_Finos]]+Tabla_master_rend[[#This Row],[Kg_Llenadora]]+Tabla_master_rend[[#This Row],[Kg_Desmoldeo]]+Tabla_master_rend[[#This Row],[L_Agua]]+Tabla_master_rend[[#This Row],[Kg_SalidaSecadero]]</f>
        <v>28345.95</v>
      </c>
      <c r="AJ77" s="59">
        <f>+Tabla_master_rend[[#This Row],[Litros_Leche_Total]]/Tabla_master_rend[[#This Row],[Kg_Queso_Blan]]</f>
        <v>10.119858392468766</v>
      </c>
      <c r="AK77" s="59">
        <f>+Tabla_master_rend[[#This Row],[Litros_Leche_Total]]/(Tabla_master_rend[[#This Row],[Kg_Queso_Blan]]-Tabla_master_rend[[#This Row],[Merma_TOT]])</f>
        <v>11.006904808040963</v>
      </c>
      <c r="AL77" s="59">
        <f>VLOOKUP(G77,REND_TARGET[#All],8,FALSE)</f>
        <v>9.8078500000000002</v>
      </c>
      <c r="AM77" s="7">
        <f>(I77*1.03*Tabla_master_rend[[#This Row],[%MG_Leche]])+(I77*1.03*Tabla_master_rend[[#This Row],[%MP_Leche]])</f>
        <v>21214.222578000001</v>
      </c>
      <c r="AN77" s="38">
        <v>0.23319999999999999</v>
      </c>
      <c r="AO77" s="38">
        <v>0.26950000000000002</v>
      </c>
      <c r="AP77" s="60">
        <v>0.55259999999999998</v>
      </c>
      <c r="AQ77" s="38">
        <f>+Tabla_master_rend[[#This Row],[Kg_Queso_Blan]]*Tabla_master_rend[[#This Row],[ES_QUESO]]/(Tabla_master_rend[[#This Row],[Kg_Solidos_leche]])</f>
        <v>0.73837124657323838</v>
      </c>
      <c r="AR77" s="7">
        <f t="shared" si="26"/>
        <v>4068.8</v>
      </c>
      <c r="AS77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0.94123866094923903</v>
      </c>
      <c r="AT77" s="62">
        <f>+Tabla_master_rend[[#This Row],[Kg_Queso_Blan]]*Tabla_master_rend[[#This Row],[%PT_QUESO]]/(Tabla_master_rend[[#This Row],[Litros_Leche_Total]]*1.03*Tabla_master_rend[[#This Row],[%MP_Leche]])</f>
        <v>0.77410637239726954</v>
      </c>
      <c r="AU77" s="63">
        <f t="shared" si="27"/>
        <v>30516</v>
      </c>
      <c r="AV77" s="7">
        <v>56.95</v>
      </c>
      <c r="AW77" s="7">
        <v>223</v>
      </c>
      <c r="AX77" s="7">
        <v>109</v>
      </c>
      <c r="AY77" s="8">
        <f>SUM(Tabla_master_rend[[#This Row],[Kg_Finos]:[Kg_Desmoldeo]])</f>
        <v>388.95</v>
      </c>
      <c r="AZ77" s="60">
        <f>+(Tabla_master_rend[[#This Row],[Kg_Finos]]+Tabla_master_rend[[#This Row],[Kg_Llenadora]]+Tabla_master_rend[[#This Row],[Kg_Desmoldeo]])/(Tabla_master_rend[[#This Row],[Kg_Queso_Blan]])</f>
        <v>1.3721536939139453E-2</v>
      </c>
      <c r="BA77" s="7">
        <v>290</v>
      </c>
      <c r="BB77" s="60">
        <f>+Tabla_master_rend[[#This Row],[L_Agua]]/(Tabla_master_rend[[#This Row],[L_Agua]]+Tabla_master_rend[[#This Row],[Kg_SalidaSecadero]])</f>
        <v>1.0373072933433487E-2</v>
      </c>
      <c r="BC77" s="8">
        <v>3907</v>
      </c>
      <c r="BD77" s="8">
        <v>3569</v>
      </c>
      <c r="BE77" s="8">
        <v>25780</v>
      </c>
      <c r="BF77" s="8">
        <f>176*6.5</f>
        <v>1144</v>
      </c>
      <c r="BG77" s="8">
        <f>225*6.5</f>
        <v>1462.5</v>
      </c>
      <c r="BH77" s="7">
        <v>0</v>
      </c>
      <c r="BI77" s="7">
        <f>95*6.5</f>
        <v>617.5</v>
      </c>
      <c r="BJ77" s="8">
        <v>111</v>
      </c>
      <c r="BK77" s="8">
        <v>27667</v>
      </c>
      <c r="BL77" s="8">
        <v>0</v>
      </c>
      <c r="BM77" s="8">
        <v>1585.63</v>
      </c>
      <c r="BN77" s="7">
        <v>19.82</v>
      </c>
      <c r="BO77" s="68">
        <f>+SUM(Tabla_master_rend[[#This Row],[B_altas]:[B_lab]])/Tabla_master_rend[[#This Row],[Kg_SalidaSecadero]]</f>
        <v>0.12054071637691112</v>
      </c>
      <c r="BP77" s="68">
        <f>+(Tabla_master_rend[[#This Row],[Kg_mer_env_real]]+Tabla_master_rend[[#This Row],[kg_mer_lab_real]])/Tabla_master_rend[[#This Row],[Kg_SalidaSecadero]]</f>
        <v>5.8027614125131022E-2</v>
      </c>
      <c r="BQ77" s="64">
        <f>+Tabla_master_rend[[#This Row],[Merma_TOT]]/Tabla_master_rend[[#This Row],[Kg_Queso_Blan]]</f>
        <v>8.0589996101735853E-2</v>
      </c>
      <c r="BR77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2284.3999999999996</v>
      </c>
      <c r="BS77" s="8"/>
      <c r="BT77" s="63">
        <f>IF(+Tabla_master_rend[[#This Row],[Kg_Env_Total]]=0,0,Tabla_master_rend[[#This Row],[Kg_Env_Total]]-Tabla_master_rend[[#This Row],[Kg_SalidaSecadero]])</f>
        <v>0</v>
      </c>
      <c r="BU77" s="60">
        <f>+Tabla_master_rend[[#This Row],[Diferencia_Env_vs_Sec_kg]]/Tabla_master_rend[[#This Row],[Kg_SalidaSecadero]]</f>
        <v>0</v>
      </c>
      <c r="BV77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77" s="65">
        <f>+(Tabla_master_rend[[#This Row],[Coste_Leche_€]]-Tabla_master_rend[[#This Row],[Kg_MG_Nata]]*$CO$3)/Tabla_master_rend[[#This Row],[Kg_Queso_Blan]]</f>
        <v>-1.0765559101035598</v>
      </c>
      <c r="BX77" s="8">
        <f>SUM(Tabla_master_rend[[#This Row],[Kg_Finos]:[Kg_Desmoldeo]])+Tabla_master_rend[[#This Row],[L_Agua]]+SUM(Tabla_master_rend[[#This Row],[B_altas]:[B_lab]])</f>
        <v>4013.95</v>
      </c>
      <c r="BY77" s="8">
        <f>+BX77-Tabla_master_rend[[#This Row],[Merma_TOT]]</f>
        <v>1729.5500000000002</v>
      </c>
      <c r="BZ77" s="62">
        <f t="shared" si="28"/>
        <v>0.43088478929732565</v>
      </c>
      <c r="CA77" s="8">
        <f>+Tabla_master_rend[[#This Row],[Kg_Queso_Blan]]*$CA$1</f>
        <v>184.24867499999999</v>
      </c>
      <c r="CB77" s="8">
        <f>+Tabla_master_rend[[#This Row],[Kg_Queso_Blan]]*($CB$1-$CA$1)</f>
        <v>99.210825000000014</v>
      </c>
      <c r="CC77" s="8">
        <f>+(Tabla_master_rend[[#This Row],[Kg_Queso_Blan]]-CA77-CB77)*$CC$1</f>
        <v>294.65615025000005</v>
      </c>
      <c r="CD77" s="8">
        <f t="shared" si="29"/>
        <v>578.11565025000004</v>
      </c>
      <c r="CE77" s="80">
        <f>+CD77/Tabla_master_rend[[#This Row],[Kg_Queso_Blan]]</f>
        <v>2.0395E-2</v>
      </c>
      <c r="CF77" s="62">
        <f>+Tabla_master_rend[[#This Row],[Merma_TOT]]/Tabla_master_rend[[#This Row],[Kg_Queso_Blan]]</f>
        <v>8.0589996101735853E-2</v>
      </c>
      <c r="CG77" s="8">
        <f>CD77-Tabla_master_rend[[#This Row],[Merma_TOT]]</f>
        <v>-1706.2843497499996</v>
      </c>
      <c r="CH77" s="81" cm="1">
        <f t="array" ref="CH77">-BR77 * IFERROR(INDEX('Precio Leche_EBITDA_Ventas'!$BD$87:$BD$110,MATCH(1,('Precio Leche_EBITDA_Ventas'!$AZ$87:$AZ$110=YEAR(A77))*('Precio Leche_EBITDA_Ventas'!$BB$87:$BB$110=C77),0)),1.3)</f>
        <v>-7766.9599999999982</v>
      </c>
      <c r="CI77" s="81">
        <f t="shared" si="30"/>
        <v>-2218.1696546749995</v>
      </c>
    </row>
    <row r="78" spans="1:87" x14ac:dyDescent="0.35">
      <c r="A78" s="9">
        <v>45812</v>
      </c>
      <c r="B78" s="7">
        <v>6</v>
      </c>
      <c r="C78" s="7" t="str">
        <f>+UPPER(TEXT(Tabla_master_rend[[#This Row],[Fecha]],"MMM"))</f>
        <v>JUN</v>
      </c>
      <c r="D78" s="7" t="str">
        <f>+UPPER(TEXT(Tabla_master_rend[[#This Row],[Fecha]],"ddd"))</f>
        <v>MI</v>
      </c>
      <c r="E78" s="3" t="s">
        <v>484</v>
      </c>
      <c r="F78" s="3" t="s">
        <v>244</v>
      </c>
      <c r="G78" s="84" t="s">
        <v>446</v>
      </c>
      <c r="H78">
        <v>5</v>
      </c>
      <c r="I78" s="8">
        <f>+Tabla_master_rend[[#This Row],[L_Leche_ent]]+Tabla_master_rend[[#This Row],[L_desn_ext]]+Tabla_master_rend[[#This Row],[L_cabra]]+Tabla_master_rend[[#This Row],[L_oveja]]</f>
        <v>79852</v>
      </c>
      <c r="J78" s="8">
        <v>79852</v>
      </c>
      <c r="K78" s="5">
        <v>3.78E-2</v>
      </c>
      <c r="L78" s="5">
        <v>3.3000000000000002E-2</v>
      </c>
      <c r="M78" s="5">
        <f t="shared" si="25"/>
        <v>0.107574</v>
      </c>
      <c r="N78" s="35" t="s">
        <v>43</v>
      </c>
      <c r="O78" s="8">
        <v>0</v>
      </c>
      <c r="P78" s="8">
        <v>0</v>
      </c>
      <c r="Q78" s="8">
        <v>0</v>
      </c>
      <c r="R78" s="8">
        <v>1106</v>
      </c>
      <c r="T78" s="8">
        <v>53354.624002884309</v>
      </c>
      <c r="U78" s="38">
        <f>+Tabla_master_rend[[#This Row],[L_suero Total]]/Tabla_master_rend[[#This Row],[Litros_Leche_Total]]</f>
        <v>0.66816891252422372</v>
      </c>
      <c r="V78" s="5">
        <v>2.0999999999999999E-3</v>
      </c>
      <c r="W78" s="5">
        <v>9.4999999999999998E-3</v>
      </c>
      <c r="X78" s="8">
        <f>172490/(169035+53355)*53355</f>
        <v>41383.173479023339</v>
      </c>
      <c r="Y78" s="57">
        <f>67126/(169035+53355)*53355</f>
        <v>16104.625792526644</v>
      </c>
      <c r="Z78" s="58">
        <f>IF(Tabla_master_rend[[#This Row],[L_suero para con]]=0,0,+Tabla_master_rend[[#This Row],[L_suero para con]]/Tabla_master_rend[[#This Row],[L_suero_con]])</f>
        <v>2.5696451449512856</v>
      </c>
      <c r="AA78" s="8">
        <f>+Tabla_master_rend[[#This Row],[L_suero Total]]-Tabla_master_rend[[#This Row],[L_suero para con]]</f>
        <v>11971.450523860971</v>
      </c>
      <c r="AD78" s="8"/>
      <c r="AE78" s="8"/>
      <c r="AF78" s="8"/>
      <c r="AG78" s="5"/>
      <c r="AI78" s="7">
        <f>+Tabla_master_rend[[#This Row],[Kg_Finos]]+Tabla_master_rend[[#This Row],[Kg_Llenadora]]+Tabla_master_rend[[#This Row],[Kg_Desmoldeo]]+Tabla_master_rend[[#This Row],[L_Agua]]+Tabla_master_rend[[#This Row],[Kg_SalidaSecadero]]</f>
        <v>8903.9582949595515</v>
      </c>
      <c r="AJ78" s="59">
        <f>+Tabla_master_rend[[#This Row],[Litros_Leche_Total]]/Tabla_master_rend[[#This Row],[Kg_Queso_Blan]]</f>
        <v>8.9681462283132518</v>
      </c>
      <c r="AK78" s="59">
        <f>+Tabla_master_rend[[#This Row],[Litros_Leche_Total]]/(Tabla_master_rend[[#This Row],[Kg_Queso_Blan]]-Tabla_master_rend[[#This Row],[Merma_TOT]])</f>
        <v>9.1230964510501291</v>
      </c>
      <c r="AL78" s="59">
        <f>VLOOKUP(G78,REND_TARGET[#All],8,FALSE)</f>
        <v>9.3549429999999987</v>
      </c>
      <c r="AM78" s="7">
        <f>(I78*1.03*Tabla_master_rend[[#This Row],[%MG_Leche]])+(I78*1.03*Tabla_master_rend[[#This Row],[%MP_Leche]])</f>
        <v>5823.1272479999998</v>
      </c>
      <c r="AN78" s="38">
        <v>0.28960000000000002</v>
      </c>
      <c r="AO78" s="38">
        <v>0.24239999999999998</v>
      </c>
      <c r="AP78" s="60">
        <v>0.58150000000000002</v>
      </c>
      <c r="AQ78" s="38">
        <f>+Tabla_master_rend[[#This Row],[Kg_Queso_Blan]]*Tabla_master_rend[[#This Row],[ES_QUESO]]/(Tabla_master_rend[[#This Row],[Kg_Solidos_leche]])</f>
        <v>0.88915311790538087</v>
      </c>
      <c r="AR78" s="7">
        <f t="shared" si="26"/>
        <v>442.40000000000003</v>
      </c>
      <c r="AS78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0.97170387880942322</v>
      </c>
      <c r="AT78" s="62">
        <f>+Tabla_master_rend[[#This Row],[Kg_Queso_Blan]]*Tabla_master_rend[[#This Row],[%PT_QUESO]]/(Tabla_master_rend[[#This Row],[Litros_Leche_Total]]*1.03*Tabla_master_rend[[#This Row],[%MP_Leche]])</f>
        <v>0.79520439184151293</v>
      </c>
      <c r="AU78" s="63">
        <f t="shared" si="27"/>
        <v>3318.0000000000005</v>
      </c>
      <c r="AV78" s="7">
        <v>15.05829495955196</v>
      </c>
      <c r="AW78" s="7">
        <v>31.9</v>
      </c>
      <c r="AX78" s="7">
        <v>9</v>
      </c>
      <c r="AY78" s="8">
        <f>SUM(Tabla_master_rend[[#This Row],[Kg_Finos]:[Kg_Desmoldeo]])</f>
        <v>55.958294959551957</v>
      </c>
      <c r="AZ78" s="60">
        <f>+(Tabla_master_rend[[#This Row],[Kg_Finos]]+Tabla_master_rend[[#This Row],[Kg_Llenadora]]+Tabla_master_rend[[#This Row],[Kg_Desmoldeo]])/(Tabla_master_rend[[#This Row],[Kg_Queso_Blan]])</f>
        <v>6.2846537580066421E-3</v>
      </c>
      <c r="BA78" s="7">
        <v>75</v>
      </c>
      <c r="BB78" s="60">
        <f>+Tabla_master_rend[[#This Row],[L_Agua]]/(Tabla_master_rend[[#This Row],[L_Agua]]+Tabla_master_rend[[#This Row],[Kg_SalidaSecadero]])</f>
        <v>8.4764918625678115E-3</v>
      </c>
      <c r="BC78" s="8">
        <v>1279</v>
      </c>
      <c r="BD78" s="8">
        <v>1249</v>
      </c>
      <c r="BE78" s="8">
        <v>8647</v>
      </c>
      <c r="BF78" s="8">
        <f>25*6.8</f>
        <v>170</v>
      </c>
      <c r="BG78" s="8">
        <f>19*6.8</f>
        <v>129.19999999999999</v>
      </c>
      <c r="BH78" s="7">
        <v>0</v>
      </c>
      <c r="BI78" s="7">
        <f>5*6.8</f>
        <v>34</v>
      </c>
      <c r="BJ78" s="8">
        <v>38</v>
      </c>
      <c r="BK78" s="8">
        <v>8773</v>
      </c>
      <c r="BL78" s="8">
        <v>0</v>
      </c>
      <c r="BM78" s="8">
        <v>14.67</v>
      </c>
      <c r="BN78" s="7">
        <v>5.6</v>
      </c>
      <c r="BO78" s="68">
        <f>+SUM(Tabla_master_rend[[#This Row],[B_altas]:[B_lab]])/Tabla_master_rend[[#This Row],[Kg_SalidaSecadero]]</f>
        <v>4.2311637980166419E-2</v>
      </c>
      <c r="BP78" s="68">
        <f>+(Tabla_master_rend[[#This Row],[Kg_mer_env_real]]+Tabla_master_rend[[#This Row],[kg_mer_lab_real]])/Tabla_master_rend[[#This Row],[Kg_SalidaSecadero]]</f>
        <v>2.3104981192294538E-3</v>
      </c>
      <c r="BQ78" s="64">
        <f>+Tabla_master_rend[[#This Row],[Merma_TOT]]/Tabla_master_rend[[#This Row],[Kg_Queso_Blan]]</f>
        <v>1.698438940860279E-2</v>
      </c>
      <c r="BR78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151.22829495955196</v>
      </c>
      <c r="BS78" s="8"/>
      <c r="BT78" s="63">
        <f>IF(+Tabla_master_rend[[#This Row],[Kg_Env_Total]]=0,0,Tabla_master_rend[[#This Row],[Kg_Env_Total]]-Tabla_master_rend[[#This Row],[Kg_SalidaSecadero]])</f>
        <v>0</v>
      </c>
      <c r="BU78" s="60">
        <f>+Tabla_master_rend[[#This Row],[Diferencia_Env_vs_Sec_kg]]/Tabla_master_rend[[#This Row],[Kg_SalidaSecadero]]</f>
        <v>0</v>
      </c>
      <c r="BV78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78" s="65">
        <f>+(Tabla_master_rend[[#This Row],[Coste_Leche_€]]-Tabla_master_rend[[#This Row],[Kg_MG_Nata]]*$CO$3)/Tabla_master_rend[[#This Row],[Kg_Queso_Blan]]</f>
        <v>-0.37264325484074756</v>
      </c>
      <c r="BX78" s="8">
        <f>SUM(Tabla_master_rend[[#This Row],[Kg_Finos]:[Kg_Desmoldeo]])+Tabla_master_rend[[#This Row],[L_Agua]]+SUM(Tabla_master_rend[[#This Row],[B_altas]:[B_lab]])</f>
        <v>502.15829495955194</v>
      </c>
      <c r="BY78" s="8">
        <f>+BX78-Tabla_master_rend[[#This Row],[Merma_TOT]]</f>
        <v>350.92999999999995</v>
      </c>
      <c r="BZ78" s="62">
        <f t="shared" si="28"/>
        <v>0.6988433797121022</v>
      </c>
      <c r="CA78" s="8">
        <f>+Tabla_master_rend[[#This Row],[Kg_Queso_Blan]]*$CA$1</f>
        <v>57.875728917237083</v>
      </c>
      <c r="CB78" s="8">
        <f>+Tabla_master_rend[[#This Row],[Kg_Queso_Blan]]*($CB$1-$CA$1)</f>
        <v>31.163854032358433</v>
      </c>
      <c r="CC78" s="8">
        <f>+(Tabla_master_rend[[#This Row],[Kg_Queso_Blan]]-CA78-CB78)*$CC$1</f>
        <v>92.556646476104547</v>
      </c>
      <c r="CD78" s="8">
        <f t="shared" si="29"/>
        <v>181.59622942570007</v>
      </c>
      <c r="CE78" s="80">
        <f>+CD78/Tabla_master_rend[[#This Row],[Kg_Queso_Blan]]</f>
        <v>2.0395000000000003E-2</v>
      </c>
      <c r="CF78" s="62">
        <f>+Tabla_master_rend[[#This Row],[Merma_TOT]]/Tabla_master_rend[[#This Row],[Kg_Queso_Blan]]</f>
        <v>1.698438940860279E-2</v>
      </c>
      <c r="CG78" s="8">
        <f>CD78-Tabla_master_rend[[#This Row],[Merma_TOT]]</f>
        <v>30.367934466148114</v>
      </c>
      <c r="CH78" s="81" cm="1">
        <f t="array" ref="CH78">-BR78 * IFERROR(INDEX('Precio Leche_EBITDA_Ventas'!$BD$87:$BD$110,MATCH(1,('Precio Leche_EBITDA_Ventas'!$AZ$87:$AZ$110=YEAR(A78))*('Precio Leche_EBITDA_Ventas'!$BB$87:$BB$110=C78),0)),1.3)</f>
        <v>-514.17620286247666</v>
      </c>
      <c r="CI78" s="81">
        <f t="shared" si="30"/>
        <v>39.478314805992547</v>
      </c>
    </row>
    <row r="79" spans="1:87" x14ac:dyDescent="0.35">
      <c r="A79" s="9">
        <v>45812</v>
      </c>
      <c r="B79" s="7">
        <v>6</v>
      </c>
      <c r="C79" s="7" t="str">
        <f>+UPPER(TEXT(Tabla_master_rend[[#This Row],[Fecha]],"MMM"))</f>
        <v>JUN</v>
      </c>
      <c r="D79" s="7" t="str">
        <f>+UPPER(TEXT(Tabla_master_rend[[#This Row],[Fecha]],"ddd"))</f>
        <v>MI</v>
      </c>
      <c r="E79" s="3" t="s">
        <v>485</v>
      </c>
      <c r="F79" s="3" t="s">
        <v>244</v>
      </c>
      <c r="G79" s="84" t="s">
        <v>299</v>
      </c>
      <c r="H79">
        <v>15</v>
      </c>
      <c r="I79" s="8">
        <f>+Tabla_master_rend[[#This Row],[L_Leche_ent]]+Tabla_master_rend[[#This Row],[L_desn_ext]]+Tabla_master_rend[[#This Row],[L_cabra]]+Tabla_master_rend[[#This Row],[L_oveja]]</f>
        <v>252983</v>
      </c>
      <c r="J79" s="8">
        <v>252983</v>
      </c>
      <c r="K79" s="5">
        <v>3.6600000000000001E-2</v>
      </c>
      <c r="L79" s="5">
        <v>3.2300000000000002E-2</v>
      </c>
      <c r="M79" s="5">
        <f t="shared" si="25"/>
        <v>0.10594000000000001</v>
      </c>
      <c r="N79" s="35" t="s">
        <v>43</v>
      </c>
      <c r="O79" s="8">
        <v>0</v>
      </c>
      <c r="P79" s="8">
        <v>0</v>
      </c>
      <c r="Q79" s="8">
        <v>0</v>
      </c>
      <c r="R79" s="8">
        <v>8334</v>
      </c>
      <c r="T79" s="8">
        <v>169035.37599711568</v>
      </c>
      <c r="U79" s="38">
        <f>+Tabla_master_rend[[#This Row],[L_suero Total]]/Tabla_master_rend[[#This Row],[Litros_Leche_Total]]</f>
        <v>0.66816891252422372</v>
      </c>
      <c r="V79" s="5">
        <v>2.0999999999999999E-3</v>
      </c>
      <c r="W79" s="5">
        <v>9.4999999999999998E-3</v>
      </c>
      <c r="X79" s="8">
        <f>172490/(169035+53355)*169035</f>
        <v>131106.82652097667</v>
      </c>
      <c r="Y79" s="57">
        <f>67126/(169035+53355)*169035</f>
        <v>51021.37420747336</v>
      </c>
      <c r="Z79" s="58">
        <f>IF(Tabla_master_rend[[#This Row],[L_suero para con]]=0,0,+Tabla_master_rend[[#This Row],[L_suero para con]]/Tabla_master_rend[[#This Row],[L_suero_con]])</f>
        <v>2.5696451449512856</v>
      </c>
      <c r="AA79" s="8">
        <f>+Tabla_master_rend[[#This Row],[L_suero Total]]-Tabla_master_rend[[#This Row],[L_suero para con]]</f>
        <v>37928.549476139015</v>
      </c>
      <c r="AD79" s="8"/>
      <c r="AE79" s="8"/>
      <c r="AF79" s="8"/>
      <c r="AG79" s="5"/>
      <c r="AI79" s="7">
        <f>+Tabla_master_rend[[#This Row],[Kg_Finos]]+Tabla_master_rend[[#This Row],[Kg_Llenadora]]+Tabla_master_rend[[#This Row],[Kg_Desmoldeo]]+Tabla_master_rend[[#This Row],[L_Agua]]+Tabla_master_rend[[#This Row],[Kg_SalidaSecadero]]</f>
        <v>25092.801705040449</v>
      </c>
      <c r="AJ79" s="59">
        <f>+Tabla_master_rend[[#This Row],[Litros_Leche_Total]]/Tabla_master_rend[[#This Row],[Kg_Queso_Blan]]</f>
        <v>10.081895316981791</v>
      </c>
      <c r="AK79" s="59">
        <f>+Tabla_master_rend[[#This Row],[Litros_Leche_Total]]/(Tabla_master_rend[[#This Row],[Kg_Queso_Blan]]-Tabla_master_rend[[#This Row],[Merma_TOT]])</f>
        <v>10.366180215655623</v>
      </c>
      <c r="AL79" s="59">
        <f>VLOOKUP(G79,REND_TARGET[#All],8,FALSE)</f>
        <v>9.8078500000000002</v>
      </c>
      <c r="AM79" s="7">
        <f>(I79*1.03*Tabla_master_rend[[#This Row],[%MG_Leche]])+(I79*1.03*Tabla_master_rend[[#This Row],[%MP_Leche]])</f>
        <v>17953.444561000004</v>
      </c>
      <c r="AN79" s="38">
        <v>0.23230000000000001</v>
      </c>
      <c r="AO79" s="38">
        <v>0.26300000000000001</v>
      </c>
      <c r="AP79" s="60">
        <v>0.54859999999999998</v>
      </c>
      <c r="AQ79" s="38">
        <f>+Tabla_master_rend[[#This Row],[Kg_Queso_Blan]]*Tabla_master_rend[[#This Row],[ES_QUESO]]/(Tabla_master_rend[[#This Row],[Kg_Solidos_leche]])</f>
        <v>0.76675598204083184</v>
      </c>
      <c r="AR79" s="7">
        <f t="shared" si="26"/>
        <v>3333.6000000000004</v>
      </c>
      <c r="AS79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0.9607531574644409</v>
      </c>
      <c r="AT79" s="62">
        <f>+Tabla_master_rend[[#This Row],[Kg_Queso_Blan]]*Tabla_master_rend[[#This Row],[%PT_QUESO]]/(Tabla_master_rend[[#This Row],[Litros_Leche_Total]]*1.03*Tabla_master_rend[[#This Row],[%MP_Leche]])</f>
        <v>0.78410426787281251</v>
      </c>
      <c r="AU79" s="63">
        <f t="shared" si="27"/>
        <v>25002.000000000004</v>
      </c>
      <c r="AV79" s="7">
        <v>41.70170504044804</v>
      </c>
      <c r="AW79" s="7">
        <v>198.7</v>
      </c>
      <c r="AX79" s="7">
        <v>157.4</v>
      </c>
      <c r="AY79" s="8">
        <f>SUM(Tabla_master_rend[[#This Row],[Kg_Finos]:[Kg_Desmoldeo]])</f>
        <v>397.80170504044804</v>
      </c>
      <c r="AZ79" s="60">
        <f>+(Tabla_master_rend[[#This Row],[Kg_Finos]]+Tabla_master_rend[[#This Row],[Kg_Llenadora]]+Tabla_master_rend[[#This Row],[Kg_Desmoldeo]])/(Tabla_master_rend[[#This Row],[Kg_Queso_Blan]])</f>
        <v>1.5853219967881891E-2</v>
      </c>
      <c r="BA79" s="7">
        <v>185</v>
      </c>
      <c r="BB79" s="60">
        <f>+Tabla_master_rend[[#This Row],[L_Agua]]/(Tabla_master_rend[[#This Row],[L_Agua]]+Tabla_master_rend[[#This Row],[Kg_SalidaSecadero]])</f>
        <v>7.491395019234663E-3</v>
      </c>
      <c r="BC79" s="8">
        <v>3542</v>
      </c>
      <c r="BD79" s="8">
        <f>2852+205</f>
        <v>3057</v>
      </c>
      <c r="BE79" s="8">
        <f>20170+1446</f>
        <v>21616</v>
      </c>
      <c r="BF79" s="8">
        <f>35*6.3</f>
        <v>220.5</v>
      </c>
      <c r="BG79" s="8">
        <f>275*6.3</f>
        <v>1732.5</v>
      </c>
      <c r="BH79" s="7">
        <v>0</v>
      </c>
      <c r="BI79" s="7">
        <f>28*6.3+166*6.3</f>
        <v>1222.2</v>
      </c>
      <c r="BJ79" s="8">
        <f>93+13</f>
        <v>106</v>
      </c>
      <c r="BK79" s="8">
        <v>24510</v>
      </c>
      <c r="BL79" s="8">
        <v>0</v>
      </c>
      <c r="BM79" s="8">
        <v>86.29</v>
      </c>
      <c r="BN79" s="7">
        <v>19.059999999999999</v>
      </c>
      <c r="BO79" s="68">
        <f>+SUM(Tabla_master_rend[[#This Row],[B_altas]:[B_lab]])/Tabla_master_rend[[#This Row],[Kg_SalidaSecadero]]</f>
        <v>0.13387188902488778</v>
      </c>
      <c r="BP79" s="68">
        <f>+(Tabla_master_rend[[#This Row],[Kg_mer_env_real]]+Tabla_master_rend[[#This Row],[kg_mer_lab_real]])/Tabla_master_rend[[#This Row],[Kg_SalidaSecadero]]</f>
        <v>4.2982456140350884E-3</v>
      </c>
      <c r="BQ79" s="64">
        <f>+Tabla_master_rend[[#This Row],[Merma_TOT]]/Tabla_master_rend[[#This Row],[Kg_Queso_Blan]]</f>
        <v>2.7424267450462395E-2</v>
      </c>
      <c r="BR79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688.15170504044806</v>
      </c>
      <c r="BS79" s="8"/>
      <c r="BT79" s="63">
        <f>IF(+Tabla_master_rend[[#This Row],[Kg_Env_Total]]=0,0,Tabla_master_rend[[#This Row],[Kg_Env_Total]]-Tabla_master_rend[[#This Row],[Kg_SalidaSecadero]])</f>
        <v>0</v>
      </c>
      <c r="BU79" s="60">
        <f>+Tabla_master_rend[[#This Row],[Diferencia_Env_vs_Sec_kg]]/Tabla_master_rend[[#This Row],[Kg_SalidaSecadero]]</f>
        <v>0</v>
      </c>
      <c r="BV79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79" s="65">
        <f>+(Tabla_master_rend[[#This Row],[Coste_Leche_€]]-Tabla_master_rend[[#This Row],[Kg_MG_Nata]]*$CO$3)/Tabla_master_rend[[#This Row],[Kg_Queso_Blan]]</f>
        <v>-0.99638136442045033</v>
      </c>
      <c r="BX79" s="8">
        <f>SUM(Tabla_master_rend[[#This Row],[Kg_Finos]:[Kg_Desmoldeo]])+Tabla_master_rend[[#This Row],[L_Agua]]+SUM(Tabla_master_rend[[#This Row],[B_altas]:[B_lab]])</f>
        <v>3864.0017050404476</v>
      </c>
      <c r="BY79" s="8">
        <f>+BX79-Tabla_master_rend[[#This Row],[Merma_TOT]]</f>
        <v>3175.8499999999995</v>
      </c>
      <c r="BZ79" s="62">
        <f t="shared" si="28"/>
        <v>0.82190698721929145</v>
      </c>
      <c r="CA79" s="8">
        <f>+Tabla_master_rend[[#This Row],[Kg_Queso_Blan]]*$CA$1</f>
        <v>163.1032110827629</v>
      </c>
      <c r="CB79" s="8">
        <f>+Tabla_master_rend[[#This Row],[Kg_Queso_Blan]]*($CB$1-$CA$1)</f>
        <v>87.824805967641581</v>
      </c>
      <c r="CC79" s="8">
        <f>+(Tabla_master_rend[[#This Row],[Kg_Queso_Blan]]-CA79-CB79)*$CC$1</f>
        <v>260.83967372389549</v>
      </c>
      <c r="CD79" s="8">
        <f t="shared" si="29"/>
        <v>511.76769077429998</v>
      </c>
      <c r="CE79" s="80">
        <f>+CD79/Tabla_master_rend[[#This Row],[Kg_Queso_Blan]]</f>
        <v>2.0395E-2</v>
      </c>
      <c r="CF79" s="62">
        <f>+Tabla_master_rend[[#This Row],[Merma_TOT]]/Tabla_master_rend[[#This Row],[Kg_Queso_Blan]]</f>
        <v>2.7424267450462395E-2</v>
      </c>
      <c r="CG79" s="8">
        <f>CD79-Tabla_master_rend[[#This Row],[Merma_TOT]]</f>
        <v>-176.38401426614809</v>
      </c>
      <c r="CH79" s="81" cm="1">
        <f t="array" ref="CH79">-BR79 * IFERROR(INDEX('Precio Leche_EBITDA_Ventas'!$BD$87:$BD$110,MATCH(1,('Precio Leche_EBITDA_Ventas'!$AZ$87:$AZ$110=YEAR(A79))*('Precio Leche_EBITDA_Ventas'!$BB$87:$BB$110=C79),0)),1.3)</f>
        <v>-2339.7157971375232</v>
      </c>
      <c r="CI79" s="81">
        <f t="shared" si="30"/>
        <v>-229.29921854599252</v>
      </c>
    </row>
    <row r="80" spans="1:87" x14ac:dyDescent="0.35">
      <c r="A80" s="9">
        <v>45814</v>
      </c>
      <c r="B80" s="7">
        <v>6</v>
      </c>
      <c r="C80" s="7" t="str">
        <f>+UPPER(TEXT(Tabla_master_rend[[#This Row],[Fecha]],"MMM"))</f>
        <v>JUN</v>
      </c>
      <c r="D80" s="7" t="str">
        <f>+UPPER(TEXT(Tabla_master_rend[[#This Row],[Fecha]],"ddd"))</f>
        <v>VI</v>
      </c>
      <c r="E80" s="3" t="s">
        <v>486</v>
      </c>
      <c r="F80" s="3" t="s">
        <v>244</v>
      </c>
      <c r="G80" s="84" t="s">
        <v>301</v>
      </c>
      <c r="H80">
        <v>20</v>
      </c>
      <c r="I80" s="8">
        <f>+Tabla_master_rend[[#This Row],[L_Leche_ent]]+Tabla_master_rend[[#This Row],[L_desn_ext]]+Tabla_master_rend[[#This Row],[L_cabra]]+Tabla_master_rend[[#This Row],[L_oveja]]</f>
        <v>328324</v>
      </c>
      <c r="J80" s="8">
        <v>328324</v>
      </c>
      <c r="K80" s="5">
        <v>3.61E-2</v>
      </c>
      <c r="L80" s="5">
        <v>3.2400000000000005E-2</v>
      </c>
      <c r="M80" s="5">
        <f t="shared" si="25"/>
        <v>0.105549</v>
      </c>
      <c r="N80" s="35" t="s">
        <v>43</v>
      </c>
      <c r="O80" s="8">
        <v>0</v>
      </c>
      <c r="P80" s="8">
        <v>0</v>
      </c>
      <c r="Q80" s="8">
        <v>0</v>
      </c>
      <c r="R80" s="8">
        <v>3344</v>
      </c>
      <c r="T80" s="8">
        <v>272910</v>
      </c>
      <c r="U80" s="38">
        <f>+Tabla_master_rend[[#This Row],[L_suero Total]]/Tabla_master_rend[[#This Row],[Litros_Leche_Total]]</f>
        <v>0.83122159817741015</v>
      </c>
      <c r="V80" s="5">
        <v>1.7000000000000001E-3</v>
      </c>
      <c r="W80" s="5">
        <v>9.0000000000000011E-3</v>
      </c>
      <c r="X80" s="8">
        <v>271949</v>
      </c>
      <c r="Y80" s="57">
        <v>102216</v>
      </c>
      <c r="Z80" s="58">
        <f>IF(Tabla_master_rend[[#This Row],[L_suero para con]]=0,0,+Tabla_master_rend[[#This Row],[L_suero para con]]/Tabla_master_rend[[#This Row],[L_suero_con]])</f>
        <v>2.6605325976363781</v>
      </c>
      <c r="AA80" s="8">
        <f>+Tabla_master_rend[[#This Row],[L_suero Total]]-Tabla_master_rend[[#This Row],[L_suero para con]]</f>
        <v>961</v>
      </c>
      <c r="AD80" s="8"/>
      <c r="AE80" s="8"/>
      <c r="AF80" s="8"/>
      <c r="AG80" s="5"/>
      <c r="AI80" s="7">
        <f>+Tabla_master_rend[[#This Row],[Kg_Finos]]+Tabla_master_rend[[#This Row],[Kg_Llenadora]]+Tabla_master_rend[[#This Row],[Kg_Desmoldeo]]+Tabla_master_rend[[#This Row],[L_Agua]]+Tabla_master_rend[[#This Row],[Kg_SalidaSecadero]]</f>
        <v>35721.68</v>
      </c>
      <c r="AJ80" s="59">
        <f>+Tabla_master_rend[[#This Row],[Litros_Leche_Total]]/Tabla_master_rend[[#This Row],[Kg_Queso_Blan]]</f>
        <v>9.1911690603577441</v>
      </c>
      <c r="AK80" s="59">
        <f>+Tabla_master_rend[[#This Row],[Litros_Leche_Total]]/(Tabla_master_rend[[#This Row],[Kg_Queso_Blan]]-Tabla_master_rend[[#This Row],[Merma_TOT]])</f>
        <v>9.4889821115560302</v>
      </c>
      <c r="AL80" s="59">
        <f>VLOOKUP(G80,REND_TARGET[#All],8,FALSE)</f>
        <v>9.3549429999999987</v>
      </c>
      <c r="AM80" s="7">
        <f>(I80*1.03*Tabla_master_rend[[#This Row],[%MG_Leche]])+(I80*1.03*Tabla_master_rend[[#This Row],[%MP_Leche]])</f>
        <v>23164.899820000002</v>
      </c>
      <c r="AN80" s="38">
        <v>0.29480000000000001</v>
      </c>
      <c r="AO80" s="38">
        <v>0.24010000000000001</v>
      </c>
      <c r="AP80" s="60">
        <v>0.58589999999999998</v>
      </c>
      <c r="AQ80" s="38">
        <f>+Tabla_master_rend[[#This Row],[Kg_Queso_Blan]]*Tabla_master_rend[[#This Row],[ES_QUESO]]/(Tabla_master_rend[[#This Row],[Kg_Solidos_leche]])</f>
        <v>0.90349332285607942</v>
      </c>
      <c r="AR80" s="7">
        <f t="shared" si="26"/>
        <v>1337.6000000000001</v>
      </c>
      <c r="AS80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0.97217250621540685</v>
      </c>
      <c r="AT80" s="62">
        <f>+Tabla_master_rend[[#This Row],[Kg_Queso_Blan]]*Tabla_master_rend[[#This Row],[%PT_QUESO]]/(Tabla_master_rend[[#This Row],[Litros_Leche_Total]]*1.03*Tabla_master_rend[[#This Row],[%MP_Leche]])</f>
        <v>0.78277900818491286</v>
      </c>
      <c r="AU80" s="63">
        <f t="shared" si="27"/>
        <v>10032.000000000002</v>
      </c>
      <c r="AV80" s="7">
        <v>52.58</v>
      </c>
      <c r="AW80" s="7">
        <v>67.3</v>
      </c>
      <c r="AX80" s="7">
        <v>20.8</v>
      </c>
      <c r="AY80" s="8">
        <f>SUM(Tabla_master_rend[[#This Row],[Kg_Finos]:[Kg_Desmoldeo]])</f>
        <v>140.68</v>
      </c>
      <c r="AZ80" s="60">
        <f>+(Tabla_master_rend[[#This Row],[Kg_Finos]]+Tabla_master_rend[[#This Row],[Kg_Llenadora]]+Tabla_master_rend[[#This Row],[Kg_Desmoldeo]])/(Tabla_master_rend[[#This Row],[Kg_Queso_Blan]])</f>
        <v>3.9382246299726103E-3</v>
      </c>
      <c r="BA80" s="7">
        <v>690</v>
      </c>
      <c r="BB80" s="60">
        <f>+Tabla_master_rend[[#This Row],[L_Agua]]/(Tabla_master_rend[[#This Row],[L_Agua]]+Tabla_master_rend[[#This Row],[Kg_SalidaSecadero]])</f>
        <v>1.9392372333548805E-2</v>
      </c>
      <c r="BC80" s="8">
        <v>4957</v>
      </c>
      <c r="BD80" s="8">
        <v>4886</v>
      </c>
      <c r="BE80" s="8">
        <v>35139</v>
      </c>
      <c r="BF80" s="8">
        <f>122*6.2</f>
        <v>756.4</v>
      </c>
      <c r="BG80" s="8">
        <f>28*6.2</f>
        <v>173.6</v>
      </c>
      <c r="BH80" s="7">
        <f>5*6.2</f>
        <v>31</v>
      </c>
      <c r="BI80" s="7">
        <f>22*6.2</f>
        <v>136.4</v>
      </c>
      <c r="BJ80" s="8">
        <v>99</v>
      </c>
      <c r="BK80" s="8">
        <v>34891</v>
      </c>
      <c r="BL80" s="8">
        <v>0</v>
      </c>
      <c r="BM80" s="8">
        <v>272.49</v>
      </c>
      <c r="BN80" s="7">
        <v>17.96</v>
      </c>
      <c r="BO80" s="68">
        <f>+SUM(Tabla_master_rend[[#This Row],[B_altas]:[B_lab]])/Tabla_master_rend[[#This Row],[Kg_SalidaSecadero]]</f>
        <v>3.4289644894098768E-2</v>
      </c>
      <c r="BP80" s="68">
        <f>+(Tabla_master_rend[[#This Row],[Kg_mer_env_real]]+Tabla_master_rend[[#This Row],[kg_mer_lab_real]])/Tabla_master_rend[[#This Row],[Kg_SalidaSecadero]]</f>
        <v>8.3244962884411449E-3</v>
      </c>
      <c r="BQ80" s="64">
        <f>+Tabla_master_rend[[#This Row],[Merma_TOT]]/Tabla_master_rend[[#This Row],[Kg_Queso_Blan]]</f>
        <v>3.1385142020196134E-2</v>
      </c>
      <c r="BR80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1121.1299999999999</v>
      </c>
      <c r="BS80" s="8"/>
      <c r="BT80" s="63">
        <f>IF(+Tabla_master_rend[[#This Row],[Kg_Env_Total]]=0,0,Tabla_master_rend[[#This Row],[Kg_Env_Total]]-Tabla_master_rend[[#This Row],[Kg_SalidaSecadero]])</f>
        <v>0</v>
      </c>
      <c r="BU80" s="60">
        <f>+Tabla_master_rend[[#This Row],[Diferencia_Env_vs_Sec_kg]]/Tabla_master_rend[[#This Row],[Kg_SalidaSecadero]]</f>
        <v>0</v>
      </c>
      <c r="BV80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80" s="65">
        <f>+(Tabla_master_rend[[#This Row],[Coste_Leche_€]]-Tabla_master_rend[[#This Row],[Kg_MG_Nata]]*$CO$3)/Tabla_master_rend[[#This Row],[Kg_Queso_Blan]]</f>
        <v>-0.28083785533043243</v>
      </c>
      <c r="BX80" s="8">
        <f>SUM(Tabla_master_rend[[#This Row],[Kg_Finos]:[Kg_Desmoldeo]])+Tabla_master_rend[[#This Row],[L_Agua]]+SUM(Tabla_master_rend[[#This Row],[B_altas]:[B_lab]])</f>
        <v>2027.0800000000002</v>
      </c>
      <c r="BY80" s="8">
        <f>+BX80-Tabla_master_rend[[#This Row],[Merma_TOT]]</f>
        <v>905.95000000000027</v>
      </c>
      <c r="BZ80" s="62">
        <f t="shared" si="28"/>
        <v>0.446923653728516</v>
      </c>
      <c r="CA80" s="8">
        <f>+Tabla_master_rend[[#This Row],[Kg_Queso_Blan]]*$CA$1</f>
        <v>232.19091999999998</v>
      </c>
      <c r="CB80" s="8">
        <f>+Tabla_master_rend[[#This Row],[Kg_Queso_Blan]]*($CB$1-$CA$1)</f>
        <v>125.02588000000002</v>
      </c>
      <c r="CC80" s="8">
        <f>+(Tabla_master_rend[[#This Row],[Kg_Queso_Blan]]-CA80-CB80)*$CC$1</f>
        <v>371.32686360000002</v>
      </c>
      <c r="CD80" s="8">
        <f t="shared" si="29"/>
        <v>728.54366359999995</v>
      </c>
      <c r="CE80" s="80">
        <f>+CD80/Tabla_master_rend[[#This Row],[Kg_Queso_Blan]]</f>
        <v>2.0395E-2</v>
      </c>
      <c r="CF80" s="62">
        <f>+Tabla_master_rend[[#This Row],[Merma_TOT]]/Tabla_master_rend[[#This Row],[Kg_Queso_Blan]]</f>
        <v>3.1385142020196134E-2</v>
      </c>
      <c r="CG80" s="8">
        <f>CD80-Tabla_master_rend[[#This Row],[Merma_TOT]]</f>
        <v>-392.58633639999994</v>
      </c>
      <c r="CH80" s="81" cm="1">
        <f t="array" ref="CH80">-BR80 * IFERROR(INDEX('Precio Leche_EBITDA_Ventas'!$BD$87:$BD$110,MATCH(1,('Precio Leche_EBITDA_Ventas'!$AZ$87:$AZ$110=YEAR(A80))*('Precio Leche_EBITDA_Ventas'!$BB$87:$BB$110=C80),0)),1.3)</f>
        <v>-3811.8419999999996</v>
      </c>
      <c r="CI80" s="81">
        <f t="shared" si="30"/>
        <v>-510.36223731999996</v>
      </c>
    </row>
    <row r="81" spans="1:87" x14ac:dyDescent="0.35">
      <c r="A81" s="9">
        <v>45817</v>
      </c>
      <c r="B81" s="7">
        <v>6</v>
      </c>
      <c r="C81" s="7" t="str">
        <f>+UPPER(TEXT(Tabla_master_rend[[#This Row],[Fecha]],"MMM"))</f>
        <v>JUN</v>
      </c>
      <c r="D81" s="7" t="str">
        <f>+UPPER(TEXT(Tabla_master_rend[[#This Row],[Fecha]],"ddd"))</f>
        <v>LU</v>
      </c>
      <c r="E81" s="3" t="s">
        <v>487</v>
      </c>
      <c r="F81" s="3" t="s">
        <v>244</v>
      </c>
      <c r="G81" s="84" t="s">
        <v>446</v>
      </c>
      <c r="H81">
        <v>3</v>
      </c>
      <c r="I81" s="8">
        <f>+Tabla_master_rend[[#This Row],[L_Leche_ent]]+Tabla_master_rend[[#This Row],[L_desn_ext]]+Tabla_master_rend[[#This Row],[L_cabra]]+Tabla_master_rend[[#This Row],[L_oveja]]</f>
        <v>48700</v>
      </c>
      <c r="J81" s="8">
        <v>48700</v>
      </c>
      <c r="K81" s="5">
        <v>3.5799999999999998E-2</v>
      </c>
      <c r="L81" s="5">
        <v>3.2599999999999997E-2</v>
      </c>
      <c r="M81" s="5">
        <f t="shared" si="25"/>
        <v>0.105418</v>
      </c>
      <c r="N81" s="35" t="s">
        <v>43</v>
      </c>
      <c r="O81" s="8">
        <v>0</v>
      </c>
      <c r="P81" s="8">
        <v>0</v>
      </c>
      <c r="Q81" s="8">
        <v>0</v>
      </c>
      <c r="R81" s="8">
        <v>472</v>
      </c>
      <c r="T81" s="8">
        <v>41400</v>
      </c>
      <c r="U81" s="38">
        <f>+Tabla_master_rend[[#This Row],[L_suero Total]]/Tabla_master_rend[[#This Row],[Litros_Leche_Total]]</f>
        <v>0.85010266940451751</v>
      </c>
      <c r="V81" s="5">
        <v>1E-3</v>
      </c>
      <c r="W81" s="5">
        <v>8.6E-3</v>
      </c>
      <c r="X81" s="8">
        <f>207413/(234880+41400)*41400</f>
        <v>31080.419140002898</v>
      </c>
      <c r="Y81" s="57">
        <f>69613/(234880+41400)*41400</f>
        <v>10431.367453308238</v>
      </c>
      <c r="Z81" s="58">
        <f>IF(Tabla_master_rend[[#This Row],[L_suero para con]]=0,0,+Tabla_master_rend[[#This Row],[L_suero para con]]/Tabla_master_rend[[#This Row],[L_suero_con]])</f>
        <v>2.9795153204142908</v>
      </c>
      <c r="AA81" s="8">
        <f>+Tabla_master_rend[[#This Row],[L_suero Total]]-Tabla_master_rend[[#This Row],[L_suero para con]]</f>
        <v>10319.580859997102</v>
      </c>
      <c r="AD81" s="8"/>
      <c r="AE81" s="8"/>
      <c r="AF81" s="8"/>
      <c r="AG81" s="5"/>
      <c r="AI81" s="7">
        <f>+Tabla_master_rend[[#This Row],[Kg_Finos]]+Tabla_master_rend[[#This Row],[Kg_Llenadora]]+Tabla_master_rend[[#This Row],[Kg_Desmoldeo]]+Tabla_master_rend[[#This Row],[L_Agua]]+Tabla_master_rend[[#This Row],[Kg_SalidaSecadero]]</f>
        <v>5014.6641480276539</v>
      </c>
      <c r="AJ81" s="59">
        <f>+Tabla_master_rend[[#This Row],[Litros_Leche_Total]]/Tabla_master_rend[[#This Row],[Kg_Queso_Blan]]</f>
        <v>9.7115177731602369</v>
      </c>
      <c r="AK81" s="59">
        <f>+Tabla_master_rend[[#This Row],[Litros_Leche_Total]]/(Tabla_master_rend[[#This Row],[Kg_Queso_Blan]]-Tabla_master_rend[[#This Row],[Merma_TOT]])</f>
        <v>9.9254470527332668</v>
      </c>
      <c r="AL81" s="59">
        <f>VLOOKUP(G81,REND_TARGET[#All],8,FALSE)</f>
        <v>9.3549429999999987</v>
      </c>
      <c r="AM81" s="7">
        <f>(I81*1.03*Tabla_master_rend[[#This Row],[%MG_Leche]])+(I81*1.03*Tabla_master_rend[[#This Row],[%MP_Leche]])</f>
        <v>3431.0123999999996</v>
      </c>
      <c r="AN81" s="38">
        <v>0.28410000000000002</v>
      </c>
      <c r="AO81" s="38">
        <v>0.23269999999999999</v>
      </c>
      <c r="AP81" s="60">
        <v>0.57230000000000003</v>
      </c>
      <c r="AQ81" s="38">
        <f>+Tabla_master_rend[[#This Row],[Kg_Queso_Blan]]*Tabla_master_rend[[#This Row],[ES_QUESO]]/(Tabla_master_rend[[#This Row],[Kg_Solidos_leche]])</f>
        <v>0.83645640333920879</v>
      </c>
      <c r="AR81" s="7">
        <f t="shared" si="26"/>
        <v>188.8</v>
      </c>
      <c r="AS81" s="61">
        <f>+(Tabla_master_rend[[#This Row],[Kg_Queso_Blan]]*Tabla_master_rend[[#This Row],[%MG_QUESO]]+(Tabla_master_rend[[#This Row],[Kg_MG_Nata]]))/(Tabla_master_rend[[#This Row],[Litros_Leche_Total]]*1.03*Tabla_master_rend[[#This Row],[%MG_Leche]])</f>
        <v>0.89848458046356461</v>
      </c>
      <c r="AT81" s="62">
        <f>+Tabla_master_rend[[#This Row],[Kg_Queso_Blan]]*Tabla_master_rend[[#This Row],[%PT_QUESO]]/(Tabla_master_rend[[#This Row],[Litros_Leche_Total]]*1.03*Tabla_master_rend[[#This Row],[%MP_Leche]])</f>
        <v>0.71359935562460364</v>
      </c>
      <c r="AU81" s="63">
        <f t="shared" si="27"/>
        <v>1416</v>
      </c>
      <c r="AV81" s="7">
        <v>7.8641480276535169</v>
      </c>
      <c r="AW81" s="7">
        <v>9.4</v>
      </c>
      <c r="AX81" s="7">
        <v>4.4000000000000004</v>
      </c>
      <c r="AY81" s="8">
        <f>SUM(Tabla_master_rend[[#This Row],[Kg_Finos]:[Kg_Desmoldeo]])</f>
        <v>21.664148027653518</v>
      </c>
      <c r="AZ81" s="60">
        <f>+(Tabla_master_rend[[#This Row],[Kg_Finos]]+Tabla_master_rend[[#This Row],[Kg_Llenadora]]+Tabla_master_rend[[#This Row],[Kg_Desmoldeo]])/(Tabla_master_rend[[#This Row],[Kg_Queso_Blan]])</f>
        <v>4.320159314392843E-3</v>
      </c>
      <c r="BA81" s="7">
        <v>46</v>
      </c>
      <c r="BB81" s="60">
        <f>+Tabla_master_rend[[#This Row],[L_Agua]]/(Tabla_master_rend[[#This Row],[L_Agua]]+Tabla_master_rend[[#This Row],[Kg_SalidaSecadero]])</f>
        <v>9.2128980572801916E-3</v>
      </c>
      <c r="BC81" s="8">
        <v>692</v>
      </c>
      <c r="BD81" s="8">
        <v>666</v>
      </c>
      <c r="BE81" s="8">
        <v>4818</v>
      </c>
      <c r="BF81" s="8">
        <f>23*6.7</f>
        <v>154.1</v>
      </c>
      <c r="BG81" s="8">
        <f>20*6.7</f>
        <v>134</v>
      </c>
      <c r="BH81" s="7">
        <v>0</v>
      </c>
      <c r="BI81" s="7">
        <f>2*6.7</f>
        <v>13.4</v>
      </c>
      <c r="BJ81" s="8">
        <v>27</v>
      </c>
      <c r="BK81" s="8">
        <v>4947</v>
      </c>
      <c r="BL81" s="8">
        <v>0</v>
      </c>
      <c r="BM81" s="8">
        <v>34.97</v>
      </c>
      <c r="BN81" s="7">
        <v>5.45</v>
      </c>
      <c r="BO81" s="68">
        <f>+SUM(Tabla_master_rend[[#This Row],[B_altas]:[B_lab]])/Tabla_master_rend[[#This Row],[Kg_SalidaSecadero]]</f>
        <v>6.64038811400849E-2</v>
      </c>
      <c r="BP81" s="68">
        <f>+(Tabla_master_rend[[#This Row],[Kg_mer_env_real]]+Tabla_master_rend[[#This Row],[kg_mer_lab_real]])/Tabla_master_rend[[#This Row],[Kg_SalidaSecadero]]</f>
        <v>8.1706084495653929E-3</v>
      </c>
      <c r="BQ81" s="64">
        <f>+Tabla_master_rend[[#This Row],[Merma_TOT]]/Tabla_master_rend[[#This Row],[Kg_Queso_Blan]]</f>
        <v>2.1553616520891977E-2</v>
      </c>
      <c r="BR81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108.08414802765353</v>
      </c>
      <c r="BS81" s="8"/>
      <c r="BT81" s="63">
        <f>IF(+Tabla_master_rend[[#This Row],[Kg_Env_Total]]=0,0,Tabla_master_rend[[#This Row],[Kg_Env_Total]]-Tabla_master_rend[[#This Row],[Kg_SalidaSecadero]])</f>
        <v>0</v>
      </c>
      <c r="BU81" s="60">
        <f>+Tabla_master_rend[[#This Row],[Diferencia_Env_vs_Sec_kg]]/Tabla_master_rend[[#This Row],[Kg_SalidaSecadero]]</f>
        <v>0</v>
      </c>
      <c r="BV81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81" s="65">
        <f>+(Tabla_master_rend[[#This Row],[Coste_Leche_€]]-Tabla_master_rend[[#This Row],[Kg_MG_Nata]]*$CO$3)/Tabla_master_rend[[#This Row],[Kg_Queso_Blan]]</f>
        <v>-0.28237185147422783</v>
      </c>
      <c r="BX81" s="8">
        <f>SUM(Tabla_master_rend[[#This Row],[Kg_Finos]:[Kg_Desmoldeo]])+Tabla_master_rend[[#This Row],[L_Agua]]+SUM(Tabla_master_rend[[#This Row],[B_altas]:[B_lab]])</f>
        <v>396.16414802765348</v>
      </c>
      <c r="BY81" s="8">
        <f>+BX81-Tabla_master_rend[[#This Row],[Merma_TOT]]</f>
        <v>288.07999999999993</v>
      </c>
      <c r="BZ81" s="62">
        <f t="shared" si="28"/>
        <v>0.7271733230637798</v>
      </c>
      <c r="CA81" s="8">
        <f>+Tabla_master_rend[[#This Row],[Kg_Queso_Blan]]*$CA$1</f>
        <v>32.595316962179751</v>
      </c>
      <c r="CB81" s="8">
        <f>+Tabla_master_rend[[#This Row],[Kg_Queso_Blan]]*($CB$1-$CA$1)</f>
        <v>17.551324518096791</v>
      </c>
      <c r="CC81" s="8">
        <f>+(Tabla_master_rend[[#This Row],[Kg_Queso_Blan]]-CA81-CB81)*$CC$1</f>
        <v>52.12743381874747</v>
      </c>
      <c r="CD81" s="8">
        <f t="shared" si="29"/>
        <v>102.27407529902402</v>
      </c>
      <c r="CE81" s="80">
        <f>+CD81/Tabla_master_rend[[#This Row],[Kg_Queso_Blan]]</f>
        <v>2.0395000000000003E-2</v>
      </c>
      <c r="CF81" s="62">
        <f>+Tabla_master_rend[[#This Row],[Merma_TOT]]/Tabla_master_rend[[#This Row],[Kg_Queso_Blan]]</f>
        <v>2.1553616520891977E-2</v>
      </c>
      <c r="CG81" s="8">
        <f>CD81-Tabla_master_rend[[#This Row],[Merma_TOT]]</f>
        <v>-5.8100727286295069</v>
      </c>
      <c r="CH81" s="81" cm="1">
        <f t="array" ref="CH81">-BR81 * IFERROR(INDEX('Precio Leche_EBITDA_Ventas'!$BD$87:$BD$110,MATCH(1,('Precio Leche_EBITDA_Ventas'!$AZ$87:$AZ$110=YEAR(A81))*('Precio Leche_EBITDA_Ventas'!$BB$87:$BB$110=C81),0)),1.3)</f>
        <v>-367.48610329402197</v>
      </c>
      <c r="CI81" s="81">
        <f t="shared" si="30"/>
        <v>-7.5530945472183593</v>
      </c>
    </row>
    <row r="82" spans="1:87" x14ac:dyDescent="0.35">
      <c r="A82" s="9">
        <v>45817</v>
      </c>
      <c r="B82" s="7">
        <v>6</v>
      </c>
      <c r="C82" s="7" t="str">
        <f>+UPPER(TEXT(Tabla_master_rend[[#This Row],[Fecha]],"MMM"))</f>
        <v>JUN</v>
      </c>
      <c r="D82" s="7" t="str">
        <f>+UPPER(TEXT(Tabla_master_rend[[#This Row],[Fecha]],"ddd"))</f>
        <v>LU</v>
      </c>
      <c r="E82" s="3" t="s">
        <v>488</v>
      </c>
      <c r="F82" s="3" t="s">
        <v>244</v>
      </c>
      <c r="G82" s="84" t="s">
        <v>299</v>
      </c>
      <c r="H82">
        <v>17</v>
      </c>
      <c r="I82" s="8">
        <f>+Tabla_master_rend[[#This Row],[L_Leche_ent]]+Tabla_master_rend[[#This Row],[L_desn_ext]]+Tabla_master_rend[[#This Row],[L_cabra]]+Tabla_master_rend[[#This Row],[L_oveja]]</f>
        <v>287402</v>
      </c>
      <c r="J82" s="8">
        <v>287402</v>
      </c>
      <c r="K82" s="5">
        <v>3.5400000000000001E-2</v>
      </c>
      <c r="L82" s="5">
        <v>3.2500000000000001E-2</v>
      </c>
      <c r="M82" s="5">
        <f t="shared" si="25"/>
        <v>0.10497200000000001</v>
      </c>
      <c r="N82" s="35" t="s">
        <v>43</v>
      </c>
      <c r="O82" s="8">
        <v>0</v>
      </c>
      <c r="P82" s="8">
        <v>0</v>
      </c>
      <c r="Q82" s="8">
        <v>0</v>
      </c>
      <c r="R82" s="8">
        <v>8318</v>
      </c>
      <c r="T82" s="8">
        <v>234880</v>
      </c>
      <c r="U82" s="38">
        <f>+Tabla_master_rend[[#This Row],[L_suero Total]]/Tabla_master_rend[[#This Row],[Litros_Leche_Total]]</f>
        <v>0.817252489544262</v>
      </c>
      <c r="V82" s="5">
        <v>1E-3</v>
      </c>
      <c r="W82" s="5">
        <v>8.6E-3</v>
      </c>
      <c r="X82" s="8">
        <f>207413/(234880+41400)*234880</f>
        <v>176332.58085999711</v>
      </c>
      <c r="Y82" s="57">
        <f>69613/(234880+41400)*234880</f>
        <v>59181.632546691762</v>
      </c>
      <c r="Z82" s="58">
        <f>IF(Tabla_master_rend[[#This Row],[L_suero para con]]=0,0,+Tabla_master_rend[[#This Row],[L_suero para con]]/Tabla_master_rend[[#This Row],[L_suero_con]])</f>
        <v>2.9795153204142903</v>
      </c>
      <c r="AA82" s="8">
        <f>+Tabla_master_rend[[#This Row],[L_suero Total]]-Tabla_master_rend[[#This Row],[L_suero para con]]</f>
        <v>58547.419140002894</v>
      </c>
      <c r="AD82" s="8"/>
      <c r="AE82" s="8"/>
      <c r="AF82" s="8"/>
      <c r="AG82" s="5"/>
      <c r="AI82" s="7">
        <f>+Tabla_master_rend[[#This Row],[Kg_Finos]]+Tabla_master_rend[[#This Row],[Kg_Llenadora]]+Tabla_master_rend[[#This Row],[Kg_Desmoldeo]]+Tabla_master_rend[[#This Row],[L_Agua]]+Tabla_master_rend[[#This Row],[Kg_SalidaSecadero]]</f>
        <v>29629.625851972345</v>
      </c>
      <c r="AJ82" s="59">
        <f>+Tabla_master_rend[[#This Row],[Litros_Leche_Total]]/Tabla_master_rend[[#This Row],[Kg_Queso_Blan]]</f>
        <v>9.699818736687444</v>
      </c>
      <c r="AK82" s="59">
        <f>+Tabla_master_rend[[#This Row],[Litros_Leche_Total]]/(Tabla_master_rend[[#This Row],[Kg_Queso_Blan]]-Tabla_master_rend[[#This Row],[Merma_TOT]])</f>
        <v>10.635600370652165</v>
      </c>
      <c r="AL82" s="59">
        <f>VLOOKUP(G82,REND_TARGET[#All],8,FALSE)</f>
        <v>9.8078500000000002</v>
      </c>
      <c r="AM82" s="7">
        <f>(I82*1.03*Tabla_master_rend[[#This Row],[%MG_Leche]])+(I82*1.03*Tabla_master_rend[[#This Row],[%MP_Leche]])</f>
        <v>20100.033673999998</v>
      </c>
      <c r="AN82" s="38">
        <v>0.22320000000000001</v>
      </c>
      <c r="AO82" s="38">
        <v>0.25090000000000001</v>
      </c>
      <c r="AP82" s="60">
        <v>0.53220000000000001</v>
      </c>
      <c r="AQ82" s="38">
        <f>+Tabla_master_rend[[#This Row],[Kg_Queso_Blan]]*Tabla_master_rend[[#This Row],[ES_QUESO]]/(Tabla_master_rend[[#This Row],[Kg_Solidos_leche]])</f>
        <v>0.7845204209193547</v>
      </c>
      <c r="AR82" s="7">
        <f t="shared" si="26"/>
        <v>3327.2000000000003</v>
      </c>
      <c r="AS82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0.94859182239071738</v>
      </c>
      <c r="AT82" s="62">
        <f>+Tabla_master_rend[[#This Row],[Kg_Queso_Blan]]*Tabla_master_rend[[#This Row],[%PT_QUESO]]/(Tabla_master_rend[[#This Row],[Litros_Leche_Total]]*1.03*Tabla_master_rend[[#This Row],[%MP_Leche]])</f>
        <v>0.77270986546575471</v>
      </c>
      <c r="AU82" s="63">
        <f t="shared" si="27"/>
        <v>24954.000000000004</v>
      </c>
      <c r="AV82" s="7">
        <v>48.02585197234648</v>
      </c>
      <c r="AW82" s="7">
        <v>91.8</v>
      </c>
      <c r="AX82" s="7">
        <v>88.8</v>
      </c>
      <c r="AY82" s="8">
        <f>SUM(Tabla_master_rend[[#This Row],[Kg_Finos]:[Kg_Desmoldeo]])</f>
        <v>228.62585197234648</v>
      </c>
      <c r="AZ82" s="60">
        <f>+(Tabla_master_rend[[#This Row],[Kg_Finos]]+Tabla_master_rend[[#This Row],[Kg_Llenadora]]+Tabla_master_rend[[#This Row],[Kg_Desmoldeo]])/(Tabla_master_rend[[#This Row],[Kg_Queso_Blan]])</f>
        <v>7.7161234878410593E-3</v>
      </c>
      <c r="BA82" s="7">
        <v>214</v>
      </c>
      <c r="BB82" s="60">
        <f>+Tabla_master_rend[[#This Row],[L_Agua]]/(Tabla_master_rend[[#This Row],[L_Agua]]+Tabla_master_rend[[#This Row],[Kg_SalidaSecadero]])</f>
        <v>7.2786639910207137E-3</v>
      </c>
      <c r="BC82" s="8">
        <v>4226</v>
      </c>
      <c r="BD82" s="8">
        <v>3519</v>
      </c>
      <c r="BE82" s="8">
        <v>24735</v>
      </c>
      <c r="BF82" s="8">
        <f>9*6.6</f>
        <v>59.4</v>
      </c>
      <c r="BG82" s="8">
        <f>648*6.6</f>
        <v>4276.8</v>
      </c>
      <c r="BH82" s="7">
        <f>2*6.6</f>
        <v>13.2</v>
      </c>
      <c r="BI82" s="7">
        <f>41*6.6</f>
        <v>270.59999999999997</v>
      </c>
      <c r="BJ82" s="8">
        <v>97</v>
      </c>
      <c r="BK82" s="8">
        <v>29187</v>
      </c>
      <c r="BL82" s="8">
        <v>6.6</v>
      </c>
      <c r="BM82" s="8">
        <v>2140.96</v>
      </c>
      <c r="BN82" s="7">
        <v>16.8</v>
      </c>
      <c r="BO82" s="68">
        <f>+SUM(Tabla_master_rend[[#This Row],[B_altas]:[B_lab]])/Tabla_master_rend[[#This Row],[Kg_SalidaSecadero]]</f>
        <v>0.16161304690444375</v>
      </c>
      <c r="BP82" s="68">
        <f>+(Tabla_master_rend[[#This Row],[Kg_mer_env_real]]+Tabla_master_rend[[#This Row],[kg_mer_lab_real]])/Tabla_master_rend[[#This Row],[Kg_SalidaSecadero]]</f>
        <v>7.3928803919553226E-2</v>
      </c>
      <c r="BQ82" s="64">
        <f>+Tabla_master_rend[[#This Row],[Merma_TOT]]/Tabla_master_rend[[#This Row],[Kg_Queso_Blan]]</f>
        <v>8.7985783721896332E-2</v>
      </c>
      <c r="BR82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2606.9858519723471</v>
      </c>
      <c r="BS82" s="8"/>
      <c r="BT82" s="63">
        <f>IF(+Tabla_master_rend[[#This Row],[Kg_Env_Total]]=0,0,Tabla_master_rend[[#This Row],[Kg_Env_Total]]-Tabla_master_rend[[#This Row],[Kg_SalidaSecadero]])</f>
        <v>0</v>
      </c>
      <c r="BU82" s="60">
        <f>+Tabla_master_rend[[#This Row],[Diferencia_Env_vs_Sec_kg]]/Tabla_master_rend[[#This Row],[Kg_SalidaSecadero]]</f>
        <v>0</v>
      </c>
      <c r="BV82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82" s="65">
        <f>+(Tabla_master_rend[[#This Row],[Coste_Leche_€]]-Tabla_master_rend[[#This Row],[Kg_MG_Nata]]*$CO$3)/Tabla_master_rend[[#This Row],[Kg_Queso_Blan]]</f>
        <v>-0.84219760737677019</v>
      </c>
      <c r="BX82" s="8">
        <f>SUM(Tabla_master_rend[[#This Row],[Kg_Finos]:[Kg_Desmoldeo]])+Tabla_master_rend[[#This Row],[L_Agua]]+SUM(Tabla_master_rend[[#This Row],[B_altas]:[B_lab]])</f>
        <v>5159.6258519723469</v>
      </c>
      <c r="BY82" s="8">
        <f>+BX82-Tabla_master_rend[[#This Row],[Merma_TOT]]</f>
        <v>2552.64</v>
      </c>
      <c r="BZ82" s="62">
        <f t="shared" si="28"/>
        <v>0.49473354720560092</v>
      </c>
      <c r="CA82" s="8">
        <f>+Tabla_master_rend[[#This Row],[Kg_Queso_Blan]]*$CA$1</f>
        <v>192.59256803782023</v>
      </c>
      <c r="CB82" s="8">
        <f>+Tabla_master_rend[[#This Row],[Kg_Queso_Blan]]*($CB$1-$CA$1)</f>
        <v>103.70369048190322</v>
      </c>
      <c r="CC82" s="8">
        <f>+(Tabla_master_rend[[#This Row],[Kg_Queso_Blan]]-CA82-CB82)*$CC$1</f>
        <v>307.99996073125254</v>
      </c>
      <c r="CD82" s="8">
        <f t="shared" si="29"/>
        <v>604.29621925097604</v>
      </c>
      <c r="CE82" s="80">
        <f>+CD82/Tabla_master_rend[[#This Row],[Kg_Queso_Blan]]</f>
        <v>2.0395000000000003E-2</v>
      </c>
      <c r="CF82" s="62">
        <f>+Tabla_master_rend[[#This Row],[Merma_TOT]]/Tabla_master_rend[[#This Row],[Kg_Queso_Blan]]</f>
        <v>8.7985783721896332E-2</v>
      </c>
      <c r="CG82" s="8">
        <f>CD82-Tabla_master_rend[[#This Row],[Merma_TOT]]</f>
        <v>-2002.689632721371</v>
      </c>
      <c r="CH82" s="81" cm="1">
        <f t="array" ref="CH82">-BR82 * IFERROR(INDEX('Precio Leche_EBITDA_Ventas'!$BD$87:$BD$110,MATCH(1,('Precio Leche_EBITDA_Ventas'!$AZ$87:$AZ$110=YEAR(A82))*('Precio Leche_EBITDA_Ventas'!$BB$87:$BB$110=C82),0)),1.3)</f>
        <v>-8863.7518967059805</v>
      </c>
      <c r="CI82" s="81">
        <f t="shared" si="30"/>
        <v>-2603.4965225377823</v>
      </c>
    </row>
    <row r="83" spans="1:87" x14ac:dyDescent="0.35">
      <c r="A83" s="9">
        <v>45819</v>
      </c>
      <c r="B83" s="7">
        <v>6</v>
      </c>
      <c r="C83" s="7" t="str">
        <f>+UPPER(TEXT(Tabla_master_rend[[#This Row],[Fecha]],"MMM"))</f>
        <v>JUN</v>
      </c>
      <c r="D83" s="7" t="str">
        <f>+UPPER(TEXT(Tabla_master_rend[[#This Row],[Fecha]],"ddd"))</f>
        <v>MI</v>
      </c>
      <c r="E83" s="3">
        <v>110625916</v>
      </c>
      <c r="F83" s="3" t="s">
        <v>244</v>
      </c>
      <c r="G83" s="84" t="s">
        <v>445</v>
      </c>
      <c r="H83">
        <v>5</v>
      </c>
      <c r="I83" s="8">
        <f>+Tabla_master_rend[[#This Row],[L_Leche_ent]]+Tabla_master_rend[[#This Row],[L_desn_ext]]+Tabla_master_rend[[#This Row],[L_cabra]]+Tabla_master_rend[[#This Row],[L_oveja]]</f>
        <v>82382</v>
      </c>
      <c r="J83" s="8">
        <v>82382</v>
      </c>
      <c r="K83" s="5">
        <v>3.5299999999999998E-2</v>
      </c>
      <c r="L83" s="5">
        <v>3.2300000000000002E-2</v>
      </c>
      <c r="M83" s="5">
        <f t="shared" si="25"/>
        <v>0.104731</v>
      </c>
      <c r="N83" s="35" t="s">
        <v>43</v>
      </c>
      <c r="O83" s="8">
        <v>0</v>
      </c>
      <c r="P83" s="8">
        <v>0</v>
      </c>
      <c r="Q83" s="8">
        <v>0</v>
      </c>
      <c r="R83" s="8">
        <v>2482</v>
      </c>
      <c r="T83" s="8">
        <v>69000</v>
      </c>
      <c r="U83" s="38">
        <f>+Tabla_master_rend[[#This Row],[L_suero Total]]/Tabla_master_rend[[#This Row],[Litros_Leche_Total]]</f>
        <v>0.83756160326284868</v>
      </c>
      <c r="V83" s="5">
        <v>1E-3</v>
      </c>
      <c r="W83" s="5">
        <v>3.7000000000000002E-3</v>
      </c>
      <c r="X83" s="8">
        <f>203797/(205770+69000)*69000</f>
        <v>51177.322851839723</v>
      </c>
      <c r="Y83" s="57">
        <f>72524/(205770+69000)*69000</f>
        <v>18212.162899879899</v>
      </c>
      <c r="Z83" s="58">
        <f>IF(Tabla_master_rend[[#This Row],[L_suero para con]]=0,0,+Tabla_master_rend[[#This Row],[L_suero para con]]/Tabla_master_rend[[#This Row],[L_suero_con]])</f>
        <v>2.8100628757376871</v>
      </c>
      <c r="AA83" s="8">
        <f>+Tabla_master_rend[[#This Row],[L_suero Total]]-Tabla_master_rend[[#This Row],[L_suero para con]]</f>
        <v>17822.677148160277</v>
      </c>
      <c r="AD83" s="8"/>
      <c r="AE83" s="8"/>
      <c r="AF83" s="8"/>
      <c r="AG83" s="5"/>
      <c r="AI83" s="7">
        <f>+Tabla_master_rend[[#This Row],[Kg_Finos]]+Tabla_master_rend[[#This Row],[Kg_Llenadora]]+Tabla_master_rend[[#This Row],[Kg_Desmoldeo]]+Tabla_master_rend[[#This Row],[L_Agua]]+Tabla_master_rend[[#This Row],[Kg_SalidaSecadero]]</f>
        <v>8354.6421008403358</v>
      </c>
      <c r="AJ83" s="59">
        <f>+Tabla_master_rend[[#This Row],[Litros_Leche_Total]]/Tabla_master_rend[[#This Row],[Kg_Queso_Blan]]</f>
        <v>9.8606258659139652</v>
      </c>
      <c r="AK83" s="59">
        <f>+Tabla_master_rend[[#This Row],[Litros_Leche_Total]]/(Tabla_master_rend[[#This Row],[Kg_Queso_Blan]]-Tabla_master_rend[[#This Row],[Merma_TOT]])</f>
        <v>10.243981900002362</v>
      </c>
      <c r="AL83" s="59">
        <f>VLOOKUP(G83,REND_TARGET[#All],8,FALSE)</f>
        <v>9.8078500000000002</v>
      </c>
      <c r="AM83" s="7">
        <f>(I83*1.03*Tabla_master_rend[[#This Row],[%MG_Leche]])+(I83*1.03*Tabla_master_rend[[#This Row],[%MP_Leche]])</f>
        <v>5736.0938960000003</v>
      </c>
      <c r="AN83" s="38">
        <v>0.22239999999999999</v>
      </c>
      <c r="AO83" s="38">
        <v>0.2525</v>
      </c>
      <c r="AP83" s="60">
        <v>0.53259999999999996</v>
      </c>
      <c r="AQ83" s="38">
        <f>+Tabla_master_rend[[#This Row],[Kg_Queso_Blan]]*Tabla_master_rend[[#This Row],[ES_QUESO]]/(Tabla_master_rend[[#This Row],[Kg_Solidos_leche]])</f>
        <v>0.77573388155491985</v>
      </c>
      <c r="AR83" s="7">
        <f t="shared" si="26"/>
        <v>992.80000000000007</v>
      </c>
      <c r="AS83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0.95177330284211858</v>
      </c>
      <c r="AT83" s="62">
        <f>+Tabla_master_rend[[#This Row],[Kg_Queso_Blan]]*Tabla_master_rend[[#This Row],[%PT_QUESO]]/(Tabla_master_rend[[#This Row],[Litros_Leche_Total]]*1.03*Tabla_master_rend[[#This Row],[%MP_Leche]])</f>
        <v>0.76969232215935413</v>
      </c>
      <c r="AU83" s="63">
        <f t="shared" si="27"/>
        <v>7446.0000000000009</v>
      </c>
      <c r="AV83" s="7">
        <v>17.715252100840335</v>
      </c>
      <c r="AW83" s="7">
        <v>19.534117647058824</v>
      </c>
      <c r="AX83" s="7">
        <v>24.392731092436975</v>
      </c>
      <c r="AY83" s="8">
        <f>SUM(Tabla_master_rend[[#This Row],[Kg_Finos]:[Kg_Desmoldeo]])</f>
        <v>61.642100840336134</v>
      </c>
      <c r="AZ83" s="60">
        <f>+(Tabla_master_rend[[#This Row],[Kg_Finos]]+Tabla_master_rend[[#This Row],[Kg_Llenadora]]+Tabla_master_rend[[#This Row],[Kg_Desmoldeo]])/(Tabla_master_rend[[#This Row],[Kg_Queso_Blan]])</f>
        <v>7.3781856956069945E-3</v>
      </c>
      <c r="BA83" s="7">
        <v>80</v>
      </c>
      <c r="BB83" s="60">
        <f>+Tabla_master_rend[[#This Row],[L_Agua]]/(Tabla_master_rend[[#This Row],[L_Agua]]+Tabla_master_rend[[#This Row],[Kg_SalidaSecadero]])</f>
        <v>9.6466899795007843E-3</v>
      </c>
      <c r="BC83" s="8">
        <v>1186</v>
      </c>
      <c r="BD83" s="8">
        <v>1035</v>
      </c>
      <c r="BE83" s="8">
        <v>7305</v>
      </c>
      <c r="BF83" s="8">
        <f>8*6.6</f>
        <v>52.8</v>
      </c>
      <c r="BG83" s="8">
        <f>124*6.6</f>
        <v>818.4</v>
      </c>
      <c r="BH83" s="7">
        <v>0</v>
      </c>
      <c r="BI83" s="7">
        <f>21*6.6</f>
        <v>138.6</v>
      </c>
      <c r="BJ83" s="8">
        <v>37</v>
      </c>
      <c r="BK83" s="8">
        <v>8213</v>
      </c>
      <c r="BL83" s="8">
        <v>0</v>
      </c>
      <c r="BM83" s="8">
        <v>167.38</v>
      </c>
      <c r="BN83" s="7">
        <v>3.63</v>
      </c>
      <c r="BO83" s="68">
        <f>+SUM(Tabla_master_rend[[#This Row],[B_altas]:[B_lab]])/Tabla_master_rend[[#This Row],[Kg_SalidaSecadero]]</f>
        <v>0.12745647144770486</v>
      </c>
      <c r="BP83" s="68">
        <f>+(Tabla_master_rend[[#This Row],[Kg_mer_env_real]]+Tabla_master_rend[[#This Row],[kg_mer_lab_real]])/Tabla_master_rend[[#This Row],[Kg_SalidaSecadero]]</f>
        <v>2.0821867770607572E-2</v>
      </c>
      <c r="BQ83" s="64">
        <f>+Tabla_master_rend[[#This Row],[Merma_TOT]]/Tabla_master_rend[[#This Row],[Kg_Queso_Blan]]</f>
        <v>3.7422560663476975E-2</v>
      </c>
      <c r="BR83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312.65210084033617</v>
      </c>
      <c r="BS83" s="8"/>
      <c r="BT83" s="63">
        <f>IF(+Tabla_master_rend[[#This Row],[Kg_Env_Total]]=0,0,Tabla_master_rend[[#This Row],[Kg_Env_Total]]-Tabla_master_rend[[#This Row],[Kg_SalidaSecadero]])</f>
        <v>0</v>
      </c>
      <c r="BU83" s="60">
        <f>+Tabla_master_rend[[#This Row],[Diferencia_Env_vs_Sec_kg]]/Tabla_master_rend[[#This Row],[Kg_SalidaSecadero]]</f>
        <v>0</v>
      </c>
      <c r="BV83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83" s="65">
        <f>+(Tabla_master_rend[[#This Row],[Coste_Leche_€]]-Tabla_master_rend[[#This Row],[Kg_MG_Nata]]*$CO$3)/Tabla_master_rend[[#This Row],[Kg_Queso_Blan]]</f>
        <v>-0.89124105020023048</v>
      </c>
      <c r="BX83" s="8">
        <f>SUM(Tabla_master_rend[[#This Row],[Kg_Finos]:[Kg_Desmoldeo]])+Tabla_master_rend[[#This Row],[L_Agua]]+SUM(Tabla_master_rend[[#This Row],[B_altas]:[B_lab]])</f>
        <v>1188.442100840336</v>
      </c>
      <c r="BY83" s="8">
        <f>+BX83-Tabla_master_rend[[#This Row],[Merma_TOT]]</f>
        <v>875.78999999999985</v>
      </c>
      <c r="BZ83" s="62">
        <f t="shared" si="28"/>
        <v>0.73692273218925608</v>
      </c>
      <c r="CA83" s="8">
        <f>+Tabla_master_rend[[#This Row],[Kg_Queso_Blan]]*$CA$1</f>
        <v>54.305173655462184</v>
      </c>
      <c r="CB83" s="8">
        <f>+Tabla_master_rend[[#This Row],[Kg_Queso_Blan]]*($CB$1-$CA$1)</f>
        <v>29.24124735294118</v>
      </c>
      <c r="CC83" s="8">
        <f>+(Tabla_master_rend[[#This Row],[Kg_Queso_Blan]]-CA83-CB83)*$CC$1</f>
        <v>86.846504638235288</v>
      </c>
      <c r="CD83" s="8">
        <f t="shared" si="29"/>
        <v>170.39292564663867</v>
      </c>
      <c r="CE83" s="80">
        <f>+CD83/Tabla_master_rend[[#This Row],[Kg_Queso_Blan]]</f>
        <v>2.0395000000000003E-2</v>
      </c>
      <c r="CF83" s="62">
        <f>+Tabla_master_rend[[#This Row],[Merma_TOT]]/Tabla_master_rend[[#This Row],[Kg_Queso_Blan]]</f>
        <v>3.7422560663476975E-2</v>
      </c>
      <c r="CG83" s="8">
        <f>CD83-Tabla_master_rend[[#This Row],[Merma_TOT]]</f>
        <v>-142.2591751936975</v>
      </c>
      <c r="CH83" s="81" cm="1">
        <f t="array" ref="CH83">-BR83 * IFERROR(INDEX('Precio Leche_EBITDA_Ventas'!$BD$87:$BD$110,MATCH(1,('Precio Leche_EBITDA_Ventas'!$AZ$87:$AZ$110=YEAR(A83))*('Precio Leche_EBITDA_Ventas'!$BB$87:$BB$110=C83),0)),1.3)</f>
        <v>-1063.017142857143</v>
      </c>
      <c r="CI83" s="81">
        <f t="shared" si="30"/>
        <v>-184.93692775180676</v>
      </c>
    </row>
    <row r="84" spans="1:87" x14ac:dyDescent="0.35">
      <c r="A84" s="9">
        <v>45819</v>
      </c>
      <c r="B84" s="7">
        <v>6</v>
      </c>
      <c r="C84" s="7" t="str">
        <f>+UPPER(TEXT(Tabla_master_rend[[#This Row],[Fecha]],"MMM"))</f>
        <v>JUN</v>
      </c>
      <c r="D84" s="7" t="str">
        <f>+UPPER(TEXT(Tabla_master_rend[[#This Row],[Fecha]],"ddd"))</f>
        <v>MI</v>
      </c>
      <c r="E84" s="3">
        <v>110625316</v>
      </c>
      <c r="F84" s="3" t="s">
        <v>244</v>
      </c>
      <c r="G84" s="84" t="s">
        <v>299</v>
      </c>
      <c r="H84">
        <v>15</v>
      </c>
      <c r="I84" s="8">
        <f>+Tabla_master_rend[[#This Row],[L_Leche_ent]]+Tabla_master_rend[[#This Row],[L_desn_ext]]+Tabla_master_rend[[#This Row],[L_cabra]]+Tabla_master_rend[[#This Row],[L_oveja]]</f>
        <v>249612</v>
      </c>
      <c r="J84" s="8">
        <v>249612</v>
      </c>
      <c r="K84" s="5">
        <v>3.5799999999999998E-2</v>
      </c>
      <c r="L84" s="5">
        <v>3.2099999999999997E-2</v>
      </c>
      <c r="M84" s="5">
        <f t="shared" si="25"/>
        <v>0.105048</v>
      </c>
      <c r="N84" s="35" t="s">
        <v>43</v>
      </c>
      <c r="O84" s="8">
        <v>0</v>
      </c>
      <c r="P84" s="8">
        <v>0</v>
      </c>
      <c r="Q84" s="8">
        <v>0</v>
      </c>
      <c r="R84" s="8">
        <v>7795</v>
      </c>
      <c r="T84" s="8">
        <v>205770</v>
      </c>
      <c r="U84" s="38">
        <f>+Tabla_master_rend[[#This Row],[L_suero Total]]/Tabla_master_rend[[#This Row],[Litros_Leche_Total]]</f>
        <v>0.82435940579779821</v>
      </c>
      <c r="V84" s="5">
        <v>1E-3</v>
      </c>
      <c r="W84" s="5">
        <v>3.7000000000000002E-3</v>
      </c>
      <c r="X84" s="8">
        <f>203797/(205770+69000)*205770</f>
        <v>152619.67714816029</v>
      </c>
      <c r="Y84" s="57">
        <f>72524/(205770+69000)*205770</f>
        <v>54311.837100120094</v>
      </c>
      <c r="Z84" s="58">
        <f>IF(Tabla_master_rend[[#This Row],[L_suero para con]]=0,0,+Tabla_master_rend[[#This Row],[L_suero para con]]/Tabla_master_rend[[#This Row],[L_suero_con]])</f>
        <v>2.8100628757376875</v>
      </c>
      <c r="AA84" s="8">
        <f>+Tabla_master_rend[[#This Row],[L_suero Total]]-Tabla_master_rend[[#This Row],[L_suero para con]]</f>
        <v>53150.322851839708</v>
      </c>
      <c r="AD84" s="8"/>
      <c r="AE84" s="8"/>
      <c r="AF84" s="8"/>
      <c r="AG84" s="5"/>
      <c r="AI84" s="7">
        <f>+Tabla_master_rend[[#This Row],[Kg_Finos]]+Tabla_master_rend[[#This Row],[Kg_Llenadora]]+Tabla_master_rend[[#This Row],[Kg_Desmoldeo]]+Tabla_master_rend[[#This Row],[L_Agua]]+Tabla_master_rend[[#This Row],[Kg_SalidaSecadero]]</f>
        <v>25592.757899159664</v>
      </c>
      <c r="AJ84" s="59">
        <f>+Tabla_master_rend[[#This Row],[Litros_Leche_Total]]/Tabla_master_rend[[#This Row],[Kg_Queso_Blan]]</f>
        <v>9.7532278851509009</v>
      </c>
      <c r="AK84" s="59">
        <f>+Tabla_master_rend[[#This Row],[Litros_Leche_Total]]/(Tabla_master_rend[[#This Row],[Kg_Queso_Blan]]-Tabla_master_rend[[#This Row],[Merma_TOT]])</f>
        <v>10.108777528490318</v>
      </c>
      <c r="AL84" s="59">
        <f>VLOOKUP(G84,REND_TARGET[#All],8,FALSE)</f>
        <v>9.8078500000000002</v>
      </c>
      <c r="AM84" s="7">
        <f>(I84*1.03*Tabla_master_rend[[#This Row],[%MG_Leche]])+(I84*1.03*Tabla_master_rend[[#This Row],[%MP_Leche]])</f>
        <v>17457.114443999999</v>
      </c>
      <c r="AN84" s="38">
        <v>0.2228</v>
      </c>
      <c r="AO84" s="38">
        <v>0.24969999999999998</v>
      </c>
      <c r="AP84" s="60">
        <v>0.53110000000000002</v>
      </c>
      <c r="AQ84" s="38">
        <f>+Tabla_master_rend[[#This Row],[Kg_Queso_Blan]]*Tabla_master_rend[[#This Row],[ES_QUESO]]/(Tabla_master_rend[[#This Row],[Kg_Solidos_leche]])</f>
        <v>0.77861170950364988</v>
      </c>
      <c r="AR84" s="7">
        <f t="shared" si="26"/>
        <v>3118</v>
      </c>
      <c r="AS84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0.95826614753282346</v>
      </c>
      <c r="AT84" s="62">
        <f>+Tabla_master_rend[[#This Row],[Kg_Queso_Blan]]*Tabla_master_rend[[#This Row],[%PT_QUESO]]/(Tabla_master_rend[[#This Row],[Litros_Leche_Total]]*1.03*Tabla_master_rend[[#This Row],[%MP_Leche]])</f>
        <v>0.77433325932610719</v>
      </c>
      <c r="AU84" s="63">
        <f t="shared" si="27"/>
        <v>23385</v>
      </c>
      <c r="AV84" s="7">
        <v>53.384747899159656</v>
      </c>
      <c r="AW84" s="7">
        <v>58.865882352941178</v>
      </c>
      <c r="AX84" s="7">
        <v>73.507268907563031</v>
      </c>
      <c r="AY84" s="8">
        <f>SUM(Tabla_master_rend[[#This Row],[Kg_Finos]:[Kg_Desmoldeo]])</f>
        <v>185.75789915966385</v>
      </c>
      <c r="AZ84" s="60">
        <f>+(Tabla_master_rend[[#This Row],[Kg_Finos]]+Tabla_master_rend[[#This Row],[Kg_Llenadora]]+Tabla_master_rend[[#This Row],[Kg_Desmoldeo]])/(Tabla_master_rend[[#This Row],[Kg_Queso_Blan]])</f>
        <v>7.2582212472600775E-3</v>
      </c>
      <c r="BA84" s="7">
        <v>200</v>
      </c>
      <c r="BB84" s="60">
        <f>+Tabla_master_rend[[#This Row],[L_Agua]]/(Tabla_master_rend[[#This Row],[L_Agua]]+Tabla_master_rend[[#This Row],[Kg_SalidaSecadero]])</f>
        <v>7.8718463415594127E-3</v>
      </c>
      <c r="BC84" s="8">
        <v>3574</v>
      </c>
      <c r="BD84" s="8">
        <v>3514</v>
      </c>
      <c r="BE84" s="8">
        <v>25030</v>
      </c>
      <c r="BF84" s="8">
        <f>28*6.3</f>
        <v>176.4</v>
      </c>
      <c r="BG84" s="8">
        <f>34*6.3</f>
        <v>214.2</v>
      </c>
      <c r="BH84" s="7">
        <f>5*6.3</f>
        <v>31.5</v>
      </c>
      <c r="BI84" s="7">
        <f>7*6.3</f>
        <v>44.1</v>
      </c>
      <c r="BJ84" s="8">
        <v>86</v>
      </c>
      <c r="BK84" s="8">
        <v>25207</v>
      </c>
      <c r="BL84" s="8">
        <v>0.79</v>
      </c>
      <c r="BM84" s="8">
        <v>494.59</v>
      </c>
      <c r="BN84" s="7">
        <v>19.02</v>
      </c>
      <c r="BO84" s="68">
        <f>+SUM(Tabla_master_rend[[#This Row],[B_altas]:[B_lab]])/Tabla_master_rend[[#This Row],[Kg_SalidaSecadero]]</f>
        <v>2.1906613242353316E-2</v>
      </c>
      <c r="BP84" s="68">
        <f>+(Tabla_master_rend[[#This Row],[Kg_mer_env_real]]+Tabla_master_rend[[#This Row],[kg_mer_lab_real]])/Tabla_master_rend[[#This Row],[Kg_SalidaSecadero]]</f>
        <v>2.0375689292656804E-2</v>
      </c>
      <c r="BQ84" s="64">
        <f>+Tabla_master_rend[[#This Row],[Merma_TOT]]/Tabla_master_rend[[#This Row],[Kg_Queso_Blan]]</f>
        <v>3.5172368007639392E-2</v>
      </c>
      <c r="BR84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900.15789915966377</v>
      </c>
      <c r="BS84" s="8"/>
      <c r="BT84" s="63">
        <f>IF(+Tabla_master_rend[[#This Row],[Kg_Env_Total]]=0,0,Tabla_master_rend[[#This Row],[Kg_Env_Total]]-Tabla_master_rend[[#This Row],[Kg_SalidaSecadero]])</f>
        <v>0</v>
      </c>
      <c r="BU84" s="60">
        <f>+Tabla_master_rend[[#This Row],[Diferencia_Env_vs_Sec_kg]]/Tabla_master_rend[[#This Row],[Kg_SalidaSecadero]]</f>
        <v>0</v>
      </c>
      <c r="BV84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84" s="65">
        <f>+(Tabla_master_rend[[#This Row],[Coste_Leche_€]]-Tabla_master_rend[[#This Row],[Kg_MG_Nata]]*$CO$3)/Tabla_master_rend[[#This Row],[Kg_Queso_Blan]]</f>
        <v>-0.91373505317954984</v>
      </c>
      <c r="BX84" s="8">
        <f>SUM(Tabla_master_rend[[#This Row],[Kg_Finos]:[Kg_Desmoldeo]])+Tabla_master_rend[[#This Row],[L_Agua]]+SUM(Tabla_master_rend[[#This Row],[B_altas]:[B_lab]])</f>
        <v>937.95789915966384</v>
      </c>
      <c r="BY84" s="8">
        <f>+BX84-Tabla_master_rend[[#This Row],[Merma_TOT]]</f>
        <v>37.800000000000068</v>
      </c>
      <c r="BZ84" s="62">
        <f t="shared" si="28"/>
        <v>4.0300316286973947E-2</v>
      </c>
      <c r="CA84" s="8">
        <f>+Tabla_master_rend[[#This Row],[Kg_Queso_Blan]]*$CA$1</f>
        <v>166.35292634453782</v>
      </c>
      <c r="CB84" s="8">
        <f>+Tabla_master_rend[[#This Row],[Kg_Queso_Blan]]*($CB$1-$CA$1)</f>
        <v>89.574652647058841</v>
      </c>
      <c r="CC84" s="8">
        <f>+(Tabla_master_rend[[#This Row],[Kg_Queso_Blan]]-CA84-CB84)*$CC$1</f>
        <v>266.03671836176471</v>
      </c>
      <c r="CD84" s="8">
        <f t="shared" si="29"/>
        <v>521.96429735336142</v>
      </c>
      <c r="CE84" s="80">
        <f>+CD84/Tabla_master_rend[[#This Row],[Kg_Queso_Blan]]</f>
        <v>2.0395000000000003E-2</v>
      </c>
      <c r="CF84" s="62">
        <f>+Tabla_master_rend[[#This Row],[Merma_TOT]]/Tabla_master_rend[[#This Row],[Kg_Queso_Blan]]</f>
        <v>3.5172368007639392E-2</v>
      </c>
      <c r="CG84" s="8">
        <f>CD84-Tabla_master_rend[[#This Row],[Merma_TOT]]</f>
        <v>-378.19360180630235</v>
      </c>
      <c r="CH84" s="81" cm="1">
        <f t="array" ref="CH84">-BR84 * IFERROR(INDEX('Precio Leche_EBITDA_Ventas'!$BD$87:$BD$110,MATCH(1,('Precio Leche_EBITDA_Ventas'!$AZ$87:$AZ$110=YEAR(A84))*('Precio Leche_EBITDA_Ventas'!$BB$87:$BB$110=C84),0)),1.3)</f>
        <v>-3060.5368571428567</v>
      </c>
      <c r="CI84" s="81">
        <f t="shared" si="30"/>
        <v>-491.65168234819305</v>
      </c>
    </row>
    <row r="85" spans="1:87" x14ac:dyDescent="0.35">
      <c r="A85" s="9">
        <v>45821</v>
      </c>
      <c r="B85" s="7">
        <v>6</v>
      </c>
      <c r="C85" s="7" t="str">
        <f>+UPPER(TEXT(Tabla_master_rend[[#This Row],[Fecha]],"MMM"))</f>
        <v>JUN</v>
      </c>
      <c r="D85" s="7" t="str">
        <f>+UPPER(TEXT(Tabla_master_rend[[#This Row],[Fecha]],"ddd"))</f>
        <v>VI</v>
      </c>
      <c r="E85" s="3">
        <v>130625346</v>
      </c>
      <c r="F85" s="3" t="s">
        <v>244</v>
      </c>
      <c r="G85" s="84" t="s">
        <v>40</v>
      </c>
      <c r="H85">
        <v>20</v>
      </c>
      <c r="I85" s="8">
        <f>+Tabla_master_rend[[#This Row],[L_Leche_ent]]+Tabla_master_rend[[#This Row],[L_desn_ext]]+Tabla_master_rend[[#This Row],[L_cabra]]+Tabla_master_rend[[#This Row],[L_oveja]]</f>
        <v>341955</v>
      </c>
      <c r="J85" s="8">
        <v>341955</v>
      </c>
      <c r="K85" s="5">
        <v>3.61E-2</v>
      </c>
      <c r="L85" s="5">
        <v>3.2199999999999999E-2</v>
      </c>
      <c r="M85" s="5">
        <f t="shared" si="25"/>
        <v>0.10540099999999999</v>
      </c>
      <c r="N85" s="35" t="s">
        <v>43</v>
      </c>
      <c r="O85" s="8">
        <v>0</v>
      </c>
      <c r="P85" s="8">
        <v>0</v>
      </c>
      <c r="Q85" s="8">
        <v>0</v>
      </c>
      <c r="R85" s="8">
        <v>2168</v>
      </c>
      <c r="T85" s="8">
        <v>274490</v>
      </c>
      <c r="U85" s="38">
        <f>+Tabla_master_rend[[#This Row],[L_suero Total]]/Tabla_master_rend[[#This Row],[Litros_Leche_Total]]</f>
        <v>0.80270795864952993</v>
      </c>
      <c r="V85" s="5">
        <v>2E-3</v>
      </c>
      <c r="W85" s="5">
        <v>9.0000000000000011E-3</v>
      </c>
      <c r="X85" s="8">
        <v>274864</v>
      </c>
      <c r="Y85" s="57">
        <v>104442</v>
      </c>
      <c r="Z85" s="58">
        <f>IF(Tabla_master_rend[[#This Row],[L_suero para con]]=0,0,+Tabla_master_rend[[#This Row],[L_suero para con]]/Tabla_master_rend[[#This Row],[L_suero_con]])</f>
        <v>2.6317381896172036</v>
      </c>
      <c r="AA85" s="8">
        <f>+Tabla_master_rend[[#This Row],[L_suero Total]]-Tabla_master_rend[[#This Row],[L_suero para con]]</f>
        <v>-374</v>
      </c>
      <c r="AD85" s="8"/>
      <c r="AE85" s="8"/>
      <c r="AF85" s="8"/>
      <c r="AG85" s="5"/>
      <c r="AI85" s="7">
        <f>+Tabla_master_rend[[#This Row],[Kg_Finos]]+Tabla_master_rend[[#This Row],[Kg_Llenadora]]+Tabla_master_rend[[#This Row],[Kg_Desmoldeo]]+Tabla_master_rend[[#This Row],[L_Agua]]+Tabla_master_rend[[#This Row],[Kg_SalidaSecadero]]</f>
        <v>38497.54</v>
      </c>
      <c r="AJ85" s="59">
        <f>+Tabla_master_rend[[#This Row],[Litros_Leche_Total]]/Tabla_master_rend[[#This Row],[Kg_Queso_Blan]]</f>
        <v>8.8825156100883333</v>
      </c>
      <c r="AK85" s="59">
        <f>+Tabla_master_rend[[#This Row],[Litros_Leche_Total]]/(Tabla_master_rend[[#This Row],[Kg_Queso_Blan]]-Tabla_master_rend[[#This Row],[Merma_TOT]])</f>
        <v>9.1099427063713527</v>
      </c>
      <c r="AL85" s="59">
        <f>VLOOKUP(G85,REND_TARGET[#All],8,FALSE)</f>
        <v>8.9338729999999984</v>
      </c>
      <c r="AM85" s="7">
        <f>(I85*1.03*Tabla_master_rend[[#This Row],[%MG_Leche]])+(I85*1.03*Tabla_master_rend[[#This Row],[%MP_Leche]])</f>
        <v>24056.192295000001</v>
      </c>
      <c r="AN85" s="38">
        <v>0.30249999999999999</v>
      </c>
      <c r="AO85" s="38">
        <v>0.22800000000000001</v>
      </c>
      <c r="AP85" s="60">
        <v>0.58099999999999996</v>
      </c>
      <c r="AQ85" s="38">
        <f>+Tabla_master_rend[[#This Row],[Kg_Queso_Blan]]*Tabla_master_rend[[#This Row],[ES_QUESO]]/(Tabla_master_rend[[#This Row],[Kg_Solidos_leche]])</f>
        <v>0.92978433434990959</v>
      </c>
      <c r="AR85" s="7">
        <f t="shared" si="26"/>
        <v>867.2</v>
      </c>
      <c r="AS85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0.98409686965713128</v>
      </c>
      <c r="AT85" s="62">
        <f>+Tabla_master_rend[[#This Row],[Kg_Queso_Blan]]*Tabla_master_rend[[#This Row],[%PT_QUESO]]/(Tabla_master_rend[[#This Row],[Litros_Leche_Total]]*1.03*Tabla_master_rend[[#This Row],[%MP_Leche]])</f>
        <v>0.77393728783263671</v>
      </c>
      <c r="AU85" s="63">
        <f t="shared" si="27"/>
        <v>6504</v>
      </c>
      <c r="AV85" s="7">
        <v>73.540000000000006</v>
      </c>
      <c r="AW85" s="7">
        <v>137</v>
      </c>
      <c r="AX85" s="7">
        <v>34</v>
      </c>
      <c r="AY85" s="8">
        <f>SUM(Tabla_master_rend[[#This Row],[Kg_Finos]:[Kg_Desmoldeo]])</f>
        <v>244.54000000000002</v>
      </c>
      <c r="AZ85" s="60">
        <f>+(Tabla_master_rend[[#This Row],[Kg_Finos]]+Tabla_master_rend[[#This Row],[Kg_Llenadora]]+Tabla_master_rend[[#This Row],[Kg_Desmoldeo]])/(Tabla_master_rend[[#This Row],[Kg_Queso_Blan]])</f>
        <v>6.3520941857583635E-3</v>
      </c>
      <c r="BA85" s="7">
        <v>360</v>
      </c>
      <c r="BB85" s="60">
        <f>+Tabla_master_rend[[#This Row],[L_Agua]]/(Tabla_master_rend[[#This Row],[L_Agua]]+Tabla_master_rend[[#This Row],[Kg_SalidaSecadero]])</f>
        <v>9.4110265861501053E-3</v>
      </c>
      <c r="BC85" s="8">
        <v>5486</v>
      </c>
      <c r="BD85" s="8">
        <v>5380</v>
      </c>
      <c r="BE85" s="8">
        <v>37595</v>
      </c>
      <c r="BF85" s="8">
        <f>15*6.3</f>
        <v>94.5</v>
      </c>
      <c r="BG85" s="8">
        <f>63*6.3</f>
        <v>396.9</v>
      </c>
      <c r="BH85" s="7">
        <f>3*6.3</f>
        <v>18.899999999999999</v>
      </c>
      <c r="BI85" s="7">
        <f>12*6.3</f>
        <v>75.599999999999994</v>
      </c>
      <c r="BJ85" s="8">
        <v>169</v>
      </c>
      <c r="BK85" s="8">
        <v>37893</v>
      </c>
      <c r="BL85" s="8">
        <v>0</v>
      </c>
      <c r="BM85" s="8">
        <v>329.37</v>
      </c>
      <c r="BN85" s="7">
        <v>27.17</v>
      </c>
      <c r="BO85" s="68">
        <f>+SUM(Tabla_master_rend[[#This Row],[B_altas]:[B_lab]])/Tabla_master_rend[[#This Row],[Kg_SalidaSecadero]]</f>
        <v>1.99218853086322E-2</v>
      </c>
      <c r="BP85" s="68">
        <f>+(Tabla_master_rend[[#This Row],[Kg_mer_env_real]]+Tabla_master_rend[[#This Row],[kg_mer_lab_real]])/Tabla_master_rend[[#This Row],[Kg_SalidaSecadero]]</f>
        <v>9.4091256960388472E-3</v>
      </c>
      <c r="BQ85" s="64">
        <f>+Tabla_master_rend[[#This Row],[Merma_TOT]]/Tabla_master_rend[[#This Row],[Kg_Queso_Blan]]</f>
        <v>2.4964712030950548E-2</v>
      </c>
      <c r="BR85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961.07999999999993</v>
      </c>
      <c r="BS85" s="8"/>
      <c r="BT85" s="63">
        <f>IF(+Tabla_master_rend[[#This Row],[Kg_Env_Total]]=0,0,Tabla_master_rend[[#This Row],[Kg_Env_Total]]-Tabla_master_rend[[#This Row],[Kg_SalidaSecadero]])</f>
        <v>0</v>
      </c>
      <c r="BU85" s="60">
        <f>+Tabla_master_rend[[#This Row],[Diferencia_Env_vs_Sec_kg]]/Tabla_master_rend[[#This Row],[Kg_SalidaSecadero]]</f>
        <v>0</v>
      </c>
      <c r="BV85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85" s="65">
        <f>+(Tabla_master_rend[[#This Row],[Coste_Leche_€]]-Tabla_master_rend[[#This Row],[Kg_MG_Nata]]*$CO$3)/Tabla_master_rend[[#This Row],[Kg_Queso_Blan]]</f>
        <v>-0.16894585991728303</v>
      </c>
      <c r="BX85" s="8">
        <f>SUM(Tabla_master_rend[[#This Row],[Kg_Finos]:[Kg_Desmoldeo]])+Tabla_master_rend[[#This Row],[L_Agua]]+SUM(Tabla_master_rend[[#This Row],[B_altas]:[B_lab]])</f>
        <v>1359.44</v>
      </c>
      <c r="BY85" s="8">
        <f>+BX85-Tabla_master_rend[[#This Row],[Merma_TOT]]</f>
        <v>398.36000000000013</v>
      </c>
      <c r="BZ85" s="62">
        <f t="shared" si="28"/>
        <v>0.2930324251162244</v>
      </c>
      <c r="CA85" s="8">
        <f>+Tabla_master_rend[[#This Row],[Kg_Queso_Blan]]*$CA$1</f>
        <v>250.23400999999998</v>
      </c>
      <c r="CB85" s="8">
        <f>+Tabla_master_rend[[#This Row],[Kg_Queso_Blan]]*($CB$1-$CA$1)</f>
        <v>134.74139000000002</v>
      </c>
      <c r="CC85" s="8">
        <f>+(Tabla_master_rend[[#This Row],[Kg_Queso_Blan]]-CA85-CB85)*$CC$1</f>
        <v>400.18192829999998</v>
      </c>
      <c r="CD85" s="8">
        <f t="shared" si="29"/>
        <v>785.15732830000002</v>
      </c>
      <c r="CE85" s="80">
        <f>+CD85/Tabla_master_rend[[#This Row],[Kg_Queso_Blan]]</f>
        <v>2.0395E-2</v>
      </c>
      <c r="CF85" s="62">
        <f>+Tabla_master_rend[[#This Row],[Merma_TOT]]/Tabla_master_rend[[#This Row],[Kg_Queso_Blan]]</f>
        <v>2.4964712030950548E-2</v>
      </c>
      <c r="CG85" s="8">
        <f>CD85-Tabla_master_rend[[#This Row],[Merma_TOT]]</f>
        <v>-175.92267169999991</v>
      </c>
      <c r="CH85" s="81" cm="1">
        <f t="array" ref="CH85">-BR85 * IFERROR(INDEX('Precio Leche_EBITDA_Ventas'!$BD$87:$BD$110,MATCH(1,('Precio Leche_EBITDA_Ventas'!$AZ$87:$AZ$110=YEAR(A85))*('Precio Leche_EBITDA_Ventas'!$BB$87:$BB$110=C85),0)),1.3)</f>
        <v>-3267.6719999999996</v>
      </c>
      <c r="CI85" s="81">
        <f t="shared" si="30"/>
        <v>-228.69947320999989</v>
      </c>
    </row>
    <row r="86" spans="1:87" x14ac:dyDescent="0.35">
      <c r="A86" s="9">
        <v>45824</v>
      </c>
      <c r="B86" s="7">
        <v>6</v>
      </c>
      <c r="C86" s="7" t="str">
        <f>+UPPER(TEXT(Tabla_master_rend[[#This Row],[Fecha]],"MMM"))</f>
        <v>JUN</v>
      </c>
      <c r="D86" s="7" t="str">
        <f>+UPPER(TEXT(Tabla_master_rend[[#This Row],[Fecha]],"ddd"))</f>
        <v>LU</v>
      </c>
      <c r="E86" s="3">
        <v>160625316</v>
      </c>
      <c r="F86" s="3" t="s">
        <v>244</v>
      </c>
      <c r="G86" s="84" t="s">
        <v>299</v>
      </c>
      <c r="H86">
        <v>20</v>
      </c>
      <c r="I86" s="8">
        <f>+Tabla_master_rend[[#This Row],[L_Leche_ent]]+Tabla_master_rend[[#This Row],[L_desn_ext]]+Tabla_master_rend[[#This Row],[L_cabra]]+Tabla_master_rend[[#This Row],[L_oveja]]</f>
        <v>319933</v>
      </c>
      <c r="J86" s="8">
        <f>319933-111349</f>
        <v>208584</v>
      </c>
      <c r="K86" s="5">
        <v>2.2799999999999997E-2</v>
      </c>
      <c r="L86" s="5">
        <v>3.2599999999999997E-2</v>
      </c>
      <c r="M86" s="5">
        <f t="shared" si="25"/>
        <v>9.3327999999999994E-2</v>
      </c>
      <c r="N86" s="35" t="s">
        <v>43</v>
      </c>
      <c r="O86" s="8">
        <v>111349</v>
      </c>
      <c r="P86" s="8">
        <v>0</v>
      </c>
      <c r="Q86" s="8">
        <v>0</v>
      </c>
      <c r="R86" s="8">
        <v>0</v>
      </c>
      <c r="T86" s="8">
        <v>275620</v>
      </c>
      <c r="U86" s="38">
        <f>+Tabla_master_rend[[#This Row],[L_suero Total]]/Tabla_master_rend[[#This Row],[Litros_Leche_Total]]</f>
        <v>0.86149287507071792</v>
      </c>
      <c r="V86" s="5">
        <v>1.2999999999999999E-3</v>
      </c>
      <c r="W86" s="5">
        <v>8.3000000000000001E-3</v>
      </c>
      <c r="X86" s="8">
        <v>126527</v>
      </c>
      <c r="Y86" s="57">
        <v>44755</v>
      </c>
      <c r="Z86" s="58">
        <f>IF(Tabla_master_rend[[#This Row],[L_suero para con]]=0,0,+Tabla_master_rend[[#This Row],[L_suero para con]]/Tabla_master_rend[[#This Row],[L_suero_con]])</f>
        <v>2.827103116970171</v>
      </c>
      <c r="AA86" s="8">
        <f>+Tabla_master_rend[[#This Row],[L_suero Total]]-Tabla_master_rend[[#This Row],[L_suero para con]]</f>
        <v>149093</v>
      </c>
      <c r="AD86" s="8"/>
      <c r="AE86" s="8"/>
      <c r="AF86" s="8"/>
      <c r="AG86" s="5"/>
      <c r="AI86" s="7">
        <f>+Tabla_master_rend[[#This Row],[Kg_Finos]]+Tabla_master_rend[[#This Row],[Kg_Llenadora]]+Tabla_master_rend[[#This Row],[Kg_Desmoldeo]]+Tabla_master_rend[[#This Row],[L_Agua]]+Tabla_master_rend[[#This Row],[Kg_SalidaSecadero]]</f>
        <v>33879.339999999997</v>
      </c>
      <c r="AJ86" s="59">
        <f>+Tabla_master_rend[[#This Row],[Litros_Leche_Total]]/Tabla_master_rend[[#This Row],[Kg_Queso_Blan]]</f>
        <v>9.4433067468256482</v>
      </c>
      <c r="AK86" s="59">
        <f>+Tabla_master_rend[[#This Row],[Litros_Leche_Total]]/(Tabla_master_rend[[#This Row],[Kg_Queso_Blan]]-Tabla_master_rend[[#This Row],[Merma_TOT]])</f>
        <v>9.6262719870980966</v>
      </c>
      <c r="AL86" s="59">
        <f>VLOOKUP(G86,REND_TARGET[#All],8,FALSE)</f>
        <v>9.8078500000000002</v>
      </c>
      <c r="AM86" s="7">
        <f>(I86*1.03*Tabla_master_rend[[#This Row],[%MG_Leche]])+(I86*1.03*Tabla_master_rend[[#This Row],[%MP_Leche]])</f>
        <v>18256.016845999999</v>
      </c>
      <c r="AN86" s="38">
        <v>0.21809999999999999</v>
      </c>
      <c r="AO86" s="38">
        <v>0.25259999999999999</v>
      </c>
      <c r="AP86" s="60">
        <v>0.53320000000000001</v>
      </c>
      <c r="AQ86" s="38">
        <f>+Tabla_master_rend[[#This Row],[Kg_Queso_Blan]]*Tabla_master_rend[[#This Row],[ES_QUESO]]/(Tabla_master_rend[[#This Row],[Kg_Solidos_leche]])</f>
        <v>0.98950741776720197</v>
      </c>
      <c r="AR86" s="7">
        <f t="shared" si="26"/>
        <v>0</v>
      </c>
      <c r="AS86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0.98346633179285636</v>
      </c>
      <c r="AT86" s="62">
        <f>+Tabla_master_rend[[#This Row],[Kg_Queso_Blan]]*Tabla_master_rend[[#This Row],[%PT_QUESO]]/(Tabla_master_rend[[#This Row],[Litros_Leche_Total]]*1.03*Tabla_master_rend[[#This Row],[%MP_Leche]])</f>
        <v>0.79662590405256228</v>
      </c>
      <c r="AU86" s="63">
        <f t="shared" si="27"/>
        <v>0</v>
      </c>
      <c r="AV86" s="7">
        <v>60.64</v>
      </c>
      <c r="AW86" s="7">
        <v>62.3</v>
      </c>
      <c r="AX86" s="7">
        <v>6.4</v>
      </c>
      <c r="AY86" s="8">
        <f>SUM(Tabla_master_rend[[#This Row],[Kg_Finos]:[Kg_Desmoldeo]])</f>
        <v>129.34</v>
      </c>
      <c r="AZ86" s="60">
        <f>+(Tabla_master_rend[[#This Row],[Kg_Finos]]+Tabla_master_rend[[#This Row],[Kg_Llenadora]]+Tabla_master_rend[[#This Row],[Kg_Desmoldeo]])/(Tabla_master_rend[[#This Row],[Kg_Queso_Blan]])</f>
        <v>3.8176658695240231E-3</v>
      </c>
      <c r="BA86" s="7">
        <v>270</v>
      </c>
      <c r="BB86" s="60">
        <f>+Tabla_master_rend[[#This Row],[L_Agua]]/(Tabla_master_rend[[#This Row],[L_Agua]]+Tabla_master_rend[[#This Row],[Kg_SalidaSecadero]])</f>
        <v>8.0000000000000002E-3</v>
      </c>
      <c r="BC86" s="8">
        <v>4771</v>
      </c>
      <c r="BD86" s="8">
        <v>4699</v>
      </c>
      <c r="BE86" s="8">
        <v>33235</v>
      </c>
      <c r="BF86" s="8">
        <v>0</v>
      </c>
      <c r="BG86" s="8">
        <f>44*7.5</f>
        <v>330</v>
      </c>
      <c r="BH86" s="7">
        <f>8*7.5</f>
        <v>60</v>
      </c>
      <c r="BI86" s="7">
        <f>3*7.5</f>
        <v>22.5</v>
      </c>
      <c r="BJ86" s="8">
        <v>103</v>
      </c>
      <c r="BK86" s="8">
        <v>33480</v>
      </c>
      <c r="BL86" s="8">
        <v>2.72</v>
      </c>
      <c r="BM86" s="8">
        <v>214.31</v>
      </c>
      <c r="BN86" s="7">
        <v>27.57</v>
      </c>
      <c r="BO86" s="68">
        <f>+SUM(Tabla_master_rend[[#This Row],[B_altas]:[B_lab]])/Tabla_master_rend[[#This Row],[Kg_SalidaSecadero]]</f>
        <v>1.5397252090800478E-2</v>
      </c>
      <c r="BP86" s="68">
        <f>+(Tabla_master_rend[[#This Row],[Kg_mer_env_real]]+Tabla_master_rend[[#This Row],[kg_mer_lab_real]])/Tabla_master_rend[[#This Row],[Kg_SalidaSecadero]]</f>
        <v>7.2246117084826759E-3</v>
      </c>
      <c r="BQ86" s="64">
        <f>+Tabla_master_rend[[#This Row],[Merma_TOT]]/Tabla_master_rend[[#This Row],[Kg_Queso_Blan]]</f>
        <v>1.9006863770073445E-2</v>
      </c>
      <c r="BR86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643.93999999999994</v>
      </c>
      <c r="BS86" s="8"/>
      <c r="BT86" s="63">
        <f>IF(+Tabla_master_rend[[#This Row],[Kg_Env_Total]]=0,0,Tabla_master_rend[[#This Row],[Kg_Env_Total]]-Tabla_master_rend[[#This Row],[Kg_SalidaSecadero]])</f>
        <v>0</v>
      </c>
      <c r="BU86" s="60">
        <f>+Tabla_master_rend[[#This Row],[Diferencia_Env_vs_Sec_kg]]/Tabla_master_rend[[#This Row],[Kg_SalidaSecadero]]</f>
        <v>0</v>
      </c>
      <c r="BV86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86" s="65">
        <f>+(Tabla_master_rend[[#This Row],[Coste_Leche_€]]-Tabla_master_rend[[#This Row],[Kg_MG_Nata]]*$CO$3)/Tabla_master_rend[[#This Row],[Kg_Queso_Blan]]</f>
        <v>0</v>
      </c>
      <c r="BX86" s="8">
        <f>SUM(Tabla_master_rend[[#This Row],[Kg_Finos]:[Kg_Desmoldeo]])+Tabla_master_rend[[#This Row],[L_Agua]]+SUM(Tabla_master_rend[[#This Row],[B_altas]:[B_lab]])</f>
        <v>914.84</v>
      </c>
      <c r="BY86" s="8">
        <f>+BX86-Tabla_master_rend[[#This Row],[Merma_TOT]]</f>
        <v>270.90000000000009</v>
      </c>
      <c r="BZ86" s="62">
        <f t="shared" si="28"/>
        <v>0.29611735385422594</v>
      </c>
      <c r="CA86" s="8">
        <f>+Tabla_master_rend[[#This Row],[Kg_Queso_Blan]]*$CA$1</f>
        <v>220.21570999999997</v>
      </c>
      <c r="CB86" s="8">
        <f>+Tabla_master_rend[[#This Row],[Kg_Queso_Blan]]*($CB$1-$CA$1)</f>
        <v>118.57769</v>
      </c>
      <c r="CC86" s="8">
        <f>+(Tabla_master_rend[[#This Row],[Kg_Queso_Blan]]-CA86-CB86)*$CC$1</f>
        <v>352.17573930000003</v>
      </c>
      <c r="CD86" s="8">
        <f t="shared" si="29"/>
        <v>690.96913930000005</v>
      </c>
      <c r="CE86" s="80">
        <f>+CD86/Tabla_master_rend[[#This Row],[Kg_Queso_Blan]]</f>
        <v>2.0395000000000003E-2</v>
      </c>
      <c r="CF86" s="62">
        <f>+Tabla_master_rend[[#This Row],[Merma_TOT]]/Tabla_master_rend[[#This Row],[Kg_Queso_Blan]]</f>
        <v>1.9006863770073445E-2</v>
      </c>
      <c r="CG86" s="8">
        <f>CD86-Tabla_master_rend[[#This Row],[Merma_TOT]]</f>
        <v>47.029139300000111</v>
      </c>
      <c r="CH86" s="81" cm="1">
        <f t="array" ref="CH86">-BR86 * IFERROR(INDEX('Precio Leche_EBITDA_Ventas'!$BD$87:$BD$110,MATCH(1,('Precio Leche_EBITDA_Ventas'!$AZ$87:$AZ$110=YEAR(A86))*('Precio Leche_EBITDA_Ventas'!$BB$87:$BB$110=C86),0)),1.3)</f>
        <v>-2189.3959999999997</v>
      </c>
      <c r="CI86" s="81">
        <f t="shared" si="30"/>
        <v>61.137881090000143</v>
      </c>
    </row>
    <row r="87" spans="1:87" x14ac:dyDescent="0.35">
      <c r="A87" s="9">
        <v>45825</v>
      </c>
      <c r="B87" s="7">
        <v>6</v>
      </c>
      <c r="C87" s="7" t="str">
        <f>+UPPER(TEXT(Tabla_master_rend[[#This Row],[Fecha]],"MMM"))</f>
        <v>JUN</v>
      </c>
      <c r="D87" s="7" t="str">
        <f>+UPPER(TEXT(Tabla_master_rend[[#This Row],[Fecha]],"ddd"))</f>
        <v>MA</v>
      </c>
      <c r="E87" s="3">
        <v>170625316</v>
      </c>
      <c r="F87" s="3" t="s">
        <v>244</v>
      </c>
      <c r="G87" s="84" t="s">
        <v>299</v>
      </c>
      <c r="H87">
        <v>20</v>
      </c>
      <c r="I87" s="8">
        <f>+Tabla_master_rend[[#This Row],[L_Leche_ent]]+Tabla_master_rend[[#This Row],[L_desn_ext]]+Tabla_master_rend[[#This Row],[L_cabra]]+Tabla_master_rend[[#This Row],[L_oveja]]</f>
        <v>335570</v>
      </c>
      <c r="J87" s="8">
        <f>335570-32799</f>
        <v>302771</v>
      </c>
      <c r="K87" s="5">
        <v>3.32E-2</v>
      </c>
      <c r="L87" s="5">
        <v>3.2400000000000005E-2</v>
      </c>
      <c r="M87" s="5">
        <f t="shared" si="25"/>
        <v>0.102852</v>
      </c>
      <c r="N87" s="35" t="s">
        <v>43</v>
      </c>
      <c r="O87" s="8">
        <v>32799</v>
      </c>
      <c r="P87" s="8">
        <v>0</v>
      </c>
      <c r="Q87" s="8">
        <v>0</v>
      </c>
      <c r="R87" s="8">
        <v>8005</v>
      </c>
      <c r="T87" s="8">
        <v>274820</v>
      </c>
      <c r="U87" s="38">
        <f>+Tabla_master_rend[[#This Row],[L_suero Total]]/Tabla_master_rend[[#This Row],[Litros_Leche_Total]]</f>
        <v>0.81896474655064522</v>
      </c>
      <c r="V87" s="5">
        <v>1.1999999999999999E-3</v>
      </c>
      <c r="W87" s="5">
        <v>6.0000000000000001E-3</v>
      </c>
      <c r="X87" s="8">
        <v>295099</v>
      </c>
      <c r="Y87" s="57">
        <v>116881</v>
      </c>
      <c r="Z87" s="58">
        <f>IF(Tabla_master_rend[[#This Row],[L_suero para con]]=0,0,+Tabla_master_rend[[#This Row],[L_suero para con]]/Tabla_master_rend[[#This Row],[L_suero_con]])</f>
        <v>2.5247816154892582</v>
      </c>
      <c r="AA87" s="8">
        <f>+Tabla_master_rend[[#This Row],[L_suero Total]]-Tabla_master_rend[[#This Row],[L_suero para con]]</f>
        <v>-20279</v>
      </c>
      <c r="AD87" s="8"/>
      <c r="AE87" s="8"/>
      <c r="AF87" s="8"/>
      <c r="AG87" s="5"/>
      <c r="AI87" s="7">
        <f>+Tabla_master_rend[[#This Row],[Kg_Finos]]+Tabla_master_rend[[#This Row],[Kg_Llenadora]]+Tabla_master_rend[[#This Row],[Kg_Desmoldeo]]+Tabla_master_rend[[#This Row],[L_Agua]]+Tabla_master_rend[[#This Row],[Kg_SalidaSecadero]]</f>
        <v>34437.01</v>
      </c>
      <c r="AJ87" s="59">
        <f>+Tabla_master_rend[[#This Row],[Litros_Leche_Total]]/Tabla_master_rend[[#This Row],[Kg_Queso_Blan]]</f>
        <v>9.7444580699660044</v>
      </c>
      <c r="AK87" s="59">
        <f>+Tabla_master_rend[[#This Row],[Litros_Leche_Total]]/(Tabla_master_rend[[#This Row],[Kg_Queso_Blan]]-Tabla_master_rend[[#This Row],[Merma_TOT]])</f>
        <v>9.8963941287548671</v>
      </c>
      <c r="AL87" s="59">
        <f>VLOOKUP(G87,REND_TARGET[#All],8,FALSE)</f>
        <v>9.8078500000000002</v>
      </c>
      <c r="AM87" s="7">
        <f>(I87*1.03*Tabla_master_rend[[#This Row],[%MG_Leche]])+(I87*1.03*Tabla_master_rend[[#This Row],[%MP_Leche]])</f>
        <v>22673.793760000004</v>
      </c>
      <c r="AN87" s="38">
        <v>0.22149999999999997</v>
      </c>
      <c r="AO87" s="38">
        <v>0.24850000000000003</v>
      </c>
      <c r="AP87" s="60">
        <v>0.53110000000000002</v>
      </c>
      <c r="AQ87" s="38">
        <f>+Tabla_master_rend[[#This Row],[Kg_Queso_Blan]]*Tabla_master_rend[[#This Row],[ES_QUESO]]/(Tabla_master_rend[[#This Row],[Kg_Solidos_leche]])</f>
        <v>0.80663589889687692</v>
      </c>
      <c r="AR87" s="7">
        <f t="shared" si="26"/>
        <v>3202</v>
      </c>
      <c r="AS87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0.94376074314771663</v>
      </c>
      <c r="AT87" s="62">
        <f>+Tabla_master_rend[[#This Row],[Kg_Queso_Blan]]*Tabla_master_rend[[#This Row],[%PT_QUESO]]/(Tabla_master_rend[[#This Row],[Litros_Leche_Total]]*1.03*Tabla_master_rend[[#This Row],[%MP_Leche]])</f>
        <v>0.76416381150798884</v>
      </c>
      <c r="AU87" s="63">
        <f t="shared" si="27"/>
        <v>24015</v>
      </c>
      <c r="AV87" s="7">
        <v>64.709999999999994</v>
      </c>
      <c r="AW87" s="7">
        <v>58.3</v>
      </c>
      <c r="AX87" s="7">
        <v>6</v>
      </c>
      <c r="AY87" s="8">
        <f>SUM(Tabla_master_rend[[#This Row],[Kg_Finos]:[Kg_Desmoldeo]])</f>
        <v>129.01</v>
      </c>
      <c r="AZ87" s="60">
        <f>+(Tabla_master_rend[[#This Row],[Kg_Finos]]+Tabla_master_rend[[#This Row],[Kg_Llenadora]]+Tabla_master_rend[[#This Row],[Kg_Desmoldeo]])/(Tabla_master_rend[[#This Row],[Kg_Queso_Blan]])</f>
        <v>3.7462602008710971E-3</v>
      </c>
      <c r="BA87" s="7">
        <v>290</v>
      </c>
      <c r="BB87" s="60">
        <f>+Tabla_master_rend[[#This Row],[L_Agua]]/(Tabla_master_rend[[#This Row],[L_Agua]]+Tabla_master_rend[[#This Row],[Kg_SalidaSecadero]])</f>
        <v>8.4528389879911393E-3</v>
      </c>
      <c r="BC87" s="8">
        <v>4850</v>
      </c>
      <c r="BD87" s="8">
        <v>4776</v>
      </c>
      <c r="BE87" s="8">
        <v>33844</v>
      </c>
      <c r="BF87" s="8">
        <v>0</v>
      </c>
      <c r="BG87" s="8">
        <f>39*6.3</f>
        <v>245.7</v>
      </c>
      <c r="BH87" s="7">
        <f>8*6.3</f>
        <v>50.4</v>
      </c>
      <c r="BI87" s="7">
        <f>7*6.3</f>
        <v>44.1</v>
      </c>
      <c r="BJ87" s="8">
        <v>123</v>
      </c>
      <c r="BK87" s="8">
        <v>34018</v>
      </c>
      <c r="BL87" s="8">
        <v>5.05</v>
      </c>
      <c r="BM87" s="8">
        <v>82.65</v>
      </c>
      <c r="BN87" s="7">
        <v>21.99</v>
      </c>
      <c r="BO87" s="68">
        <f>+SUM(Tabla_master_rend[[#This Row],[B_altas]:[B_lab]])/Tabla_master_rend[[#This Row],[Kg_SalidaSecadero]]</f>
        <v>1.3616320771356341E-2</v>
      </c>
      <c r="BP87" s="68">
        <f>+(Tabla_master_rend[[#This Row],[Kg_mer_env_real]]+Tabla_master_rend[[#This Row],[kg_mer_lab_real]])/Tabla_master_rend[[#This Row],[Kg_SalidaSecadero]]</f>
        <v>3.0760185783996708E-3</v>
      </c>
      <c r="BQ87" s="64">
        <f>+Tabla_master_rend[[#This Row],[Merma_TOT]]/Tabla_master_rend[[#This Row],[Kg_Queso_Blan]]</f>
        <v>1.5352668538877214E-2</v>
      </c>
      <c r="BR87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528.70000000000005</v>
      </c>
      <c r="BS87" s="8"/>
      <c r="BT87" s="63">
        <f>IF(+Tabla_master_rend[[#This Row],[Kg_Env_Total]]=0,0,Tabla_master_rend[[#This Row],[Kg_Env_Total]]-Tabla_master_rend[[#This Row],[Kg_SalidaSecadero]])</f>
        <v>0</v>
      </c>
      <c r="BU87" s="60">
        <f>+Tabla_master_rend[[#This Row],[Diferencia_Env_vs_Sec_kg]]/Tabla_master_rend[[#This Row],[Kg_SalidaSecadero]]</f>
        <v>0</v>
      </c>
      <c r="BV87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87" s="65">
        <f>+(Tabla_master_rend[[#This Row],[Coste_Leche_€]]-Tabla_master_rend[[#This Row],[Kg_MG_Nata]]*$CO$3)/Tabla_master_rend[[#This Row],[Kg_Queso_Blan]]</f>
        <v>-0.69736019474396871</v>
      </c>
      <c r="BX87" s="8">
        <f>SUM(Tabla_master_rend[[#This Row],[Kg_Finos]:[Kg_Desmoldeo]])+Tabla_master_rend[[#This Row],[L_Agua]]+SUM(Tabla_master_rend[[#This Row],[B_altas]:[B_lab]])</f>
        <v>882.21</v>
      </c>
      <c r="BY87" s="8">
        <f>+BX87-Tabla_master_rend[[#This Row],[Merma_TOT]]</f>
        <v>353.51</v>
      </c>
      <c r="BZ87" s="62">
        <f t="shared" si="28"/>
        <v>0.40070958161888892</v>
      </c>
      <c r="CA87" s="8">
        <f>+Tabla_master_rend[[#This Row],[Kg_Queso_Blan]]*$CA$1</f>
        <v>223.840565</v>
      </c>
      <c r="CB87" s="8">
        <f>+Tabla_master_rend[[#This Row],[Kg_Queso_Blan]]*($CB$1-$CA$1)</f>
        <v>120.52953500000002</v>
      </c>
      <c r="CC87" s="8">
        <f>+(Tabla_master_rend[[#This Row],[Kg_Queso_Blan]]-CA87-CB87)*$CC$1</f>
        <v>357.97271895000006</v>
      </c>
      <c r="CD87" s="8">
        <f t="shared" si="29"/>
        <v>702.34281895000004</v>
      </c>
      <c r="CE87" s="80">
        <f>+CD87/Tabla_master_rend[[#This Row],[Kg_Queso_Blan]]</f>
        <v>2.0395E-2</v>
      </c>
      <c r="CF87" s="62">
        <f>+Tabla_master_rend[[#This Row],[Merma_TOT]]/Tabla_master_rend[[#This Row],[Kg_Queso_Blan]]</f>
        <v>1.5352668538877214E-2</v>
      </c>
      <c r="CG87" s="8">
        <f>CD87-Tabla_master_rend[[#This Row],[Merma_TOT]]</f>
        <v>173.64281894999999</v>
      </c>
      <c r="CH87" s="81" cm="1">
        <f t="array" ref="CH87">-BR87 * IFERROR(INDEX('Precio Leche_EBITDA_Ventas'!$BD$87:$BD$110,MATCH(1,('Precio Leche_EBITDA_Ventas'!$AZ$87:$AZ$110=YEAR(A87))*('Precio Leche_EBITDA_Ventas'!$BB$87:$BB$110=C87),0)),1.3)</f>
        <v>-1797.5800000000002</v>
      </c>
      <c r="CI87" s="81">
        <f t="shared" si="30"/>
        <v>225.73566463500001</v>
      </c>
    </row>
    <row r="88" spans="1:87" x14ac:dyDescent="0.35">
      <c r="A88" s="9">
        <v>45828</v>
      </c>
      <c r="B88" s="7">
        <v>6</v>
      </c>
      <c r="C88" s="7" t="str">
        <f>+UPPER(TEXT(Tabla_master_rend[[#This Row],[Fecha]],"MMM"))</f>
        <v>JUN</v>
      </c>
      <c r="D88" s="7" t="str">
        <f>+UPPER(TEXT(Tabla_master_rend[[#This Row],[Fecha]],"ddd"))</f>
        <v>VI</v>
      </c>
      <c r="E88" s="3">
        <v>200625326</v>
      </c>
      <c r="F88" s="3" t="s">
        <v>244</v>
      </c>
      <c r="G88" s="84" t="s">
        <v>301</v>
      </c>
      <c r="H88">
        <v>14</v>
      </c>
      <c r="I88" s="8">
        <f>+Tabla_master_rend[[#This Row],[L_Leche_ent]]+Tabla_master_rend[[#This Row],[L_desn_ext]]+Tabla_master_rend[[#This Row],[L_cabra]]+Tabla_master_rend[[#This Row],[L_oveja]]</f>
        <v>225200</v>
      </c>
      <c r="J88" s="8">
        <v>225200</v>
      </c>
      <c r="K88" s="5">
        <v>3.4099999999999998E-2</v>
      </c>
      <c r="L88" s="5">
        <v>3.1800000000000002E-2</v>
      </c>
      <c r="M88" s="5">
        <f t="shared" si="25"/>
        <v>0.103245</v>
      </c>
      <c r="N88" s="35" t="s">
        <v>43</v>
      </c>
      <c r="O88" s="8">
        <v>0</v>
      </c>
      <c r="P88" s="8">
        <v>0</v>
      </c>
      <c r="Q88" s="8">
        <v>0</v>
      </c>
      <c r="R88" s="8">
        <v>1918</v>
      </c>
      <c r="T88" s="8">
        <v>190420</v>
      </c>
      <c r="U88" s="38">
        <f>+Tabla_master_rend[[#This Row],[L_suero Total]]/Tabla_master_rend[[#This Row],[Litros_Leche_Total]]</f>
        <v>0.84555950266429836</v>
      </c>
      <c r="V88" s="5">
        <v>2E-3</v>
      </c>
      <c r="W88" s="5">
        <v>6.0000000000000001E-3</v>
      </c>
      <c r="X88" s="8">
        <v>203776</v>
      </c>
      <c r="Y88" s="57">
        <v>92598</v>
      </c>
      <c r="Z88" s="58">
        <f>IF(Tabla_master_rend[[#This Row],[L_suero para con]]=0,0,+Tabla_master_rend[[#This Row],[L_suero para con]]/Tabla_master_rend[[#This Row],[L_suero_con]])</f>
        <v>2.2006522819067365</v>
      </c>
      <c r="AA88" s="8">
        <f>+Tabla_master_rend[[#This Row],[L_suero Total]]-Tabla_master_rend[[#This Row],[L_suero para con]]</f>
        <v>-13356</v>
      </c>
      <c r="AD88" s="8"/>
      <c r="AE88" s="8"/>
      <c r="AF88" s="8"/>
      <c r="AG88" s="5"/>
      <c r="AI88" s="7">
        <f>+Tabla_master_rend[[#This Row],[Kg_Finos]]+Tabla_master_rend[[#This Row],[Kg_Llenadora]]+Tabla_master_rend[[#This Row],[Kg_Desmoldeo]]+Tabla_master_rend[[#This Row],[L_Agua]]+Tabla_master_rend[[#This Row],[Kg_SalidaSecadero]]</f>
        <v>24011.56</v>
      </c>
      <c r="AJ88" s="59">
        <f>+Tabla_master_rend[[#This Row],[Litros_Leche_Total]]/Tabla_master_rend[[#This Row],[Kg_Queso_Blan]]</f>
        <v>9.378815870355778</v>
      </c>
      <c r="AK88" s="59">
        <f>+Tabla_master_rend[[#This Row],[Litros_Leche_Total]]/(Tabla_master_rend[[#This Row],[Kg_Queso_Blan]]-Tabla_master_rend[[#This Row],[Merma_TOT]])</f>
        <v>9.5416410860014551</v>
      </c>
      <c r="AL88" s="59">
        <f>VLOOKUP(G88,REND_TARGET[#All],8,FALSE)</f>
        <v>9.3549429999999987</v>
      </c>
      <c r="AM88" s="7">
        <f>(I88*1.03*Tabla_master_rend[[#This Row],[%MG_Leche]])+(I88*1.03*Tabla_master_rend[[#This Row],[%MP_Leche]])</f>
        <v>15285.9004</v>
      </c>
      <c r="AN88" s="38">
        <v>0.29020000000000001</v>
      </c>
      <c r="AO88" s="38">
        <v>0.23910000000000001</v>
      </c>
      <c r="AP88" s="60">
        <v>0.57909999999999995</v>
      </c>
      <c r="AQ88" s="38">
        <f>+Tabla_master_rend[[#This Row],[Kg_Queso_Blan]]*Tabla_master_rend[[#This Row],[ES_QUESO]]/(Tabla_master_rend[[#This Row],[Kg_Solidos_leche]])</f>
        <v>0.90966799679003529</v>
      </c>
      <c r="AR88" s="7">
        <f t="shared" si="26"/>
        <v>767.2</v>
      </c>
      <c r="AS88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0.97795808983693899</v>
      </c>
      <c r="AT88" s="62">
        <f>+Tabla_master_rend[[#This Row],[Kg_Queso_Blan]]*Tabla_master_rend[[#This Row],[%PT_QUESO]]/(Tabla_master_rend[[#This Row],[Litros_Leche_Total]]*1.03*Tabla_master_rend[[#This Row],[%MP_Leche]])</f>
        <v>0.77833618575025776</v>
      </c>
      <c r="AU88" s="63">
        <f t="shared" si="27"/>
        <v>5754</v>
      </c>
      <c r="AV88" s="7">
        <v>33.36</v>
      </c>
      <c r="AW88" s="7">
        <v>19.2</v>
      </c>
      <c r="AX88" s="7">
        <v>11</v>
      </c>
      <c r="AY88" s="8">
        <f>SUM(Tabla_master_rend[[#This Row],[Kg_Finos]:[Kg_Desmoldeo]])</f>
        <v>63.56</v>
      </c>
      <c r="AZ88" s="60">
        <f>+(Tabla_master_rend[[#This Row],[Kg_Finos]]+Tabla_master_rend[[#This Row],[Kg_Llenadora]]+Tabla_master_rend[[#This Row],[Kg_Desmoldeo]])/(Tabla_master_rend[[#This Row],[Kg_Queso_Blan]])</f>
        <v>2.6470583335693309E-3</v>
      </c>
      <c r="BA88" s="7">
        <v>200</v>
      </c>
      <c r="BB88" s="60">
        <f>+Tabla_master_rend[[#This Row],[L_Agua]]/(Tabla_master_rend[[#This Row],[L_Agua]]+Tabla_master_rend[[#This Row],[Kg_SalidaSecadero]])</f>
        <v>8.3514280942041091E-3</v>
      </c>
      <c r="BC88" s="8">
        <v>3170</v>
      </c>
      <c r="BD88" s="8">
        <v>3134</v>
      </c>
      <c r="BE88" s="8">
        <v>23702</v>
      </c>
      <c r="BF88" s="8">
        <v>0</v>
      </c>
      <c r="BG88" s="8">
        <f>11*6.6</f>
        <v>72.599999999999994</v>
      </c>
      <c r="BH88" s="7">
        <f>5*6.6</f>
        <v>33</v>
      </c>
      <c r="BI88" s="7">
        <f>6*6.6</f>
        <v>39.599999999999994</v>
      </c>
      <c r="BJ88" s="8">
        <v>100</v>
      </c>
      <c r="BK88" s="8">
        <v>23748</v>
      </c>
      <c r="BL88" s="8">
        <v>0</v>
      </c>
      <c r="BM88" s="8">
        <v>136.44999999999999</v>
      </c>
      <c r="BN88" s="7">
        <v>9.74</v>
      </c>
      <c r="BO88" s="68">
        <f>+SUM(Tabla_master_rend[[#This Row],[B_altas]:[B_lab]])/Tabla_master_rend[[#This Row],[Kg_SalidaSecadero]]</f>
        <v>1.032508000673741E-2</v>
      </c>
      <c r="BP88" s="68">
        <f>+(Tabla_master_rend[[#This Row],[Kg_mer_env_real]]+Tabla_master_rend[[#This Row],[kg_mer_lab_real]])/Tabla_master_rend[[#This Row],[Kg_SalidaSecadero]]</f>
        <v>6.1558868115209704E-3</v>
      </c>
      <c r="BQ88" s="64">
        <f>+Tabla_master_rend[[#This Row],[Merma_TOT]]/Tabla_master_rend[[#This Row],[Kg_Queso_Blan]]</f>
        <v>1.7064697170862699E-2</v>
      </c>
      <c r="BR88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409.75</v>
      </c>
      <c r="BS88" s="8"/>
      <c r="BT88" s="63">
        <f>IF(+Tabla_master_rend[[#This Row],[Kg_Env_Total]]=0,0,Tabla_master_rend[[#This Row],[Kg_Env_Total]]-Tabla_master_rend[[#This Row],[Kg_SalidaSecadero]])</f>
        <v>0</v>
      </c>
      <c r="BU88" s="60">
        <f>+Tabla_master_rend[[#This Row],[Diferencia_Env_vs_Sec_kg]]/Tabla_master_rend[[#This Row],[Kg_SalidaSecadero]]</f>
        <v>0</v>
      </c>
      <c r="BV88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88" s="65">
        <f>+(Tabla_master_rend[[#This Row],[Coste_Leche_€]]-Tabla_master_rend[[#This Row],[Kg_MG_Nata]]*$CO$3)/Tabla_master_rend[[#This Row],[Kg_Queso_Blan]]</f>
        <v>-0.23963457601255395</v>
      </c>
      <c r="BX88" s="8">
        <f>SUM(Tabla_master_rend[[#This Row],[Kg_Finos]:[Kg_Desmoldeo]])+Tabla_master_rend[[#This Row],[L_Agua]]+SUM(Tabla_master_rend[[#This Row],[B_altas]:[B_lab]])</f>
        <v>508.76</v>
      </c>
      <c r="BY88" s="8">
        <f>+BX88-Tabla_master_rend[[#This Row],[Merma_TOT]]</f>
        <v>99.009999999999991</v>
      </c>
      <c r="BZ88" s="62">
        <f t="shared" si="28"/>
        <v>0.19461042534790471</v>
      </c>
      <c r="CA88" s="8">
        <f>+Tabla_master_rend[[#This Row],[Kg_Queso_Blan]]*$CA$1</f>
        <v>156.07514</v>
      </c>
      <c r="CB88" s="8">
        <f>+Tabla_master_rend[[#This Row],[Kg_Queso_Blan]]*($CB$1-$CA$1)</f>
        <v>84.04046000000001</v>
      </c>
      <c r="CC88" s="8">
        <f>+(Tabla_master_rend[[#This Row],[Kg_Queso_Blan]]-CA88-CB88)*$CC$1</f>
        <v>249.60016620000002</v>
      </c>
      <c r="CD88" s="8">
        <f t="shared" si="29"/>
        <v>489.71576620000008</v>
      </c>
      <c r="CE88" s="80">
        <f>+CD88/Tabla_master_rend[[#This Row],[Kg_Queso_Blan]]</f>
        <v>2.0395000000000003E-2</v>
      </c>
      <c r="CF88" s="62">
        <f>+Tabla_master_rend[[#This Row],[Merma_TOT]]/Tabla_master_rend[[#This Row],[Kg_Queso_Blan]]</f>
        <v>1.7064697170862699E-2</v>
      </c>
      <c r="CG88" s="8">
        <f>CD88-Tabla_master_rend[[#This Row],[Merma_TOT]]</f>
        <v>79.965766200000076</v>
      </c>
      <c r="CH88" s="81" cm="1">
        <f t="array" ref="CH88">-BR88 * IFERROR(INDEX('Precio Leche_EBITDA_Ventas'!$BD$87:$BD$110,MATCH(1,('Precio Leche_EBITDA_Ventas'!$AZ$87:$AZ$110=YEAR(A88))*('Precio Leche_EBITDA_Ventas'!$BB$87:$BB$110=C88),0)),1.3)</f>
        <v>-1393.1499999999999</v>
      </c>
      <c r="CI88" s="81">
        <f t="shared" si="30"/>
        <v>103.9554960600001</v>
      </c>
    </row>
    <row r="89" spans="1:87" x14ac:dyDescent="0.35">
      <c r="A89" s="9">
        <v>45840</v>
      </c>
      <c r="B89" s="7">
        <v>7</v>
      </c>
      <c r="C89" s="7" t="str">
        <f>+UPPER(TEXT(Tabla_master_rend[[#This Row],[Fecha]],"MMM"))</f>
        <v>JUL</v>
      </c>
      <c r="D89" s="7" t="str">
        <f>+UPPER(TEXT(Tabla_master_rend[[#This Row],[Fecha]],"ddd"))</f>
        <v>MI</v>
      </c>
      <c r="E89" s="3" t="s">
        <v>489</v>
      </c>
      <c r="F89" s="3" t="s">
        <v>244</v>
      </c>
      <c r="G89" s="84" t="s">
        <v>301</v>
      </c>
      <c r="H89">
        <v>20</v>
      </c>
      <c r="I89" s="8">
        <f>+Tabla_master_rend[[#This Row],[L_Leche_ent]]+Tabla_master_rend[[#This Row],[L_desn_ext]]+Tabla_master_rend[[#This Row],[L_cabra]]+Tabla_master_rend[[#This Row],[L_oveja]]</f>
        <v>332934</v>
      </c>
      <c r="J89" s="8">
        <v>332934</v>
      </c>
      <c r="K89" s="5">
        <v>3.5900000000000001E-2</v>
      </c>
      <c r="L89" s="5">
        <v>3.2000000000000001E-2</v>
      </c>
      <c r="M89" s="5">
        <f t="shared" si="25"/>
        <v>0.10506699999999999</v>
      </c>
      <c r="N89" s="35" t="s">
        <v>43</v>
      </c>
      <c r="O89" s="8">
        <v>0</v>
      </c>
      <c r="P89" s="8">
        <v>0</v>
      </c>
      <c r="Q89" s="8">
        <v>0</v>
      </c>
      <c r="R89" s="8">
        <v>3800</v>
      </c>
      <c r="T89" s="8">
        <v>272230</v>
      </c>
      <c r="U89" s="38">
        <f>+Tabla_master_rend[[#This Row],[L_suero Total]]/Tabla_master_rend[[#This Row],[Litros_Leche_Total]]</f>
        <v>0.81766956814263492</v>
      </c>
      <c r="V89" s="5">
        <v>2.3E-3</v>
      </c>
      <c r="W89" s="5">
        <v>9.1999999999999998E-3</v>
      </c>
      <c r="X89" s="8">
        <v>279940</v>
      </c>
      <c r="Y89" s="57">
        <v>110413</v>
      </c>
      <c r="Z89" s="58">
        <f>IF(Tabla_master_rend[[#This Row],[L_suero para con]]=0,0,+Tabla_master_rend[[#This Row],[L_suero para con]]/Tabla_master_rend[[#This Row],[L_suero_con]])</f>
        <v>2.535389854455544</v>
      </c>
      <c r="AA89" s="8">
        <f>+Tabla_master_rend[[#This Row],[L_suero Total]]-Tabla_master_rend[[#This Row],[L_suero para con]]</f>
        <v>-7710</v>
      </c>
      <c r="AD89" s="8"/>
      <c r="AE89" s="8"/>
      <c r="AF89" s="8"/>
      <c r="AG89" s="5"/>
      <c r="AI89" s="7">
        <f>+Tabla_master_rend[[#This Row],[Kg_Finos]]+Tabla_master_rend[[#This Row],[Kg_Llenadora]]+Tabla_master_rend[[#This Row],[Kg_Desmoldeo]]+Tabla_master_rend[[#This Row],[L_Agua]]+Tabla_master_rend[[#This Row],[Kg_SalidaSecadero]]</f>
        <v>35113.4</v>
      </c>
      <c r="AJ89" s="59">
        <f>+Tabla_master_rend[[#This Row],[Litros_Leche_Total]]/Tabla_master_rend[[#This Row],[Kg_Queso_Blan]]</f>
        <v>9.481679358877237</v>
      </c>
      <c r="AK89" s="59">
        <f>+Tabla_master_rend[[#This Row],[Litros_Leche_Total]]/(Tabla_master_rend[[#This Row],[Kg_Queso_Blan]]-Tabla_master_rend[[#This Row],[Merma_TOT]])</f>
        <v>9.6918459116027407</v>
      </c>
      <c r="AL89" s="59">
        <f>VLOOKUP(G89,REND_TARGET[#All],8,FALSE)</f>
        <v>9.3549429999999987</v>
      </c>
      <c r="AM89" s="7">
        <f>(I89*1.03*Tabla_master_rend[[#This Row],[%MG_Leche]])+(I89*1.03*Tabla_master_rend[[#This Row],[%MP_Leche]])</f>
        <v>23284.405158000001</v>
      </c>
      <c r="AN89" s="38">
        <v>0.29220000000000002</v>
      </c>
      <c r="AO89" s="38">
        <v>0.2412</v>
      </c>
      <c r="AP89" s="60">
        <v>0.58379999999999999</v>
      </c>
      <c r="AQ89" s="38">
        <f>+Tabla_master_rend[[#This Row],[Kg_Queso_Blan]]*Tabla_master_rend[[#This Row],[ES_QUESO]]/(Tabla_master_rend[[#This Row],[Kg_Solidos_leche]])</f>
        <v>0.88038336306637111</v>
      </c>
      <c r="AR89" s="7">
        <f t="shared" si="26"/>
        <v>1520</v>
      </c>
      <c r="AS89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0.95688657891240714</v>
      </c>
      <c r="AT89" s="62">
        <f>+Tabla_master_rend[[#This Row],[Kg_Queso_Blan]]*Tabla_master_rend[[#This Row],[%PT_QUESO]]/(Tabla_master_rend[[#This Row],[Litros_Leche_Total]]*1.03*Tabla_master_rend[[#This Row],[%MP_Leche]])</f>
        <v>0.77180010924932729</v>
      </c>
      <c r="AU89" s="63">
        <f t="shared" si="27"/>
        <v>11400</v>
      </c>
      <c r="AV89" s="7">
        <v>55.4</v>
      </c>
      <c r="AW89" s="7">
        <v>65</v>
      </c>
      <c r="AX89" s="7">
        <v>58</v>
      </c>
      <c r="AY89" s="8">
        <f>SUM(Tabla_master_rend[[#This Row],[Kg_Finos]:[Kg_Desmoldeo]])</f>
        <v>178.4</v>
      </c>
      <c r="AZ89" s="60">
        <f>+(Tabla_master_rend[[#This Row],[Kg_Finos]]+Tabla_master_rend[[#This Row],[Kg_Llenadora]]+Tabla_master_rend[[#This Row],[Kg_Desmoldeo]])/(Tabla_master_rend[[#This Row],[Kg_Queso_Blan]])</f>
        <v>5.0806814492472957E-3</v>
      </c>
      <c r="BA89" s="7">
        <v>295</v>
      </c>
      <c r="BB89" s="60">
        <f>+Tabla_master_rend[[#This Row],[L_Agua]]/(Tabla_master_rend[[#This Row],[L_Agua]]+Tabla_master_rend[[#This Row],[Kg_SalidaSecadero]])</f>
        <v>8.4442536138543012E-3</v>
      </c>
      <c r="BC89" s="8">
        <v>4868</v>
      </c>
      <c r="BD89" s="8">
        <v>4804</v>
      </c>
      <c r="BE89" s="8">
        <v>34536</v>
      </c>
      <c r="BF89" s="8">
        <v>0</v>
      </c>
      <c r="BG89" s="8">
        <f>26*6.3</f>
        <v>163.79999999999998</v>
      </c>
      <c r="BH89" s="7">
        <f>8*6.3</f>
        <v>50.4</v>
      </c>
      <c r="BI89" s="7">
        <f>12*6.3</f>
        <v>75.599999999999994</v>
      </c>
      <c r="BJ89" s="8">
        <v>110</v>
      </c>
      <c r="BK89" s="8">
        <v>34640</v>
      </c>
      <c r="BL89" s="8">
        <v>2.64</v>
      </c>
      <c r="BM89" s="8">
        <v>262.98</v>
      </c>
      <c r="BN89" s="7">
        <v>22.41</v>
      </c>
      <c r="BO89" s="68">
        <f>+SUM(Tabla_master_rend[[#This Row],[B_altas]:[B_lab]])/Tabla_master_rend[[#This Row],[Kg_SalidaSecadero]]</f>
        <v>1.1541570438799074E-2</v>
      </c>
      <c r="BP89" s="68">
        <f>+(Tabla_master_rend[[#This Row],[Kg_mer_env_real]]+Tabla_master_rend[[#This Row],[kg_mer_lab_real]])/Tabla_master_rend[[#This Row],[Kg_SalidaSecadero]]</f>
        <v>8.238741339491918E-3</v>
      </c>
      <c r="BQ89" s="64">
        <f>+Tabla_master_rend[[#This Row],[Merma_TOT]]/Tabla_master_rend[[#This Row],[Kg_Queso_Blan]]</f>
        <v>2.1684883833522243E-2</v>
      </c>
      <c r="BR89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761.43</v>
      </c>
      <c r="BS89" s="8"/>
      <c r="BT89" s="63">
        <f>IF(+Tabla_master_rend[[#This Row],[Kg_Env_Total]]=0,0,Tabla_master_rend[[#This Row],[Kg_Env_Total]]-Tabla_master_rend[[#This Row],[Kg_SalidaSecadero]])</f>
        <v>0</v>
      </c>
      <c r="BU89" s="60">
        <f>+Tabla_master_rend[[#This Row],[Diferencia_Env_vs_Sec_kg]]/Tabla_master_rend[[#This Row],[Kg_SalidaSecadero]]</f>
        <v>0</v>
      </c>
      <c r="BV89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89" s="65">
        <f>+(Tabla_master_rend[[#This Row],[Coste_Leche_€]]-Tabla_master_rend[[#This Row],[Kg_MG_Nata]]*$CO$3)/Tabla_master_rend[[#This Row],[Kg_Queso_Blan]]</f>
        <v>-0.32466237960436756</v>
      </c>
      <c r="BX89" s="8">
        <f>SUM(Tabla_master_rend[[#This Row],[Kg_Finos]:[Kg_Desmoldeo]])+Tabla_master_rend[[#This Row],[L_Agua]]+SUM(Tabla_master_rend[[#This Row],[B_altas]:[B_lab]])</f>
        <v>873.19999999999993</v>
      </c>
      <c r="BY89" s="8">
        <f>+BX89-Tabla_master_rend[[#This Row],[Merma_TOT]]</f>
        <v>111.76999999999998</v>
      </c>
      <c r="BZ89" s="62">
        <f t="shared" si="28"/>
        <v>0.12800045808520383</v>
      </c>
      <c r="CA89" s="8">
        <f>+Tabla_master_rend[[#This Row],[Kg_Queso_Blan]]*$CA$1</f>
        <v>228.2371</v>
      </c>
      <c r="CB89" s="8">
        <f>+Tabla_master_rend[[#This Row],[Kg_Queso_Blan]]*($CB$1-$CA$1)</f>
        <v>122.89690000000002</v>
      </c>
      <c r="CC89" s="8">
        <f>+(Tabla_master_rend[[#This Row],[Kg_Queso_Blan]]-CA89-CB89)*$CC$1</f>
        <v>365.00379300000003</v>
      </c>
      <c r="CD89" s="8">
        <f t="shared" si="29"/>
        <v>716.1377930000001</v>
      </c>
      <c r="CE89" s="80">
        <f>+CD89/Tabla_master_rend[[#This Row],[Kg_Queso_Blan]]</f>
        <v>2.0395000000000003E-2</v>
      </c>
      <c r="CF89" s="62">
        <f>+Tabla_master_rend[[#This Row],[Merma_TOT]]/Tabla_master_rend[[#This Row],[Kg_Queso_Blan]]</f>
        <v>2.1684883833522243E-2</v>
      </c>
      <c r="CG89" s="8">
        <f>CD89-Tabla_master_rend[[#This Row],[Merma_TOT]]</f>
        <v>-45.292206999999848</v>
      </c>
      <c r="CH89" s="81" cm="1">
        <f t="array" ref="CH89">-BR89 * IFERROR(INDEX('Precio Leche_EBITDA_Ventas'!$BD$87:$BD$110,MATCH(1,('Precio Leche_EBITDA_Ventas'!$AZ$87:$AZ$110=YEAR(A89))*('Precio Leche_EBITDA_Ventas'!$BB$87:$BB$110=C89),0)),1.3)</f>
        <v>-2771.6052</v>
      </c>
      <c r="CI89" s="81">
        <f t="shared" si="30"/>
        <v>-58.879869099999802</v>
      </c>
    </row>
    <row r="90" spans="1:87" x14ac:dyDescent="0.35">
      <c r="A90" s="9">
        <v>45842</v>
      </c>
      <c r="B90" s="7">
        <v>7</v>
      </c>
      <c r="C90" s="7" t="str">
        <f>+UPPER(TEXT(Tabla_master_rend[[#This Row],[Fecha]],"MMM"))</f>
        <v>JUL</v>
      </c>
      <c r="D90" s="7" t="str">
        <f>+UPPER(TEXT(Tabla_master_rend[[#This Row],[Fecha]],"ddd"))</f>
        <v>VI</v>
      </c>
      <c r="E90" s="3" t="s">
        <v>490</v>
      </c>
      <c r="F90" s="3" t="s">
        <v>244</v>
      </c>
      <c r="G90" s="84" t="s">
        <v>299</v>
      </c>
      <c r="H90">
        <v>19</v>
      </c>
      <c r="I90" s="8">
        <f>+Tabla_master_rend[[#This Row],[L_Leche_ent]]+Tabla_master_rend[[#This Row],[L_desn_ext]]+Tabla_master_rend[[#This Row],[L_cabra]]+Tabla_master_rend[[#This Row],[L_oveja]]</f>
        <v>331940</v>
      </c>
      <c r="J90" s="8">
        <v>331940</v>
      </c>
      <c r="K90" s="5">
        <v>3.6900000000000002E-2</v>
      </c>
      <c r="L90" s="5">
        <v>3.1600000000000003E-2</v>
      </c>
      <c r="M90" s="5">
        <f t="shared" ref="M90:M121" si="31">0.93*K90+0.74*L90+0.048</f>
        <v>0.10570100000000002</v>
      </c>
      <c r="N90" s="35" t="s">
        <v>43</v>
      </c>
      <c r="O90" s="8">
        <v>0</v>
      </c>
      <c r="P90" s="8">
        <v>0</v>
      </c>
      <c r="Q90" s="8">
        <v>0</v>
      </c>
      <c r="R90" s="8">
        <v>11792</v>
      </c>
      <c r="T90" s="8">
        <v>258950</v>
      </c>
      <c r="U90" s="38">
        <f>+Tabla_master_rend[[#This Row],[L_suero Total]]/Tabla_master_rend[[#This Row],[Litros_Leche_Total]]</f>
        <v>0.78011086340904978</v>
      </c>
      <c r="V90" s="5">
        <v>1.1999999999999999E-3</v>
      </c>
      <c r="W90" s="5">
        <v>8.6999999999999994E-3</v>
      </c>
      <c r="X90" s="8">
        <v>258345</v>
      </c>
      <c r="Y90" s="57">
        <v>104302</v>
      </c>
      <c r="Z90" s="58">
        <f>IF(Tabla_master_rend[[#This Row],[L_suero para con]]=0,0,+Tabla_master_rend[[#This Row],[L_suero para con]]/Tabla_master_rend[[#This Row],[L_suero_con]])</f>
        <v>2.4768940192901381</v>
      </c>
      <c r="AA90" s="8">
        <f>+Tabla_master_rend[[#This Row],[L_suero Total]]-Tabla_master_rend[[#This Row],[L_suero para con]]</f>
        <v>605</v>
      </c>
      <c r="AD90" s="8"/>
      <c r="AE90" s="8"/>
      <c r="AF90" s="8"/>
      <c r="AG90" s="5"/>
      <c r="AI90" s="7">
        <f>+Tabla_master_rend[[#This Row],[Kg_Finos]]+Tabla_master_rend[[#This Row],[Kg_Llenadora]]+Tabla_master_rend[[#This Row],[Kg_Desmoldeo]]+Tabla_master_rend[[#This Row],[L_Agua]]+Tabla_master_rend[[#This Row],[Kg_SalidaSecadero]]</f>
        <v>33113.019999999997</v>
      </c>
      <c r="AJ90" s="59">
        <f>+Tabla_master_rend[[#This Row],[Litros_Leche_Total]]/Tabla_master_rend[[#This Row],[Kg_Queso_Blan]]</f>
        <v>10.024455637087769</v>
      </c>
      <c r="AK90" s="59">
        <f>+Tabla_master_rend[[#This Row],[Litros_Leche_Total]]/(Tabla_master_rend[[#This Row],[Kg_Queso_Blan]]-Tabla_master_rend[[#This Row],[Merma_TOT]])</f>
        <v>10.442752049288634</v>
      </c>
      <c r="AL90" s="59">
        <f>VLOOKUP(G90,REND_TARGET[#All],8,FALSE)</f>
        <v>9.8078500000000002</v>
      </c>
      <c r="AM90" s="7">
        <f>(I90*1.03*Tabla_master_rend[[#This Row],[%MG_Leche]])+(I90*1.03*Tabla_master_rend[[#This Row],[%MP_Leche]])</f>
        <v>23420.026700000002</v>
      </c>
      <c r="AN90" s="38">
        <v>0.22600000000000001</v>
      </c>
      <c r="AO90" s="38">
        <v>0.25509999999999999</v>
      </c>
      <c r="AP90" s="60">
        <v>0.53859999999999997</v>
      </c>
      <c r="AQ90" s="38">
        <f>+Tabla_master_rend[[#This Row],[Kg_Queso_Blan]]*Tabla_master_rend[[#This Row],[ES_QUESO]]/(Tabla_master_rend[[#This Row],[Kg_Solidos_leche]])</f>
        <v>0.76151375916236652</v>
      </c>
      <c r="AR90" s="7">
        <f t="shared" ref="AR90:AR121" si="32">R90*0.4</f>
        <v>4716.8</v>
      </c>
      <c r="AS90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0.96704980786060324</v>
      </c>
      <c r="AT90" s="62">
        <f>+Tabla_master_rend[[#This Row],[Kg_Queso_Blan]]*Tabla_master_rend[[#This Row],[%PT_QUESO]]/(Tabla_master_rend[[#This Row],[Litros_Leche_Total]]*1.03*Tabla_master_rend[[#This Row],[%MP_Leche]])</f>
        <v>0.78185344314014427</v>
      </c>
      <c r="AU90" s="63">
        <f t="shared" ref="AU90:AU121" si="33">AR90*$CO$3</f>
        <v>35376</v>
      </c>
      <c r="AV90" s="7">
        <v>50.22</v>
      </c>
      <c r="AW90" s="7">
        <v>43</v>
      </c>
      <c r="AX90" s="7">
        <v>18.8</v>
      </c>
      <c r="AY90" s="8">
        <f>SUM(Tabla_master_rend[[#This Row],[Kg_Finos]:[Kg_Desmoldeo]])</f>
        <v>112.02</v>
      </c>
      <c r="AZ90" s="60">
        <f>+(Tabla_master_rend[[#This Row],[Kg_Finos]]+Tabla_master_rend[[#This Row],[Kg_Llenadora]]+Tabla_master_rend[[#This Row],[Kg_Desmoldeo]])/(Tabla_master_rend[[#This Row],[Kg_Queso_Blan]])</f>
        <v>3.3829593314049881E-3</v>
      </c>
      <c r="BA90" s="7">
        <v>260</v>
      </c>
      <c r="BB90" s="60">
        <f>+Tabla_master_rend[[#This Row],[L_Agua]]/(Tabla_master_rend[[#This Row],[L_Agua]]+Tabla_master_rend[[#This Row],[Kg_SalidaSecadero]])</f>
        <v>7.8785491348747003E-3</v>
      </c>
      <c r="BC90" s="8">
        <v>4763</v>
      </c>
      <c r="BD90" s="8">
        <v>4576</v>
      </c>
      <c r="BE90" s="8">
        <v>31808</v>
      </c>
      <c r="BF90" s="8">
        <v>0</v>
      </c>
      <c r="BG90" s="8">
        <f>112*6.4</f>
        <v>716.80000000000007</v>
      </c>
      <c r="BH90" s="7">
        <f>50*6.4</f>
        <v>320</v>
      </c>
      <c r="BI90" s="7">
        <f>10*6.4</f>
        <v>64</v>
      </c>
      <c r="BJ90" s="8">
        <v>90</v>
      </c>
      <c r="BK90" s="8">
        <v>32741</v>
      </c>
      <c r="BL90" s="8">
        <v>4.8899999999999997</v>
      </c>
      <c r="BM90" s="8">
        <v>900.56</v>
      </c>
      <c r="BN90" s="7">
        <v>48.91</v>
      </c>
      <c r="BO90" s="68">
        <f>+SUM(Tabla_master_rend[[#This Row],[B_altas]:[B_lab]])/Tabla_master_rend[[#This Row],[Kg_SalidaSecadero]]</f>
        <v>3.6370300235179141E-2</v>
      </c>
      <c r="BP90" s="68">
        <f>+(Tabla_master_rend[[#This Row],[Kg_mer_env_real]]+Tabla_master_rend[[#This Row],[kg_mer_lab_real]])/Tabla_master_rend[[#This Row],[Kg_SalidaSecadero]]</f>
        <v>2.8999419687853148E-2</v>
      </c>
      <c r="BQ90" s="64">
        <f>+Tabla_master_rend[[#This Row],[Merma_TOT]]/Tabla_master_rend[[#This Row],[Kg_Queso_Blan]]</f>
        <v>4.0056147098633713E-2</v>
      </c>
      <c r="BR90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1326.3799999999999</v>
      </c>
      <c r="BS90" s="8"/>
      <c r="BT90" s="63">
        <f>IF(+Tabla_master_rend[[#This Row],[Kg_Env_Total]]=0,0,Tabla_master_rend[[#This Row],[Kg_Env_Total]]-Tabla_master_rend[[#This Row],[Kg_SalidaSecadero]])</f>
        <v>0</v>
      </c>
      <c r="BU90" s="60">
        <f>+Tabla_master_rend[[#This Row],[Diferencia_Env_vs_Sec_kg]]/Tabla_master_rend[[#This Row],[Kg_SalidaSecadero]]</f>
        <v>0</v>
      </c>
      <c r="BV90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90" s="65">
        <f>+(Tabla_master_rend[[#This Row],[Coste_Leche_€]]-Tabla_master_rend[[#This Row],[Kg_MG_Nata]]*$CO$3)/Tabla_master_rend[[#This Row],[Kg_Queso_Blan]]</f>
        <v>-1.0683410936241999</v>
      </c>
      <c r="BX90" s="8">
        <f>SUM(Tabla_master_rend[[#This Row],[Kg_Finos]:[Kg_Desmoldeo]])+Tabla_master_rend[[#This Row],[L_Agua]]+SUM(Tabla_master_rend[[#This Row],[B_altas]:[B_lab]])</f>
        <v>1562.8200000000002</v>
      </c>
      <c r="BY90" s="8">
        <f>+BX90-Tabla_master_rend[[#This Row],[Merma_TOT]]</f>
        <v>236.44000000000028</v>
      </c>
      <c r="BZ90" s="62">
        <f t="shared" ref="BZ90:BZ121" si="34">+BY90/BX90</f>
        <v>0.15129061568190852</v>
      </c>
      <c r="CA90" s="8">
        <f>+Tabla_master_rend[[#This Row],[Kg_Queso_Blan]]*$CA$1</f>
        <v>215.23462999999998</v>
      </c>
      <c r="CB90" s="8">
        <f>+Tabla_master_rend[[#This Row],[Kg_Queso_Blan]]*($CB$1-$CA$1)</f>
        <v>115.89557000000001</v>
      </c>
      <c r="CC90" s="8">
        <f>+(Tabla_master_rend[[#This Row],[Kg_Queso_Blan]]-CA90-CB90)*$CC$1</f>
        <v>344.20984290000001</v>
      </c>
      <c r="CD90" s="8">
        <f t="shared" ref="CD90:CD121" si="35">+CA90+CB90+CC90</f>
        <v>675.34004290000007</v>
      </c>
      <c r="CE90" s="80">
        <f>+CD90/Tabla_master_rend[[#This Row],[Kg_Queso_Blan]]</f>
        <v>2.0395000000000003E-2</v>
      </c>
      <c r="CF90" s="62">
        <f>+Tabla_master_rend[[#This Row],[Merma_TOT]]/Tabla_master_rend[[#This Row],[Kg_Queso_Blan]]</f>
        <v>4.0056147098633713E-2</v>
      </c>
      <c r="CG90" s="8">
        <f>CD90-Tabla_master_rend[[#This Row],[Merma_TOT]]</f>
        <v>-651.03995709999981</v>
      </c>
      <c r="CH90" s="81" cm="1">
        <f t="array" ref="CH90">-BR90 * IFERROR(INDEX('Precio Leche_EBITDA_Ventas'!$BD$87:$BD$110,MATCH(1,('Precio Leche_EBITDA_Ventas'!$AZ$87:$AZ$110=YEAR(A90))*('Precio Leche_EBITDA_Ventas'!$BB$87:$BB$110=C90),0)),1.3)</f>
        <v>-4828.0231999999996</v>
      </c>
      <c r="CI90" s="81">
        <f t="shared" ref="CI90:CI121" si="36">+CG90*$CM$2</f>
        <v>-846.35194422999973</v>
      </c>
    </row>
    <row r="91" spans="1:87" x14ac:dyDescent="0.35">
      <c r="A91" s="9">
        <v>45845</v>
      </c>
      <c r="B91" s="7">
        <v>7</v>
      </c>
      <c r="C91" s="7" t="str">
        <f>+UPPER(TEXT(Tabla_master_rend[[#This Row],[Fecha]],"MMM"))</f>
        <v>JUL</v>
      </c>
      <c r="D91" s="7" t="str">
        <f>+UPPER(TEXT(Tabla_master_rend[[#This Row],[Fecha]],"ddd"))</f>
        <v>LU</v>
      </c>
      <c r="E91" s="3" t="s">
        <v>491</v>
      </c>
      <c r="F91" s="3" t="s">
        <v>244</v>
      </c>
      <c r="G91" s="84" t="s">
        <v>301</v>
      </c>
      <c r="H91">
        <v>19</v>
      </c>
      <c r="I91" s="8">
        <f>+Tabla_master_rend[[#This Row],[L_Leche_ent]]+Tabla_master_rend[[#This Row],[L_desn_ext]]+Tabla_master_rend[[#This Row],[L_cabra]]+Tabla_master_rend[[#This Row],[L_oveja]]</f>
        <v>323965</v>
      </c>
      <c r="J91" s="8">
        <v>323965</v>
      </c>
      <c r="K91" s="5">
        <v>3.8599999999999995E-2</v>
      </c>
      <c r="L91" s="5">
        <v>3.1600000000000003E-2</v>
      </c>
      <c r="M91" s="5">
        <f t="shared" si="31"/>
        <v>0.107282</v>
      </c>
      <c r="N91" s="35" t="s">
        <v>43</v>
      </c>
      <c r="O91" s="8">
        <v>0</v>
      </c>
      <c r="P91" s="8">
        <v>0</v>
      </c>
      <c r="Q91" s="8">
        <v>0</v>
      </c>
      <c r="R91" s="8">
        <v>6004</v>
      </c>
      <c r="T91" s="8">
        <v>261290</v>
      </c>
      <c r="U91" s="38">
        <f>+Tabla_master_rend[[#This Row],[L_suero Total]]/Tabla_master_rend[[#This Row],[Litros_Leche_Total]]</f>
        <v>0.80653774327473648</v>
      </c>
      <c r="V91" s="5">
        <v>2E-3</v>
      </c>
      <c r="W91" s="5">
        <v>8.8999999999999999E-3</v>
      </c>
      <c r="X91" s="8">
        <v>170021</v>
      </c>
      <c r="Y91" s="57">
        <v>66662</v>
      </c>
      <c r="Z91" s="58">
        <f>IF(Tabla_master_rend[[#This Row],[L_suero para con]]=0,0,+Tabla_master_rend[[#This Row],[L_suero para con]]/Tabla_master_rend[[#This Row],[L_suero_con]])</f>
        <v>2.5504935345474182</v>
      </c>
      <c r="AA91" s="8">
        <f>+Tabla_master_rend[[#This Row],[L_suero Total]]-Tabla_master_rend[[#This Row],[L_suero para con]]</f>
        <v>91269</v>
      </c>
      <c r="AD91" s="8"/>
      <c r="AE91" s="8"/>
      <c r="AF91" s="8"/>
      <c r="AG91" s="5"/>
      <c r="AI91" s="7">
        <f>+Tabla_master_rend[[#This Row],[Kg_Finos]]+Tabla_master_rend[[#This Row],[Kg_Llenadora]]+Tabla_master_rend[[#This Row],[Kg_Desmoldeo]]+Tabla_master_rend[[#This Row],[L_Agua]]+Tabla_master_rend[[#This Row],[Kg_SalidaSecadero]]</f>
        <v>33803.760000000002</v>
      </c>
      <c r="AJ91" s="59">
        <f>+Tabla_master_rend[[#This Row],[Litros_Leche_Total]]/Tabla_master_rend[[#This Row],[Kg_Queso_Blan]]</f>
        <v>9.583697198181504</v>
      </c>
      <c r="AK91" s="59">
        <f>+Tabla_master_rend[[#This Row],[Litros_Leche_Total]]/(Tabla_master_rend[[#This Row],[Kg_Queso_Blan]]-Tabla_master_rend[[#This Row],[Merma_TOT]])</f>
        <v>9.9528754167832822</v>
      </c>
      <c r="AL91" s="59">
        <f>VLOOKUP(G91,REND_TARGET[#All],8,FALSE)</f>
        <v>9.3549429999999987</v>
      </c>
      <c r="AM91" s="7">
        <f>(I91*1.03*Tabla_master_rend[[#This Row],[%MG_Leche]])+(I91*1.03*Tabla_master_rend[[#This Row],[%MP_Leche]])</f>
        <v>23424.613290000001</v>
      </c>
      <c r="AN91" s="38">
        <v>0.29510000000000003</v>
      </c>
      <c r="AO91" s="38">
        <v>0.2384</v>
      </c>
      <c r="AP91" s="60">
        <v>0.58379999999999999</v>
      </c>
      <c r="AQ91" s="38">
        <f>+Tabla_master_rend[[#This Row],[Kg_Queso_Blan]]*Tabla_master_rend[[#This Row],[ES_QUESO]]/(Tabla_master_rend[[#This Row],[Kg_Solidos_leche]])</f>
        <v>0.84247431723556954</v>
      </c>
      <c r="AR91" s="7">
        <f t="shared" si="32"/>
        <v>2401.6</v>
      </c>
      <c r="AS91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0.96093920314580339</v>
      </c>
      <c r="AT91" s="62">
        <f>+Tabla_master_rend[[#This Row],[Kg_Queso_Blan]]*Tabla_master_rend[[#This Row],[%PT_QUESO]]/(Tabla_master_rend[[#This Row],[Litros_Leche_Total]]*1.03*Tabla_master_rend[[#This Row],[%MP_Leche]])</f>
        <v>0.76427360362015873</v>
      </c>
      <c r="AU91" s="63">
        <f t="shared" si="33"/>
        <v>18012</v>
      </c>
      <c r="AV91" s="7">
        <v>37.76</v>
      </c>
      <c r="AW91" s="7">
        <v>65</v>
      </c>
      <c r="AX91" s="7">
        <v>95</v>
      </c>
      <c r="AY91" s="8">
        <f>SUM(Tabla_master_rend[[#This Row],[Kg_Finos]:[Kg_Desmoldeo]])</f>
        <v>197.76</v>
      </c>
      <c r="AZ91" s="60">
        <f>+(Tabla_master_rend[[#This Row],[Kg_Finos]]+Tabla_master_rend[[#This Row],[Kg_Llenadora]]+Tabla_master_rend[[#This Row],[Kg_Desmoldeo]])/(Tabla_master_rend[[#This Row],[Kg_Queso_Blan]])</f>
        <v>5.8502367783938823E-3</v>
      </c>
      <c r="BA91" s="7">
        <v>280</v>
      </c>
      <c r="BB91" s="60">
        <f>+Tabla_master_rend[[#This Row],[L_Agua]]/(Tabla_master_rend[[#This Row],[L_Agua]]+Tabla_master_rend[[#This Row],[Kg_SalidaSecadero]])</f>
        <v>8.3318455037790871E-3</v>
      </c>
      <c r="BC91" s="8">
        <v>4776</v>
      </c>
      <c r="BD91" s="8">
        <v>4548</v>
      </c>
      <c r="BE91" s="8">
        <v>32171</v>
      </c>
      <c r="BF91" s="8">
        <f>16*6.3</f>
        <v>100.8</v>
      </c>
      <c r="BG91" s="8">
        <f>110*6.3</f>
        <v>693</v>
      </c>
      <c r="BH91" s="7">
        <f>33*6.3</f>
        <v>207.9</v>
      </c>
      <c r="BI91" s="7">
        <f>69*6.3</f>
        <v>434.7</v>
      </c>
      <c r="BJ91" s="8">
        <v>98</v>
      </c>
      <c r="BK91" s="8">
        <v>33326</v>
      </c>
      <c r="BL91" s="8">
        <v>2</v>
      </c>
      <c r="BM91" s="8">
        <v>744.91</v>
      </c>
      <c r="BN91" s="7">
        <v>29.2</v>
      </c>
      <c r="BO91" s="68">
        <f>+SUM(Tabla_master_rend[[#This Row],[B_altas]:[B_lab]])/Tabla_master_rend[[#This Row],[Kg_SalidaSecadero]]</f>
        <v>4.604212926843905E-2</v>
      </c>
      <c r="BP91" s="68">
        <f>+(Tabla_master_rend[[#This Row],[Kg_mer_env_real]]+Tabla_master_rend[[#This Row],[kg_mer_lab_real]])/Tabla_master_rend[[#This Row],[Kg_SalidaSecadero]]</f>
        <v>2.3228410250255058E-2</v>
      </c>
      <c r="BQ91" s="64">
        <f>+Tabla_master_rend[[#This Row],[Merma_TOT]]/Tabla_master_rend[[#This Row],[Kg_Queso_Blan]]</f>
        <v>3.7092619282588682E-2</v>
      </c>
      <c r="BR91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1253.8700000000001</v>
      </c>
      <c r="BS91" s="8"/>
      <c r="BT91" s="63">
        <f>IF(+Tabla_master_rend[[#This Row],[Kg_Env_Total]]=0,0,Tabla_master_rend[[#This Row],[Kg_Env_Total]]-Tabla_master_rend[[#This Row],[Kg_SalidaSecadero]])</f>
        <v>0</v>
      </c>
      <c r="BU91" s="60">
        <f>+Tabla_master_rend[[#This Row],[Diferencia_Env_vs_Sec_kg]]/Tabla_master_rend[[#This Row],[Kg_SalidaSecadero]]</f>
        <v>0</v>
      </c>
      <c r="BV91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91" s="65">
        <f>+(Tabla_master_rend[[#This Row],[Coste_Leche_€]]-Tabla_master_rend[[#This Row],[Kg_MG_Nata]]*$CO$3)/Tabla_master_rend[[#This Row],[Kg_Queso_Blan]]</f>
        <v>-0.53284013376026806</v>
      </c>
      <c r="BX91" s="8">
        <f>SUM(Tabla_master_rend[[#This Row],[Kg_Finos]:[Kg_Desmoldeo]])+Tabla_master_rend[[#This Row],[L_Agua]]+SUM(Tabla_master_rend[[#This Row],[B_altas]:[B_lab]])</f>
        <v>2012.1599999999999</v>
      </c>
      <c r="BY91" s="8">
        <f>+BX91-Tabla_master_rend[[#This Row],[Merma_TOT]]</f>
        <v>758.28999999999974</v>
      </c>
      <c r="BZ91" s="62">
        <f t="shared" si="34"/>
        <v>0.37685372932569966</v>
      </c>
      <c r="CA91" s="8">
        <f>+Tabla_master_rend[[#This Row],[Kg_Queso_Blan]]*$CA$1</f>
        <v>219.72444000000002</v>
      </c>
      <c r="CB91" s="8">
        <f>+Tabla_master_rend[[#This Row],[Kg_Queso_Blan]]*($CB$1-$CA$1)</f>
        <v>118.31316000000002</v>
      </c>
      <c r="CC91" s="8">
        <f>+(Tabla_master_rend[[#This Row],[Kg_Queso_Blan]]-CA91-CB91)*$CC$1</f>
        <v>351.3900852000001</v>
      </c>
      <c r="CD91" s="8">
        <f t="shared" si="35"/>
        <v>689.42768520000016</v>
      </c>
      <c r="CE91" s="80">
        <f>+CD91/Tabla_master_rend[[#This Row],[Kg_Queso_Blan]]</f>
        <v>2.0395000000000003E-2</v>
      </c>
      <c r="CF91" s="62">
        <f>+Tabla_master_rend[[#This Row],[Merma_TOT]]/Tabla_master_rend[[#This Row],[Kg_Queso_Blan]]</f>
        <v>3.7092619282588682E-2</v>
      </c>
      <c r="CG91" s="8">
        <f>CD91-Tabla_master_rend[[#This Row],[Merma_TOT]]</f>
        <v>-564.44231479999996</v>
      </c>
      <c r="CH91" s="81" cm="1">
        <f t="array" ref="CH91">-BR91 * IFERROR(INDEX('Precio Leche_EBITDA_Ventas'!$BD$87:$BD$110,MATCH(1,('Precio Leche_EBITDA_Ventas'!$AZ$87:$AZ$110=YEAR(A91))*('Precio Leche_EBITDA_Ventas'!$BB$87:$BB$110=C91),0)),1.3)</f>
        <v>-4564.0868000000009</v>
      </c>
      <c r="CI91" s="81">
        <f t="shared" si="36"/>
        <v>-733.77500924000003</v>
      </c>
    </row>
    <row r="92" spans="1:87" x14ac:dyDescent="0.35">
      <c r="A92" s="9">
        <v>45847</v>
      </c>
      <c r="B92" s="7">
        <v>7</v>
      </c>
      <c r="C92" s="7" t="str">
        <f>+UPPER(TEXT(Tabla_master_rend[[#This Row],[Fecha]],"MMM"))</f>
        <v>JUL</v>
      </c>
      <c r="D92" s="7" t="str">
        <f>+UPPER(TEXT(Tabla_master_rend[[#This Row],[Fecha]],"ddd"))</f>
        <v>MI</v>
      </c>
      <c r="E92" s="3" t="s">
        <v>492</v>
      </c>
      <c r="F92" s="3" t="s">
        <v>244</v>
      </c>
      <c r="G92" s="84" t="s">
        <v>301</v>
      </c>
      <c r="H92">
        <v>16</v>
      </c>
      <c r="I92" s="8">
        <f>+Tabla_master_rend[[#This Row],[L_Leche_ent]]+Tabla_master_rend[[#This Row],[L_desn_ext]]+Tabla_master_rend[[#This Row],[L_cabra]]+Tabla_master_rend[[#This Row],[L_oveja]]</f>
        <v>264874</v>
      </c>
      <c r="J92" s="8">
        <v>264874</v>
      </c>
      <c r="K92" s="5">
        <v>3.61E-2</v>
      </c>
      <c r="L92" s="5">
        <v>3.2199999999999999E-2</v>
      </c>
      <c r="M92" s="5">
        <f t="shared" si="31"/>
        <v>0.10540099999999999</v>
      </c>
      <c r="N92" s="35" t="s">
        <v>43</v>
      </c>
      <c r="O92" s="8">
        <v>0</v>
      </c>
      <c r="P92" s="8">
        <v>0</v>
      </c>
      <c r="Q92" s="8">
        <v>0</v>
      </c>
      <c r="R92" s="8">
        <v>2934</v>
      </c>
      <c r="T92" s="8">
        <v>219660</v>
      </c>
      <c r="U92" s="38">
        <f>+Tabla_master_rend[[#This Row],[L_suero Total]]/Tabla_master_rend[[#This Row],[Litros_Leche_Total]]</f>
        <v>0.82929996904188408</v>
      </c>
      <c r="V92" s="5">
        <v>1.8E-3</v>
      </c>
      <c r="W92" s="5">
        <v>8.6E-3</v>
      </c>
      <c r="X92" s="8">
        <v>220336</v>
      </c>
      <c r="Y92" s="57">
        <v>88117</v>
      </c>
      <c r="Z92" s="58">
        <f>IF(Tabla_master_rend[[#This Row],[L_suero para con]]=0,0,+Tabla_master_rend[[#This Row],[L_suero para con]]/Tabla_master_rend[[#This Row],[L_suero_con]])</f>
        <v>2.5004936618359679</v>
      </c>
      <c r="AA92" s="8">
        <f>+Tabla_master_rend[[#This Row],[L_suero Total]]-Tabla_master_rend[[#This Row],[L_suero para con]]</f>
        <v>-676</v>
      </c>
      <c r="AD92" s="8"/>
      <c r="AE92" s="8"/>
      <c r="AF92" s="8"/>
      <c r="AG92" s="5"/>
      <c r="AI92" s="7">
        <f>+Tabla_master_rend[[#This Row],[Kg_Finos]]+Tabla_master_rend[[#This Row],[Kg_Llenadora]]+Tabla_master_rend[[#This Row],[Kg_Desmoldeo]]+Tabla_master_rend[[#This Row],[L_Agua]]+Tabla_master_rend[[#This Row],[Kg_SalidaSecadero]]</f>
        <v>28222.12</v>
      </c>
      <c r="AJ92" s="59">
        <f>+Tabla_master_rend[[#This Row],[Litros_Leche_Total]]/Tabla_master_rend[[#This Row],[Kg_Queso_Blan]]</f>
        <v>9.3853332067187019</v>
      </c>
      <c r="AK92" s="59">
        <f>+Tabla_master_rend[[#This Row],[Litros_Leche_Total]]/(Tabla_master_rend[[#This Row],[Kg_Queso_Blan]]-Tabla_master_rend[[#This Row],[Merma_TOT]])</f>
        <v>9.6801013641548188</v>
      </c>
      <c r="AL92" s="59">
        <f>VLOOKUP(G92,REND_TARGET[#All],8,FALSE)</f>
        <v>9.3549429999999987</v>
      </c>
      <c r="AM92" s="7">
        <f>(I92*1.03*Tabla_master_rend[[#This Row],[%MG_Leche]])+(I92*1.03*Tabla_master_rend[[#This Row],[%MP_Leche]])</f>
        <v>18633.621026000001</v>
      </c>
      <c r="AN92" s="38">
        <v>0.29260000000000003</v>
      </c>
      <c r="AO92" s="38">
        <v>0.23760000000000001</v>
      </c>
      <c r="AP92" s="60">
        <v>0.58199999999999996</v>
      </c>
      <c r="AQ92" s="38">
        <f>+Tabla_master_rend[[#This Row],[Kg_Queso_Blan]]*Tabla_master_rend[[#This Row],[ES_QUESO]]/(Tabla_master_rend[[#This Row],[Kg_Solidos_leche]])</f>
        <v>0.88148588066062761</v>
      </c>
      <c r="AR92" s="7">
        <f t="shared" si="32"/>
        <v>1173.6000000000001</v>
      </c>
      <c r="AS92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0.95761745505719076</v>
      </c>
      <c r="AT92" s="62">
        <f>+Tabla_master_rend[[#This Row],[Kg_Queso_Blan]]*Tabla_master_rend[[#This Row],[%PT_QUESO]]/(Tabla_master_rend[[#This Row],[Litros_Leche_Total]]*1.03*Tabla_master_rend[[#This Row],[%MP_Leche]])</f>
        <v>0.76331473128807914</v>
      </c>
      <c r="AU92" s="63">
        <f t="shared" si="33"/>
        <v>8802.0000000000018</v>
      </c>
      <c r="AV92" s="7">
        <v>34.72</v>
      </c>
      <c r="AW92" s="7">
        <v>129.19999999999999</v>
      </c>
      <c r="AX92" s="7">
        <v>110.2</v>
      </c>
      <c r="AY92" s="8">
        <f>SUM(Tabla_master_rend[[#This Row],[Kg_Finos]:[Kg_Desmoldeo]])</f>
        <v>274.12</v>
      </c>
      <c r="AZ92" s="60">
        <f>+(Tabla_master_rend[[#This Row],[Kg_Finos]]+Tabla_master_rend[[#This Row],[Kg_Llenadora]]+Tabla_master_rend[[#This Row],[Kg_Desmoldeo]])/(Tabla_master_rend[[#This Row],[Kg_Queso_Blan]])</f>
        <v>9.7129485665853593E-3</v>
      </c>
      <c r="BA92" s="7">
        <v>220</v>
      </c>
      <c r="BB92" s="60">
        <f>+Tabla_master_rend[[#This Row],[L_Agua]]/(Tabla_master_rend[[#This Row],[L_Agua]]+Tabla_master_rend[[#This Row],[Kg_SalidaSecadero]])</f>
        <v>7.8717618434235009E-3</v>
      </c>
      <c r="BC92" s="8">
        <v>4014</v>
      </c>
      <c r="BD92" s="8">
        <v>3924</v>
      </c>
      <c r="BE92" s="8">
        <v>27405</v>
      </c>
      <c r="BF92" s="8">
        <v>0</v>
      </c>
      <c r="BG92" s="8">
        <f>27*6</f>
        <v>162</v>
      </c>
      <c r="BH92" s="7">
        <f>2*6</f>
        <v>12</v>
      </c>
      <c r="BI92" s="7">
        <f>47*6</f>
        <v>282</v>
      </c>
      <c r="BJ92" s="8">
        <v>84</v>
      </c>
      <c r="BK92" s="8">
        <v>27728</v>
      </c>
      <c r="BL92" s="8">
        <v>3.75</v>
      </c>
      <c r="BM92" s="8">
        <v>348.27</v>
      </c>
      <c r="BN92" s="7">
        <v>13.25</v>
      </c>
      <c r="BO92" s="68">
        <f>+SUM(Tabla_master_rend[[#This Row],[B_altas]:[B_lab]])/Tabla_master_rend[[#This Row],[Kg_SalidaSecadero]]</f>
        <v>1.9474899019042122E-2</v>
      </c>
      <c r="BP92" s="68">
        <f>+(Tabla_master_rend[[#This Row],[Kg_mer_env_real]]+Tabla_master_rend[[#This Row],[kg_mer_lab_real]])/Tabla_master_rend[[#This Row],[Kg_SalidaSecadero]]</f>
        <v>1.3038084246970571E-2</v>
      </c>
      <c r="BQ92" s="64">
        <f>+Tabla_master_rend[[#This Row],[Merma_TOT]]/Tabla_master_rend[[#This Row],[Kg_Queso_Blan]]</f>
        <v>3.0450937066386231E-2</v>
      </c>
      <c r="BR92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859.3900000000001</v>
      </c>
      <c r="BS92" s="8"/>
      <c r="BT92" s="63">
        <f>IF(+Tabla_master_rend[[#This Row],[Kg_Env_Total]]=0,0,Tabla_master_rend[[#This Row],[Kg_Env_Total]]-Tabla_master_rend[[#This Row],[Kg_SalidaSecadero]])</f>
        <v>0</v>
      </c>
      <c r="BU92" s="60">
        <f>+Tabla_master_rend[[#This Row],[Diferencia_Env_vs_Sec_kg]]/Tabla_master_rend[[#This Row],[Kg_SalidaSecadero]]</f>
        <v>0</v>
      </c>
      <c r="BV92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92" s="65">
        <f>+(Tabla_master_rend[[#This Row],[Coste_Leche_€]]-Tabla_master_rend[[#This Row],[Kg_MG_Nata]]*$CO$3)/Tabla_master_rend[[#This Row],[Kg_Queso_Blan]]</f>
        <v>-0.31188301941881058</v>
      </c>
      <c r="BX92" s="8">
        <f>SUM(Tabla_master_rend[[#This Row],[Kg_Finos]:[Kg_Desmoldeo]])+Tabla_master_rend[[#This Row],[L_Agua]]+SUM(Tabla_master_rend[[#This Row],[B_altas]:[B_lab]])</f>
        <v>1034.1199999999999</v>
      </c>
      <c r="BY92" s="8">
        <f>+BX92-Tabla_master_rend[[#This Row],[Merma_TOT]]</f>
        <v>174.72999999999979</v>
      </c>
      <c r="BZ92" s="62">
        <f t="shared" si="34"/>
        <v>0.16896491703090533</v>
      </c>
      <c r="CA92" s="8">
        <f>+Tabla_master_rend[[#This Row],[Kg_Queso_Blan]]*$CA$1</f>
        <v>183.44377999999998</v>
      </c>
      <c r="CB92" s="8">
        <f>+Tabla_master_rend[[#This Row],[Kg_Queso_Blan]]*($CB$1-$CA$1)</f>
        <v>98.777420000000006</v>
      </c>
      <c r="CC92" s="8">
        <f>+(Tabla_master_rend[[#This Row],[Kg_Queso_Blan]]-CA92-CB92)*$CC$1</f>
        <v>293.36893739999999</v>
      </c>
      <c r="CD92" s="8">
        <f t="shared" si="35"/>
        <v>575.5901374</v>
      </c>
      <c r="CE92" s="80">
        <f>+CD92/Tabla_master_rend[[#This Row],[Kg_Queso_Blan]]</f>
        <v>2.0395E-2</v>
      </c>
      <c r="CF92" s="62">
        <f>+Tabla_master_rend[[#This Row],[Merma_TOT]]/Tabla_master_rend[[#This Row],[Kg_Queso_Blan]]</f>
        <v>3.0450937066386231E-2</v>
      </c>
      <c r="CG92" s="8">
        <f>CD92-Tabla_master_rend[[#This Row],[Merma_TOT]]</f>
        <v>-283.7998626000001</v>
      </c>
      <c r="CH92" s="81" cm="1">
        <f t="array" ref="CH92">-BR92 * IFERROR(INDEX('Precio Leche_EBITDA_Ventas'!$BD$87:$BD$110,MATCH(1,('Precio Leche_EBITDA_Ventas'!$AZ$87:$AZ$110=YEAR(A92))*('Precio Leche_EBITDA_Ventas'!$BB$87:$BB$110=C92),0)),1.3)</f>
        <v>-3128.1796000000004</v>
      </c>
      <c r="CI92" s="81">
        <f t="shared" si="36"/>
        <v>-368.93982138000013</v>
      </c>
    </row>
    <row r="93" spans="1:87" x14ac:dyDescent="0.35">
      <c r="A93" s="9">
        <v>45849</v>
      </c>
      <c r="B93" s="7">
        <v>7</v>
      </c>
      <c r="C93" s="7" t="str">
        <f>+UPPER(TEXT(Tabla_master_rend[[#This Row],[Fecha]],"MMM"))</f>
        <v>JUL</v>
      </c>
      <c r="D93" s="7" t="str">
        <f>+UPPER(TEXT(Tabla_master_rend[[#This Row],[Fecha]],"ddd"))</f>
        <v>VI</v>
      </c>
      <c r="E93" s="3">
        <v>110725146</v>
      </c>
      <c r="F93" s="3" t="s">
        <v>244</v>
      </c>
      <c r="G93" s="84" t="s">
        <v>40</v>
      </c>
      <c r="H93">
        <v>18</v>
      </c>
      <c r="I93" s="8">
        <f>+Tabla_master_rend[[#This Row],[L_Leche_ent]]+Tabla_master_rend[[#This Row],[L_desn_ext]]+Tabla_master_rend[[#This Row],[L_cabra]]+Tabla_master_rend[[#This Row],[L_oveja]]</f>
        <v>301771</v>
      </c>
      <c r="J93" s="8">
        <v>301771</v>
      </c>
      <c r="K93" s="5">
        <v>3.5799999999999998E-2</v>
      </c>
      <c r="L93" s="5">
        <v>3.1899999999999998E-2</v>
      </c>
      <c r="M93" s="5">
        <f t="shared" si="31"/>
        <v>0.10489999999999999</v>
      </c>
      <c r="N93" s="35" t="s">
        <v>43</v>
      </c>
      <c r="O93" s="8">
        <v>0</v>
      </c>
      <c r="P93" s="8">
        <v>0</v>
      </c>
      <c r="Q93" s="8">
        <v>0</v>
      </c>
      <c r="R93" s="8">
        <v>1337</v>
      </c>
      <c r="T93" s="8">
        <v>246920</v>
      </c>
      <c r="U93" s="38">
        <f>+Tabla_master_rend[[#This Row],[L_suero Total]]/Tabla_master_rend[[#This Row],[Litros_Leche_Total]]</f>
        <v>0.8182363447779939</v>
      </c>
      <c r="V93" s="5">
        <v>2.5000000000000001E-3</v>
      </c>
      <c r="W93" s="5">
        <v>9.5999999999999992E-3</v>
      </c>
      <c r="X93" s="8">
        <v>246349</v>
      </c>
      <c r="Y93" s="57">
        <v>98653</v>
      </c>
      <c r="Z93" s="58">
        <f>IF(Tabla_master_rend[[#This Row],[L_suero para con]]=0,0,+Tabla_master_rend[[#This Row],[L_suero para con]]/Tabla_master_rend[[#This Row],[L_suero_con]])</f>
        <v>2.4971262911416785</v>
      </c>
      <c r="AA93" s="8">
        <f>+Tabla_master_rend[[#This Row],[L_suero Total]]-Tabla_master_rend[[#This Row],[L_suero para con]]</f>
        <v>571</v>
      </c>
      <c r="AD93" s="8"/>
      <c r="AE93" s="8"/>
      <c r="AF93" s="8"/>
      <c r="AG93" s="5"/>
      <c r="AI93" s="7">
        <f>+Tabla_master_rend[[#This Row],[Kg_Finos]]+Tabla_master_rend[[#This Row],[Kg_Llenadora]]+Tabla_master_rend[[#This Row],[Kg_Desmoldeo]]+Tabla_master_rend[[#This Row],[L_Agua]]+Tabla_master_rend[[#This Row],[Kg_SalidaSecadero]]</f>
        <v>34571.31</v>
      </c>
      <c r="AJ93" s="59">
        <f>+Tabla_master_rend[[#This Row],[Litros_Leche_Total]]/Tabla_master_rend[[#This Row],[Kg_Queso_Blan]]</f>
        <v>8.7289431612513386</v>
      </c>
      <c r="AK93" s="59">
        <f>+Tabla_master_rend[[#This Row],[Litros_Leche_Total]]/(Tabla_master_rend[[#This Row],[Kg_Queso_Blan]]-Tabla_master_rend[[#This Row],[Merma_TOT]])</f>
        <v>9.0073393887494149</v>
      </c>
      <c r="AL93" s="59">
        <f>VLOOKUP(G93,REND_TARGET[#All],8,FALSE)</f>
        <v>8.9338729999999984</v>
      </c>
      <c r="AM93" s="7">
        <f>(I93*1.03*Tabla_master_rend[[#This Row],[%MG_Leche]])+(I93*1.03*Tabla_master_rend[[#This Row],[%MP_Leche]])</f>
        <v>21042.793600999998</v>
      </c>
      <c r="AN93" s="38">
        <v>0.29870000000000002</v>
      </c>
      <c r="AO93" s="38">
        <v>0.22640000000000002</v>
      </c>
      <c r="AP93" s="60">
        <v>0.57589999999999997</v>
      </c>
      <c r="AQ93" s="38">
        <f>+Tabla_master_rend[[#This Row],[Kg_Queso_Blan]]*Tabla_master_rend[[#This Row],[ES_QUESO]]/(Tabla_master_rend[[#This Row],[Kg_Solidos_leche]])</f>
        <v>0.94614896702944662</v>
      </c>
      <c r="AR93" s="7">
        <f t="shared" si="32"/>
        <v>534.80000000000007</v>
      </c>
      <c r="AS93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0.97607248125964097</v>
      </c>
      <c r="AT93" s="62">
        <f>+Tabla_master_rend[[#This Row],[Kg_Queso_Blan]]*Tabla_master_rend[[#This Row],[%PT_QUESO]]/(Tabla_master_rend[[#This Row],[Litros_Leche_Total]]*1.03*Tabla_master_rend[[#This Row],[%MP_Leche]])</f>
        <v>0.78938132759742541</v>
      </c>
      <c r="AU93" s="63">
        <f t="shared" si="33"/>
        <v>4011.0000000000005</v>
      </c>
      <c r="AV93" s="7">
        <v>80.91</v>
      </c>
      <c r="AW93" s="7">
        <v>250.7</v>
      </c>
      <c r="AX93" s="7">
        <v>39.700000000000003</v>
      </c>
      <c r="AY93" s="8">
        <f>SUM(Tabla_master_rend[[#This Row],[Kg_Finos]:[Kg_Desmoldeo]])</f>
        <v>371.31</v>
      </c>
      <c r="AZ93" s="60">
        <f>+(Tabla_master_rend[[#This Row],[Kg_Finos]]+Tabla_master_rend[[#This Row],[Kg_Llenadora]]+Tabla_master_rend[[#This Row],[Kg_Desmoldeo]])/(Tabla_master_rend[[#This Row],[Kg_Queso_Blan]])</f>
        <v>1.0740408737765507E-2</v>
      </c>
      <c r="BA93" s="7">
        <v>395</v>
      </c>
      <c r="BB93" s="60">
        <f>+Tabla_master_rend[[#This Row],[L_Agua]]/(Tabla_master_rend[[#This Row],[L_Agua]]+Tabla_master_rend[[#This Row],[Kg_SalidaSecadero]])</f>
        <v>1.1549707602339181E-2</v>
      </c>
      <c r="BC93" s="8">
        <v>4899</v>
      </c>
      <c r="BD93" s="8">
        <v>4809</v>
      </c>
      <c r="BE93" s="8">
        <v>33632</v>
      </c>
      <c r="BF93" s="8">
        <v>0</v>
      </c>
      <c r="BG93" s="8">
        <f>13*6.4</f>
        <v>83.2</v>
      </c>
      <c r="BH93" s="7">
        <f>49*6.4</f>
        <v>313.60000000000002</v>
      </c>
      <c r="BI93" s="7">
        <f>4*6.4</f>
        <v>25.6</v>
      </c>
      <c r="BJ93" s="8">
        <v>146</v>
      </c>
      <c r="BK93" s="8">
        <v>33805</v>
      </c>
      <c r="BL93" s="8">
        <v>0</v>
      </c>
      <c r="BM93" s="8">
        <v>277.33999999999997</v>
      </c>
      <c r="BN93" s="7">
        <v>24.87</v>
      </c>
      <c r="BO93" s="68">
        <f>+SUM(Tabla_master_rend[[#This Row],[B_altas]:[B_lab]])/Tabla_master_rend[[#This Row],[Kg_SalidaSecadero]]</f>
        <v>1.6814080757284428E-2</v>
      </c>
      <c r="BP93" s="68">
        <f>+(Tabla_master_rend[[#This Row],[Kg_mer_env_real]]+Tabla_master_rend[[#This Row],[kg_mer_lab_real]])/Tabla_master_rend[[#This Row],[Kg_SalidaSecadero]]</f>
        <v>8.9398018044667942E-3</v>
      </c>
      <c r="BQ93" s="64">
        <f>+Tabla_master_rend[[#This Row],[Merma_TOT]]/Tabla_master_rend[[#This Row],[Kg_Queso_Blan]]</f>
        <v>3.0907709311565001E-2</v>
      </c>
      <c r="BR93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1068.5200000000002</v>
      </c>
      <c r="BS93" s="8"/>
      <c r="BT93" s="63">
        <f>IF(+Tabla_master_rend[[#This Row],[Kg_Env_Total]]=0,0,Tabla_master_rend[[#This Row],[Kg_Env_Total]]-Tabla_master_rend[[#This Row],[Kg_SalidaSecadero]])</f>
        <v>0</v>
      </c>
      <c r="BU93" s="60">
        <f>+Tabla_master_rend[[#This Row],[Diferencia_Env_vs_Sec_kg]]/Tabla_master_rend[[#This Row],[Kg_SalidaSecadero]]</f>
        <v>0</v>
      </c>
      <c r="BV93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93" s="65">
        <f>+(Tabla_master_rend[[#This Row],[Coste_Leche_€]]-Tabla_master_rend[[#This Row],[Kg_MG_Nata]]*$CO$3)/Tabla_master_rend[[#This Row],[Kg_Queso_Blan]]</f>
        <v>-0.11602105908049191</v>
      </c>
      <c r="BX93" s="8">
        <f>SUM(Tabla_master_rend[[#This Row],[Kg_Finos]:[Kg_Desmoldeo]])+Tabla_master_rend[[#This Row],[L_Agua]]+SUM(Tabla_master_rend[[#This Row],[B_altas]:[B_lab]])</f>
        <v>1334.71</v>
      </c>
      <c r="BY93" s="8">
        <f>+BX93-Tabla_master_rend[[#This Row],[Merma_TOT]]</f>
        <v>266.18999999999983</v>
      </c>
      <c r="BZ93" s="62">
        <f t="shared" si="34"/>
        <v>0.19943658172936429</v>
      </c>
      <c r="CA93" s="8">
        <f>+Tabla_master_rend[[#This Row],[Kg_Queso_Blan]]*$CA$1</f>
        <v>224.71351499999997</v>
      </c>
      <c r="CB93" s="8">
        <f>+Tabla_master_rend[[#This Row],[Kg_Queso_Blan]]*($CB$1-$CA$1)</f>
        <v>120.99958500000001</v>
      </c>
      <c r="CC93" s="8">
        <f>+(Tabla_master_rend[[#This Row],[Kg_Queso_Blan]]-CA93-CB93)*$CC$1</f>
        <v>359.36876745000001</v>
      </c>
      <c r="CD93" s="8">
        <f t="shared" si="35"/>
        <v>705.08186745</v>
      </c>
      <c r="CE93" s="80">
        <f>+CD93/Tabla_master_rend[[#This Row],[Kg_Queso_Blan]]</f>
        <v>2.0395E-2</v>
      </c>
      <c r="CF93" s="62">
        <f>+Tabla_master_rend[[#This Row],[Merma_TOT]]/Tabla_master_rend[[#This Row],[Kg_Queso_Blan]]</f>
        <v>3.0907709311565001E-2</v>
      </c>
      <c r="CG93" s="8">
        <f>CD93-Tabla_master_rend[[#This Row],[Merma_TOT]]</f>
        <v>-363.4381325500002</v>
      </c>
      <c r="CH93" s="81" cm="1">
        <f t="array" ref="CH93">-BR93 * IFERROR(INDEX('Precio Leche_EBITDA_Ventas'!$BD$87:$BD$110,MATCH(1,('Precio Leche_EBITDA_Ventas'!$AZ$87:$AZ$110=YEAR(A93))*('Precio Leche_EBITDA_Ventas'!$BB$87:$BB$110=C93),0)),1.3)</f>
        <v>-3889.412800000001</v>
      </c>
      <c r="CI93" s="81">
        <f t="shared" si="36"/>
        <v>-472.46957231500028</v>
      </c>
    </row>
    <row r="94" spans="1:87" x14ac:dyDescent="0.35">
      <c r="A94" s="9">
        <v>45853</v>
      </c>
      <c r="B94" s="7">
        <v>7</v>
      </c>
      <c r="C94" s="7" t="str">
        <f>+UPPER(TEXT(Tabla_master_rend[[#This Row],[Fecha]],"MMM"))</f>
        <v>JUL</v>
      </c>
      <c r="D94" s="7" t="str">
        <f>+UPPER(TEXT(Tabla_master_rend[[#This Row],[Fecha]],"ddd"))</f>
        <v>MA</v>
      </c>
      <c r="E94" s="3">
        <v>150725316</v>
      </c>
      <c r="F94" s="3" t="s">
        <v>244</v>
      </c>
      <c r="G94" s="84" t="s">
        <v>300</v>
      </c>
      <c r="H94">
        <v>20</v>
      </c>
      <c r="I94" s="8">
        <f>+Tabla_master_rend[[#This Row],[L_Leche_ent]]+Tabla_master_rend[[#This Row],[L_desn_ext]]+Tabla_master_rend[[#This Row],[L_cabra]]+Tabla_master_rend[[#This Row],[L_oveja]]</f>
        <v>241080</v>
      </c>
      <c r="J94" s="8">
        <v>241080</v>
      </c>
      <c r="K94" s="5">
        <v>3.44E-2</v>
      </c>
      <c r="L94" s="5">
        <v>4.1200000000000001E-2</v>
      </c>
      <c r="M94" s="5">
        <f t="shared" si="31"/>
        <v>0.11047999999999999</v>
      </c>
      <c r="N94" s="35" t="s">
        <v>43</v>
      </c>
      <c r="O94" s="8">
        <v>0</v>
      </c>
      <c r="P94" s="8">
        <v>0</v>
      </c>
      <c r="Q94" s="8">
        <v>0</v>
      </c>
      <c r="R94" s="8">
        <v>2241</v>
      </c>
      <c r="T94" s="8">
        <v>280950</v>
      </c>
      <c r="U94" s="38">
        <f>+Tabla_master_rend[[#This Row],[L_suero Total]]/Tabla_master_rend[[#This Row],[Litros_Leche_Total]]</f>
        <v>1.1653807864609258</v>
      </c>
      <c r="V94" s="5">
        <v>1.1000000000000001E-3</v>
      </c>
      <c r="W94" s="5">
        <v>7.8000000000000005E-3</v>
      </c>
      <c r="X94" s="8">
        <v>281868</v>
      </c>
      <c r="Y94" s="57">
        <v>107012</v>
      </c>
      <c r="Z94" s="58">
        <f>IF(Tabla_master_rend[[#This Row],[L_suero para con]]=0,0,+Tabla_master_rend[[#This Row],[L_suero para con]]/Tabla_master_rend[[#This Row],[L_suero_con]])</f>
        <v>2.6339849736478151</v>
      </c>
      <c r="AA94" s="8">
        <f>+Tabla_master_rend[[#This Row],[L_suero Total]]-Tabla_master_rend[[#This Row],[L_suero para con]]</f>
        <v>-918</v>
      </c>
      <c r="AD94" s="8"/>
      <c r="AE94" s="8"/>
      <c r="AF94" s="8"/>
      <c r="AG94" s="5"/>
      <c r="AI94" s="7">
        <f>+Tabla_master_rend[[#This Row],[Kg_Finos]]+Tabla_master_rend[[#This Row],[Kg_Llenadora]]+Tabla_master_rend[[#This Row],[Kg_Desmoldeo]]+Tabla_master_rend[[#This Row],[L_Agua]]+Tabla_master_rend[[#This Row],[Kg_SalidaSecadero]]</f>
        <v>33856.71</v>
      </c>
      <c r="AJ94" s="59">
        <f>+Tabla_master_rend[[#This Row],[Litros_Leche_Total]]/Tabla_master_rend[[#This Row],[Kg_Queso_Blan]]</f>
        <v>7.1205973645992184</v>
      </c>
      <c r="AK94" s="59">
        <f>+Tabla_master_rend[[#This Row],[Litros_Leche_Total]]/(Tabla_master_rend[[#This Row],[Kg_Queso_Blan]]-Tabla_master_rend[[#This Row],[Merma_TOT]])</f>
        <v>7.308012349776968</v>
      </c>
      <c r="AL94" s="59">
        <f>VLOOKUP(G94,REND_TARGET[#All],8,FALSE)</f>
        <v>7.7024999999999997</v>
      </c>
      <c r="AM94" s="7">
        <f>(I94*1.03*Tabla_master_rend[[#This Row],[%MG_Leche]])+(I94*1.03*Tabla_master_rend[[#This Row],[%MP_Leche]])</f>
        <v>18772.417440000001</v>
      </c>
      <c r="AN94" s="38">
        <v>0.2167</v>
      </c>
      <c r="AO94" s="38">
        <v>0.24079999999999999</v>
      </c>
      <c r="AP94" s="60">
        <v>0.52159999999999995</v>
      </c>
      <c r="AQ94" s="38">
        <f>+Tabla_master_rend[[#This Row],[Kg_Queso_Blan]]*Tabla_master_rend[[#This Row],[ES_QUESO]]/(Tabla_master_rend[[#This Row],[Kg_Solidos_leche]])</f>
        <v>0.94072380355079055</v>
      </c>
      <c r="AR94" s="7">
        <f t="shared" si="32"/>
        <v>896.40000000000009</v>
      </c>
      <c r="AS94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0.96384928179649021</v>
      </c>
      <c r="AT94" s="62">
        <f>+Tabla_master_rend[[#This Row],[Kg_Queso_Blan]]*Tabla_master_rend[[#This Row],[%PT_QUESO]]/(Tabla_master_rend[[#This Row],[Litros_Leche_Total]]*1.03*Tabla_master_rend[[#This Row],[%MP_Leche]])</f>
        <v>0.79690327685092821</v>
      </c>
      <c r="AU94" s="63">
        <f t="shared" si="33"/>
        <v>6723.0000000000009</v>
      </c>
      <c r="AV94" s="7">
        <v>67.709999999999994</v>
      </c>
      <c r="AW94" s="7">
        <v>59.7</v>
      </c>
      <c r="AX94" s="7">
        <v>91.3</v>
      </c>
      <c r="AY94" s="8">
        <f>SUM(Tabla_master_rend[[#This Row],[Kg_Finos]:[Kg_Desmoldeo]])</f>
        <v>218.70999999999998</v>
      </c>
      <c r="AZ94" s="60">
        <f>+(Tabla_master_rend[[#This Row],[Kg_Finos]]+Tabla_master_rend[[#This Row],[Kg_Llenadora]]+Tabla_master_rend[[#This Row],[Kg_Desmoldeo]])/(Tabla_master_rend[[#This Row],[Kg_Queso_Blan]])</f>
        <v>6.4598716177679399E-3</v>
      </c>
      <c r="BA94" s="7">
        <v>245</v>
      </c>
      <c r="BB94" s="60">
        <f>+Tabla_master_rend[[#This Row],[L_Agua]]/(Tabla_master_rend[[#This Row],[L_Agua]]+Tabla_master_rend[[#This Row],[Kg_SalidaSecadero]])</f>
        <v>7.2834294547832806E-3</v>
      </c>
      <c r="BC94" s="8">
        <v>4863</v>
      </c>
      <c r="BD94" s="8">
        <v>4630</v>
      </c>
      <c r="BE94" s="8">
        <v>32125</v>
      </c>
      <c r="BF94" s="8">
        <v>0</v>
      </c>
      <c r="BG94" s="8">
        <f>200*6.5</f>
        <v>1300</v>
      </c>
      <c r="BH94" s="7">
        <f>14*6.5</f>
        <v>91</v>
      </c>
      <c r="BI94" s="7">
        <f>2*6.5</f>
        <v>13</v>
      </c>
      <c r="BJ94" s="8">
        <v>102</v>
      </c>
      <c r="BK94" s="8">
        <v>33393</v>
      </c>
      <c r="BL94" s="8">
        <v>7.29</v>
      </c>
      <c r="BM94" s="8">
        <v>338.32</v>
      </c>
      <c r="BN94" s="7">
        <v>58.94</v>
      </c>
      <c r="BO94" s="68">
        <f>+SUM(Tabla_master_rend[[#This Row],[B_altas]:[B_lab]])/Tabla_master_rend[[#This Row],[Kg_SalidaSecadero]]</f>
        <v>4.5099272302578382E-2</v>
      </c>
      <c r="BP94" s="68">
        <f>+(Tabla_master_rend[[#This Row],[Kg_mer_env_real]]+Tabla_master_rend[[#This Row],[kg_mer_lab_real]])/Tabla_master_rend[[#This Row],[Kg_SalidaSecadero]]</f>
        <v>1.189650525559249E-2</v>
      </c>
      <c r="BQ94" s="64">
        <f>+Tabla_master_rend[[#This Row],[Merma_TOT]]/Tabla_master_rend[[#This Row],[Kg_Queso_Blan]]</f>
        <v>2.5645137994802211E-2</v>
      </c>
      <c r="BR94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868.26</v>
      </c>
      <c r="BS94" s="8"/>
      <c r="BT94" s="63">
        <f>IF(+Tabla_master_rend[[#This Row],[Kg_Env_Total]]=0,0,Tabla_master_rend[[#This Row],[Kg_Env_Total]]-Tabla_master_rend[[#This Row],[Kg_SalidaSecadero]])</f>
        <v>0</v>
      </c>
      <c r="BU94" s="60">
        <f>+Tabla_master_rend[[#This Row],[Diferencia_Env_vs_Sec_kg]]/Tabla_master_rend[[#This Row],[Kg_SalidaSecadero]]</f>
        <v>0</v>
      </c>
      <c r="BV94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94" s="65">
        <f>+(Tabla_master_rend[[#This Row],[Coste_Leche_€]]-Tabla_master_rend[[#This Row],[Kg_MG_Nata]]*$CO$3)/Tabla_master_rend[[#This Row],[Kg_Queso_Blan]]</f>
        <v>-0.19857215896051333</v>
      </c>
      <c r="BX94" s="8">
        <f>SUM(Tabla_master_rend[[#This Row],[Kg_Finos]:[Kg_Desmoldeo]])+Tabla_master_rend[[#This Row],[L_Agua]]+SUM(Tabla_master_rend[[#This Row],[B_altas]:[B_lab]])</f>
        <v>1969.71</v>
      </c>
      <c r="BY94" s="8">
        <f>+BX94-Tabla_master_rend[[#This Row],[Merma_TOT]]</f>
        <v>1101.45</v>
      </c>
      <c r="BZ94" s="62">
        <f t="shared" si="34"/>
        <v>0.5591939930243538</v>
      </c>
      <c r="CA94" s="8">
        <f>+Tabla_master_rend[[#This Row],[Kg_Queso_Blan]]*$CA$1</f>
        <v>220.06861499999999</v>
      </c>
      <c r="CB94" s="8">
        <f>+Tabla_master_rend[[#This Row],[Kg_Queso_Blan]]*($CB$1-$CA$1)</f>
        <v>118.49848500000002</v>
      </c>
      <c r="CC94" s="8">
        <f>+(Tabla_master_rend[[#This Row],[Kg_Queso_Blan]]-CA94-CB94)*$CC$1</f>
        <v>351.94050045000006</v>
      </c>
      <c r="CD94" s="8">
        <f t="shared" si="35"/>
        <v>690.50760045000004</v>
      </c>
      <c r="CE94" s="80">
        <f>+CD94/Tabla_master_rend[[#This Row],[Kg_Queso_Blan]]</f>
        <v>2.0395000000000003E-2</v>
      </c>
      <c r="CF94" s="62">
        <f>+Tabla_master_rend[[#This Row],[Merma_TOT]]/Tabla_master_rend[[#This Row],[Kg_Queso_Blan]]</f>
        <v>2.5645137994802211E-2</v>
      </c>
      <c r="CG94" s="8">
        <f>CD94-Tabla_master_rend[[#This Row],[Merma_TOT]]</f>
        <v>-177.75239954999995</v>
      </c>
      <c r="CH94" s="81" cm="1">
        <f t="array" ref="CH94">-BR94 * IFERROR(INDEX('Precio Leche_EBITDA_Ventas'!$BD$87:$BD$110,MATCH(1,('Precio Leche_EBITDA_Ventas'!$AZ$87:$AZ$110=YEAR(A94))*('Precio Leche_EBITDA_Ventas'!$BB$87:$BB$110=C94),0)),1.3)</f>
        <v>-3160.4664000000002</v>
      </c>
      <c r="CI94" s="81">
        <f t="shared" si="36"/>
        <v>-231.07811941499995</v>
      </c>
    </row>
    <row r="95" spans="1:87" x14ac:dyDescent="0.35">
      <c r="A95" s="9">
        <v>45854</v>
      </c>
      <c r="B95" s="7">
        <v>7</v>
      </c>
      <c r="C95" s="7" t="str">
        <f>+UPPER(TEXT(Tabla_master_rend[[#This Row],[Fecha]],"MMM"))</f>
        <v>JUL</v>
      </c>
      <c r="D95" s="7" t="str">
        <f>+UPPER(TEXT(Tabla_master_rend[[#This Row],[Fecha]],"ddd"))</f>
        <v>MI</v>
      </c>
      <c r="E95" s="3">
        <v>160725316</v>
      </c>
      <c r="F95" s="3" t="s">
        <v>244</v>
      </c>
      <c r="G95" s="84" t="s">
        <v>299</v>
      </c>
      <c r="H95">
        <v>8</v>
      </c>
      <c r="I95" s="8">
        <f>+Tabla_master_rend[[#This Row],[L_Leche_ent]]+Tabla_master_rend[[#This Row],[L_desn_ext]]+Tabla_master_rend[[#This Row],[L_cabra]]+Tabla_master_rend[[#This Row],[L_oveja]]</f>
        <v>140464</v>
      </c>
      <c r="J95" s="8">
        <v>140464</v>
      </c>
      <c r="K95" s="5">
        <v>4.1900000000000007E-2</v>
      </c>
      <c r="L95" s="5">
        <v>3.1899999999999998E-2</v>
      </c>
      <c r="M95" s="5">
        <f t="shared" si="31"/>
        <v>0.110573</v>
      </c>
      <c r="N95" s="35" t="s">
        <v>43</v>
      </c>
      <c r="O95" s="8">
        <v>0</v>
      </c>
      <c r="P95" s="8">
        <v>0</v>
      </c>
      <c r="Q95" s="8">
        <v>0</v>
      </c>
      <c r="R95" s="8">
        <v>6432</v>
      </c>
      <c r="T95" s="8">
        <v>111756.56141655077</v>
      </c>
      <c r="U95" s="38">
        <f>+Tabla_master_rend[[#This Row],[L_suero Total]]/Tabla_master_rend[[#This Row],[Litros_Leche_Total]]</f>
        <v>0.79562422696598967</v>
      </c>
      <c r="V95" s="5">
        <v>1.2999999999999999E-3</v>
      </c>
      <c r="W95" s="5">
        <v>9.0000000000000011E-3</v>
      </c>
      <c r="X95" s="8">
        <v>111756.56141655077</v>
      </c>
      <c r="Y95" s="57">
        <f>101652/(67934+68610+111757)*111757</f>
        <v>45752.222359152802</v>
      </c>
      <c r="Z95" s="58">
        <f>IF(Tabla_master_rend[[#This Row],[L_suero para con]]=0,0,+Tabla_master_rend[[#This Row],[L_suero para con]]/Tabla_master_rend[[#This Row],[L_suero_con]])</f>
        <v>2.4426477153233566</v>
      </c>
      <c r="AA95" s="8">
        <f>+Tabla_master_rend[[#This Row],[L_suero Total]]-Tabla_master_rend[[#This Row],[L_suero para con]]</f>
        <v>0</v>
      </c>
      <c r="AD95" s="8"/>
      <c r="AE95" s="8"/>
      <c r="AF95" s="8"/>
      <c r="AG95" s="5"/>
      <c r="AI95" s="7">
        <f>+Tabla_master_rend[[#This Row],[Kg_Finos]]+Tabla_master_rend[[#This Row],[Kg_Llenadora]]+Tabla_master_rend[[#This Row],[Kg_Desmoldeo]]+Tabla_master_rend[[#This Row],[L_Agua]]+Tabla_master_rend[[#This Row],[Kg_SalidaSecadero]]</f>
        <v>13948.718248024557</v>
      </c>
      <c r="AJ95" s="59">
        <f>+Tabla_master_rend[[#This Row],[Litros_Leche_Total]]/Tabla_master_rend[[#This Row],[Kg_Queso_Blan]]</f>
        <v>10.070029195685615</v>
      </c>
      <c r="AK95" s="59">
        <f>+Tabla_master_rend[[#This Row],[Litros_Leche_Total]]/(Tabla_master_rend[[#This Row],[Kg_Queso_Blan]]-Tabla_master_rend[[#This Row],[Merma_TOT]])</f>
        <v>11.219117299524141</v>
      </c>
      <c r="AL95" s="59">
        <f>VLOOKUP(G95,REND_TARGET[#All],8,FALSE)</f>
        <v>9.8078500000000002</v>
      </c>
      <c r="AM95" s="7">
        <f>(I95*1.03*Tabla_master_rend[[#This Row],[%MG_Leche]])+(I95*1.03*Tabla_master_rend[[#This Row],[%MP_Leche]])</f>
        <v>10677.230496</v>
      </c>
      <c r="AN95" s="38">
        <v>0.2268</v>
      </c>
      <c r="AO95" s="38">
        <v>0.24979999999999999</v>
      </c>
      <c r="AP95" s="60">
        <v>0.53580000000000005</v>
      </c>
      <c r="AQ95" s="38">
        <f>+Tabla_master_rend[[#This Row],[Kg_Queso_Blan]]*Tabla_master_rend[[#This Row],[ES_QUESO]]/(Tabla_master_rend[[#This Row],[Kg_Solidos_leche]])</f>
        <v>0.6999683335572302</v>
      </c>
      <c r="AR95" s="7">
        <f t="shared" si="32"/>
        <v>2572.8000000000002</v>
      </c>
      <c r="AS95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0.9462825323448123</v>
      </c>
      <c r="AT95" s="62">
        <f>+Tabla_master_rend[[#This Row],[Kg_Queso_Blan]]*Tabla_master_rend[[#This Row],[%PT_QUESO]]/(Tabla_master_rend[[#This Row],[Litros_Leche_Total]]*1.03*Tabla_master_rend[[#This Row],[%MP_Leche]])</f>
        <v>0.75497713093757157</v>
      </c>
      <c r="AU95" s="63">
        <f t="shared" si="33"/>
        <v>19296</v>
      </c>
      <c r="AV95" s="7">
        <v>22.018248024557646</v>
      </c>
      <c r="AW95" s="7">
        <v>11.3</v>
      </c>
      <c r="AX95" s="7">
        <v>9.4</v>
      </c>
      <c r="AY95" s="8">
        <f>SUM(Tabla_master_rend[[#This Row],[Kg_Finos]:[Kg_Desmoldeo]])</f>
        <v>42.718248024557646</v>
      </c>
      <c r="AZ95" s="60">
        <f>+(Tabla_master_rend[[#This Row],[Kg_Finos]]+Tabla_master_rend[[#This Row],[Kg_Llenadora]]+Tabla_master_rend[[#This Row],[Kg_Desmoldeo]])/(Tabla_master_rend[[#This Row],[Kg_Queso_Blan]])</f>
        <v>3.0625213919284289E-3</v>
      </c>
      <c r="BA95" s="7">
        <v>140</v>
      </c>
      <c r="BB95" s="60">
        <f>+Tabla_master_rend[[#This Row],[L_Agua]]/(Tabla_master_rend[[#This Row],[L_Agua]]+Tabla_master_rend[[#This Row],[Kg_SalidaSecadero]])</f>
        <v>1.0067596720839926E-2</v>
      </c>
      <c r="BC95" s="8">
        <v>2021</v>
      </c>
      <c r="BD95" s="8">
        <v>1864</v>
      </c>
      <c r="BE95" s="8">
        <v>12785</v>
      </c>
      <c r="BF95" s="8">
        <v>0</v>
      </c>
      <c r="BG95" s="8">
        <f>157*7.2</f>
        <v>1130.4000000000001</v>
      </c>
      <c r="BH95" s="7">
        <f>3*7.2</f>
        <v>21.6</v>
      </c>
      <c r="BI95" s="7">
        <f>5*7.2</f>
        <v>36</v>
      </c>
      <c r="BJ95" s="8">
        <v>49</v>
      </c>
      <c r="BK95" s="8">
        <v>13766</v>
      </c>
      <c r="BL95" s="8">
        <f>(12.75)/(140464+86234+85384)*140464</f>
        <v>5.7386071609384706</v>
      </c>
      <c r="BM95" s="8">
        <v>1220.3499999999999</v>
      </c>
      <c r="BN95" s="7">
        <f>(44.11)/(140464+86234+85384)*140464</f>
        <v>19.85333034266635</v>
      </c>
      <c r="BO95" s="68">
        <f>+SUM(Tabla_master_rend[[#This Row],[B_altas]:[B_lab]])/Tabla_master_rend[[#This Row],[Kg_SalidaSecadero]]</f>
        <v>8.9859073078599444E-2</v>
      </c>
      <c r="BP95" s="68">
        <f>+(Tabla_master_rend[[#This Row],[Kg_mer_env_real]]+Tabla_master_rend[[#This Row],[kg_mer_lab_real]])/Tabla_master_rend[[#This Row],[Kg_SalidaSecadero]]</f>
        <v>9.0091771781393742E-2</v>
      </c>
      <c r="BQ95" s="64">
        <f>+Tabla_master_rend[[#This Row],[Merma_TOT]]/Tabla_master_rend[[#This Row],[Kg_Queso_Blan]]</f>
        <v>0.1024223272794611</v>
      </c>
      <c r="BR95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1428.6601855281624</v>
      </c>
      <c r="BS95" s="8"/>
      <c r="BT95" s="63">
        <f>IF(+Tabla_master_rend[[#This Row],[Kg_Env_Total]]=0,0,Tabla_master_rend[[#This Row],[Kg_Env_Total]]-Tabla_master_rend[[#This Row],[Kg_SalidaSecadero]])</f>
        <v>0</v>
      </c>
      <c r="BU95" s="60">
        <f>+Tabla_master_rend[[#This Row],[Diferencia_Env_vs_Sec_kg]]/Tabla_master_rend[[#This Row],[Kg_SalidaSecadero]]</f>
        <v>0</v>
      </c>
      <c r="BV95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95" s="65">
        <f>+(Tabla_master_rend[[#This Row],[Coste_Leche_€]]-Tabla_master_rend[[#This Row],[Kg_MG_Nata]]*$CO$3)/Tabla_master_rend[[#This Row],[Kg_Queso_Blan]]</f>
        <v>-1.3833529114929779</v>
      </c>
      <c r="BX95" s="8">
        <f>SUM(Tabla_master_rend[[#This Row],[Kg_Finos]:[Kg_Desmoldeo]])+Tabla_master_rend[[#This Row],[L_Agua]]+SUM(Tabla_master_rend[[#This Row],[B_altas]:[B_lab]])</f>
        <v>1419.7182480245576</v>
      </c>
      <c r="BY95" s="8">
        <f>+BX95-Tabla_master_rend[[#This Row],[Merma_TOT]]</f>
        <v>-8.9419375036047768</v>
      </c>
      <c r="BZ95" s="62">
        <f t="shared" si="34"/>
        <v>-6.2983887937250087E-3</v>
      </c>
      <c r="CA95" s="8">
        <f>+Tabla_master_rend[[#This Row],[Kg_Queso_Blan]]*$CA$1</f>
        <v>90.666668612159626</v>
      </c>
      <c r="CB95" s="8">
        <f>+Tabla_master_rend[[#This Row],[Kg_Queso_Blan]]*($CB$1-$CA$1)</f>
        <v>48.82051386808596</v>
      </c>
      <c r="CC95" s="8">
        <f>+(Tabla_master_rend[[#This Row],[Kg_Queso_Blan]]-CA95-CB95)*$CC$1</f>
        <v>144.9969261882153</v>
      </c>
      <c r="CD95" s="8">
        <f t="shared" si="35"/>
        <v>284.48410866846086</v>
      </c>
      <c r="CE95" s="80">
        <f>+CD95/Tabla_master_rend[[#This Row],[Kg_Queso_Blan]]</f>
        <v>2.0395E-2</v>
      </c>
      <c r="CF95" s="62">
        <f>+Tabla_master_rend[[#This Row],[Merma_TOT]]/Tabla_master_rend[[#This Row],[Kg_Queso_Blan]]</f>
        <v>0.1024223272794611</v>
      </c>
      <c r="CG95" s="8">
        <f>CD95-Tabla_master_rend[[#This Row],[Merma_TOT]]</f>
        <v>-1144.1760768597014</v>
      </c>
      <c r="CH95" s="81" cm="1">
        <f t="array" ref="CH95">-BR95 * IFERROR(INDEX('Precio Leche_EBITDA_Ventas'!$BD$87:$BD$110,MATCH(1,('Precio Leche_EBITDA_Ventas'!$AZ$87:$AZ$110=YEAR(A95))*('Precio Leche_EBITDA_Ventas'!$BB$87:$BB$110=C95),0)),1.3)</f>
        <v>-5200.3230753225116</v>
      </c>
      <c r="CI95" s="81">
        <f t="shared" si="36"/>
        <v>-1487.4288999176119</v>
      </c>
    </row>
    <row r="96" spans="1:87" x14ac:dyDescent="0.35">
      <c r="A96" s="9">
        <v>45854</v>
      </c>
      <c r="B96" s="7">
        <v>7</v>
      </c>
      <c r="C96" s="7" t="str">
        <f>+UPPER(TEXT(Tabla_master_rend[[#This Row],[Fecha]],"MMM"))</f>
        <v>JUL</v>
      </c>
      <c r="D96" s="7" t="str">
        <f>+UPPER(TEXT(Tabla_master_rend[[#This Row],[Fecha]],"ddd"))</f>
        <v>MI</v>
      </c>
      <c r="E96" s="3">
        <v>160725317</v>
      </c>
      <c r="F96" s="3" t="s">
        <v>244</v>
      </c>
      <c r="G96" s="84" t="s">
        <v>299</v>
      </c>
      <c r="H96">
        <v>5</v>
      </c>
      <c r="I96" s="8">
        <f>+Tabla_master_rend[[#This Row],[L_Leche_ent]]+Tabla_master_rend[[#This Row],[L_desn_ext]]+Tabla_master_rend[[#This Row],[L_cabra]]+Tabla_master_rend[[#This Row],[L_oveja]]</f>
        <v>86234</v>
      </c>
      <c r="J96" s="8">
        <v>86234</v>
      </c>
      <c r="K96" s="5">
        <v>4.0300000000000002E-2</v>
      </c>
      <c r="L96" s="5">
        <v>3.2000000000000001E-2</v>
      </c>
      <c r="M96" s="5">
        <f t="shared" si="31"/>
        <v>0.10915900000000001</v>
      </c>
      <c r="N96" s="35" t="s">
        <v>43</v>
      </c>
      <c r="O96" s="8">
        <v>0</v>
      </c>
      <c r="P96" s="8">
        <v>0</v>
      </c>
      <c r="Q96" s="8">
        <v>0</v>
      </c>
      <c r="R96" s="8">
        <v>3656</v>
      </c>
      <c r="T96" s="8">
        <v>68609.859588185151</v>
      </c>
      <c r="U96" s="38">
        <f>+Tabla_master_rend[[#This Row],[L_suero Total]]/Tabla_master_rend[[#This Row],[Litros_Leche_Total]]</f>
        <v>0.79562422696598967</v>
      </c>
      <c r="V96" s="5">
        <v>1.2999999999999999E-3</v>
      </c>
      <c r="W96" s="5">
        <v>9.0000000000000011E-3</v>
      </c>
      <c r="X96" s="8">
        <v>68609.859588185151</v>
      </c>
      <c r="Y96" s="57">
        <f>101652/(67934+68610+111757)*68610</f>
        <v>28088.262713400269</v>
      </c>
      <c r="Z96" s="58">
        <f>IF(Tabla_master_rend[[#This Row],[L_suero para con]]=0,0,+Tabla_master_rend[[#This Row],[L_suero para con]]/Tabla_master_rend[[#This Row],[L_suero_con]])</f>
        <v>2.442652302431398</v>
      </c>
      <c r="AA96" s="8">
        <f>+Tabla_master_rend[[#This Row],[L_suero Total]]-Tabla_master_rend[[#This Row],[L_suero para con]]</f>
        <v>0</v>
      </c>
      <c r="AD96" s="8"/>
      <c r="AE96" s="8"/>
      <c r="AF96" s="8"/>
      <c r="AG96" s="5"/>
      <c r="AI96" s="7">
        <f>+Tabla_master_rend[[#This Row],[Kg_Finos]]+Tabla_master_rend[[#This Row],[Kg_Llenadora]]+Tabla_master_rend[[#This Row],[Kg_Desmoldeo]]+Tabla_master_rend[[#This Row],[L_Agua]]+Tabla_master_rend[[#This Row],[Kg_SalidaSecadero]]</f>
        <v>8733.7174962990503</v>
      </c>
      <c r="AJ96" s="59">
        <f>+Tabla_master_rend[[#This Row],[Litros_Leche_Total]]/Tabla_master_rend[[#This Row],[Kg_Queso_Blan]]</f>
        <v>9.8736878123825296</v>
      </c>
      <c r="AK96" s="59">
        <f>+Tabla_master_rend[[#This Row],[Litros_Leche_Total]]/(Tabla_master_rend[[#This Row],[Kg_Queso_Blan]]-Tabla_master_rend[[#This Row],[Merma_TOT]])</f>
        <v>10.059342426463427</v>
      </c>
      <c r="AL96" s="59">
        <f>VLOOKUP(G96,REND_TARGET[#All],8,FALSE)</f>
        <v>9.8078500000000002</v>
      </c>
      <c r="AM96" s="7">
        <f>(I96*1.03*Tabla_master_rend[[#This Row],[%MG_Leche]])+(I96*1.03*Tabla_master_rend[[#This Row],[%MP_Leche]])</f>
        <v>6421.7597460000006</v>
      </c>
      <c r="AN96" s="38">
        <v>0.22579999999999997</v>
      </c>
      <c r="AO96" s="38">
        <v>0.2445</v>
      </c>
      <c r="AP96" s="60">
        <v>0.5302</v>
      </c>
      <c r="AQ96" s="38">
        <f>+Tabla_master_rend[[#This Row],[Kg_Queso_Blan]]*Tabla_master_rend[[#This Row],[ES_QUESO]]/(Tabla_master_rend[[#This Row],[Kg_Solidos_leche]])</f>
        <v>0.72108225777553958</v>
      </c>
      <c r="AR96" s="7">
        <f t="shared" si="32"/>
        <v>1462.4</v>
      </c>
      <c r="AS96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0.95948757711891164</v>
      </c>
      <c r="AT96" s="62">
        <f>+Tabla_master_rend[[#This Row],[Kg_Queso_Blan]]*Tabla_master_rend[[#This Row],[%PT_QUESO]]/(Tabla_master_rend[[#This Row],[Litros_Leche_Total]]*1.03*Tabla_master_rend[[#This Row],[%MP_Leche]])</f>
        <v>0.75129806261130438</v>
      </c>
      <c r="AU96" s="63">
        <f t="shared" si="33"/>
        <v>10968</v>
      </c>
      <c r="AV96" s="7">
        <v>13.517496299049609</v>
      </c>
      <c r="AW96" s="7">
        <v>9</v>
      </c>
      <c r="AX96" s="7">
        <v>4.2</v>
      </c>
      <c r="AY96" s="8">
        <f>SUM(Tabla_master_rend[[#This Row],[Kg_Finos]:[Kg_Desmoldeo]])</f>
        <v>26.717496299049611</v>
      </c>
      <c r="AZ96" s="60">
        <f>+(Tabla_master_rend[[#This Row],[Kg_Finos]]+Tabla_master_rend[[#This Row],[Kg_Llenadora]]+Tabla_master_rend[[#This Row],[Kg_Desmoldeo]])/(Tabla_master_rend[[#This Row],[Kg_Queso_Blan]])</f>
        <v>3.0591207364299637E-3</v>
      </c>
      <c r="BA96" s="7">
        <v>73</v>
      </c>
      <c r="BB96" s="60">
        <f>+Tabla_master_rend[[#This Row],[L_Agua]]/(Tabla_master_rend[[#This Row],[L_Agua]]+Tabla_master_rend[[#This Row],[Kg_SalidaSecadero]])</f>
        <v>8.3840588032617434E-3</v>
      </c>
      <c r="BC96" s="8">
        <v>1279</v>
      </c>
      <c r="BD96" s="8">
        <v>1142</v>
      </c>
      <c r="BE96" s="8">
        <v>7818</v>
      </c>
      <c r="BF96" s="8">
        <v>0</v>
      </c>
      <c r="BG96" s="8">
        <f>123*6.5</f>
        <v>799.5</v>
      </c>
      <c r="BH96" s="7">
        <f>2*6.5</f>
        <v>13</v>
      </c>
      <c r="BI96" s="7">
        <f>2*6.5</f>
        <v>13</v>
      </c>
      <c r="BJ96" s="8">
        <v>61</v>
      </c>
      <c r="BK96" s="8">
        <v>8634</v>
      </c>
      <c r="BL96" s="8">
        <f>(12.75)/(140464+86234+85384)*86234</f>
        <v>3.5230596445805906</v>
      </c>
      <c r="BM96" s="8">
        <v>45.76</v>
      </c>
      <c r="BN96" s="7">
        <f>(44.11)/(140464+86234+85384)*86234</f>
        <v>12.188404778231362</v>
      </c>
      <c r="BO96" s="68">
        <f>+SUM(Tabla_master_rend[[#This Row],[B_altas]:[B_lab]])/Tabla_master_rend[[#This Row],[Kg_SalidaSecadero]]</f>
        <v>0.10267546907574705</v>
      </c>
      <c r="BP96" s="68">
        <f>+(Tabla_master_rend[[#This Row],[Kg_mer_env_real]]+Tabla_master_rend[[#This Row],[kg_mer_lab_real]])/Tabla_master_rend[[#This Row],[Kg_SalidaSecadero]]</f>
        <v>6.7116521633346499E-3</v>
      </c>
      <c r="BQ96" s="64">
        <f>+Tabla_master_rend[[#This Row],[Merma_TOT]]/Tabla_master_rend[[#This Row],[Kg_Queso_Blan]]</f>
        <v>1.8455939385509785E-2</v>
      </c>
      <c r="BR96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161.18896072186155</v>
      </c>
      <c r="BS96" s="8"/>
      <c r="BT96" s="63">
        <f>IF(+Tabla_master_rend[[#This Row],[Kg_Env_Total]]=0,0,Tabla_master_rend[[#This Row],[Kg_Env_Total]]-Tabla_master_rend[[#This Row],[Kg_SalidaSecadero]])</f>
        <v>0</v>
      </c>
      <c r="BU96" s="60">
        <f>+Tabla_master_rend[[#This Row],[Diferencia_Env_vs_Sec_kg]]/Tabla_master_rend[[#This Row],[Kg_SalidaSecadero]]</f>
        <v>0</v>
      </c>
      <c r="BV96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96" s="65">
        <f>+(Tabla_master_rend[[#This Row],[Coste_Leche_€]]-Tabla_master_rend[[#This Row],[Kg_MG_Nata]]*$CO$3)/Tabla_master_rend[[#This Row],[Kg_Queso_Blan]]</f>
        <v>-1.2558226213119139</v>
      </c>
      <c r="BX96" s="8">
        <f>SUM(Tabla_master_rend[[#This Row],[Kg_Finos]:[Kg_Desmoldeo]])+Tabla_master_rend[[#This Row],[L_Agua]]+SUM(Tabla_master_rend[[#This Row],[B_altas]:[B_lab]])</f>
        <v>986.21749629904957</v>
      </c>
      <c r="BY96" s="8">
        <f>+BX96-Tabla_master_rend[[#This Row],[Merma_TOT]]</f>
        <v>825.02853557718799</v>
      </c>
      <c r="BZ96" s="62">
        <f t="shared" si="34"/>
        <v>0.83655840488862665</v>
      </c>
      <c r="CA96" s="8">
        <f>+Tabla_master_rend[[#This Row],[Kg_Queso_Blan]]*$CA$1</f>
        <v>56.769163725943827</v>
      </c>
      <c r="CB96" s="8">
        <f>+Tabla_master_rend[[#This Row],[Kg_Queso_Blan]]*($CB$1-$CA$1)</f>
        <v>30.568011237046679</v>
      </c>
      <c r="CC96" s="8">
        <f>+(Tabla_master_rend[[#This Row],[Kg_Queso_Blan]]-CA96-CB96)*$CC$1</f>
        <v>90.78699337402864</v>
      </c>
      <c r="CD96" s="8">
        <f t="shared" si="35"/>
        <v>178.12416833701914</v>
      </c>
      <c r="CE96" s="80">
        <f>+CD96/Tabla_master_rend[[#This Row],[Kg_Queso_Blan]]</f>
        <v>2.0395E-2</v>
      </c>
      <c r="CF96" s="62">
        <f>+Tabla_master_rend[[#This Row],[Merma_TOT]]/Tabla_master_rend[[#This Row],[Kg_Queso_Blan]]</f>
        <v>1.8455939385509785E-2</v>
      </c>
      <c r="CG96" s="8">
        <f>CD96-Tabla_master_rend[[#This Row],[Merma_TOT]]</f>
        <v>16.935207615157594</v>
      </c>
      <c r="CH96" s="81" cm="1">
        <f t="array" ref="CH96">-BR96 * IFERROR(INDEX('Precio Leche_EBITDA_Ventas'!$BD$87:$BD$110,MATCH(1,('Precio Leche_EBITDA_Ventas'!$AZ$87:$AZ$110=YEAR(A96))*('Precio Leche_EBITDA_Ventas'!$BB$87:$BB$110=C96),0)),1.3)</f>
        <v>-586.72781702757607</v>
      </c>
      <c r="CI96" s="81">
        <f t="shared" si="36"/>
        <v>22.015769899704875</v>
      </c>
    </row>
    <row r="97" spans="1:87" x14ac:dyDescent="0.35">
      <c r="A97" s="9">
        <v>45854</v>
      </c>
      <c r="B97" s="7">
        <v>7</v>
      </c>
      <c r="C97" s="7" t="str">
        <f>+UPPER(TEXT(Tabla_master_rend[[#This Row],[Fecha]],"MMM"))</f>
        <v>JUL</v>
      </c>
      <c r="D97" s="7" t="str">
        <f>+UPPER(TEXT(Tabla_master_rend[[#This Row],[Fecha]],"ddd"))</f>
        <v>MI</v>
      </c>
      <c r="E97" s="3">
        <v>160725317</v>
      </c>
      <c r="F97" s="3" t="s">
        <v>244</v>
      </c>
      <c r="G97" s="84" t="s">
        <v>299</v>
      </c>
      <c r="H97">
        <v>5</v>
      </c>
      <c r="I97" s="8">
        <f>+Tabla_master_rend[[#This Row],[L_Leche_ent]]+Tabla_master_rend[[#This Row],[L_desn_ext]]+Tabla_master_rend[[#This Row],[L_cabra]]+Tabla_master_rend[[#This Row],[L_oveja]]</f>
        <v>85384</v>
      </c>
      <c r="J97" s="8">
        <v>85384</v>
      </c>
      <c r="K97" s="5">
        <v>3.7699999999999997E-2</v>
      </c>
      <c r="L97" s="5">
        <v>3.2199999999999999E-2</v>
      </c>
      <c r="M97" s="5">
        <f t="shared" si="31"/>
        <v>0.106889</v>
      </c>
      <c r="N97" s="35" t="s">
        <v>43</v>
      </c>
      <c r="O97" s="8">
        <v>0</v>
      </c>
      <c r="P97" s="8">
        <v>0</v>
      </c>
      <c r="Q97" s="8">
        <v>0</v>
      </c>
      <c r="R97" s="8">
        <v>3073</v>
      </c>
      <c r="T97" s="8">
        <v>67933.578995264063</v>
      </c>
      <c r="U97" s="38">
        <f>+Tabla_master_rend[[#This Row],[L_suero Total]]/Tabla_master_rend[[#This Row],[Litros_Leche_Total]]</f>
        <v>0.79562422696598967</v>
      </c>
      <c r="V97" s="5">
        <v>1.2999999999999999E-3</v>
      </c>
      <c r="W97" s="5">
        <v>9.0000000000000011E-3</v>
      </c>
      <c r="X97" s="8">
        <f>67933.5789952641+1539</f>
        <v>69472.578995264106</v>
      </c>
      <c r="Y97" s="57">
        <f>101652/(67934+68610+111757)*67934</f>
        <v>27811.51492744693</v>
      </c>
      <c r="Z97" s="58">
        <f>IF(Tabla_master_rend[[#This Row],[L_suero para con]]=0,0,+Tabla_master_rend[[#This Row],[L_suero para con]]/Tabla_master_rend[[#This Row],[L_suero_con]])</f>
        <v>2.4979789549940068</v>
      </c>
      <c r="AA97" s="8">
        <f>+Tabla_master_rend[[#This Row],[L_suero Total]]-Tabla_master_rend[[#This Row],[L_suero para con]]</f>
        <v>-1539.0000000000437</v>
      </c>
      <c r="AD97" s="8"/>
      <c r="AE97" s="8"/>
      <c r="AF97" s="8"/>
      <c r="AG97" s="5"/>
      <c r="AI97" s="7">
        <f>+Tabla_master_rend[[#This Row],[Kg_Finos]]+Tabla_master_rend[[#This Row],[Kg_Llenadora]]+Tabla_master_rend[[#This Row],[Kg_Desmoldeo]]+Tabla_master_rend[[#This Row],[L_Agua]]+Tabla_master_rend[[#This Row],[Kg_SalidaSecadero]]</f>
        <v>8594.2842556763935</v>
      </c>
      <c r="AJ97" s="59">
        <f>+Tabla_master_rend[[#This Row],[Litros_Leche_Total]]/Tabla_master_rend[[#This Row],[Kg_Queso_Blan]]</f>
        <v>9.9349750904044356</v>
      </c>
      <c r="AK97" s="59">
        <f>+Tabla_master_rend[[#This Row],[Litros_Leche_Total]]/(Tabla_master_rend[[#This Row],[Kg_Queso_Blan]]-Tabla_master_rend[[#This Row],[Merma_TOT]])</f>
        <v>10.126674274935009</v>
      </c>
      <c r="AL97" s="59">
        <f>VLOOKUP(G97,REND_TARGET[#All],8,FALSE)</f>
        <v>9.8078500000000002</v>
      </c>
      <c r="AM97" s="7">
        <f>(I97*1.03*Tabla_master_rend[[#This Row],[%MG_Leche]])+(I97*1.03*Tabla_master_rend[[#This Row],[%MP_Leche]])</f>
        <v>6147.3918480000002</v>
      </c>
      <c r="AN97" s="38">
        <v>0.22320000000000001</v>
      </c>
      <c r="AO97" s="38">
        <v>0.25170000000000003</v>
      </c>
      <c r="AP97" s="60">
        <v>0.53249999999999997</v>
      </c>
      <c r="AQ97" s="38">
        <f>+Tabla_master_rend[[#This Row],[Kg_Queso_Blan]]*Tabla_master_rend[[#This Row],[ES_QUESO]]/(Tabla_master_rend[[#This Row],[Kg_Solidos_leche]])</f>
        <v>0.74445496225144481</v>
      </c>
      <c r="AR97" s="7">
        <f t="shared" si="32"/>
        <v>1229.2</v>
      </c>
      <c r="AS97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0.94929889289422797</v>
      </c>
      <c r="AT97" s="62">
        <f>+Tabla_master_rend[[#This Row],[Kg_Queso_Blan]]*Tabla_master_rend[[#This Row],[%PT_QUESO]]/(Tabla_master_rend[[#This Row],[Litros_Leche_Total]]*1.03*Tabla_master_rend[[#This Row],[%MP_Leche]])</f>
        <v>0.76387682900348974</v>
      </c>
      <c r="AU97" s="63">
        <f t="shared" si="33"/>
        <v>9219</v>
      </c>
      <c r="AV97" s="7">
        <v>13.384255676392742</v>
      </c>
      <c r="AW97" s="7">
        <v>23</v>
      </c>
      <c r="AX97" s="7">
        <v>17.899999999999999</v>
      </c>
      <c r="AY97" s="8">
        <f>SUM(Tabla_master_rend[[#This Row],[Kg_Finos]:[Kg_Desmoldeo]])</f>
        <v>54.284255676392739</v>
      </c>
      <c r="AZ97" s="60">
        <f>+(Tabla_master_rend[[#This Row],[Kg_Finos]]+Tabla_master_rend[[#This Row],[Kg_Llenadora]]+Tabla_master_rend[[#This Row],[Kg_Desmoldeo]])/(Tabla_master_rend[[#This Row],[Kg_Queso_Blan]])</f>
        <v>6.3163207151938003E-3</v>
      </c>
      <c r="BA97" s="7">
        <v>72</v>
      </c>
      <c r="BB97" s="60">
        <f>+Tabla_master_rend[[#This Row],[L_Agua]]/(Tabla_master_rend[[#This Row],[L_Agua]]+Tabla_master_rend[[#This Row],[Kg_SalidaSecadero]])</f>
        <v>8.4309133489461358E-3</v>
      </c>
      <c r="BC97" s="8">
        <v>1273</v>
      </c>
      <c r="BD97" s="8">
        <v>1119</v>
      </c>
      <c r="BE97" s="8">
        <v>7560</v>
      </c>
      <c r="BF97" s="8">
        <v>0</v>
      </c>
      <c r="BG97" s="8">
        <f>144*6.4</f>
        <v>921.6</v>
      </c>
      <c r="BH97" s="7">
        <v>0</v>
      </c>
      <c r="BI97" s="7">
        <v>0</v>
      </c>
      <c r="BJ97" s="8">
        <v>60</v>
      </c>
      <c r="BK97" s="8">
        <v>8468</v>
      </c>
      <c r="BL97" s="8">
        <f>(12.75)/(140464+86234+85384)*85384</f>
        <v>3.4883331944809375</v>
      </c>
      <c r="BM97" s="8">
        <v>20.85</v>
      </c>
      <c r="BN97" s="7">
        <f>(44.11)/(140464+86234+85384)*85384</f>
        <v>12.068264879102287</v>
      </c>
      <c r="BO97" s="68">
        <f>+SUM(Tabla_master_rend[[#This Row],[B_altas]:[B_lab]])/Tabla_master_rend[[#This Row],[Kg_SalidaSecadero]]</f>
        <v>0.11591875295229098</v>
      </c>
      <c r="BP97" s="68">
        <f>+(Tabla_master_rend[[#This Row],[Kg_mer_env_real]]+Tabla_master_rend[[#This Row],[kg_mer_lab_real]])/Tabla_master_rend[[#This Row],[Kg_SalidaSecadero]]</f>
        <v>3.8873718562945545E-3</v>
      </c>
      <c r="BQ97" s="64">
        <f>+Tabla_master_rend[[#This Row],[Merma_TOT]]/Tabla_master_rend[[#This Row],[Kg_Queso_Blan]]</f>
        <v>1.8930122498859767E-2</v>
      </c>
      <c r="BR97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162.69085374997596</v>
      </c>
      <c r="BS97" s="8"/>
      <c r="BT97" s="63">
        <f>IF(+Tabla_master_rend[[#This Row],[Kg_Env_Total]]=0,0,Tabla_master_rend[[#This Row],[Kg_Env_Total]]-Tabla_master_rend[[#This Row],[Kg_SalidaSecadero]])</f>
        <v>0</v>
      </c>
      <c r="BU97" s="60">
        <f>+Tabla_master_rend[[#This Row],[Diferencia_Env_vs_Sec_kg]]/Tabla_master_rend[[#This Row],[Kg_SalidaSecadero]]</f>
        <v>0</v>
      </c>
      <c r="BV97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97" s="65">
        <f>+(Tabla_master_rend[[#This Row],[Coste_Leche_€]]-Tabla_master_rend[[#This Row],[Kg_MG_Nata]]*$CO$3)/Tabla_master_rend[[#This Row],[Kg_Queso_Blan]]</f>
        <v>-1.0726896767361391</v>
      </c>
      <c r="BX97" s="8">
        <f>SUM(Tabla_master_rend[[#This Row],[Kg_Finos]:[Kg_Desmoldeo]])+Tabla_master_rend[[#This Row],[L_Agua]]+SUM(Tabla_master_rend[[#This Row],[B_altas]:[B_lab]])</f>
        <v>1107.8842556763927</v>
      </c>
      <c r="BY97" s="8">
        <f>+BX97-Tabla_master_rend[[#This Row],[Merma_TOT]]</f>
        <v>945.19340192641675</v>
      </c>
      <c r="BZ97" s="62">
        <f t="shared" si="34"/>
        <v>0.85315175938604804</v>
      </c>
      <c r="CA97" s="8">
        <f>+Tabla_master_rend[[#This Row],[Kg_Queso_Blan]]*$CA$1</f>
        <v>55.862847661896552</v>
      </c>
      <c r="CB97" s="8">
        <f>+Tabla_master_rend[[#This Row],[Kg_Queso_Blan]]*($CB$1-$CA$1)</f>
        <v>30.079994894867383</v>
      </c>
      <c r="CC97" s="8">
        <f>+(Tabla_master_rend[[#This Row],[Kg_Queso_Blan]]-CA97-CB97)*$CC$1</f>
        <v>89.337584837756111</v>
      </c>
      <c r="CD97" s="8">
        <f t="shared" si="35"/>
        <v>175.28042739452005</v>
      </c>
      <c r="CE97" s="80">
        <f>+CD97/Tabla_master_rend[[#This Row],[Kg_Queso_Blan]]</f>
        <v>2.0395E-2</v>
      </c>
      <c r="CF97" s="62">
        <f>+Tabla_master_rend[[#This Row],[Merma_TOT]]/Tabla_master_rend[[#This Row],[Kg_Queso_Blan]]</f>
        <v>1.8930122498859767E-2</v>
      </c>
      <c r="CG97" s="8">
        <f>CD97-Tabla_master_rend[[#This Row],[Merma_TOT]]</f>
        <v>12.589573644544089</v>
      </c>
      <c r="CH97" s="81" cm="1">
        <f t="array" ref="CH97">-BR97 * IFERROR(INDEX('Precio Leche_EBITDA_Ventas'!$BD$87:$BD$110,MATCH(1,('Precio Leche_EBITDA_Ventas'!$AZ$87:$AZ$110=YEAR(A97))*('Precio Leche_EBITDA_Ventas'!$BB$87:$BB$110=C97),0)),1.3)</f>
        <v>-592.19470764991252</v>
      </c>
      <c r="CI97" s="81">
        <f t="shared" si="36"/>
        <v>16.366445737907316</v>
      </c>
    </row>
    <row r="98" spans="1:87" x14ac:dyDescent="0.35">
      <c r="A98" s="9">
        <v>45856</v>
      </c>
      <c r="B98" s="7">
        <v>7</v>
      </c>
      <c r="C98" s="7" t="str">
        <f>+UPPER(TEXT(Tabla_master_rend[[#This Row],[Fecha]],"MMM"))</f>
        <v>JUL</v>
      </c>
      <c r="D98" s="7" t="str">
        <f>+UPPER(TEXT(Tabla_master_rend[[#This Row],[Fecha]],"ddd"))</f>
        <v>VI</v>
      </c>
      <c r="E98" s="3">
        <v>180725326</v>
      </c>
      <c r="F98" s="3" t="s">
        <v>244</v>
      </c>
      <c r="G98" s="84" t="s">
        <v>301</v>
      </c>
      <c r="H98">
        <v>16</v>
      </c>
      <c r="I98" s="8">
        <f>+Tabla_master_rend[[#This Row],[L_Leche_ent]]+Tabla_master_rend[[#This Row],[L_desn_ext]]+Tabla_master_rend[[#This Row],[L_cabra]]+Tabla_master_rend[[#This Row],[L_oveja]]</f>
        <v>265609</v>
      </c>
      <c r="J98" s="8">
        <v>265609</v>
      </c>
      <c r="K98" s="5">
        <v>3.5799999999999998E-2</v>
      </c>
      <c r="L98" s="5">
        <v>3.2099999999999997E-2</v>
      </c>
      <c r="M98" s="5">
        <f t="shared" si="31"/>
        <v>0.105048</v>
      </c>
      <c r="N98" s="35" t="s">
        <v>43</v>
      </c>
      <c r="O98" s="8">
        <v>0</v>
      </c>
      <c r="P98" s="8">
        <v>0</v>
      </c>
      <c r="Q98" s="8">
        <v>0</v>
      </c>
      <c r="R98" s="8">
        <v>2964</v>
      </c>
      <c r="T98" s="8">
        <v>222230</v>
      </c>
      <c r="U98" s="38">
        <f>+Tabla_master_rend[[#This Row],[L_suero Total]]/Tabla_master_rend[[#This Row],[Litros_Leche_Total]]</f>
        <v>0.83668098596056606</v>
      </c>
      <c r="V98" s="5">
        <v>2.3E-3</v>
      </c>
      <c r="W98" s="5">
        <v>9.5999999999999992E-3</v>
      </c>
      <c r="X98" s="8">
        <v>223862</v>
      </c>
      <c r="Y98" s="57">
        <v>92191</v>
      </c>
      <c r="Z98" s="58">
        <f>IF(Tabla_master_rend[[#This Row],[L_suero para con]]=0,0,+Tabla_master_rend[[#This Row],[L_suero para con]]/Tabla_master_rend[[#This Row],[L_suero_con]])</f>
        <v>2.4282413684632989</v>
      </c>
      <c r="AA98" s="8">
        <f>+Tabla_master_rend[[#This Row],[L_suero Total]]-Tabla_master_rend[[#This Row],[L_suero para con]]</f>
        <v>-1632</v>
      </c>
      <c r="AD98" s="8"/>
      <c r="AE98" s="8"/>
      <c r="AF98" s="8"/>
      <c r="AG98" s="5"/>
      <c r="AI98" s="7">
        <f>+Tabla_master_rend[[#This Row],[Kg_Finos]]+Tabla_master_rend[[#This Row],[Kg_Llenadora]]+Tabla_master_rend[[#This Row],[Kg_Desmoldeo]]+Tabla_master_rend[[#This Row],[L_Agua]]+Tabla_master_rend[[#This Row],[Kg_SalidaSecadero]]</f>
        <v>28169.77</v>
      </c>
      <c r="AJ98" s="59">
        <f>+Tabla_master_rend[[#This Row],[Litros_Leche_Total]]/Tabla_master_rend[[#This Row],[Kg_Queso_Blan]]</f>
        <v>9.4288664763681069</v>
      </c>
      <c r="AK98" s="59">
        <f>+Tabla_master_rend[[#This Row],[Litros_Leche_Total]]/(Tabla_master_rend[[#This Row],[Kg_Queso_Blan]]-Tabla_master_rend[[#This Row],[Merma_TOT]])</f>
        <v>9.6275015341498307</v>
      </c>
      <c r="AL98" s="59">
        <f>VLOOKUP(G98,REND_TARGET[#All],8,FALSE)</f>
        <v>9.3549429999999987</v>
      </c>
      <c r="AM98" s="7">
        <f>(I98*1.03*Tabla_master_rend[[#This Row],[%MG_Leche]])+(I98*1.03*Tabla_master_rend[[#This Row],[%MP_Leche]])</f>
        <v>18575.896633</v>
      </c>
      <c r="AN98" s="38">
        <v>0.29469999999999996</v>
      </c>
      <c r="AO98" s="38">
        <v>0.24109999999999998</v>
      </c>
      <c r="AP98" s="60">
        <v>0.58709999999999996</v>
      </c>
      <c r="AQ98" s="38">
        <f>+Tabla_master_rend[[#This Row],[Kg_Queso_Blan]]*Tabla_master_rend[[#This Row],[ES_QUESO]]/(Tabla_master_rend[[#This Row],[Kg_Solidos_leche]])</f>
        <v>0.89031890593208152</v>
      </c>
      <c r="AR98" s="7">
        <f t="shared" si="32"/>
        <v>1185.6000000000001</v>
      </c>
      <c r="AS98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0.9686713323489371</v>
      </c>
      <c r="AT98" s="62">
        <f>+Tabla_master_rend[[#This Row],[Kg_Queso_Blan]]*Tabla_master_rend[[#This Row],[%PT_QUESO]]/(Tabla_master_rend[[#This Row],[Litros_Leche_Total]]*1.03*Tabla_master_rend[[#This Row],[%MP_Leche]])</f>
        <v>0.77338450677909787</v>
      </c>
      <c r="AU98" s="63">
        <f t="shared" si="33"/>
        <v>8892.0000000000018</v>
      </c>
      <c r="AV98" s="7">
        <v>35.47</v>
      </c>
      <c r="AW98" s="7">
        <v>89</v>
      </c>
      <c r="AX98" s="7">
        <v>22.3</v>
      </c>
      <c r="AY98" s="8">
        <f>SUM(Tabla_master_rend[[#This Row],[Kg_Finos]:[Kg_Desmoldeo]])</f>
        <v>146.77000000000001</v>
      </c>
      <c r="AZ98" s="60">
        <f>+(Tabla_master_rend[[#This Row],[Kg_Finos]]+Tabla_master_rend[[#This Row],[Kg_Llenadora]]+Tabla_master_rend[[#This Row],[Kg_Desmoldeo]])/(Tabla_master_rend[[#This Row],[Kg_Queso_Blan]])</f>
        <v>5.2101951844122267E-3</v>
      </c>
      <c r="BA98" s="7">
        <v>210</v>
      </c>
      <c r="BB98" s="60">
        <f>+Tabla_master_rend[[#This Row],[L_Agua]]/(Tabla_master_rend[[#This Row],[L_Agua]]+Tabla_master_rend[[#This Row],[Kg_SalidaSecadero]])</f>
        <v>7.4938443421475216E-3</v>
      </c>
      <c r="BC98" s="8">
        <v>3976</v>
      </c>
      <c r="BD98" s="8">
        <v>3915</v>
      </c>
      <c r="BE98" s="8">
        <v>27611</v>
      </c>
      <c r="BF98" s="8">
        <f>20*6.9</f>
        <v>138</v>
      </c>
      <c r="BG98" s="8">
        <f>36*6.9</f>
        <v>248.4</v>
      </c>
      <c r="BH98" s="7">
        <v>0</v>
      </c>
      <c r="BI98" s="7">
        <f>4*6.9</f>
        <v>27.6</v>
      </c>
      <c r="BJ98" s="8">
        <v>86</v>
      </c>
      <c r="BK98" s="8">
        <v>27813</v>
      </c>
      <c r="BL98" s="8">
        <v>2</v>
      </c>
      <c r="BM98" s="8">
        <v>213.7</v>
      </c>
      <c r="BN98" s="7">
        <v>8.73</v>
      </c>
      <c r="BO98" s="68">
        <f>+SUM(Tabla_master_rend[[#This Row],[B_altas]:[B_lab]])/Tabla_master_rend[[#This Row],[Kg_SalidaSecadero]]</f>
        <v>1.7977204904181497E-2</v>
      </c>
      <c r="BP98" s="68">
        <f>+(Tabla_master_rend[[#This Row],[Kg_mer_env_real]]+Tabla_master_rend[[#This Row],[kg_mer_lab_real]])/Tabla_master_rend[[#This Row],[Kg_SalidaSecadero]]</f>
        <v>7.997339373674181E-3</v>
      </c>
      <c r="BQ98" s="64">
        <f>+Tabla_master_rend[[#This Row],[Merma_TOT]]/Tabla_master_rend[[#This Row],[Kg_Queso_Blan]]</f>
        <v>2.0632046339036494E-2</v>
      </c>
      <c r="BR98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581.20000000000005</v>
      </c>
      <c r="BS98" s="8"/>
      <c r="BT98" s="63">
        <f>IF(+Tabla_master_rend[[#This Row],[Kg_Env_Total]]=0,0,Tabla_master_rend[[#This Row],[Kg_Env_Total]]-Tabla_master_rend[[#This Row],[Kg_SalidaSecadero]])</f>
        <v>0</v>
      </c>
      <c r="BU98" s="60">
        <f>+Tabla_master_rend[[#This Row],[Diferencia_Env_vs_Sec_kg]]/Tabla_master_rend[[#This Row],[Kg_SalidaSecadero]]</f>
        <v>0</v>
      </c>
      <c r="BV98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98" s="65">
        <f>+(Tabla_master_rend[[#This Row],[Coste_Leche_€]]-Tabla_master_rend[[#This Row],[Kg_MG_Nata]]*$CO$3)/Tabla_master_rend[[#This Row],[Kg_Queso_Blan]]</f>
        <v>-0.31565752933020047</v>
      </c>
      <c r="BX98" s="8">
        <f>SUM(Tabla_master_rend[[#This Row],[Kg_Finos]:[Kg_Desmoldeo]])+Tabla_master_rend[[#This Row],[L_Agua]]+SUM(Tabla_master_rend[[#This Row],[B_altas]:[B_lab]])</f>
        <v>856.77</v>
      </c>
      <c r="BY98" s="8">
        <f>+BX98-Tabla_master_rend[[#This Row],[Merma_TOT]]</f>
        <v>275.56999999999994</v>
      </c>
      <c r="BZ98" s="62">
        <f t="shared" si="34"/>
        <v>0.32163824597033036</v>
      </c>
      <c r="CA98" s="8">
        <f>+Tabla_master_rend[[#This Row],[Kg_Queso_Blan]]*$CA$1</f>
        <v>183.10350499999998</v>
      </c>
      <c r="CB98" s="8">
        <f>+Tabla_master_rend[[#This Row],[Kg_Queso_Blan]]*($CB$1-$CA$1)</f>
        <v>98.594195000000013</v>
      </c>
      <c r="CC98" s="8">
        <f>+(Tabla_master_rend[[#This Row],[Kg_Queso_Blan]]-CA98-CB98)*$CC$1</f>
        <v>292.82475915000003</v>
      </c>
      <c r="CD98" s="8">
        <f t="shared" si="35"/>
        <v>574.52245915000003</v>
      </c>
      <c r="CE98" s="80">
        <f>+CD98/Tabla_master_rend[[#This Row],[Kg_Queso_Blan]]</f>
        <v>2.0395E-2</v>
      </c>
      <c r="CF98" s="62">
        <f>+Tabla_master_rend[[#This Row],[Merma_TOT]]/Tabla_master_rend[[#This Row],[Kg_Queso_Blan]]</f>
        <v>2.0632046339036494E-2</v>
      </c>
      <c r="CG98" s="8">
        <f>CD98-Tabla_master_rend[[#This Row],[Merma_TOT]]</f>
        <v>-6.677540850000014</v>
      </c>
      <c r="CH98" s="81" cm="1">
        <f t="array" ref="CH98">-BR98 * IFERROR(INDEX('Precio Leche_EBITDA_Ventas'!$BD$87:$BD$110,MATCH(1,('Precio Leche_EBITDA_Ventas'!$AZ$87:$AZ$110=YEAR(A98))*('Precio Leche_EBITDA_Ventas'!$BB$87:$BB$110=C98),0)),1.3)</f>
        <v>-2115.5680000000002</v>
      </c>
      <c r="CI98" s="81">
        <f t="shared" si="36"/>
        <v>-8.6808031050000185</v>
      </c>
    </row>
    <row r="99" spans="1:87" x14ac:dyDescent="0.35">
      <c r="A99" s="9">
        <v>45860</v>
      </c>
      <c r="B99" s="7">
        <v>7</v>
      </c>
      <c r="C99" s="7" t="str">
        <f>+UPPER(TEXT(Tabla_master_rend[[#This Row],[Fecha]],"MMM"))</f>
        <v>JUL</v>
      </c>
      <c r="D99" s="7" t="str">
        <f>+UPPER(TEXT(Tabla_master_rend[[#This Row],[Fecha]],"ddd"))</f>
        <v>MA</v>
      </c>
      <c r="E99" s="3">
        <v>220725196</v>
      </c>
      <c r="F99" s="3" t="s">
        <v>244</v>
      </c>
      <c r="G99" s="84" t="s">
        <v>194</v>
      </c>
      <c r="H99">
        <v>1</v>
      </c>
      <c r="I99" s="8">
        <f>+Tabla_master_rend[[#This Row],[L_Leche_ent]]+Tabla_master_rend[[#This Row],[L_desn_ext]]+Tabla_master_rend[[#This Row],[L_cabra]]+Tabla_master_rend[[#This Row],[L_oveja]]</f>
        <v>14500</v>
      </c>
      <c r="J99" s="8">
        <v>14500</v>
      </c>
      <c r="K99" s="5">
        <v>3.3599999999999998E-2</v>
      </c>
      <c r="L99" s="5">
        <v>3.1699999999999999E-2</v>
      </c>
      <c r="M99" s="5">
        <f t="shared" si="31"/>
        <v>0.10270599999999999</v>
      </c>
      <c r="N99" s="35" t="s">
        <v>188</v>
      </c>
      <c r="O99" s="8">
        <v>0</v>
      </c>
      <c r="P99" s="8">
        <v>0</v>
      </c>
      <c r="Q99" s="8">
        <v>0</v>
      </c>
      <c r="R99" s="8">
        <v>290</v>
      </c>
      <c r="T99" s="8">
        <v>13800</v>
      </c>
      <c r="U99" s="38">
        <f>+Tabla_master_rend[[#This Row],[L_suero Total]]/Tabla_master_rend[[#This Row],[Litros_Leche_Total]]</f>
        <v>0.9517241379310345</v>
      </c>
      <c r="V99" s="5">
        <v>1.9E-3</v>
      </c>
      <c r="W99" s="5">
        <v>9.1999999999999998E-3</v>
      </c>
      <c r="X99" s="8">
        <v>13800</v>
      </c>
      <c r="Y99" s="57">
        <f>101597/(236720+13800)*13800</f>
        <v>5596.5136516046623</v>
      </c>
      <c r="Z99" s="58">
        <f>IF(Tabla_master_rend[[#This Row],[L_suero para con]]=0,0,+Tabla_master_rend[[#This Row],[L_suero para con]]/Tabla_master_rend[[#This Row],[L_suero_con]])</f>
        <v>2.4658208411665701</v>
      </c>
      <c r="AA99" s="8">
        <f>+Tabla_master_rend[[#This Row],[L_suero Total]]-Tabla_master_rend[[#This Row],[L_suero para con]]</f>
        <v>0</v>
      </c>
      <c r="AD99" s="8"/>
      <c r="AE99" s="8"/>
      <c r="AF99" s="8"/>
      <c r="AG99" s="5"/>
      <c r="AI99" s="7">
        <f>+Tabla_master_rend[[#This Row],[Kg_Finos]]+Tabla_master_rend[[#This Row],[Kg_Llenadora]]+Tabla_master_rend[[#This Row],[Kg_Desmoldeo]]+Tabla_master_rend[[#This Row],[L_Agua]]+Tabla_master_rend[[#This Row],[Kg_SalidaSecadero]]</f>
        <v>1445.26</v>
      </c>
      <c r="AJ99" s="59">
        <f>+Tabla_master_rend[[#This Row],[Litros_Leche_Total]]/Tabla_master_rend[[#This Row],[Kg_Queso_Blan]]</f>
        <v>10.032796866999709</v>
      </c>
      <c r="AK99" s="59">
        <f>+Tabla_master_rend[[#This Row],[Litros_Leche_Total]]/(Tabla_master_rend[[#This Row],[Kg_Queso_Blan]]-Tabla_master_rend[[#This Row],[Merma_TOT]])</f>
        <v>10.213713142583435</v>
      </c>
      <c r="AL99" s="59">
        <f>VLOOKUP(G99,REND_TARGET[#All],8,FALSE)</f>
        <v>10.141624999999999</v>
      </c>
      <c r="AM99" s="7">
        <f>(I99*1.03*Tabla_master_rend[[#This Row],[%MG_Leche]])+(I99*1.03*Tabla_master_rend[[#This Row],[%MP_Leche]])</f>
        <v>975.25549999999998</v>
      </c>
      <c r="AN99" s="38">
        <v>0.25829999999999997</v>
      </c>
      <c r="AO99" s="38">
        <v>0.25690000000000002</v>
      </c>
      <c r="AP99" s="60">
        <v>0.55530000000000002</v>
      </c>
      <c r="AQ99" s="38">
        <f>+Tabla_master_rend[[#This Row],[Kg_Queso_Blan]]*Tabla_master_rend[[#This Row],[ES_QUESO]]/(Tabla_master_rend[[#This Row],[Kg_Solidos_leche]])</f>
        <v>0.82291551085843662</v>
      </c>
      <c r="AR99" s="7">
        <f t="shared" si="32"/>
        <v>116</v>
      </c>
      <c r="AS99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0.97507982607170751</v>
      </c>
      <c r="AT99" s="62">
        <f>+Tabla_master_rend[[#This Row],[Kg_Queso_Blan]]*Tabla_master_rend[[#This Row],[%PT_QUESO]]/(Tabla_master_rend[[#This Row],[Litros_Leche_Total]]*1.03*Tabla_master_rend[[#This Row],[%MP_Leche]])</f>
        <v>0.78423387571168024</v>
      </c>
      <c r="AU99" s="63">
        <f t="shared" si="33"/>
        <v>870</v>
      </c>
      <c r="AV99" s="7">
        <v>2.86</v>
      </c>
      <c r="AW99" s="7">
        <v>2.1</v>
      </c>
      <c r="AX99" s="7">
        <v>8.3000000000000007</v>
      </c>
      <c r="AY99" s="8">
        <f>SUM(Tabla_master_rend[[#This Row],[Kg_Finos]:[Kg_Desmoldeo]])</f>
        <v>13.260000000000002</v>
      </c>
      <c r="AZ99" s="60">
        <f>+(Tabla_master_rend[[#This Row],[Kg_Finos]]+Tabla_master_rend[[#This Row],[Kg_Llenadora]]+Tabla_master_rend[[#This Row],[Kg_Desmoldeo]])/(Tabla_master_rend[[#This Row],[Kg_Queso_Blan]])</f>
        <v>9.1748197556149082E-3</v>
      </c>
      <c r="BA99" s="7">
        <v>0</v>
      </c>
      <c r="BB99" s="60">
        <f>+Tabla_master_rend[[#This Row],[L_Agua]]/(Tabla_master_rend[[#This Row],[L_Agua]]+Tabla_master_rend[[#This Row],[Kg_SalidaSecadero]])</f>
        <v>0</v>
      </c>
      <c r="BC99" s="8">
        <v>188</v>
      </c>
      <c r="BD99" s="8">
        <v>186</v>
      </c>
      <c r="BE99" s="8">
        <v>1419</v>
      </c>
      <c r="BF99" s="8">
        <v>0</v>
      </c>
      <c r="BG99" s="8">
        <v>0</v>
      </c>
      <c r="BH99" s="7">
        <v>0</v>
      </c>
      <c r="BI99" s="7">
        <v>0</v>
      </c>
      <c r="BJ99" s="8">
        <v>13</v>
      </c>
      <c r="BK99" s="8">
        <v>1432</v>
      </c>
      <c r="BL99" s="8">
        <v>2.5299999999999998</v>
      </c>
      <c r="BM99" s="8">
        <v>0</v>
      </c>
      <c r="BN99" s="7">
        <v>9.81</v>
      </c>
      <c r="BO99" s="68">
        <f>+SUM(Tabla_master_rend[[#This Row],[B_altas]:[B_lab]])/Tabla_master_rend[[#This Row],[Kg_SalidaSecadero]]</f>
        <v>9.0782122905027941E-3</v>
      </c>
      <c r="BP99" s="68">
        <f>+(Tabla_master_rend[[#This Row],[Kg_mer_env_real]]+Tabla_master_rend[[#This Row],[kg_mer_lab_real]])/Tabla_master_rend[[#This Row],[Kg_SalidaSecadero]]</f>
        <v>6.8505586592178778E-3</v>
      </c>
      <c r="BQ99" s="64">
        <f>+Tabla_master_rend[[#This Row],[Merma_TOT]]/Tabla_master_rend[[#This Row],[Kg_Queso_Blan]]</f>
        <v>1.7713075847944317E-2</v>
      </c>
      <c r="BR99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25.6</v>
      </c>
      <c r="BS99" s="8"/>
      <c r="BT99" s="63">
        <f>IF(+Tabla_master_rend[[#This Row],[Kg_Env_Total]]=0,0,Tabla_master_rend[[#This Row],[Kg_Env_Total]]-Tabla_master_rend[[#This Row],[Kg_SalidaSecadero]])</f>
        <v>0</v>
      </c>
      <c r="BU99" s="60">
        <f>+Tabla_master_rend[[#This Row],[Diferencia_Env_vs_Sec_kg]]/Tabla_master_rend[[#This Row],[Kg_SalidaSecadero]]</f>
        <v>0</v>
      </c>
      <c r="BV99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99" s="65">
        <f>+(Tabla_master_rend[[#This Row],[Coste_Leche_€]]-Tabla_master_rend[[#This Row],[Kg_MG_Nata]]*$CO$3)/Tabla_master_rend[[#This Row],[Kg_Queso_Blan]]</f>
        <v>-0.60196781201998262</v>
      </c>
      <c r="BX99" s="8">
        <f>SUM(Tabla_master_rend[[#This Row],[Kg_Finos]:[Kg_Desmoldeo]])+Tabla_master_rend[[#This Row],[L_Agua]]+SUM(Tabla_master_rend[[#This Row],[B_altas]:[B_lab]])</f>
        <v>26.26</v>
      </c>
      <c r="BY99" s="8">
        <f>+BX99-Tabla_master_rend[[#This Row],[Merma_TOT]]</f>
        <v>0.66000000000000014</v>
      </c>
      <c r="BZ99" s="62">
        <f t="shared" si="34"/>
        <v>2.5133282559025139E-2</v>
      </c>
      <c r="CA99" s="8">
        <f>+Tabla_master_rend[[#This Row],[Kg_Queso_Blan]]*$CA$1</f>
        <v>9.39419</v>
      </c>
      <c r="CB99" s="8">
        <f>+Tabla_master_rend[[#This Row],[Kg_Queso_Blan]]*($CB$1-$CA$1)</f>
        <v>5.0584100000000003</v>
      </c>
      <c r="CC99" s="8">
        <f>+(Tabla_master_rend[[#This Row],[Kg_Queso_Blan]]-CA99-CB99)*$CC$1</f>
        <v>15.023477700000001</v>
      </c>
      <c r="CD99" s="8">
        <f t="shared" si="35"/>
        <v>29.476077700000001</v>
      </c>
      <c r="CE99" s="80">
        <f>+CD99/Tabla_master_rend[[#This Row],[Kg_Queso_Blan]]</f>
        <v>2.0395E-2</v>
      </c>
      <c r="CF99" s="62">
        <f>+Tabla_master_rend[[#This Row],[Merma_TOT]]/Tabla_master_rend[[#This Row],[Kg_Queso_Blan]]</f>
        <v>1.7713075847944317E-2</v>
      </c>
      <c r="CG99" s="8">
        <f>CD99-Tabla_master_rend[[#This Row],[Merma_TOT]]</f>
        <v>3.8760776999999997</v>
      </c>
      <c r="CH99" s="81" cm="1">
        <f t="array" ref="CH99">-BR99 * IFERROR(INDEX('Precio Leche_EBITDA_Ventas'!$BD$87:$BD$110,MATCH(1,('Precio Leche_EBITDA_Ventas'!$AZ$87:$AZ$110=YEAR(A99))*('Precio Leche_EBITDA_Ventas'!$BB$87:$BB$110=C99),0)),1.3)</f>
        <v>-93.184000000000012</v>
      </c>
      <c r="CI99" s="81">
        <f t="shared" si="36"/>
        <v>5.03890101</v>
      </c>
    </row>
    <row r="100" spans="1:87" x14ac:dyDescent="0.35">
      <c r="A100" s="9">
        <v>45860</v>
      </c>
      <c r="B100" s="7">
        <v>7</v>
      </c>
      <c r="C100" s="7" t="str">
        <f>+UPPER(TEXT(Tabla_master_rend[[#This Row],[Fecha]],"MMM"))</f>
        <v>JUL</v>
      </c>
      <c r="D100" s="7" t="str">
        <f>+UPPER(TEXT(Tabla_master_rend[[#This Row],[Fecha]],"ddd"))</f>
        <v>MA</v>
      </c>
      <c r="E100" s="3">
        <v>220725116</v>
      </c>
      <c r="F100" s="3" t="s">
        <v>244</v>
      </c>
      <c r="G100" s="84" t="s">
        <v>299</v>
      </c>
      <c r="H100">
        <v>17</v>
      </c>
      <c r="I100" s="8">
        <f>+Tabla_master_rend[[#This Row],[L_Leche_ent]]+Tabla_master_rend[[#This Row],[L_desn_ext]]+Tabla_master_rend[[#This Row],[L_cabra]]+Tabla_master_rend[[#This Row],[L_oveja]]</f>
        <v>282035</v>
      </c>
      <c r="J100" s="8">
        <v>282035</v>
      </c>
      <c r="K100" s="5">
        <v>3.4700000000000002E-2</v>
      </c>
      <c r="L100" s="5">
        <v>3.1800000000000002E-2</v>
      </c>
      <c r="M100" s="5">
        <f t="shared" si="31"/>
        <v>0.10380300000000001</v>
      </c>
      <c r="N100" s="35" t="s">
        <v>188</v>
      </c>
      <c r="O100" s="8">
        <v>0</v>
      </c>
      <c r="P100" s="8">
        <v>0</v>
      </c>
      <c r="Q100" s="8">
        <v>0</v>
      </c>
      <c r="R100" s="8">
        <v>8333</v>
      </c>
      <c r="T100" s="8">
        <v>236720</v>
      </c>
      <c r="U100" s="38">
        <f>+Tabla_master_rend[[#This Row],[L_suero Total]]/Tabla_master_rend[[#This Row],[Litros_Leche_Total]]</f>
        <v>0.83932845214246454</v>
      </c>
      <c r="V100" s="5">
        <v>1.9E-3</v>
      </c>
      <c r="W100" s="5">
        <v>9.1999999999999998E-3</v>
      </c>
      <c r="X100" s="8">
        <f>236720-178</f>
        <v>236542</v>
      </c>
      <c r="Y100" s="57">
        <f>101597/(236720+13800)*236720</f>
        <v>96000.486348395338</v>
      </c>
      <c r="Z100" s="58">
        <f>IF(Tabla_master_rend[[#This Row],[L_suero para con]]=0,0,+Tabla_master_rend[[#This Row],[L_suero para con]]/Tabla_master_rend[[#This Row],[L_suero_con]])</f>
        <v>2.4639666838933034</v>
      </c>
      <c r="AA100" s="8">
        <f>+Tabla_master_rend[[#This Row],[L_suero Total]]-Tabla_master_rend[[#This Row],[L_suero para con]]</f>
        <v>178</v>
      </c>
      <c r="AD100" s="8"/>
      <c r="AE100" s="8"/>
      <c r="AF100" s="8"/>
      <c r="AG100" s="5"/>
      <c r="AI100" s="7">
        <f>+Tabla_master_rend[[#This Row],[Kg_Finos]]+Tabla_master_rend[[#This Row],[Kg_Llenadora]]+Tabla_master_rend[[#This Row],[Kg_Desmoldeo]]+Tabla_master_rend[[#This Row],[L_Agua]]+Tabla_master_rend[[#This Row],[Kg_SalidaSecadero]]</f>
        <v>27269</v>
      </c>
      <c r="AJ100" s="59">
        <f>+Tabla_master_rend[[#This Row],[Litros_Leche_Total]]/Tabla_master_rend[[#This Row],[Kg_Queso_Blan]]</f>
        <v>10.342696835234149</v>
      </c>
      <c r="AK100" s="59">
        <f>+Tabla_master_rend[[#This Row],[Litros_Leche_Total]]/(Tabla_master_rend[[#This Row],[Kg_Queso_Blan]]-Tabla_master_rend[[#This Row],[Merma_TOT]])</f>
        <v>10.724208721958439</v>
      </c>
      <c r="AL100" s="59">
        <f>VLOOKUP(G100,REND_TARGET[#All],8,FALSE)</f>
        <v>9.8078500000000002</v>
      </c>
      <c r="AM100" s="7">
        <f>(I100*1.03*Tabla_master_rend[[#This Row],[%MG_Leche]])+(I100*1.03*Tabla_master_rend[[#This Row],[%MP_Leche]])</f>
        <v>19317.987325000002</v>
      </c>
      <c r="AN100" s="38">
        <v>0.22899999999999998</v>
      </c>
      <c r="AO100" s="38">
        <v>0.25379999999999997</v>
      </c>
      <c r="AP100" s="60">
        <v>0.54010000000000002</v>
      </c>
      <c r="AQ100" s="38">
        <f>+Tabla_master_rend[[#This Row],[Kg_Queso_Blan]]*Tabla_master_rend[[#This Row],[ES_QUESO]]/(Tabla_master_rend[[#This Row],[Kg_Solidos_leche]])</f>
        <v>0.76239758584684747</v>
      </c>
      <c r="AR100" s="7">
        <f t="shared" si="32"/>
        <v>3333.2000000000003</v>
      </c>
      <c r="AS100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0.95015859900582544</v>
      </c>
      <c r="AT100" s="62">
        <f>+Tabla_master_rend[[#This Row],[Kg_Queso_Blan]]*Tabla_master_rend[[#This Row],[%PT_QUESO]]/(Tabla_master_rend[[#This Row],[Litros_Leche_Total]]*1.03*Tabla_master_rend[[#This Row],[%MP_Leche]])</f>
        <v>0.74919259854320808</v>
      </c>
      <c r="AU100" s="63">
        <f t="shared" si="33"/>
        <v>24999.000000000004</v>
      </c>
      <c r="AV100" s="7">
        <v>40</v>
      </c>
      <c r="AW100" s="7">
        <v>126</v>
      </c>
      <c r="AX100" s="7">
        <v>90</v>
      </c>
      <c r="AY100" s="8">
        <f>SUM(Tabla_master_rend[[#This Row],[Kg_Finos]:[Kg_Desmoldeo]])</f>
        <v>256</v>
      </c>
      <c r="AZ100" s="60">
        <f>+(Tabla_master_rend[[#This Row],[Kg_Finos]]+Tabla_master_rend[[#This Row],[Kg_Llenadora]]+Tabla_master_rend[[#This Row],[Kg_Desmoldeo]])/(Tabla_master_rend[[#This Row],[Kg_Queso_Blan]])</f>
        <v>9.3879496864571494E-3</v>
      </c>
      <c r="BA100" s="7">
        <v>200</v>
      </c>
      <c r="BB100" s="60">
        <f>+Tabla_master_rend[[#This Row],[L_Agua]]/(Tabla_master_rend[[#This Row],[L_Agua]]+Tabla_master_rend[[#This Row],[Kg_SalidaSecadero]])</f>
        <v>7.4038425943064451E-3</v>
      </c>
      <c r="BC100" s="8">
        <v>3832</v>
      </c>
      <c r="BD100" s="8">
        <v>3710</v>
      </c>
      <c r="BE100" s="8">
        <v>26279</v>
      </c>
      <c r="BF100" s="8">
        <v>0</v>
      </c>
      <c r="BG100" s="8">
        <f>21*6</f>
        <v>126</v>
      </c>
      <c r="BH100" s="7">
        <v>0</v>
      </c>
      <c r="BI100" s="7">
        <f>70*6</f>
        <v>420</v>
      </c>
      <c r="BJ100" s="8">
        <v>108</v>
      </c>
      <c r="BK100" s="8">
        <v>26813</v>
      </c>
      <c r="BL100" s="8">
        <v>1.34</v>
      </c>
      <c r="BM100" s="8">
        <v>494.92</v>
      </c>
      <c r="BN100" s="7">
        <v>17.829999999999998</v>
      </c>
      <c r="BO100" s="68">
        <f>+SUM(Tabla_master_rend[[#This Row],[B_altas]:[B_lab]])/Tabla_master_rend[[#This Row],[Kg_SalidaSecadero]]</f>
        <v>2.4391153544922238E-2</v>
      </c>
      <c r="BP100" s="68">
        <f>+(Tabla_master_rend[[#This Row],[Kg_mer_env_real]]+Tabla_master_rend[[#This Row],[kg_mer_lab_real]])/Tabla_master_rend[[#This Row],[Kg_SalidaSecadero]]</f>
        <v>1.9123186514004402E-2</v>
      </c>
      <c r="BQ100" s="64">
        <f>+Tabla_master_rend[[#This Row],[Merma_TOT]]/Tabla_master_rend[[#This Row],[Kg_Queso_Blan]]</f>
        <v>3.5574828559903189E-2</v>
      </c>
      <c r="BR100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970.09</v>
      </c>
      <c r="BS100" s="8"/>
      <c r="BT100" s="63">
        <f>IF(+Tabla_master_rend[[#This Row],[Kg_Env_Total]]=0,0,Tabla_master_rend[[#This Row],[Kg_Env_Total]]-Tabla_master_rend[[#This Row],[Kg_SalidaSecadero]])</f>
        <v>0</v>
      </c>
      <c r="BU100" s="60">
        <f>+Tabla_master_rend[[#This Row],[Diferencia_Env_vs_Sec_kg]]/Tabla_master_rend[[#This Row],[Kg_SalidaSecadero]]</f>
        <v>0</v>
      </c>
      <c r="BV100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00" s="65">
        <f>+(Tabla_master_rend[[#This Row],[Coste_Leche_€]]-Tabla_master_rend[[#This Row],[Kg_MG_Nata]]*$CO$3)/Tabla_master_rend[[#This Row],[Kg_Queso_Blan]]</f>
        <v>-0.91675528988961841</v>
      </c>
      <c r="BX100" s="8">
        <f>SUM(Tabla_master_rend[[#This Row],[Kg_Finos]:[Kg_Desmoldeo]])+Tabla_master_rend[[#This Row],[L_Agua]]+SUM(Tabla_master_rend[[#This Row],[B_altas]:[B_lab]])</f>
        <v>1110</v>
      </c>
      <c r="BY100" s="8">
        <f>+BX100-Tabla_master_rend[[#This Row],[Merma_TOT]]</f>
        <v>139.90999999999997</v>
      </c>
      <c r="BZ100" s="62">
        <f t="shared" si="34"/>
        <v>0.12604504504504502</v>
      </c>
      <c r="CA100" s="8">
        <f>+Tabla_master_rend[[#This Row],[Kg_Queso_Blan]]*$CA$1</f>
        <v>177.24849999999998</v>
      </c>
      <c r="CB100" s="8">
        <f>+Tabla_master_rend[[#This Row],[Kg_Queso_Blan]]*($CB$1-$CA$1)</f>
        <v>95.441500000000019</v>
      </c>
      <c r="CC100" s="8">
        <f>+(Tabla_master_rend[[#This Row],[Kg_Queso_Blan]]-CA100-CB100)*$CC$1</f>
        <v>283.46125499999999</v>
      </c>
      <c r="CD100" s="8">
        <f t="shared" si="35"/>
        <v>556.15125499999999</v>
      </c>
      <c r="CE100" s="80">
        <f>+CD100/Tabla_master_rend[[#This Row],[Kg_Queso_Blan]]</f>
        <v>2.0395E-2</v>
      </c>
      <c r="CF100" s="62">
        <f>+Tabla_master_rend[[#This Row],[Merma_TOT]]/Tabla_master_rend[[#This Row],[Kg_Queso_Blan]]</f>
        <v>3.5574828559903189E-2</v>
      </c>
      <c r="CG100" s="8">
        <f>CD100-Tabla_master_rend[[#This Row],[Merma_TOT]]</f>
        <v>-413.93874500000004</v>
      </c>
      <c r="CH100" s="81" cm="1">
        <f t="array" ref="CH100">-BR100 * IFERROR(INDEX('Precio Leche_EBITDA_Ventas'!$BD$87:$BD$110,MATCH(1,('Precio Leche_EBITDA_Ventas'!$AZ$87:$AZ$110=YEAR(A100))*('Precio Leche_EBITDA_Ventas'!$BB$87:$BB$110=C100),0)),1.3)</f>
        <v>-3531.1276000000003</v>
      </c>
      <c r="CI100" s="81">
        <f t="shared" si="36"/>
        <v>-538.12036850000004</v>
      </c>
    </row>
    <row r="101" spans="1:87" x14ac:dyDescent="0.35">
      <c r="A101" s="9">
        <v>45862</v>
      </c>
      <c r="B101" s="7">
        <v>7</v>
      </c>
      <c r="C101" s="7" t="str">
        <f>+UPPER(TEXT(Tabla_master_rend[[#This Row],[Fecha]],"MMM"))</f>
        <v>JUL</v>
      </c>
      <c r="D101" s="7" t="str">
        <f>+UPPER(TEXT(Tabla_master_rend[[#This Row],[Fecha]],"ddd"))</f>
        <v>JU</v>
      </c>
      <c r="E101" s="3">
        <v>240725116</v>
      </c>
      <c r="F101" s="3" t="s">
        <v>244</v>
      </c>
      <c r="G101" s="84" t="s">
        <v>299</v>
      </c>
      <c r="H101">
        <v>19</v>
      </c>
      <c r="I101" s="8">
        <f>+Tabla_master_rend[[#This Row],[L_Leche_ent]]+Tabla_master_rend[[#This Row],[L_desn_ext]]+Tabla_master_rend[[#This Row],[L_cabra]]+Tabla_master_rend[[#This Row],[L_oveja]]</f>
        <v>310512</v>
      </c>
      <c r="J101" s="8">
        <v>310512</v>
      </c>
      <c r="K101" s="5">
        <v>3.85E-2</v>
      </c>
      <c r="L101" s="5">
        <v>3.2099999999999997E-2</v>
      </c>
      <c r="M101" s="5">
        <f t="shared" si="31"/>
        <v>0.107559</v>
      </c>
      <c r="N101" s="35" t="s">
        <v>188</v>
      </c>
      <c r="O101" s="8">
        <v>0</v>
      </c>
      <c r="P101" s="8">
        <v>0</v>
      </c>
      <c r="Q101" s="8">
        <v>0</v>
      </c>
      <c r="R101" s="8">
        <v>11856</v>
      </c>
      <c r="T101" s="8">
        <v>263840</v>
      </c>
      <c r="U101" s="38">
        <f>+Tabla_master_rend[[#This Row],[L_suero Total]]/Tabla_master_rend[[#This Row],[Litros_Leche_Total]]</f>
        <v>0.84969340959447626</v>
      </c>
      <c r="V101" s="5">
        <v>1.1999999999999999E-3</v>
      </c>
      <c r="W101" s="5">
        <v>8.199999999999999E-3</v>
      </c>
      <c r="X101" s="8">
        <v>167321</v>
      </c>
      <c r="Y101" s="57">
        <v>66181</v>
      </c>
      <c r="Z101" s="58">
        <f>IF(Tabla_master_rend[[#This Row],[L_suero para con]]=0,0,+Tabla_master_rend[[#This Row],[L_suero para con]]/Tabla_master_rend[[#This Row],[L_suero_con]])</f>
        <v>2.5282331787068797</v>
      </c>
      <c r="AA101" s="8">
        <f>+Tabla_master_rend[[#This Row],[L_suero Total]]-Tabla_master_rend[[#This Row],[L_suero para con]]</f>
        <v>96519</v>
      </c>
      <c r="AD101" s="8"/>
      <c r="AE101" s="8"/>
      <c r="AF101" s="8"/>
      <c r="AG101" s="5"/>
      <c r="AI101" s="7">
        <f>+Tabla_master_rend[[#This Row],[Kg_Finos]]+Tabla_master_rend[[#This Row],[Kg_Llenadora]]+Tabla_master_rend[[#This Row],[Kg_Desmoldeo]]+Tabla_master_rend[[#This Row],[L_Agua]]+Tabla_master_rend[[#This Row],[Kg_SalidaSecadero]]</f>
        <v>30619.14</v>
      </c>
      <c r="AJ101" s="59">
        <f>+Tabla_master_rend[[#This Row],[Litros_Leche_Total]]/Tabla_master_rend[[#This Row],[Kg_Queso_Blan]]</f>
        <v>10.141107816875326</v>
      </c>
      <c r="AK101" s="59">
        <f>+Tabla_master_rend[[#This Row],[Litros_Leche_Total]]/(Tabla_master_rend[[#This Row],[Kg_Queso_Blan]]-Tabla_master_rend[[#This Row],[Merma_TOT]])</f>
        <v>10.480904732089062</v>
      </c>
      <c r="AL101" s="59">
        <f>VLOOKUP(G101,REND_TARGET[#All],8,FALSE)</f>
        <v>9.8078500000000002</v>
      </c>
      <c r="AM101" s="7">
        <f>(I101*1.03*Tabla_master_rend[[#This Row],[%MG_Leche]])+(I101*1.03*Tabla_master_rend[[#This Row],[%MP_Leche]])</f>
        <v>22579.811615999999</v>
      </c>
      <c r="AN101" s="38">
        <v>0.22489999999999999</v>
      </c>
      <c r="AO101" s="38">
        <v>0.25259999999999999</v>
      </c>
      <c r="AP101" s="60">
        <v>0.53610000000000002</v>
      </c>
      <c r="AQ101" s="38">
        <f>+Tabla_master_rend[[#This Row],[Kg_Queso_Blan]]*Tabla_master_rend[[#This Row],[ES_QUESO]]/(Tabla_master_rend[[#This Row],[Kg_Solidos_leche]])</f>
        <v>0.726973334993124</v>
      </c>
      <c r="AR101" s="7">
        <f t="shared" si="32"/>
        <v>4742.4000000000005</v>
      </c>
      <c r="AS101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0.94439298914101832</v>
      </c>
      <c r="AT101" s="62">
        <f>+Tabla_master_rend[[#This Row],[Kg_Queso_Blan]]*Tabla_master_rend[[#This Row],[%PT_QUESO]]/(Tabla_master_rend[[#This Row],[Litros_Leche_Total]]*1.03*Tabla_master_rend[[#This Row],[%MP_Leche]])</f>
        <v>0.75336543247324939</v>
      </c>
      <c r="AU101" s="63">
        <f t="shared" si="33"/>
        <v>35568.000000000007</v>
      </c>
      <c r="AV101" s="7">
        <v>46.24</v>
      </c>
      <c r="AW101" s="7">
        <v>59.3</v>
      </c>
      <c r="AX101" s="7">
        <v>20.6</v>
      </c>
      <c r="AY101" s="8">
        <f>SUM(Tabla_master_rend[[#This Row],[Kg_Finos]:[Kg_Desmoldeo]])</f>
        <v>126.13999999999999</v>
      </c>
      <c r="AZ101" s="60">
        <f>+(Tabla_master_rend[[#This Row],[Kg_Finos]]+Tabla_master_rend[[#This Row],[Kg_Llenadora]]+Tabla_master_rend[[#This Row],[Kg_Desmoldeo]])/(Tabla_master_rend[[#This Row],[Kg_Queso_Blan]])</f>
        <v>4.1196454243979412E-3</v>
      </c>
      <c r="BA101" s="7">
        <v>210</v>
      </c>
      <c r="BB101" s="60">
        <f>+Tabla_master_rend[[#This Row],[L_Agua]]/(Tabla_master_rend[[#This Row],[L_Agua]]+Tabla_master_rend[[#This Row],[Kg_SalidaSecadero]])</f>
        <v>6.886826484766996E-3</v>
      </c>
      <c r="BC101" s="8">
        <v>4192</v>
      </c>
      <c r="BD101" s="8">
        <v>4033</v>
      </c>
      <c r="BE101" s="8">
        <v>29448</v>
      </c>
      <c r="BF101" s="8">
        <f>36*6.6</f>
        <v>237.6</v>
      </c>
      <c r="BG101" s="8">
        <f>18*6.6</f>
        <v>118.8</v>
      </c>
      <c r="BH101" s="7">
        <f>72*6.6</f>
        <v>475.2</v>
      </c>
      <c r="BI101" s="7">
        <f>53*6.6</f>
        <v>349.79999999999995</v>
      </c>
      <c r="BJ101" s="8">
        <v>101</v>
      </c>
      <c r="BK101" s="8">
        <v>30283</v>
      </c>
      <c r="BL101" s="8">
        <v>4.2</v>
      </c>
      <c r="BM101" s="8">
        <v>633</v>
      </c>
      <c r="BN101" s="7">
        <v>19.350000000000001</v>
      </c>
      <c r="BO101" s="68">
        <f>+SUM(Tabla_master_rend[[#This Row],[B_altas]:[B_lab]])/Tabla_master_rend[[#This Row],[Kg_SalidaSecadero]]</f>
        <v>4.2347191493577248E-2</v>
      </c>
      <c r="BP101" s="68">
        <f>+(Tabla_master_rend[[#This Row],[Kg_mer_env_real]]+Tabla_master_rend[[#This Row],[kg_mer_lab_real]])/Tabla_master_rend[[#This Row],[Kg_SalidaSecadero]]</f>
        <v>2.1541789122610046E-2</v>
      </c>
      <c r="BQ101" s="64">
        <f>+Tabla_master_rend[[#This Row],[Merma_TOT]]/Tabla_master_rend[[#This Row],[Kg_Queso_Blan]]</f>
        <v>3.2420570923938428E-2</v>
      </c>
      <c r="BR101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992.69</v>
      </c>
      <c r="BS101" s="8"/>
      <c r="BT101" s="63">
        <f>IF(+Tabla_master_rend[[#This Row],[Kg_Env_Total]]=0,0,Tabla_master_rend[[#This Row],[Kg_Env_Total]]-Tabla_master_rend[[#This Row],[Kg_SalidaSecadero]])</f>
        <v>0</v>
      </c>
      <c r="BU101" s="60">
        <f>+Tabla_master_rend[[#This Row],[Diferencia_Env_vs_Sec_kg]]/Tabla_master_rend[[#This Row],[Kg_SalidaSecadero]]</f>
        <v>0</v>
      </c>
      <c r="BV101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01" s="65">
        <f>+(Tabla_master_rend[[#This Row],[Coste_Leche_€]]-Tabla_master_rend[[#This Row],[Kg_MG_Nata]]*$CO$3)/Tabla_master_rend[[#This Row],[Kg_Queso_Blan]]</f>
        <v>-1.161626355279737</v>
      </c>
      <c r="BX101" s="8">
        <f>SUM(Tabla_master_rend[[#This Row],[Kg_Finos]:[Kg_Desmoldeo]])+Tabla_master_rend[[#This Row],[L_Agua]]+SUM(Tabla_master_rend[[#This Row],[B_altas]:[B_lab]])</f>
        <v>1618.54</v>
      </c>
      <c r="BY101" s="8">
        <f>+BX101-Tabla_master_rend[[#This Row],[Merma_TOT]]</f>
        <v>625.84999999999991</v>
      </c>
      <c r="BZ101" s="62">
        <f t="shared" si="34"/>
        <v>0.38667564595252507</v>
      </c>
      <c r="CA101" s="8">
        <f>+Tabla_master_rend[[#This Row],[Kg_Queso_Blan]]*$CA$1</f>
        <v>199.02440999999999</v>
      </c>
      <c r="CB101" s="8">
        <f>+Tabla_master_rend[[#This Row],[Kg_Queso_Blan]]*($CB$1-$CA$1)</f>
        <v>107.16699000000001</v>
      </c>
      <c r="CC101" s="8">
        <f>+(Tabla_master_rend[[#This Row],[Kg_Queso_Blan]]-CA101-CB101)*$CC$1</f>
        <v>318.2859603</v>
      </c>
      <c r="CD101" s="8">
        <f t="shared" si="35"/>
        <v>624.47736029999999</v>
      </c>
      <c r="CE101" s="80">
        <f>+CD101/Tabla_master_rend[[#This Row],[Kg_Queso_Blan]]</f>
        <v>2.0395E-2</v>
      </c>
      <c r="CF101" s="62">
        <f>+Tabla_master_rend[[#This Row],[Merma_TOT]]/Tabla_master_rend[[#This Row],[Kg_Queso_Blan]]</f>
        <v>3.2420570923938428E-2</v>
      </c>
      <c r="CG101" s="8">
        <f>CD101-Tabla_master_rend[[#This Row],[Merma_TOT]]</f>
        <v>-368.21263970000007</v>
      </c>
      <c r="CH101" s="81" cm="1">
        <f t="array" ref="CH101">-BR101 * IFERROR(INDEX('Precio Leche_EBITDA_Ventas'!$BD$87:$BD$110,MATCH(1,('Precio Leche_EBITDA_Ventas'!$AZ$87:$AZ$110=YEAR(A101))*('Precio Leche_EBITDA_Ventas'!$BB$87:$BB$110=C101),0)),1.3)</f>
        <v>-3613.3916000000004</v>
      </c>
      <c r="CI101" s="81">
        <f t="shared" si="36"/>
        <v>-478.67643161000012</v>
      </c>
    </row>
    <row r="102" spans="1:87" x14ac:dyDescent="0.35">
      <c r="A102" s="9">
        <v>45866</v>
      </c>
      <c r="B102" s="7">
        <v>7</v>
      </c>
      <c r="C102" s="7" t="str">
        <f>+UPPER(TEXT(Tabla_master_rend[[#This Row],[Fecha]],"MMM"))</f>
        <v>JUL</v>
      </c>
      <c r="D102" s="7" t="str">
        <f>+UPPER(TEXT(Tabla_master_rend[[#This Row],[Fecha]],"ddd"))</f>
        <v>LU</v>
      </c>
      <c r="E102" s="3">
        <v>280725316</v>
      </c>
      <c r="F102" s="3" t="s">
        <v>244</v>
      </c>
      <c r="G102" s="84" t="s">
        <v>299</v>
      </c>
      <c r="H102">
        <v>18</v>
      </c>
      <c r="I102" s="8">
        <f>+Tabla_master_rend[[#This Row],[L_Leche_ent]]+Tabla_master_rend[[#This Row],[L_desn_ext]]+Tabla_master_rend[[#This Row],[L_cabra]]+Tabla_master_rend[[#This Row],[L_oveja]]</f>
        <v>277793</v>
      </c>
      <c r="J102" s="8">
        <v>277793</v>
      </c>
      <c r="K102" s="5">
        <v>3.4799999999999998E-2</v>
      </c>
      <c r="L102" s="5">
        <v>3.2000000000000001E-2</v>
      </c>
      <c r="M102" s="5">
        <f t="shared" si="31"/>
        <v>0.104044</v>
      </c>
      <c r="N102" s="35" t="s">
        <v>43</v>
      </c>
      <c r="O102" s="8">
        <v>0</v>
      </c>
      <c r="P102" s="8">
        <v>0</v>
      </c>
      <c r="Q102" s="8">
        <v>0</v>
      </c>
      <c r="R102" s="8">
        <v>7221</v>
      </c>
      <c r="T102" s="8">
        <v>250870</v>
      </c>
      <c r="U102" s="38">
        <f>+Tabla_master_rend[[#This Row],[L_suero Total]]/Tabla_master_rend[[#This Row],[Litros_Leche_Total]]</f>
        <v>0.90308251107839288</v>
      </c>
      <c r="V102" s="5">
        <v>1.2999999999999999E-3</v>
      </c>
      <c r="W102" s="5">
        <v>9.7000000000000003E-3</v>
      </c>
      <c r="X102" s="8">
        <v>91196</v>
      </c>
      <c r="Y102" s="57">
        <v>36051</v>
      </c>
      <c r="Z102" s="58">
        <f>IF(Tabla_master_rend[[#This Row],[L_suero para con]]=0,0,+Tabla_master_rend[[#This Row],[L_suero para con]]/Tabla_master_rend[[#This Row],[L_suero_con]])</f>
        <v>2.5296385675848105</v>
      </c>
      <c r="AA102" s="8">
        <f>+Tabla_master_rend[[#This Row],[L_suero Total]]-Tabla_master_rend[[#This Row],[L_suero para con]]</f>
        <v>159674</v>
      </c>
      <c r="AD102" s="8"/>
      <c r="AE102" s="8"/>
      <c r="AF102" s="8"/>
      <c r="AG102" s="5"/>
      <c r="AI102" s="7">
        <f>+Tabla_master_rend[[#This Row],[Kg_Finos]]+Tabla_master_rend[[#This Row],[Kg_Llenadora]]+Tabla_master_rend[[#This Row],[Kg_Desmoldeo]]+Tabla_master_rend[[#This Row],[L_Agua]]+Tabla_master_rend[[#This Row],[Kg_SalidaSecadero]]</f>
        <v>29216.51</v>
      </c>
      <c r="AJ102" s="59">
        <f>+Tabla_master_rend[[#This Row],[Litros_Leche_Total]]/Tabla_master_rend[[#This Row],[Kg_Queso_Blan]]</f>
        <v>9.5080829298228995</v>
      </c>
      <c r="AK102" s="59">
        <f>+Tabla_master_rend[[#This Row],[Litros_Leche_Total]]/(Tabla_master_rend[[#This Row],[Kg_Queso_Blan]]-Tabla_master_rend[[#This Row],[Merma_TOT]])</f>
        <v>9.7144719554871557</v>
      </c>
      <c r="AL102" s="59">
        <f>VLOOKUP(G102,REND_TARGET[#All],8,FALSE)</f>
        <v>9.8078500000000002</v>
      </c>
      <c r="AM102" s="7">
        <f>(I102*1.03*Tabla_master_rend[[#This Row],[%MG_Leche]])+(I102*1.03*Tabla_master_rend[[#This Row],[%MP_Leche]])</f>
        <v>19113.269571999997</v>
      </c>
      <c r="AN102" s="38">
        <v>0.23019999999999999</v>
      </c>
      <c r="AO102" s="38">
        <v>0.24350000000000002</v>
      </c>
      <c r="AP102" s="60">
        <v>0.53059999999999996</v>
      </c>
      <c r="AQ102" s="38">
        <f>+Tabla_master_rend[[#This Row],[Kg_Queso_Blan]]*Tabla_master_rend[[#This Row],[ES_QUESO]]/(Tabla_master_rend[[#This Row],[Kg_Solidos_leche]])</f>
        <v>0.81107421980329719</v>
      </c>
      <c r="AR102" s="7">
        <f t="shared" si="32"/>
        <v>2888.4</v>
      </c>
      <c r="AS102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0.96553536472495261</v>
      </c>
      <c r="AT102" s="62">
        <f>+Tabla_master_rend[[#This Row],[Kg_Queso_Blan]]*Tabla_master_rend[[#This Row],[%PT_QUESO]]/(Tabla_master_rend[[#This Row],[Litros_Leche_Total]]*1.03*Tabla_master_rend[[#This Row],[%MP_Leche]])</f>
        <v>0.77699603305670895</v>
      </c>
      <c r="AU102" s="63">
        <f t="shared" si="33"/>
        <v>21663</v>
      </c>
      <c r="AV102" s="7">
        <v>46.91</v>
      </c>
      <c r="AW102" s="7">
        <v>59.9</v>
      </c>
      <c r="AX102" s="7">
        <v>19.7</v>
      </c>
      <c r="AY102" s="8">
        <f>SUM(Tabla_master_rend[[#This Row],[Kg_Finos]:[Kg_Desmoldeo]])</f>
        <v>126.51</v>
      </c>
      <c r="AZ102" s="60">
        <f>+(Tabla_master_rend[[#This Row],[Kg_Finos]]+Tabla_master_rend[[#This Row],[Kg_Llenadora]]+Tabla_master_rend[[#This Row],[Kg_Desmoldeo]])/(Tabla_master_rend[[#This Row],[Kg_Queso_Blan]])</f>
        <v>4.3300859685157468E-3</v>
      </c>
      <c r="BA102" s="7">
        <v>200</v>
      </c>
      <c r="BB102" s="60">
        <f>+Tabla_master_rend[[#This Row],[L_Agua]]/(Tabla_master_rend[[#This Row],[L_Agua]]+Tabla_master_rend[[#This Row],[Kg_SalidaSecadero]])</f>
        <v>6.8752148504640769E-3</v>
      </c>
      <c r="BC102" s="8">
        <v>3920</v>
      </c>
      <c r="BD102" s="8">
        <v>2841</v>
      </c>
      <c r="BE102" s="8">
        <v>28590</v>
      </c>
      <c r="BF102" s="8">
        <f>108*6.3</f>
        <v>680.4</v>
      </c>
      <c r="BG102" s="8">
        <f>20*6.3</f>
        <v>126</v>
      </c>
      <c r="BH102" s="7">
        <f>14*6.3</f>
        <v>88.2</v>
      </c>
      <c r="BI102" s="7">
        <f>26*6.3</f>
        <v>163.79999999999998</v>
      </c>
      <c r="BJ102" s="8">
        <v>122</v>
      </c>
      <c r="BK102" s="8">
        <v>28890</v>
      </c>
      <c r="BL102" s="8">
        <v>0</v>
      </c>
      <c r="BM102" s="8">
        <v>267.27999999999997</v>
      </c>
      <c r="BN102" s="7">
        <v>26.93</v>
      </c>
      <c r="BO102" s="68">
        <f>+SUM(Tabla_master_rend[[#This Row],[B_altas]:[B_lab]])/Tabla_master_rend[[#This Row],[Kg_SalidaSecadero]]</f>
        <v>4.0858428521979927E-2</v>
      </c>
      <c r="BP102" s="68">
        <f>+(Tabla_master_rend[[#This Row],[Kg_mer_env_real]]+Tabla_master_rend[[#This Row],[kg_mer_lab_real]])/Tabla_master_rend[[#This Row],[Kg_SalidaSecadero]]</f>
        <v>1.0183800623052958E-2</v>
      </c>
      <c r="BQ102" s="64">
        <f>+Tabla_master_rend[[#This Row],[Merma_TOT]]/Tabla_master_rend[[#This Row],[Kg_Queso_Blan]]</f>
        <v>2.1245521795724403E-2</v>
      </c>
      <c r="BR102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620.71999999999991</v>
      </c>
      <c r="BS102" s="8"/>
      <c r="BT102" s="63">
        <f>IF(+Tabla_master_rend[[#This Row],[Kg_Env_Total]]=0,0,Tabla_master_rend[[#This Row],[Kg_Env_Total]]-Tabla_master_rend[[#This Row],[Kg_SalidaSecadero]])</f>
        <v>0</v>
      </c>
      <c r="BU102" s="60">
        <f>+Tabla_master_rend[[#This Row],[Diferencia_Env_vs_Sec_kg]]/Tabla_master_rend[[#This Row],[Kg_SalidaSecadero]]</f>
        <v>0</v>
      </c>
      <c r="BV102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02" s="65">
        <f>+(Tabla_master_rend[[#This Row],[Coste_Leche_€]]-Tabla_master_rend[[#This Row],[Kg_MG_Nata]]*$CO$3)/Tabla_master_rend[[#This Row],[Kg_Queso_Blan]]</f>
        <v>-0.74146432958625108</v>
      </c>
      <c r="BX102" s="8">
        <f>SUM(Tabla_master_rend[[#This Row],[Kg_Finos]:[Kg_Desmoldeo]])+Tabla_master_rend[[#This Row],[L_Agua]]+SUM(Tabla_master_rend[[#This Row],[B_altas]:[B_lab]])</f>
        <v>1506.91</v>
      </c>
      <c r="BY102" s="8">
        <f>+BX102-Tabla_master_rend[[#This Row],[Merma_TOT]]</f>
        <v>886.19000000000017</v>
      </c>
      <c r="BZ102" s="62">
        <f t="shared" si="34"/>
        <v>0.58808422533528881</v>
      </c>
      <c r="CA102" s="8">
        <f>+Tabla_master_rend[[#This Row],[Kg_Queso_Blan]]*$CA$1</f>
        <v>189.90731499999998</v>
      </c>
      <c r="CB102" s="8">
        <f>+Tabla_master_rend[[#This Row],[Kg_Queso_Blan]]*($CB$1-$CA$1)</f>
        <v>102.25778500000001</v>
      </c>
      <c r="CC102" s="8">
        <f>+(Tabla_master_rend[[#This Row],[Kg_Queso_Blan]]-CA102-CB102)*$CC$1</f>
        <v>303.70562144999997</v>
      </c>
      <c r="CD102" s="8">
        <f t="shared" si="35"/>
        <v>595.87072145000002</v>
      </c>
      <c r="CE102" s="80">
        <f>+CD102/Tabla_master_rend[[#This Row],[Kg_Queso_Blan]]</f>
        <v>2.0395000000000003E-2</v>
      </c>
      <c r="CF102" s="62">
        <f>+Tabla_master_rend[[#This Row],[Merma_TOT]]/Tabla_master_rend[[#This Row],[Kg_Queso_Blan]]</f>
        <v>2.1245521795724403E-2</v>
      </c>
      <c r="CG102" s="8">
        <f>CD102-Tabla_master_rend[[#This Row],[Merma_TOT]]</f>
        <v>-24.849278549999894</v>
      </c>
      <c r="CH102" s="81" cm="1">
        <f t="array" ref="CH102">-BR102 * IFERROR(INDEX('Precio Leche_EBITDA_Ventas'!$BD$87:$BD$110,MATCH(1,('Precio Leche_EBITDA_Ventas'!$AZ$87:$AZ$110=YEAR(A102))*('Precio Leche_EBITDA_Ventas'!$BB$87:$BB$110=C102),0)),1.3)</f>
        <v>-2259.4207999999999</v>
      </c>
      <c r="CI102" s="81">
        <f t="shared" si="36"/>
        <v>-32.304062114999866</v>
      </c>
    </row>
    <row r="103" spans="1:87" x14ac:dyDescent="0.35">
      <c r="A103" s="9">
        <v>45869</v>
      </c>
      <c r="B103" s="7">
        <v>7</v>
      </c>
      <c r="C103" s="7" t="str">
        <f>+UPPER(TEXT(Tabla_master_rend[[#This Row],[Fecha]],"MMM"))</f>
        <v>JUL</v>
      </c>
      <c r="D103" s="7" t="str">
        <f>+UPPER(TEXT(Tabla_master_rend[[#This Row],[Fecha]],"ddd"))</f>
        <v>JU</v>
      </c>
      <c r="E103" s="3">
        <v>310725226</v>
      </c>
      <c r="F103" s="3" t="s">
        <v>244</v>
      </c>
      <c r="G103" s="84" t="s">
        <v>190</v>
      </c>
      <c r="H103">
        <v>19</v>
      </c>
      <c r="I103" s="8">
        <f>+Tabla_master_rend[[#This Row],[L_Leche_ent]]+Tabla_master_rend[[#This Row],[L_desn_ext]]+Tabla_master_rend[[#This Row],[L_cabra]]+Tabla_master_rend[[#This Row],[L_oveja]]</f>
        <v>284490</v>
      </c>
      <c r="J103" s="8">
        <v>284490</v>
      </c>
      <c r="K103" s="5">
        <v>3.7499999999999999E-2</v>
      </c>
      <c r="L103" s="5">
        <v>3.2199999999999999E-2</v>
      </c>
      <c r="M103" s="5">
        <f t="shared" si="31"/>
        <v>0.10670300000000001</v>
      </c>
      <c r="N103" s="35" t="s">
        <v>188</v>
      </c>
      <c r="O103" s="8">
        <v>0</v>
      </c>
      <c r="P103" s="8">
        <v>0</v>
      </c>
      <c r="Q103" s="8">
        <v>0</v>
      </c>
      <c r="R103" s="8">
        <v>3367</v>
      </c>
      <c r="T103" s="8">
        <v>260140</v>
      </c>
      <c r="U103" s="38">
        <f>+Tabla_master_rend[[#This Row],[L_suero Total]]/Tabla_master_rend[[#This Row],[Litros_Leche_Total]]</f>
        <v>0.9144082393054237</v>
      </c>
      <c r="V103" s="5">
        <v>3.0999999999999999E-3</v>
      </c>
      <c r="W103" s="5">
        <v>1.03E-2</v>
      </c>
      <c r="X103" s="8">
        <v>258578</v>
      </c>
      <c r="Y103" s="57">
        <v>110411</v>
      </c>
      <c r="Z103" s="58">
        <f>IF(Tabla_master_rend[[#This Row],[L_suero para con]]=0,0,+Tabla_master_rend[[#This Row],[L_suero para con]]/Tabla_master_rend[[#This Row],[L_suero_con]])</f>
        <v>2.3419586816530962</v>
      </c>
      <c r="AA103" s="8">
        <f>+Tabla_master_rend[[#This Row],[L_suero Total]]-Tabla_master_rend[[#This Row],[L_suero para con]]</f>
        <v>1562</v>
      </c>
      <c r="AD103" s="8"/>
      <c r="AE103" s="8"/>
      <c r="AF103" s="8"/>
      <c r="AG103" s="5"/>
      <c r="AI103" s="7">
        <f>+Tabla_master_rend[[#This Row],[Kg_Finos]]+Tabla_master_rend[[#This Row],[Kg_Llenadora]]+Tabla_master_rend[[#This Row],[Kg_Desmoldeo]]+Tabla_master_rend[[#This Row],[L_Agua]]+Tabla_master_rend[[#This Row],[Kg_SalidaSecadero]]</f>
        <v>32991.699999999997</v>
      </c>
      <c r="AJ103" s="59">
        <f>+Tabla_master_rend[[#This Row],[Litros_Leche_Total]]/Tabla_master_rend[[#This Row],[Kg_Queso_Blan]]</f>
        <v>8.6230779256600911</v>
      </c>
      <c r="AK103" s="59">
        <f>+Tabla_master_rend[[#This Row],[Litros_Leche_Total]]/(Tabla_master_rend[[#This Row],[Kg_Queso_Blan]]-Tabla_master_rend[[#This Row],[Merma_TOT]])</f>
        <v>8.7535653955858326</v>
      </c>
      <c r="AL103" s="59">
        <f>VLOOKUP(G103,REND_TARGET[#All],8,FALSE)</f>
        <v>8.4943170000000006</v>
      </c>
      <c r="AM103" s="7">
        <f>(I103*1.03*Tabla_master_rend[[#This Row],[%MG_Leche]])+(I103*1.03*Tabla_master_rend[[#This Row],[%MP_Leche]])</f>
        <v>20423.82159</v>
      </c>
      <c r="AN103" s="38">
        <v>0.28710000000000002</v>
      </c>
      <c r="AO103" s="38">
        <v>0.22940000000000002</v>
      </c>
      <c r="AP103" s="60">
        <v>0.56840000000000002</v>
      </c>
      <c r="AQ103" s="38">
        <f>+Tabla_master_rend[[#This Row],[Kg_Queso_Blan]]*Tabla_master_rend[[#This Row],[ES_QUESO]]/(Tabla_master_rend[[#This Row],[Kg_Solidos_leche]])</f>
        <v>0.91816716070324822</v>
      </c>
      <c r="AR103" s="7">
        <f t="shared" si="32"/>
        <v>1346.8000000000002</v>
      </c>
      <c r="AS103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0.98455564280644814</v>
      </c>
      <c r="AT103" s="62">
        <f>+Tabla_master_rend[[#This Row],[Kg_Queso_Blan]]*Tabla_master_rend[[#This Row],[%PT_QUESO]]/(Tabla_master_rend[[#This Row],[Litros_Leche_Total]]*1.03*Tabla_master_rend[[#This Row],[%MP_Leche]])</f>
        <v>0.80211752738280062</v>
      </c>
      <c r="AU103" s="63">
        <f t="shared" si="33"/>
        <v>10101.000000000002</v>
      </c>
      <c r="AV103" s="7">
        <v>57.8</v>
      </c>
      <c r="AW103" s="7">
        <v>60.9</v>
      </c>
      <c r="AX103" s="7">
        <v>0</v>
      </c>
      <c r="AY103" s="8">
        <f>SUM(Tabla_master_rend[[#This Row],[Kg_Finos]:[Kg_Desmoldeo]])</f>
        <v>118.69999999999999</v>
      </c>
      <c r="AZ103" s="60">
        <f>+(Tabla_master_rend[[#This Row],[Kg_Finos]]+Tabla_master_rend[[#This Row],[Kg_Llenadora]]+Tabla_master_rend[[#This Row],[Kg_Desmoldeo]])/(Tabla_master_rend[[#This Row],[Kg_Queso_Blan]])</f>
        <v>3.5978746169491116E-3</v>
      </c>
      <c r="BA103" s="7">
        <v>260</v>
      </c>
      <c r="BB103" s="60">
        <f>+Tabla_master_rend[[#This Row],[L_Agua]]/(Tabla_master_rend[[#This Row],[L_Agua]]+Tabla_master_rend[[#This Row],[Kg_SalidaSecadero]])</f>
        <v>7.9092264168162327E-3</v>
      </c>
      <c r="BC103" s="8">
        <v>4501</v>
      </c>
      <c r="BD103" s="8">
        <v>4470</v>
      </c>
      <c r="BE103" s="8">
        <v>32674</v>
      </c>
      <c r="BF103" s="8">
        <f>49*6.5</f>
        <v>318.5</v>
      </c>
      <c r="BG103" s="8">
        <f>10*6.5</f>
        <v>65</v>
      </c>
      <c r="BH103" s="7">
        <f>3*6.5</f>
        <v>19.5</v>
      </c>
      <c r="BI103" s="7">
        <f>2*6.5</f>
        <v>13</v>
      </c>
      <c r="BJ103" s="8">
        <v>101</v>
      </c>
      <c r="BK103" s="8">
        <v>32613</v>
      </c>
      <c r="BL103" s="8">
        <v>1.48</v>
      </c>
      <c r="BM103" s="8">
        <v>75.73</v>
      </c>
      <c r="BN103" s="7">
        <v>35.89</v>
      </c>
      <c r="BO103" s="68">
        <f>+SUM(Tabla_master_rend[[#This Row],[B_altas]:[B_lab]])/Tabla_master_rend[[#This Row],[Kg_SalidaSecadero]]</f>
        <v>1.5852574126881919E-2</v>
      </c>
      <c r="BP103" s="68">
        <f>+(Tabla_master_rend[[#This Row],[Kg_mer_env_real]]+Tabla_master_rend[[#This Row],[kg_mer_lab_real]])/Tabla_master_rend[[#This Row],[Kg_SalidaSecadero]]</f>
        <v>3.422561555208046E-3</v>
      </c>
      <c r="BQ103" s="64">
        <f>+Tabla_master_rend[[#This Row],[Merma_TOT]]/Tabla_master_rend[[#This Row],[Kg_Queso_Blan]]</f>
        <v>1.4906779583955967E-2</v>
      </c>
      <c r="BR103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491.8</v>
      </c>
      <c r="BS103" s="8">
        <v>32415.62999999999</v>
      </c>
      <c r="BT103" s="63">
        <f>IF(+Tabla_master_rend[[#This Row],[Kg_Env_Total]]=0,0,Tabla_master_rend[[#This Row],[Kg_Env_Total]]-Tabla_master_rend[[#This Row],[Kg_SalidaSecadero]])</f>
        <v>-197.3700000000099</v>
      </c>
      <c r="BU103" s="60">
        <f>+Tabla_master_rend[[#This Row],[Diferencia_Env_vs_Sec_kg]]/Tabla_master_rend[[#This Row],[Kg_SalidaSecadero]]</f>
        <v>-6.0518811516882803E-3</v>
      </c>
      <c r="BV103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03" s="65">
        <f>+(Tabla_master_rend[[#This Row],[Coste_Leche_€]]-Tabla_master_rend[[#This Row],[Kg_MG_Nata]]*$CO$3)/Tabla_master_rend[[#This Row],[Kg_Queso_Blan]]</f>
        <v>-0.3061679149604295</v>
      </c>
      <c r="BX103" s="8">
        <f>SUM(Tabla_master_rend[[#This Row],[Kg_Finos]:[Kg_Desmoldeo]])+Tabla_master_rend[[#This Row],[L_Agua]]+SUM(Tabla_master_rend[[#This Row],[B_altas]:[B_lab]])</f>
        <v>895.7</v>
      </c>
      <c r="BY103" s="8">
        <f>+BX103-Tabla_master_rend[[#This Row],[Merma_TOT]]</f>
        <v>403.90000000000003</v>
      </c>
      <c r="BZ103" s="62">
        <f t="shared" si="34"/>
        <v>0.45093223177403152</v>
      </c>
      <c r="CA103" s="8">
        <f>+Tabla_master_rend[[#This Row],[Kg_Queso_Blan]]*$CA$1</f>
        <v>214.44604999999999</v>
      </c>
      <c r="CB103" s="8">
        <f>+Tabla_master_rend[[#This Row],[Kg_Queso_Blan]]*($CB$1-$CA$1)</f>
        <v>115.47095</v>
      </c>
      <c r="CC103" s="8">
        <f>+(Tabla_master_rend[[#This Row],[Kg_Queso_Blan]]-CA103-CB103)*$CC$1</f>
        <v>342.94872150000003</v>
      </c>
      <c r="CD103" s="8">
        <f t="shared" si="35"/>
        <v>672.86572150000006</v>
      </c>
      <c r="CE103" s="80">
        <f>+CD103/Tabla_master_rend[[#This Row],[Kg_Queso_Blan]]</f>
        <v>2.0395000000000003E-2</v>
      </c>
      <c r="CF103" s="62">
        <f>+Tabla_master_rend[[#This Row],[Merma_TOT]]/Tabla_master_rend[[#This Row],[Kg_Queso_Blan]]</f>
        <v>1.4906779583955967E-2</v>
      </c>
      <c r="CG103" s="8">
        <f>CD103-Tabla_master_rend[[#This Row],[Merma_TOT]]</f>
        <v>181.06572150000005</v>
      </c>
      <c r="CH103" s="81" cm="1">
        <f t="array" ref="CH103">-BR103 * IFERROR(INDEX('Precio Leche_EBITDA_Ventas'!$BD$87:$BD$110,MATCH(1,('Precio Leche_EBITDA_Ventas'!$AZ$87:$AZ$110=YEAR(A103))*('Precio Leche_EBITDA_Ventas'!$BB$87:$BB$110=C103),0)),1.3)</f>
        <v>-1790.152</v>
      </c>
      <c r="CI103" s="81">
        <f t="shared" si="36"/>
        <v>235.38543795000007</v>
      </c>
    </row>
    <row r="104" spans="1:87" x14ac:dyDescent="0.35">
      <c r="A104" s="9">
        <v>45873</v>
      </c>
      <c r="B104" s="7">
        <v>8</v>
      </c>
      <c r="C104" s="7" t="str">
        <f>+UPPER(TEXT(Tabla_master_rend[[#This Row],[Fecha]],"MMM"))</f>
        <v>AGO</v>
      </c>
      <c r="D104" s="7" t="str">
        <f>+UPPER(TEXT(Tabla_master_rend[[#This Row],[Fecha]],"ddd"))</f>
        <v>LU</v>
      </c>
      <c r="E104" s="3" t="s">
        <v>493</v>
      </c>
      <c r="F104" s="3" t="s">
        <v>244</v>
      </c>
      <c r="G104" s="84" t="s">
        <v>299</v>
      </c>
      <c r="H104">
        <v>20</v>
      </c>
      <c r="I104" s="8">
        <f>+Tabla_master_rend[[#This Row],[L_Leche_ent]]+Tabla_master_rend[[#This Row],[L_desn_ext]]+Tabla_master_rend[[#This Row],[L_cabra]]+Tabla_master_rend[[#This Row],[L_oveja]]</f>
        <v>330071</v>
      </c>
      <c r="J104" s="8">
        <v>330071</v>
      </c>
      <c r="K104" s="5">
        <v>3.4200000000000001E-2</v>
      </c>
      <c r="L104" s="5">
        <v>3.2400000000000005E-2</v>
      </c>
      <c r="M104" s="5">
        <f t="shared" si="31"/>
        <v>0.10378200000000001</v>
      </c>
      <c r="N104" s="35" t="s">
        <v>43</v>
      </c>
      <c r="O104" s="8">
        <v>0</v>
      </c>
      <c r="P104" s="8">
        <v>0</v>
      </c>
      <c r="Q104" s="8">
        <v>0</v>
      </c>
      <c r="R104" s="8">
        <v>7523</v>
      </c>
      <c r="T104" s="8">
        <v>277760</v>
      </c>
      <c r="U104" s="38">
        <f>+Tabla_master_rend[[#This Row],[L_suero Total]]/Tabla_master_rend[[#This Row],[Litros_Leche_Total]]</f>
        <v>0.84151591627255951</v>
      </c>
      <c r="V104" s="5">
        <v>1.2999999999999999E-3</v>
      </c>
      <c r="W104" s="5">
        <v>8.8999999999999999E-3</v>
      </c>
      <c r="X104" s="8">
        <v>64118</v>
      </c>
      <c r="Y104" s="57">
        <v>19056</v>
      </c>
      <c r="Z104" s="58">
        <f>IF(Tabla_master_rend[[#This Row],[L_suero para con]]=0,0,+Tabla_master_rend[[#This Row],[L_suero para con]]/Tabla_master_rend[[#This Row],[L_suero_con]])</f>
        <v>3.3647145256087323</v>
      </c>
      <c r="AA104" s="8">
        <f>+Tabla_master_rend[[#This Row],[L_suero Total]]-Tabla_master_rend[[#This Row],[L_suero para con]]</f>
        <v>213642</v>
      </c>
      <c r="AD104" s="8"/>
      <c r="AE104" s="8"/>
      <c r="AF104" s="8"/>
      <c r="AG104" s="5"/>
      <c r="AI104" s="7">
        <f>+Tabla_master_rend[[#This Row],[Kg_Finos]]+Tabla_master_rend[[#This Row],[Kg_Llenadora]]+Tabla_master_rend[[#This Row],[Kg_Desmoldeo]]+Tabla_master_rend[[#This Row],[L_Agua]]+Tabla_master_rend[[#This Row],[Kg_SalidaSecadero]]</f>
        <v>32353.65</v>
      </c>
      <c r="AJ104" s="59">
        <f>+Tabla_master_rend[[#This Row],[Litros_Leche_Total]]/Tabla_master_rend[[#This Row],[Kg_Queso_Blan]]</f>
        <v>10.201971029543806</v>
      </c>
      <c r="AK104" s="59">
        <f>+Tabla_master_rend[[#This Row],[Litros_Leche_Total]]/(Tabla_master_rend[[#This Row],[Kg_Queso_Blan]]-Tabla_master_rend[[#This Row],[Merma_TOT]])</f>
        <v>10.586874201744983</v>
      </c>
      <c r="AL104" s="59">
        <f>VLOOKUP(G104,REND_TARGET[#All],8,FALSE)</f>
        <v>9.8078500000000002</v>
      </c>
      <c r="AM104" s="7">
        <f>(I104*1.03*Tabla_master_rend[[#This Row],[%MG_Leche]])+(I104*1.03*Tabla_master_rend[[#This Row],[%MP_Leche]])</f>
        <v>22642.210458000001</v>
      </c>
      <c r="AN104" s="38">
        <v>0.23300000000000001</v>
      </c>
      <c r="AO104" s="38">
        <v>0.2596</v>
      </c>
      <c r="AP104" s="60">
        <v>0.54459999999999997</v>
      </c>
      <c r="AQ104" s="38">
        <f>+Tabla_master_rend[[#This Row],[Kg_Queso_Blan]]*Tabla_master_rend[[#This Row],[ES_QUESO]]/(Tabla_master_rend[[#This Row],[Kg_Solidos_leche]])</f>
        <v>0.77818364168479537</v>
      </c>
      <c r="AR104" s="7">
        <f t="shared" si="32"/>
        <v>3009.2000000000003</v>
      </c>
      <c r="AS104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0.90715807417792382</v>
      </c>
      <c r="AT104" s="62">
        <f>+Tabla_master_rend[[#This Row],[Kg_Queso_Blan]]*Tabla_master_rend[[#This Row],[%PT_QUESO]]/(Tabla_master_rend[[#This Row],[Litros_Leche_Total]]*1.03*Tabla_master_rend[[#This Row],[%MP_Leche]])</f>
        <v>0.76249740024388912</v>
      </c>
      <c r="AU104" s="63">
        <f t="shared" si="33"/>
        <v>22569.000000000004</v>
      </c>
      <c r="AV104" s="7">
        <v>52.15</v>
      </c>
      <c r="AW104" s="7">
        <v>60</v>
      </c>
      <c r="AX104" s="7">
        <v>24.5</v>
      </c>
      <c r="AY104" s="8">
        <f>SUM(Tabla_master_rend[[#This Row],[Kg_Finos]:[Kg_Desmoldeo]])</f>
        <v>136.65</v>
      </c>
      <c r="AZ104" s="60">
        <f>+(Tabla_master_rend[[#This Row],[Kg_Finos]]+Tabla_master_rend[[#This Row],[Kg_Llenadora]]+Tabla_master_rend[[#This Row],[Kg_Desmoldeo]])/(Tabla_master_rend[[#This Row],[Kg_Queso_Blan]])</f>
        <v>4.223634736729859E-3</v>
      </c>
      <c r="BA104" s="7">
        <v>240</v>
      </c>
      <c r="BB104" s="60">
        <f>+Tabla_master_rend[[#This Row],[L_Agua]]/(Tabla_master_rend[[#This Row],[L_Agua]]+Tabla_master_rend[[#This Row],[Kg_SalidaSecadero]])</f>
        <v>7.4494831921035481E-3</v>
      </c>
      <c r="BC104" s="8">
        <v>4415</v>
      </c>
      <c r="BD104" s="8">
        <v>4203</v>
      </c>
      <c r="BE104" s="8">
        <v>30859</v>
      </c>
      <c r="BF104" s="8">
        <f>133*6.4</f>
        <v>851.2</v>
      </c>
      <c r="BG104" s="8">
        <f>63*6.4</f>
        <v>403.20000000000005</v>
      </c>
      <c r="BH104" s="7">
        <f>1*6.4</f>
        <v>6.4</v>
      </c>
      <c r="BI104" s="7">
        <f>131*6.4</f>
        <v>838.40000000000009</v>
      </c>
      <c r="BJ104" s="8">
        <v>109</v>
      </c>
      <c r="BK104" s="8">
        <v>31977</v>
      </c>
      <c r="BL104" s="8">
        <v>2.15</v>
      </c>
      <c r="BM104" s="8">
        <v>767.2</v>
      </c>
      <c r="BN104" s="7">
        <v>30.27</v>
      </c>
      <c r="BO104" s="68">
        <f>+SUM(Tabla_master_rend[[#This Row],[B_altas]:[B_lab]])/Tabla_master_rend[[#This Row],[Kg_SalidaSecadero]]</f>
        <v>6.9055883916565045E-2</v>
      </c>
      <c r="BP104" s="68">
        <f>+(Tabla_master_rend[[#This Row],[Kg_mer_env_real]]+Tabla_master_rend[[#This Row],[kg_mer_lab_real]])/Tabla_master_rend[[#This Row],[Kg_SalidaSecadero]]</f>
        <v>2.4938862307283361E-2</v>
      </c>
      <c r="BQ104" s="64">
        <f>+Tabla_master_rend[[#This Row],[Merma_TOT]]/Tabla_master_rend[[#This Row],[Kg_Queso_Blan]]</f>
        <v>3.6356639822709334E-2</v>
      </c>
      <c r="BR104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1176.27</v>
      </c>
      <c r="BS104" s="8">
        <v>32044.020000000004</v>
      </c>
      <c r="BT104" s="63">
        <f>IF(+Tabla_master_rend[[#This Row],[Kg_Env_Total]]=0,0,Tabla_master_rend[[#This Row],[Kg_Env_Total]]-Tabla_master_rend[[#This Row],[Kg_SalidaSecadero]])</f>
        <v>67.020000000004075</v>
      </c>
      <c r="BU104" s="60">
        <f>+Tabla_master_rend[[#This Row],[Diferencia_Env_vs_Sec_kg]]/Tabla_master_rend[[#This Row],[Kg_SalidaSecadero]]</f>
        <v>2.0958814147669911E-3</v>
      </c>
      <c r="BV104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04" s="65">
        <f>+(Tabla_master_rend[[#This Row],[Coste_Leche_€]]-Tabla_master_rend[[#This Row],[Kg_MG_Nata]]*$CO$3)/Tabla_master_rend[[#This Row],[Kg_Queso_Blan]]</f>
        <v>-0.69757198955913791</v>
      </c>
      <c r="BX104" s="8">
        <f>SUM(Tabla_master_rend[[#This Row],[Kg_Finos]:[Kg_Desmoldeo]])+Tabla_master_rend[[#This Row],[L_Agua]]+SUM(Tabla_master_rend[[#This Row],[B_altas]:[B_lab]])</f>
        <v>2584.8500000000004</v>
      </c>
      <c r="BY104" s="8">
        <f>+BX104-Tabla_master_rend[[#This Row],[Merma_TOT]]</f>
        <v>1408.5800000000004</v>
      </c>
      <c r="BZ104" s="62">
        <f t="shared" si="34"/>
        <v>0.54493684353057248</v>
      </c>
      <c r="CA104" s="8">
        <f>+Tabla_master_rend[[#This Row],[Kg_Queso_Blan]]*$CA$1</f>
        <v>210.29872499999999</v>
      </c>
      <c r="CB104" s="8">
        <f>+Tabla_master_rend[[#This Row],[Kg_Queso_Blan]]*($CB$1-$CA$1)</f>
        <v>113.23777500000003</v>
      </c>
      <c r="CC104" s="8">
        <f>+(Tabla_master_rend[[#This Row],[Kg_Queso_Blan]]-CA104-CB104)*$CC$1</f>
        <v>336.31619175000003</v>
      </c>
      <c r="CD104" s="8">
        <f t="shared" si="35"/>
        <v>659.85269175000008</v>
      </c>
      <c r="CE104" s="80">
        <f>+CD104/Tabla_master_rend[[#This Row],[Kg_Queso_Blan]]</f>
        <v>2.0395E-2</v>
      </c>
      <c r="CF104" s="62">
        <f>+Tabla_master_rend[[#This Row],[Merma_TOT]]/Tabla_master_rend[[#This Row],[Kg_Queso_Blan]]</f>
        <v>3.6356639822709334E-2</v>
      </c>
      <c r="CG104" s="8">
        <f>CD104-Tabla_master_rend[[#This Row],[Merma_TOT]]</f>
        <v>-516.41730824999991</v>
      </c>
      <c r="CH104" s="81" cm="1">
        <f t="array" ref="CH104">-BR104 * IFERROR(INDEX('Precio Leche_EBITDA_Ventas'!$BD$87:$BD$110,MATCH(1,('Precio Leche_EBITDA_Ventas'!$AZ$87:$AZ$110=YEAR(A104))*('Precio Leche_EBITDA_Ventas'!$BB$87:$BB$110=C104),0)),1.3)</f>
        <v>-4246.3346999999994</v>
      </c>
      <c r="CI104" s="81">
        <f t="shared" si="36"/>
        <v>-671.34250072499992</v>
      </c>
    </row>
    <row r="105" spans="1:87" x14ac:dyDescent="0.35">
      <c r="A105" s="9">
        <v>45876</v>
      </c>
      <c r="B105" s="7">
        <v>8</v>
      </c>
      <c r="C105" s="7" t="str">
        <f>+UPPER(TEXT(Tabla_master_rend[[#This Row],[Fecha]],"MMM"))</f>
        <v>AGO</v>
      </c>
      <c r="D105" s="7" t="str">
        <f>+UPPER(TEXT(Tabla_master_rend[[#This Row],[Fecha]],"ddd"))</f>
        <v>JU</v>
      </c>
      <c r="E105" s="3" t="s">
        <v>494</v>
      </c>
      <c r="F105" s="3" t="s">
        <v>244</v>
      </c>
      <c r="G105" s="84" t="s">
        <v>190</v>
      </c>
      <c r="H105">
        <v>18</v>
      </c>
      <c r="I105" s="8">
        <f>+Tabla_master_rend[[#This Row],[L_Leche_ent]]+Tabla_master_rend[[#This Row],[L_desn_ext]]+Tabla_master_rend[[#This Row],[L_cabra]]+Tabla_master_rend[[#This Row],[L_oveja]]</f>
        <v>265975</v>
      </c>
      <c r="J105" s="8">
        <v>265975</v>
      </c>
      <c r="K105" s="5">
        <v>3.7000000000000005E-2</v>
      </c>
      <c r="L105" s="5">
        <v>3.2500000000000001E-2</v>
      </c>
      <c r="M105" s="5">
        <f t="shared" si="31"/>
        <v>0.10646000000000001</v>
      </c>
      <c r="N105" s="35" t="s">
        <v>188</v>
      </c>
      <c r="O105" s="8">
        <v>0</v>
      </c>
      <c r="P105" s="8">
        <v>0</v>
      </c>
      <c r="Q105" s="8">
        <v>0</v>
      </c>
      <c r="R105" s="8">
        <v>2436</v>
      </c>
      <c r="T105" s="8">
        <v>248960</v>
      </c>
      <c r="U105" s="38">
        <f>+Tabla_master_rend[[#This Row],[L_suero Total]]/Tabla_master_rend[[#This Row],[Litros_Leche_Total]]</f>
        <v>0.93602782216373714</v>
      </c>
      <c r="V105" s="5">
        <v>2.5000000000000001E-3</v>
      </c>
      <c r="W105" s="5">
        <v>9.1000000000000004E-3</v>
      </c>
      <c r="X105" s="8">
        <v>250182</v>
      </c>
      <c r="Y105" s="57">
        <v>114125</v>
      </c>
      <c r="Z105" s="58">
        <f>IF(Tabla_master_rend[[#This Row],[L_suero para con]]=0,0,+Tabla_master_rend[[#This Row],[L_suero para con]]/Tabla_master_rend[[#This Row],[L_suero_con]])</f>
        <v>2.1921752464403066</v>
      </c>
      <c r="AA105" s="8">
        <f>+Tabla_master_rend[[#This Row],[L_suero Total]]-Tabla_master_rend[[#This Row],[L_suero para con]]</f>
        <v>-1222</v>
      </c>
      <c r="AD105" s="8"/>
      <c r="AE105" s="8"/>
      <c r="AF105" s="8"/>
      <c r="AG105" s="5"/>
      <c r="AI105" s="7">
        <f>+Tabla_master_rend[[#This Row],[Kg_Finos]]+Tabla_master_rend[[#This Row],[Kg_Llenadora]]+Tabla_master_rend[[#This Row],[Kg_Desmoldeo]]+Tabla_master_rend[[#This Row],[L_Agua]]+Tabla_master_rend[[#This Row],[Kg_SalidaSecadero]]</f>
        <v>31303.5</v>
      </c>
      <c r="AJ105" s="59">
        <f>+Tabla_master_rend[[#This Row],[Litros_Leche_Total]]/Tabla_master_rend[[#This Row],[Kg_Queso_Blan]]</f>
        <v>8.4966537288162662</v>
      </c>
      <c r="AK105" s="59">
        <f>+Tabla_master_rend[[#This Row],[Litros_Leche_Total]]/(Tabla_master_rend[[#This Row],[Kg_Queso_Blan]]-Tabla_master_rend[[#This Row],[Merma_TOT]])</f>
        <v>8.748737316838989</v>
      </c>
      <c r="AL105" s="59">
        <f>VLOOKUP(G105,REND_TARGET[#All],8,FALSE)</f>
        <v>8.4943170000000006</v>
      </c>
      <c r="AM105" s="7">
        <f>(I105*1.03*Tabla_master_rend[[#This Row],[%MG_Leche]])+(I105*1.03*Tabla_master_rend[[#This Row],[%MP_Leche]])</f>
        <v>19039.820375000003</v>
      </c>
      <c r="AN105" s="38">
        <v>0.29039999999999999</v>
      </c>
      <c r="AO105" s="38">
        <v>0.2298</v>
      </c>
      <c r="AP105" s="60">
        <v>0.5726</v>
      </c>
      <c r="AQ105" s="38">
        <f>+Tabla_master_rend[[#This Row],[Kg_Queso_Blan]]*Tabla_master_rend[[#This Row],[ES_QUESO]]/(Tabla_master_rend[[#This Row],[Kg_Solidos_leche]])</f>
        <v>0.94141560933712309</v>
      </c>
      <c r="AR105" s="7">
        <f t="shared" si="32"/>
        <v>974.40000000000009</v>
      </c>
      <c r="AS105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0.9929588904282669</v>
      </c>
      <c r="AT105" s="62">
        <f>+Tabla_master_rend[[#This Row],[Kg_Queso_Blan]]*Tabla_master_rend[[#This Row],[%PT_QUESO]]/(Tabla_master_rend[[#This Row],[Litros_Leche_Total]]*1.03*Tabla_master_rend[[#This Row],[%MP_Leche]])</f>
        <v>0.80794448202714375</v>
      </c>
      <c r="AU105" s="63">
        <f t="shared" si="33"/>
        <v>7308.0000000000009</v>
      </c>
      <c r="AV105" s="7">
        <v>76.5</v>
      </c>
      <c r="AW105" s="7">
        <v>60</v>
      </c>
      <c r="AX105" s="7">
        <v>20</v>
      </c>
      <c r="AY105" s="8">
        <f>SUM(Tabla_master_rend[[#This Row],[Kg_Finos]:[Kg_Desmoldeo]])</f>
        <v>156.5</v>
      </c>
      <c r="AZ105" s="60">
        <f>+(Tabla_master_rend[[#This Row],[Kg_Finos]]+Tabla_master_rend[[#This Row],[Kg_Llenadora]]+Tabla_master_rend[[#This Row],[Kg_Desmoldeo]])/(Tabla_master_rend[[#This Row],[Kg_Queso_Blan]])</f>
        <v>4.9994409570814765E-3</v>
      </c>
      <c r="BA105" s="7">
        <v>555</v>
      </c>
      <c r="BB105" s="60">
        <f>+Tabla_master_rend[[#This Row],[L_Agua]]/(Tabla_master_rend[[#This Row],[L_Agua]]+Tabla_master_rend[[#This Row],[Kg_SalidaSecadero]])</f>
        <v>1.781873053584615E-2</v>
      </c>
      <c r="BC105" s="8">
        <v>4304</v>
      </c>
      <c r="BD105" s="8">
        <v>4255</v>
      </c>
      <c r="BE105" s="8">
        <v>30827</v>
      </c>
      <c r="BF105" s="8">
        <f>84*6.6</f>
        <v>554.4</v>
      </c>
      <c r="BG105" s="8">
        <f>18*6.6</f>
        <v>118.8</v>
      </c>
      <c r="BH105" s="7">
        <f>14*6.6</f>
        <v>92.399999999999991</v>
      </c>
      <c r="BI105" s="7">
        <v>0</v>
      </c>
      <c r="BJ105" s="8">
        <v>110</v>
      </c>
      <c r="BK105" s="8">
        <v>30592</v>
      </c>
      <c r="BL105" s="8">
        <v>0</v>
      </c>
      <c r="BM105" s="8">
        <v>171.56</v>
      </c>
      <c r="BN105" s="7">
        <v>18.91</v>
      </c>
      <c r="BO105" s="68">
        <f>+SUM(Tabla_master_rend[[#This Row],[B_altas]:[B_lab]])/Tabla_master_rend[[#This Row],[Kg_SalidaSecadero]]</f>
        <v>2.8621861924686191E-2</v>
      </c>
      <c r="BP105" s="68">
        <f>+(Tabla_master_rend[[#This Row],[Kg_mer_env_real]]+Tabla_master_rend[[#This Row],[kg_mer_lab_real]])/Tabla_master_rend[[#This Row],[Kg_SalidaSecadero]]</f>
        <v>6.2261375523012556E-3</v>
      </c>
      <c r="BQ105" s="64">
        <f>+Tabla_master_rend[[#This Row],[Merma_TOT]]/Tabla_master_rend[[#This Row],[Kg_Queso_Blan]]</f>
        <v>2.8813710926893159E-2</v>
      </c>
      <c r="BR105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901.97</v>
      </c>
      <c r="BS105" s="8">
        <v>30373.160000000007</v>
      </c>
      <c r="BT105" s="63">
        <f>IF(+Tabla_master_rend[[#This Row],[Kg_Env_Total]]=0,0,Tabla_master_rend[[#This Row],[Kg_Env_Total]]-Tabla_master_rend[[#This Row],[Kg_SalidaSecadero]])</f>
        <v>-218.83999999999287</v>
      </c>
      <c r="BU105" s="60">
        <f>+Tabla_master_rend[[#This Row],[Diferencia_Env_vs_Sec_kg]]/Tabla_master_rend[[#This Row],[Kg_SalidaSecadero]]</f>
        <v>-7.1535041841001854E-3</v>
      </c>
      <c r="BV105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05" s="65">
        <f>+(Tabla_master_rend[[#This Row],[Coste_Leche_€]]-Tabla_master_rend[[#This Row],[Kg_MG_Nata]]*$CO$3)/Tabla_master_rend[[#This Row],[Kg_Queso_Blan]]</f>
        <v>-0.23345632277540854</v>
      </c>
      <c r="BX105" s="8">
        <f>SUM(Tabla_master_rend[[#This Row],[Kg_Finos]:[Kg_Desmoldeo]])+Tabla_master_rend[[#This Row],[L_Agua]]+SUM(Tabla_master_rend[[#This Row],[B_altas]:[B_lab]])</f>
        <v>1587.1</v>
      </c>
      <c r="BY105" s="8">
        <f>+BX105-Tabla_master_rend[[#This Row],[Merma_TOT]]</f>
        <v>685.12999999999988</v>
      </c>
      <c r="BZ105" s="62">
        <f t="shared" si="34"/>
        <v>0.43168672421397514</v>
      </c>
      <c r="CA105" s="8">
        <f>+Tabla_master_rend[[#This Row],[Kg_Queso_Blan]]*$CA$1</f>
        <v>203.47274999999999</v>
      </c>
      <c r="CB105" s="8">
        <f>+Tabla_master_rend[[#This Row],[Kg_Queso_Blan]]*($CB$1-$CA$1)</f>
        <v>109.56225000000002</v>
      </c>
      <c r="CC105" s="8">
        <f>+(Tabla_master_rend[[#This Row],[Kg_Queso_Blan]]-CA105-CB105)*$CC$1</f>
        <v>325.39988250000005</v>
      </c>
      <c r="CD105" s="8">
        <f t="shared" si="35"/>
        <v>638.43488250000007</v>
      </c>
      <c r="CE105" s="80">
        <f>+CD105/Tabla_master_rend[[#This Row],[Kg_Queso_Blan]]</f>
        <v>2.0395000000000003E-2</v>
      </c>
      <c r="CF105" s="62">
        <f>+Tabla_master_rend[[#This Row],[Merma_TOT]]/Tabla_master_rend[[#This Row],[Kg_Queso_Blan]]</f>
        <v>2.8813710926893159E-2</v>
      </c>
      <c r="CG105" s="8">
        <f>CD105-Tabla_master_rend[[#This Row],[Merma_TOT]]</f>
        <v>-263.53511749999996</v>
      </c>
      <c r="CH105" s="81" cm="1">
        <f t="array" ref="CH105">-BR105 * IFERROR(INDEX('Precio Leche_EBITDA_Ventas'!$BD$87:$BD$110,MATCH(1,('Precio Leche_EBITDA_Ventas'!$AZ$87:$AZ$110=YEAR(A105))*('Precio Leche_EBITDA_Ventas'!$BB$87:$BB$110=C105),0)),1.3)</f>
        <v>-3256.1116999999999</v>
      </c>
      <c r="CI105" s="81">
        <f t="shared" si="36"/>
        <v>-342.59565274999994</v>
      </c>
    </row>
    <row r="106" spans="1:87" x14ac:dyDescent="0.35">
      <c r="A106" s="9">
        <v>45880</v>
      </c>
      <c r="B106" s="7">
        <v>8</v>
      </c>
      <c r="C106" s="7" t="str">
        <f>+UPPER(TEXT(Tabla_master_rend[[#This Row],[Fecha]],"MMM"))</f>
        <v>AGO</v>
      </c>
      <c r="D106" s="7" t="str">
        <f>+UPPER(TEXT(Tabla_master_rend[[#This Row],[Fecha]],"ddd"))</f>
        <v>LU</v>
      </c>
      <c r="E106" s="3">
        <v>110825116</v>
      </c>
      <c r="F106" s="3" t="s">
        <v>244</v>
      </c>
      <c r="G106" s="84" t="s">
        <v>299</v>
      </c>
      <c r="H106">
        <v>17</v>
      </c>
      <c r="I106" s="8">
        <f>+Tabla_master_rend[[#This Row],[L_Leche_ent]]+Tabla_master_rend[[#This Row],[L_desn_ext]]+Tabla_master_rend[[#This Row],[L_cabra]]+Tabla_master_rend[[#This Row],[L_oveja]]</f>
        <v>284812</v>
      </c>
      <c r="J106" s="8">
        <v>284812</v>
      </c>
      <c r="K106" s="5">
        <v>3.6299999999999999E-2</v>
      </c>
      <c r="L106" s="5">
        <v>3.2099999999999997E-2</v>
      </c>
      <c r="M106" s="5">
        <f t="shared" si="31"/>
        <v>0.105513</v>
      </c>
      <c r="N106" s="35" t="s">
        <v>43</v>
      </c>
      <c r="O106" s="8">
        <v>0</v>
      </c>
      <c r="P106" s="8">
        <v>0</v>
      </c>
      <c r="Q106" s="8">
        <v>0</v>
      </c>
      <c r="R106" s="8">
        <v>9297</v>
      </c>
      <c r="T106" s="8">
        <v>235750</v>
      </c>
      <c r="U106" s="38">
        <f>+Tabla_master_rend[[#This Row],[L_suero Total]]/Tabla_master_rend[[#This Row],[Litros_Leche_Total]]</f>
        <v>0.82773899976124599</v>
      </c>
      <c r="V106" s="5">
        <v>1.4000000000000002E-3</v>
      </c>
      <c r="W106" s="5">
        <v>8.8000000000000005E-3</v>
      </c>
      <c r="X106" s="8">
        <v>237487</v>
      </c>
      <c r="Y106" s="57">
        <v>95502</v>
      </c>
      <c r="Z106" s="58">
        <f>IF(Tabla_master_rend[[#This Row],[L_suero para con]]=0,0,+Tabla_master_rend[[#This Row],[L_suero para con]]/Tabla_master_rend[[#This Row],[L_suero_con]])</f>
        <v>2.486722791145735</v>
      </c>
      <c r="AA106" s="8">
        <f>+Tabla_master_rend[[#This Row],[L_suero Total]]-Tabla_master_rend[[#This Row],[L_suero para con]]</f>
        <v>-1737</v>
      </c>
      <c r="AD106" s="8"/>
      <c r="AE106" s="8"/>
      <c r="AF106" s="8"/>
      <c r="AG106" s="5"/>
      <c r="AI106" s="7">
        <f>+Tabla_master_rend[[#This Row],[Kg_Finos]]+Tabla_master_rend[[#This Row],[Kg_Llenadora]]+Tabla_master_rend[[#This Row],[Kg_Desmoldeo]]+Tabla_master_rend[[#This Row],[L_Agua]]+Tabla_master_rend[[#This Row],[Kg_SalidaSecadero]]</f>
        <v>28785.73</v>
      </c>
      <c r="AJ106" s="59">
        <f>+Tabla_master_rend[[#This Row],[Litros_Leche_Total]]/Tabla_master_rend[[#This Row],[Kg_Queso_Blan]]</f>
        <v>9.8942079981991071</v>
      </c>
      <c r="AK106" s="59">
        <f>+Tabla_master_rend[[#This Row],[Litros_Leche_Total]]/(Tabla_master_rend[[#This Row],[Kg_Queso_Blan]]-Tabla_master_rend[[#This Row],[Merma_TOT]])</f>
        <v>10.070704469489472</v>
      </c>
      <c r="AL106" s="59">
        <f>VLOOKUP(G106,REND_TARGET[#All],8,FALSE)</f>
        <v>9.8078500000000002</v>
      </c>
      <c r="AM106" s="7">
        <f>(I106*1.03*Tabla_master_rend[[#This Row],[%MG_Leche]])+(I106*1.03*Tabla_master_rend[[#This Row],[%MP_Leche]])</f>
        <v>20065.575023999998</v>
      </c>
      <c r="AN106" s="38">
        <v>0.22699999999999998</v>
      </c>
      <c r="AO106" s="38">
        <v>0.24460000000000001</v>
      </c>
      <c r="AP106" s="60">
        <v>0.52869999999999995</v>
      </c>
      <c r="AQ106" s="38">
        <f>+Tabla_master_rend[[#This Row],[Kg_Queso_Blan]]*Tabla_master_rend[[#This Row],[ES_QUESO]]/(Tabla_master_rend[[#This Row],[Kg_Solidos_leche]])</f>
        <v>0.75846395793775478</v>
      </c>
      <c r="AR106" s="7">
        <f t="shared" si="32"/>
        <v>3718.8</v>
      </c>
      <c r="AS106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0.96284334147838535</v>
      </c>
      <c r="AT106" s="62">
        <f>+Tabla_master_rend[[#This Row],[Kg_Queso_Blan]]*Tabla_master_rend[[#This Row],[%PT_QUESO]]/(Tabla_master_rend[[#This Row],[Litros_Leche_Total]]*1.03*Tabla_master_rend[[#This Row],[%MP_Leche]])</f>
        <v>0.74770994941637969</v>
      </c>
      <c r="AU106" s="63">
        <f t="shared" si="33"/>
        <v>27891</v>
      </c>
      <c r="AV106" s="7">
        <v>40.53</v>
      </c>
      <c r="AW106" s="7">
        <v>61.3</v>
      </c>
      <c r="AX106" s="7">
        <v>22.9</v>
      </c>
      <c r="AY106" s="8">
        <f>SUM(Tabla_master_rend[[#This Row],[Kg_Finos]:[Kg_Desmoldeo]])</f>
        <v>124.72999999999999</v>
      </c>
      <c r="AZ106" s="60">
        <f>+(Tabla_master_rend[[#This Row],[Kg_Finos]]+Tabla_master_rend[[#This Row],[Kg_Llenadora]]+Tabla_master_rend[[#This Row],[Kg_Desmoldeo]])/(Tabla_master_rend[[#This Row],[Kg_Queso_Blan]])</f>
        <v>4.3330497437445567E-3</v>
      </c>
      <c r="BA106" s="7">
        <v>200</v>
      </c>
      <c r="BB106" s="60">
        <f>+Tabla_master_rend[[#This Row],[L_Agua]]/(Tabla_master_rend[[#This Row],[L_Agua]]+Tabla_master_rend[[#This Row],[Kg_SalidaSecadero]])</f>
        <v>6.9781235825686471E-3</v>
      </c>
      <c r="BC106" s="8">
        <v>4019</v>
      </c>
      <c r="BD106" s="8">
        <v>3972</v>
      </c>
      <c r="BE106" s="8">
        <v>28362</v>
      </c>
      <c r="BF106" s="8">
        <f>11*6.2</f>
        <v>68.2</v>
      </c>
      <c r="BG106" s="8">
        <f>16*6.2</f>
        <v>99.2</v>
      </c>
      <c r="BH106" s="7">
        <f>1*6.2</f>
        <v>6.2</v>
      </c>
      <c r="BI106" s="7">
        <f>16*6.2</f>
        <v>99.2</v>
      </c>
      <c r="BJ106" s="8">
        <v>93</v>
      </c>
      <c r="BK106" s="8">
        <v>28461</v>
      </c>
      <c r="BL106" s="8">
        <v>0</v>
      </c>
      <c r="BM106" s="8">
        <v>149.61099999999999</v>
      </c>
      <c r="BN106" s="7">
        <v>30.15</v>
      </c>
      <c r="BO106" s="68">
        <f>+SUM(Tabla_master_rend[[#This Row],[B_altas]:[B_lab]])/Tabla_master_rend[[#This Row],[Kg_SalidaSecadero]]</f>
        <v>1.2852675591159834E-2</v>
      </c>
      <c r="BP106" s="68">
        <f>+(Tabla_master_rend[[#This Row],[Kg_mer_env_real]]+Tabla_master_rend[[#This Row],[kg_mer_lab_real]])/Tabla_master_rend[[#This Row],[Kg_SalidaSecadero]]</f>
        <v>6.3160465197990229E-3</v>
      </c>
      <c r="BQ106" s="64">
        <f>+Tabla_master_rend[[#This Row],[Merma_TOT]]/Tabla_master_rend[[#This Row],[Kg_Queso_Blan]]</f>
        <v>1.752573236808655E-2</v>
      </c>
      <c r="BR106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504.49099999999999</v>
      </c>
      <c r="BS106" s="8">
        <v>28511.21</v>
      </c>
      <c r="BT106" s="63">
        <f>IF(+Tabla_master_rend[[#This Row],[Kg_Env_Total]]=0,0,Tabla_master_rend[[#This Row],[Kg_Env_Total]]-Tabla_master_rend[[#This Row],[Kg_SalidaSecadero]])</f>
        <v>50.209999999999127</v>
      </c>
      <c r="BU106" s="60">
        <f>+Tabla_master_rend[[#This Row],[Diferencia_Env_vs_Sec_kg]]/Tabla_master_rend[[#This Row],[Kg_SalidaSecadero]]</f>
        <v>1.7641685112961289E-3</v>
      </c>
      <c r="BV106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06" s="65">
        <f>+(Tabla_master_rend[[#This Row],[Coste_Leche_€]]-Tabla_master_rend[[#This Row],[Kg_MG_Nata]]*$CO$3)/Tabla_master_rend[[#This Row],[Kg_Queso_Blan]]</f>
        <v>-0.96891758520628102</v>
      </c>
      <c r="BX106" s="8">
        <f>SUM(Tabla_master_rend[[#This Row],[Kg_Finos]:[Kg_Desmoldeo]])+Tabla_master_rend[[#This Row],[L_Agua]]+SUM(Tabla_master_rend[[#This Row],[B_altas]:[B_lab]])</f>
        <v>690.53</v>
      </c>
      <c r="BY106" s="8">
        <f>+BX106-Tabla_master_rend[[#This Row],[Merma_TOT]]</f>
        <v>186.03899999999999</v>
      </c>
      <c r="BZ106" s="62">
        <f t="shared" si="34"/>
        <v>0.2694147973295874</v>
      </c>
      <c r="CA106" s="8">
        <f>+Tabla_master_rend[[#This Row],[Kg_Queso_Blan]]*$CA$1</f>
        <v>187.10724499999998</v>
      </c>
      <c r="CB106" s="8">
        <f>+Tabla_master_rend[[#This Row],[Kg_Queso_Blan]]*($CB$1-$CA$1)</f>
        <v>100.75005500000002</v>
      </c>
      <c r="CC106" s="8">
        <f>+(Tabla_master_rend[[#This Row],[Kg_Queso_Blan]]-CA106-CB106)*$CC$1</f>
        <v>299.22766335</v>
      </c>
      <c r="CD106" s="8">
        <f t="shared" si="35"/>
        <v>587.08496334999995</v>
      </c>
      <c r="CE106" s="80">
        <f>+CD106/Tabla_master_rend[[#This Row],[Kg_Queso_Blan]]</f>
        <v>2.0395E-2</v>
      </c>
      <c r="CF106" s="62">
        <f>+Tabla_master_rend[[#This Row],[Merma_TOT]]/Tabla_master_rend[[#This Row],[Kg_Queso_Blan]]</f>
        <v>1.752573236808655E-2</v>
      </c>
      <c r="CG106" s="8">
        <f>CD106-Tabla_master_rend[[#This Row],[Merma_TOT]]</f>
        <v>82.593963349999967</v>
      </c>
      <c r="CH106" s="81" cm="1">
        <f t="array" ref="CH106">-BR106 * IFERROR(INDEX('Precio Leche_EBITDA_Ventas'!$BD$87:$BD$110,MATCH(1,('Precio Leche_EBITDA_Ventas'!$AZ$87:$AZ$110=YEAR(A106))*('Precio Leche_EBITDA_Ventas'!$BB$87:$BB$110=C106),0)),1.3)</f>
        <v>-1821.2125099999998</v>
      </c>
      <c r="CI106" s="81">
        <f t="shared" si="36"/>
        <v>107.37215235499995</v>
      </c>
    </row>
    <row r="107" spans="1:87" x14ac:dyDescent="0.35">
      <c r="A107" s="9">
        <v>45882</v>
      </c>
      <c r="B107" s="7">
        <v>8</v>
      </c>
      <c r="C107" s="7" t="str">
        <f>+UPPER(TEXT(Tabla_master_rend[[#This Row],[Fecha]],"MMM"))</f>
        <v>AGO</v>
      </c>
      <c r="D107" s="7" t="str">
        <f>+UPPER(TEXT(Tabla_master_rend[[#This Row],[Fecha]],"ddd"))</f>
        <v>MI</v>
      </c>
      <c r="E107" s="3">
        <v>130825326</v>
      </c>
      <c r="F107" s="3" t="s">
        <v>244</v>
      </c>
      <c r="G107" s="84" t="s">
        <v>301</v>
      </c>
      <c r="H107">
        <v>16</v>
      </c>
      <c r="I107" s="8">
        <f>+Tabla_master_rend[[#This Row],[L_Leche_ent]]+Tabla_master_rend[[#This Row],[L_desn_ext]]+Tabla_master_rend[[#This Row],[L_cabra]]+Tabla_master_rend[[#This Row],[L_oveja]]</f>
        <v>227722</v>
      </c>
      <c r="J107" s="8">
        <v>227722</v>
      </c>
      <c r="K107" s="5">
        <v>3.8100000000000002E-2</v>
      </c>
      <c r="L107" s="5">
        <v>3.2000000000000001E-2</v>
      </c>
      <c r="M107" s="5">
        <f t="shared" si="31"/>
        <v>0.10711300000000001</v>
      </c>
      <c r="N107" s="35" t="s">
        <v>188</v>
      </c>
      <c r="O107" s="8">
        <v>0</v>
      </c>
      <c r="P107" s="8">
        <v>0</v>
      </c>
      <c r="Q107" s="8">
        <v>0</v>
      </c>
      <c r="R107" s="8">
        <v>3939</v>
      </c>
      <c r="T107" s="8">
        <v>193200</v>
      </c>
      <c r="U107" s="38">
        <f>+Tabla_master_rend[[#This Row],[L_suero Total]]/Tabla_master_rend[[#This Row],[Litros_Leche_Total]]</f>
        <v>0.84840287719236618</v>
      </c>
      <c r="V107" s="5">
        <v>2.2000000000000001E-3</v>
      </c>
      <c r="W107" s="5">
        <v>8.6E-3</v>
      </c>
      <c r="X107" s="8">
        <v>193786</v>
      </c>
      <c r="Y107" s="57">
        <v>77715</v>
      </c>
      <c r="Z107" s="58">
        <f>IF(Tabla_master_rend[[#This Row],[L_suero para con]]=0,0,+Tabla_master_rend[[#This Row],[L_suero para con]]/Tabla_master_rend[[#This Row],[L_suero_con]])</f>
        <v>2.4935469343112655</v>
      </c>
      <c r="AA107" s="8">
        <f>+Tabla_master_rend[[#This Row],[L_suero Total]]-Tabla_master_rend[[#This Row],[L_suero para con]]</f>
        <v>-586</v>
      </c>
      <c r="AD107" s="8"/>
      <c r="AE107" s="8"/>
      <c r="AF107" s="8"/>
      <c r="AG107" s="5"/>
      <c r="AI107" s="7">
        <f>+Tabla_master_rend[[#This Row],[Kg_Finos]]+Tabla_master_rend[[#This Row],[Kg_Llenadora]]+Tabla_master_rend[[#This Row],[Kg_Desmoldeo]]+Tabla_master_rend[[#This Row],[L_Agua]]+Tabla_master_rend[[#This Row],[Kg_SalidaSecadero]]</f>
        <v>24668.5</v>
      </c>
      <c r="AJ107" s="59">
        <f>+Tabla_master_rend[[#This Row],[Litros_Leche_Total]]/Tabla_master_rend[[#This Row],[Kg_Queso_Blan]]</f>
        <v>9.2312868638141765</v>
      </c>
      <c r="AK107" s="59">
        <f>+Tabla_master_rend[[#This Row],[Litros_Leche_Total]]/(Tabla_master_rend[[#This Row],[Kg_Queso_Blan]]-Tabla_master_rend[[#This Row],[Merma_TOT]])</f>
        <v>9.3953169055632895</v>
      </c>
      <c r="AL107" s="59">
        <f>VLOOKUP(G107,REND_TARGET[#All],8,FALSE)</f>
        <v>9.3549429999999987</v>
      </c>
      <c r="AM107" s="7">
        <f>(I107*1.03*Tabla_master_rend[[#This Row],[%MG_Leche]])+(I107*1.03*Tabla_master_rend[[#This Row],[%MP_Leche]])</f>
        <v>16442.211566000002</v>
      </c>
      <c r="AN107" s="38">
        <v>0.28970000000000001</v>
      </c>
      <c r="AO107" s="38">
        <v>0.23309999999999997</v>
      </c>
      <c r="AP107" s="60">
        <v>0.57399999999999995</v>
      </c>
      <c r="AQ107" s="38">
        <f>+Tabla_master_rend[[#This Row],[Kg_Queso_Blan]]*Tabla_master_rend[[#This Row],[ES_QUESO]]/(Tabla_master_rend[[#This Row],[Kg_Solidos_leche]])</f>
        <v>0.86118092710108107</v>
      </c>
      <c r="AR107" s="7">
        <f t="shared" si="32"/>
        <v>1575.6000000000001</v>
      </c>
      <c r="AS107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0.97600513296396885</v>
      </c>
      <c r="AT107" s="62">
        <f>+Tabla_master_rend[[#This Row],[Kg_Queso_Blan]]*Tabla_master_rend[[#This Row],[%PT_QUESO]]/(Tabla_master_rend[[#This Row],[Litros_Leche_Total]]*1.03*Tabla_master_rend[[#This Row],[%MP_Leche]])</f>
        <v>0.76611298535055883</v>
      </c>
      <c r="AU107" s="63">
        <f t="shared" si="33"/>
        <v>11817.000000000002</v>
      </c>
      <c r="AV107" s="7">
        <v>36</v>
      </c>
      <c r="AW107" s="7">
        <v>57.8</v>
      </c>
      <c r="AX107" s="7">
        <v>18.7</v>
      </c>
      <c r="AY107" s="8">
        <f>SUM(Tabla_master_rend[[#This Row],[Kg_Finos]:[Kg_Desmoldeo]])</f>
        <v>112.5</v>
      </c>
      <c r="AZ107" s="60">
        <f>+(Tabla_master_rend[[#This Row],[Kg_Finos]]+Tabla_master_rend[[#This Row],[Kg_Llenadora]]+Tabla_master_rend[[#This Row],[Kg_Desmoldeo]])/(Tabla_master_rend[[#This Row],[Kg_Queso_Blan]])</f>
        <v>4.5604718568214523E-3</v>
      </c>
      <c r="BA107" s="7">
        <v>240</v>
      </c>
      <c r="BB107" s="60">
        <f>+Tabla_master_rend[[#This Row],[L_Agua]]/(Tabla_master_rend[[#This Row],[L_Agua]]+Tabla_master_rend[[#This Row],[Kg_SalidaSecadero]])</f>
        <v>9.7735787587554974E-3</v>
      </c>
      <c r="BC107" s="8">
        <v>3380</v>
      </c>
      <c r="BD107" s="8">
        <v>3358</v>
      </c>
      <c r="BE107" s="8">
        <v>24415</v>
      </c>
      <c r="BF107" s="8">
        <f>14*6.6</f>
        <v>92.399999999999991</v>
      </c>
      <c r="BG107" s="8">
        <f>4*6.6</f>
        <v>26.4</v>
      </c>
      <c r="BH107" s="7">
        <f>5*6.6</f>
        <v>33</v>
      </c>
      <c r="BI107" s="7">
        <v>0</v>
      </c>
      <c r="BJ107" s="8">
        <v>82</v>
      </c>
      <c r="BK107" s="8">
        <v>24316</v>
      </c>
      <c r="BL107" s="8">
        <v>0</v>
      </c>
      <c r="BM107" s="8">
        <v>63.49</v>
      </c>
      <c r="BN107" s="7">
        <v>14.69</v>
      </c>
      <c r="BO107" s="68">
        <f>+SUM(Tabla_master_rend[[#This Row],[B_altas]:[B_lab]])/Tabla_master_rend[[#This Row],[Kg_SalidaSecadero]]</f>
        <v>9.6150682678072044E-3</v>
      </c>
      <c r="BP107" s="68">
        <f>+(Tabla_master_rend[[#This Row],[Kg_mer_env_real]]+Tabla_master_rend[[#This Row],[kg_mer_lab_real]])/Tabla_master_rend[[#This Row],[Kg_SalidaSecadero]]</f>
        <v>3.2151669682513573E-3</v>
      </c>
      <c r="BQ107" s="64">
        <f>+Tabla_master_rend[[#This Row],[Merma_TOT]]/Tabla_master_rend[[#This Row],[Kg_Queso_Blan]]</f>
        <v>1.7458702393741005E-2</v>
      </c>
      <c r="BR107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430.68</v>
      </c>
      <c r="BS107" s="8">
        <v>24223.739999999994</v>
      </c>
      <c r="BT107" s="63">
        <f>IF(+Tabla_master_rend[[#This Row],[Kg_Env_Total]]=0,0,Tabla_master_rend[[#This Row],[Kg_Env_Total]]-Tabla_master_rend[[#This Row],[Kg_SalidaSecadero]])</f>
        <v>-92.260000000005675</v>
      </c>
      <c r="BU107" s="60">
        <f>+Tabla_master_rend[[#This Row],[Diferencia_Env_vs_Sec_kg]]/Tabla_master_rend[[#This Row],[Kg_SalidaSecadero]]</f>
        <v>-3.7942095739433163E-3</v>
      </c>
      <c r="BV107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07" s="65">
        <f>+(Tabla_master_rend[[#This Row],[Coste_Leche_€]]-Tabla_master_rend[[#This Row],[Kg_MG_Nata]]*$CO$3)/Tabla_master_rend[[#This Row],[Kg_Queso_Blan]]</f>
        <v>-0.47903196384052543</v>
      </c>
      <c r="BX107" s="8">
        <f>SUM(Tabla_master_rend[[#This Row],[Kg_Finos]:[Kg_Desmoldeo]])+Tabla_master_rend[[#This Row],[L_Agua]]+SUM(Tabla_master_rend[[#This Row],[B_altas]:[B_lab]])</f>
        <v>586.29999999999995</v>
      </c>
      <c r="BY107" s="8">
        <f>+BX107-Tabla_master_rend[[#This Row],[Merma_TOT]]</f>
        <v>155.61999999999995</v>
      </c>
      <c r="BZ107" s="62">
        <f t="shared" si="34"/>
        <v>0.26542725567115805</v>
      </c>
      <c r="CA107" s="8">
        <f>+Tabla_master_rend[[#This Row],[Kg_Queso_Blan]]*$CA$1</f>
        <v>160.34524999999999</v>
      </c>
      <c r="CB107" s="8">
        <f>+Tabla_master_rend[[#This Row],[Kg_Queso_Blan]]*($CB$1-$CA$1)</f>
        <v>86.339750000000009</v>
      </c>
      <c r="CC107" s="8">
        <f>+(Tabla_master_rend[[#This Row],[Kg_Queso_Blan]]-CA107-CB107)*$CC$1</f>
        <v>256.42905750000006</v>
      </c>
      <c r="CD107" s="8">
        <f t="shared" si="35"/>
        <v>503.11405750000006</v>
      </c>
      <c r="CE107" s="80">
        <f>+CD107/Tabla_master_rend[[#This Row],[Kg_Queso_Blan]]</f>
        <v>2.0395000000000003E-2</v>
      </c>
      <c r="CF107" s="62">
        <f>+Tabla_master_rend[[#This Row],[Merma_TOT]]/Tabla_master_rend[[#This Row],[Kg_Queso_Blan]]</f>
        <v>1.7458702393741005E-2</v>
      </c>
      <c r="CG107" s="8">
        <f>CD107-Tabla_master_rend[[#This Row],[Merma_TOT]]</f>
        <v>72.434057500000051</v>
      </c>
      <c r="CH107" s="81" cm="1">
        <f t="array" ref="CH107">-BR107 * IFERROR(INDEX('Precio Leche_EBITDA_Ventas'!$BD$87:$BD$110,MATCH(1,('Precio Leche_EBITDA_Ventas'!$AZ$87:$AZ$110=YEAR(A107))*('Precio Leche_EBITDA_Ventas'!$BB$87:$BB$110=C107),0)),1.3)</f>
        <v>-1554.7547999999999</v>
      </c>
      <c r="CI107" s="81">
        <f t="shared" si="36"/>
        <v>94.164274750000075</v>
      </c>
    </row>
    <row r="108" spans="1:87" x14ac:dyDescent="0.35">
      <c r="A108" s="9">
        <v>45887</v>
      </c>
      <c r="B108" s="7">
        <v>8</v>
      </c>
      <c r="C108" s="7" t="str">
        <f>+UPPER(TEXT(Tabla_master_rend[[#This Row],[Fecha]],"MMM"))</f>
        <v>AGO</v>
      </c>
      <c r="D108" s="7" t="str">
        <f>+UPPER(TEXT(Tabla_master_rend[[#This Row],[Fecha]],"ddd"))</f>
        <v>LU</v>
      </c>
      <c r="E108" s="3">
        <v>180825826</v>
      </c>
      <c r="F108" s="3" t="s">
        <v>244</v>
      </c>
      <c r="G108" s="84" t="s">
        <v>446</v>
      </c>
      <c r="H108">
        <v>5</v>
      </c>
      <c r="I108" s="8">
        <f>+Tabla_master_rend[[#This Row],[L_Leche_ent]]+Tabla_master_rend[[#This Row],[L_desn_ext]]+Tabla_master_rend[[#This Row],[L_cabra]]+Tabla_master_rend[[#This Row],[L_oveja]]</f>
        <v>82850</v>
      </c>
      <c r="J108" s="8">
        <v>82850</v>
      </c>
      <c r="K108" s="5">
        <v>3.7699999999999997E-2</v>
      </c>
      <c r="L108" s="5">
        <v>3.1699999999999999E-2</v>
      </c>
      <c r="M108" s="5">
        <f t="shared" si="31"/>
        <v>0.106519</v>
      </c>
      <c r="N108" s="35" t="s">
        <v>43</v>
      </c>
      <c r="O108" s="8">
        <v>0</v>
      </c>
      <c r="P108" s="8">
        <v>0</v>
      </c>
      <c r="Q108" s="8">
        <v>0</v>
      </c>
      <c r="R108" s="8">
        <v>1328</v>
      </c>
      <c r="T108" s="8">
        <v>69000</v>
      </c>
      <c r="U108" s="38">
        <f>+Tabla_master_rend[[#This Row],[L_suero Total]]/Tabla_master_rend[[#This Row],[Litros_Leche_Total]]</f>
        <v>0.83283041641520816</v>
      </c>
      <c r="V108" s="5">
        <v>4.5000000000000005E-3</v>
      </c>
      <c r="W108" s="5">
        <v>1.0700000000000001E-2</v>
      </c>
      <c r="X108" s="8">
        <v>69000</v>
      </c>
      <c r="Y108" s="57">
        <f>45112/(69000+186658)*69000</f>
        <v>12175.359269023462</v>
      </c>
      <c r="Z108" s="58">
        <f>IF(Tabla_master_rend[[#This Row],[L_suero para con]]=0,0,+Tabla_master_rend[[#This Row],[L_suero para con]]/Tabla_master_rend[[#This Row],[L_suero_con]])</f>
        <v>5.6671838978542288</v>
      </c>
      <c r="AA108" s="8">
        <f>+Tabla_master_rend[[#This Row],[L_suero Total]]-Tabla_master_rend[[#This Row],[L_suero para con]]</f>
        <v>0</v>
      </c>
      <c r="AD108" s="8"/>
      <c r="AE108" s="8"/>
      <c r="AF108" s="8"/>
      <c r="AG108" s="5"/>
      <c r="AI108" s="7">
        <f>+Tabla_master_rend[[#This Row],[Kg_Finos]]+Tabla_master_rend[[#This Row],[Kg_Llenadora]]+Tabla_master_rend[[#This Row],[Kg_Desmoldeo]]+Tabla_master_rend[[#This Row],[L_Agua]]+Tabla_master_rend[[#This Row],[Kg_SalidaSecadero]]</f>
        <v>8793.9835507386579</v>
      </c>
      <c r="AJ108" s="59">
        <f>+Tabla_master_rend[[#This Row],[Litros_Leche_Total]]/Tabla_master_rend[[#This Row],[Kg_Queso_Blan]]</f>
        <v>9.4212138926551603</v>
      </c>
      <c r="AK108" s="59">
        <f>+Tabla_master_rend[[#This Row],[Litros_Leche_Total]]/(Tabla_master_rend[[#This Row],[Kg_Queso_Blan]]-Tabla_master_rend[[#This Row],[Merma_TOT]])</f>
        <v>9.7088516367940265</v>
      </c>
      <c r="AL108" s="59">
        <f>VLOOKUP(G108,REND_TARGET[#All],8,FALSE)</f>
        <v>9.3549429999999987</v>
      </c>
      <c r="AM108" s="7">
        <f>(I108*1.03*Tabla_master_rend[[#This Row],[%MG_Leche]])+(I108*1.03*Tabla_master_rend[[#This Row],[%MP_Leche]])</f>
        <v>5922.2837</v>
      </c>
      <c r="AN108" s="38">
        <v>0.29359999999999997</v>
      </c>
      <c r="AO108" s="38">
        <v>0.23010000000000003</v>
      </c>
      <c r="AP108" s="60">
        <v>0.57640000000000002</v>
      </c>
      <c r="AQ108" s="38">
        <f>+Tabla_master_rend[[#This Row],[Kg_Queso_Blan]]*Tabla_master_rend[[#This Row],[ES_QUESO]]/(Tabla_master_rend[[#This Row],[Kg_Solidos_leche]])</f>
        <v>0.85589484992854414</v>
      </c>
      <c r="AR108" s="7">
        <f t="shared" si="32"/>
        <v>531.20000000000005</v>
      </c>
      <c r="AS108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0.96766242392797031</v>
      </c>
      <c r="AT108" s="62">
        <f>+Tabla_master_rend[[#This Row],[Kg_Queso_Blan]]*Tabla_master_rend[[#This Row],[%PT_QUESO]]/(Tabla_master_rend[[#This Row],[Litros_Leche_Total]]*1.03*Tabla_master_rend[[#This Row],[%MP_Leche]])</f>
        <v>0.74802010000163777</v>
      </c>
      <c r="AU108" s="63">
        <f t="shared" si="33"/>
        <v>3984.0000000000005</v>
      </c>
      <c r="AV108" s="7">
        <v>24.083550738657998</v>
      </c>
      <c r="AW108" s="7">
        <v>12.9</v>
      </c>
      <c r="AX108" s="7">
        <v>8</v>
      </c>
      <c r="AY108" s="8">
        <f>SUM(Tabla_master_rend[[#This Row],[Kg_Finos]:[Kg_Desmoldeo]])</f>
        <v>44.983550738657996</v>
      </c>
      <c r="AZ108" s="60">
        <f>+(Tabla_master_rend[[#This Row],[Kg_Finos]]+Tabla_master_rend[[#This Row],[Kg_Llenadora]]+Tabla_master_rend[[#This Row],[Kg_Desmoldeo]])/(Tabla_master_rend[[#This Row],[Kg_Queso_Blan]])</f>
        <v>5.1152643712734222E-3</v>
      </c>
      <c r="BA108" s="7">
        <v>180</v>
      </c>
      <c r="BB108" s="60">
        <f>+Tabla_master_rend[[#This Row],[L_Agua]]/(Tabla_master_rend[[#This Row],[L_Agua]]+Tabla_master_rend[[#This Row],[Kg_SalidaSecadero]])</f>
        <v>2.0573779860555492E-2</v>
      </c>
      <c r="BC108" s="8">
        <v>1187</v>
      </c>
      <c r="BD108" s="8">
        <v>1166</v>
      </c>
      <c r="BE108" s="8">
        <v>8617</v>
      </c>
      <c r="BF108" s="8">
        <f>8*6.2</f>
        <v>49.6</v>
      </c>
      <c r="BG108" s="8">
        <f>13*6.2</f>
        <v>80.600000000000009</v>
      </c>
      <c r="BH108" s="7">
        <v>0</v>
      </c>
      <c r="BI108" s="7">
        <f>2*6.6</f>
        <v>13.2</v>
      </c>
      <c r="BJ108" s="8">
        <v>39</v>
      </c>
      <c r="BK108" s="8">
        <v>8569</v>
      </c>
      <c r="BL108" s="8">
        <v>0</v>
      </c>
      <c r="BM108" s="8">
        <v>23.1</v>
      </c>
      <c r="BN108" s="7">
        <v>12.45</v>
      </c>
      <c r="BO108" s="68">
        <f>+SUM(Tabla_master_rend[[#This Row],[B_altas]:[B_lab]])/Tabla_master_rend[[#This Row],[Kg_SalidaSecadero]]</f>
        <v>2.1286031042128603E-2</v>
      </c>
      <c r="BP108" s="68">
        <f>+(Tabla_master_rend[[#This Row],[Kg_mer_env_real]]+Tabla_master_rend[[#This Row],[kg_mer_lab_real]])/Tabla_master_rend[[#This Row],[Kg_SalidaSecadero]]</f>
        <v>4.1486754580464464E-3</v>
      </c>
      <c r="BQ108" s="64">
        <f>+Tabla_master_rend[[#This Row],[Merma_TOT]]/Tabla_master_rend[[#This Row],[Kg_Queso_Blan]]</f>
        <v>2.9626340467372635E-2</v>
      </c>
      <c r="BR108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260.53355073865799</v>
      </c>
      <c r="BS108" s="8">
        <v>8577.6042383361455</v>
      </c>
      <c r="BT108" s="63">
        <f>IF(+Tabla_master_rend[[#This Row],[Kg_Env_Total]]=0,0,Tabla_master_rend[[#This Row],[Kg_Env_Total]]-Tabla_master_rend[[#This Row],[Kg_SalidaSecadero]])</f>
        <v>8.6042383361454995</v>
      </c>
      <c r="BU108" s="60">
        <f>+Tabla_master_rend[[#This Row],[Diferencia_Env_vs_Sec_kg]]/Tabla_master_rend[[#This Row],[Kg_SalidaSecadero]]</f>
        <v>1.0041123043698797E-3</v>
      </c>
      <c r="BV108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08" s="65">
        <f>+(Tabla_master_rend[[#This Row],[Coste_Leche_€]]-Tabla_master_rend[[#This Row],[Kg_MG_Nata]]*$CO$3)/Tabla_master_rend[[#This Row],[Kg_Queso_Blan]]</f>
        <v>-0.45303700842894584</v>
      </c>
      <c r="BX108" s="8">
        <f>SUM(Tabla_master_rend[[#This Row],[Kg_Finos]:[Kg_Desmoldeo]])+Tabla_master_rend[[#This Row],[L_Agua]]+SUM(Tabla_master_rend[[#This Row],[B_altas]:[B_lab]])</f>
        <v>407.38355073865796</v>
      </c>
      <c r="BY108" s="8">
        <f>+BX108-Tabla_master_rend[[#This Row],[Merma_TOT]]</f>
        <v>146.84999999999997</v>
      </c>
      <c r="BZ108" s="62">
        <f t="shared" si="34"/>
        <v>0.36047110820683631</v>
      </c>
      <c r="CA108" s="8">
        <f>+Tabla_master_rend[[#This Row],[Kg_Queso_Blan]]*$CA$1</f>
        <v>57.160893079801276</v>
      </c>
      <c r="CB108" s="8">
        <f>+Tabla_master_rend[[#This Row],[Kg_Queso_Blan]]*($CB$1-$CA$1)</f>
        <v>30.778942427585307</v>
      </c>
      <c r="CC108" s="8">
        <f>+(Tabla_master_rend[[#This Row],[Kg_Queso_Blan]]-CA108-CB108)*$CC$1</f>
        <v>91.41345900992836</v>
      </c>
      <c r="CD108" s="8">
        <f t="shared" si="35"/>
        <v>179.35329451731496</v>
      </c>
      <c r="CE108" s="80">
        <f>+CD108/Tabla_master_rend[[#This Row],[Kg_Queso_Blan]]</f>
        <v>2.0395000000000003E-2</v>
      </c>
      <c r="CF108" s="62">
        <f>+Tabla_master_rend[[#This Row],[Merma_TOT]]/Tabla_master_rend[[#This Row],[Kg_Queso_Blan]]</f>
        <v>2.9626340467372635E-2</v>
      </c>
      <c r="CG108" s="8">
        <f>CD108-Tabla_master_rend[[#This Row],[Merma_TOT]]</f>
        <v>-81.180256221343029</v>
      </c>
      <c r="CH108" s="81" cm="1">
        <f t="array" ref="CH108">-BR108 * IFERROR(INDEX('Precio Leche_EBITDA_Ventas'!$BD$87:$BD$110,MATCH(1,('Precio Leche_EBITDA_Ventas'!$AZ$87:$AZ$110=YEAR(A108))*('Precio Leche_EBITDA_Ventas'!$BB$87:$BB$110=C108),0)),1.3)</f>
        <v>-940.52611816655531</v>
      </c>
      <c r="CI108" s="81">
        <f t="shared" si="36"/>
        <v>-105.53433308774594</v>
      </c>
    </row>
    <row r="109" spans="1:87" x14ac:dyDescent="0.35">
      <c r="A109" s="9">
        <v>45887</v>
      </c>
      <c r="B109" s="7">
        <v>8</v>
      </c>
      <c r="C109" s="7" t="str">
        <f>+UPPER(TEXT(Tabla_master_rend[[#This Row],[Fecha]],"MMM"))</f>
        <v>AGO</v>
      </c>
      <c r="D109" s="7" t="str">
        <f>+UPPER(TEXT(Tabla_master_rend[[#This Row],[Fecha]],"ddd"))</f>
        <v>LU</v>
      </c>
      <c r="E109" s="3">
        <v>180825346</v>
      </c>
      <c r="F109" s="3" t="s">
        <v>244</v>
      </c>
      <c r="G109" s="84" t="s">
        <v>40</v>
      </c>
      <c r="H109">
        <v>14</v>
      </c>
      <c r="I109" s="8">
        <f>+Tabla_master_rend[[#This Row],[L_Leche_ent]]+Tabla_master_rend[[#This Row],[L_desn_ext]]+Tabla_master_rend[[#This Row],[L_cabra]]+Tabla_master_rend[[#This Row],[L_oveja]]</f>
        <v>237596</v>
      </c>
      <c r="J109" s="8">
        <v>237596</v>
      </c>
      <c r="K109" s="5">
        <v>3.8300000000000001E-2</v>
      </c>
      <c r="L109" s="5">
        <v>3.2099999999999997E-2</v>
      </c>
      <c r="M109" s="5">
        <f t="shared" si="31"/>
        <v>0.107373</v>
      </c>
      <c r="N109" s="35" t="s">
        <v>43</v>
      </c>
      <c r="O109" s="8">
        <v>0</v>
      </c>
      <c r="P109" s="8">
        <v>0</v>
      </c>
      <c r="Q109" s="8">
        <v>0</v>
      </c>
      <c r="R109" s="8">
        <v>2748</v>
      </c>
      <c r="T109" s="8">
        <v>186658</v>
      </c>
      <c r="U109" s="38">
        <f>+Tabla_master_rend[[#This Row],[L_suero Total]]/Tabla_master_rend[[#This Row],[Litros_Leche_Total]]</f>
        <v>0.78561086886984632</v>
      </c>
      <c r="V109" s="5">
        <v>4.5000000000000005E-3</v>
      </c>
      <c r="W109" s="5">
        <v>1.0700000000000001E-2</v>
      </c>
      <c r="X109" s="8">
        <f>104587-69000</f>
        <v>35587</v>
      </c>
      <c r="Y109" s="57">
        <f>45112/(69000+186658)*186658</f>
        <v>32936.640730976542</v>
      </c>
      <c r="Z109" s="58">
        <f>IF(Tabla_master_rend[[#This Row],[L_suero para con]]=0,0,+Tabla_master_rend[[#This Row],[L_suero para con]]/Tabla_master_rend[[#This Row],[L_suero_con]])</f>
        <v>1.080468414817144</v>
      </c>
      <c r="AA109" s="8">
        <f>+Tabla_master_rend[[#This Row],[L_suero Total]]-Tabla_master_rend[[#This Row],[L_suero para con]]</f>
        <v>151071</v>
      </c>
      <c r="AD109" s="8"/>
      <c r="AE109" s="8"/>
      <c r="AF109" s="8"/>
      <c r="AG109" s="5"/>
      <c r="AI109" s="7">
        <f>+Tabla_master_rend[[#This Row],[Kg_Finos]]+Tabla_master_rend[[#This Row],[Kg_Llenadora]]+Tabla_master_rend[[#This Row],[Kg_Desmoldeo]]+Tabla_master_rend[[#This Row],[L_Agua]]+Tabla_master_rend[[#This Row],[Kg_SalidaSecadero]]</f>
        <v>25793.966449261341</v>
      </c>
      <c r="AJ109" s="59">
        <f>+Tabla_master_rend[[#This Row],[Litros_Leche_Total]]/Tabla_master_rend[[#This Row],[Kg_Queso_Blan]]</f>
        <v>9.2113014284704562</v>
      </c>
      <c r="AK109" s="59">
        <f>+Tabla_master_rend[[#This Row],[Litros_Leche_Total]]/(Tabla_master_rend[[#This Row],[Kg_Queso_Blan]]-Tabla_master_rend[[#This Row],[Merma_TOT]])</f>
        <v>9.4789823167724965</v>
      </c>
      <c r="AL109" s="59">
        <f>VLOOKUP(G109,REND_TARGET[#All],8,FALSE)</f>
        <v>8.9338729999999984</v>
      </c>
      <c r="AM109" s="7">
        <f>(I109*1.03*Tabla_master_rend[[#This Row],[%MG_Leche]])+(I109*1.03*Tabla_master_rend[[#This Row],[%MP_Leche]])</f>
        <v>17228.561151999998</v>
      </c>
      <c r="AN109" s="38">
        <v>0.31129999999999997</v>
      </c>
      <c r="AO109" s="38">
        <v>0.23199999999999998</v>
      </c>
      <c r="AP109" s="60">
        <v>0.58640000000000003</v>
      </c>
      <c r="AQ109" s="38">
        <f>+Tabla_master_rend[[#This Row],[Kg_Queso_Blan]]*Tabla_master_rend[[#This Row],[ES_QUESO]]/(Tabla_master_rend[[#This Row],[Kg_Solidos_leche]])</f>
        <v>0.87793645635294271</v>
      </c>
      <c r="AR109" s="7">
        <f t="shared" si="32"/>
        <v>1099.2</v>
      </c>
      <c r="AS109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0.97396086508145074</v>
      </c>
      <c r="AT109" s="62">
        <f>+Tabla_master_rend[[#This Row],[Kg_Queso_Blan]]*Tabla_master_rend[[#This Row],[%PT_QUESO]]/(Tabla_master_rend[[#This Row],[Litros_Leche_Total]]*1.03*Tabla_master_rend[[#This Row],[%MP_Leche]])</f>
        <v>0.76177152286305483</v>
      </c>
      <c r="AU109" s="63">
        <f t="shared" si="33"/>
        <v>8244</v>
      </c>
      <c r="AV109" s="7">
        <v>69.066449261342001</v>
      </c>
      <c r="AW109" s="7">
        <v>298.89999999999998</v>
      </c>
      <c r="AX109" s="7">
        <v>24</v>
      </c>
      <c r="AY109" s="8">
        <f>SUM(Tabla_master_rend[[#This Row],[Kg_Finos]:[Kg_Desmoldeo]])</f>
        <v>391.96644926134195</v>
      </c>
      <c r="AZ109" s="60">
        <f>+(Tabla_master_rend[[#This Row],[Kg_Finos]]+Tabla_master_rend[[#This Row],[Kg_Llenadora]]+Tabla_master_rend[[#This Row],[Kg_Desmoldeo]])/(Tabla_master_rend[[#This Row],[Kg_Queso_Blan]])</f>
        <v>1.5196051760103248E-2</v>
      </c>
      <c r="BA109" s="7">
        <v>170</v>
      </c>
      <c r="BB109" s="60">
        <f>+Tabla_master_rend[[#This Row],[L_Agua]]/(Tabla_master_rend[[#This Row],[L_Agua]]+Tabla_master_rend[[#This Row],[Kg_SalidaSecadero]])</f>
        <v>6.6923864262656485E-3</v>
      </c>
      <c r="BC109" s="8">
        <v>3535</v>
      </c>
      <c r="BD109" s="8">
        <v>3496</v>
      </c>
      <c r="BE109" s="8">
        <v>25142</v>
      </c>
      <c r="BF109" s="8">
        <f>26*7</f>
        <v>182</v>
      </c>
      <c r="BG109" s="8">
        <v>0</v>
      </c>
      <c r="BH109" s="7">
        <f>11*7</f>
        <v>77</v>
      </c>
      <c r="BI109" s="7">
        <f>8*7</f>
        <v>56</v>
      </c>
      <c r="BJ109" s="8">
        <v>127</v>
      </c>
      <c r="BK109" s="8">
        <v>25232</v>
      </c>
      <c r="BL109" s="8">
        <v>0</v>
      </c>
      <c r="BM109" s="8">
        <v>137.46</v>
      </c>
      <c r="BN109" s="7">
        <v>28.98</v>
      </c>
      <c r="BO109" s="68">
        <f>+SUM(Tabla_master_rend[[#This Row],[B_altas]:[B_lab]])/Tabla_master_rend[[#This Row],[Kg_SalidaSecadero]]</f>
        <v>1.7517438173747624E-2</v>
      </c>
      <c r="BP109" s="68">
        <f>+(Tabla_master_rend[[#This Row],[Kg_mer_env_real]]+Tabla_master_rend[[#This Row],[kg_mer_lab_real]])/Tabla_master_rend[[#This Row],[Kg_SalidaSecadero]]</f>
        <v>6.5963855421686743E-3</v>
      </c>
      <c r="BQ109" s="64">
        <f>+Tabla_master_rend[[#This Row],[Merma_TOT]]/Tabla_master_rend[[#This Row],[Kg_Queso_Blan]]</f>
        <v>2.823941213904313E-2</v>
      </c>
      <c r="BR109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728.40644926134189</v>
      </c>
      <c r="BS109" s="8">
        <v>25257.33576166386</v>
      </c>
      <c r="BT109" s="63">
        <f>IF(+Tabla_master_rend[[#This Row],[Kg_Env_Total]]=0,0,Tabla_master_rend[[#This Row],[Kg_Env_Total]]-Tabla_master_rend[[#This Row],[Kg_SalidaSecadero]])</f>
        <v>25.335761663860467</v>
      </c>
      <c r="BU109" s="60">
        <f>+Tabla_master_rend[[#This Row],[Diferencia_Env_vs_Sec_kg]]/Tabla_master_rend[[#This Row],[Kg_SalidaSecadero]]</f>
        <v>1.0041123043698663E-3</v>
      </c>
      <c r="BV109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09" s="65">
        <f>+(Tabla_master_rend[[#This Row],[Coste_Leche_€]]-Tabla_master_rend[[#This Row],[Kg_MG_Nata]]*$CO$3)/Tabla_master_rend[[#This Row],[Kg_Queso_Blan]]</f>
        <v>-0.31960962716674707</v>
      </c>
      <c r="BX109" s="8">
        <f>SUM(Tabla_master_rend[[#This Row],[Kg_Finos]:[Kg_Desmoldeo]])+Tabla_master_rend[[#This Row],[L_Agua]]+SUM(Tabla_master_rend[[#This Row],[B_altas]:[B_lab]])</f>
        <v>1003.9664492613419</v>
      </c>
      <c r="BY109" s="8">
        <f>+BX109-Tabla_master_rend[[#This Row],[Merma_TOT]]</f>
        <v>275.56000000000006</v>
      </c>
      <c r="BZ109" s="62">
        <f t="shared" si="34"/>
        <v>0.27447132342195352</v>
      </c>
      <c r="CA109" s="8">
        <f>+Tabla_master_rend[[#This Row],[Kg_Queso_Blan]]*$CA$1</f>
        <v>167.6607819201987</v>
      </c>
      <c r="CB109" s="8">
        <f>+Tabla_master_rend[[#This Row],[Kg_Queso_Blan]]*($CB$1-$CA$1)</f>
        <v>90.278882572414702</v>
      </c>
      <c r="CC109" s="8">
        <f>+(Tabla_master_rend[[#This Row],[Kg_Queso_Blan]]-CA109-CB109)*$CC$1</f>
        <v>268.1282812400716</v>
      </c>
      <c r="CD109" s="8">
        <f t="shared" si="35"/>
        <v>526.06794573268508</v>
      </c>
      <c r="CE109" s="80">
        <f>+CD109/Tabla_master_rend[[#This Row],[Kg_Queso_Blan]]</f>
        <v>2.0395E-2</v>
      </c>
      <c r="CF109" s="62">
        <f>+Tabla_master_rend[[#This Row],[Merma_TOT]]/Tabla_master_rend[[#This Row],[Kg_Queso_Blan]]</f>
        <v>2.823941213904313E-2</v>
      </c>
      <c r="CG109" s="8">
        <f>CD109-Tabla_master_rend[[#This Row],[Merma_TOT]]</f>
        <v>-202.33850352865682</v>
      </c>
      <c r="CH109" s="81" cm="1">
        <f t="array" ref="CH109">-BR109 * IFERROR(INDEX('Precio Leche_EBITDA_Ventas'!$BD$87:$BD$110,MATCH(1,('Precio Leche_EBITDA_Ventas'!$AZ$87:$AZ$110=YEAR(A109))*('Precio Leche_EBITDA_Ventas'!$BB$87:$BB$110=C109),0)),1.3)</f>
        <v>-2629.5472818334442</v>
      </c>
      <c r="CI109" s="81">
        <f t="shared" si="36"/>
        <v>-263.04005458725385</v>
      </c>
    </row>
    <row r="110" spans="1:87" x14ac:dyDescent="0.35">
      <c r="A110" s="9">
        <v>45890</v>
      </c>
      <c r="B110" s="7">
        <v>8</v>
      </c>
      <c r="C110" s="7" t="str">
        <f>+UPPER(TEXT(Tabla_master_rend[[#This Row],[Fecha]],"MMM"))</f>
        <v>AGO</v>
      </c>
      <c r="D110" s="7" t="str">
        <f>+UPPER(TEXT(Tabla_master_rend[[#This Row],[Fecha]],"ddd"))</f>
        <v>JU</v>
      </c>
      <c r="E110" s="3">
        <v>210825316</v>
      </c>
      <c r="F110" s="3" t="s">
        <v>244</v>
      </c>
      <c r="G110" s="84" t="s">
        <v>299</v>
      </c>
      <c r="H110">
        <v>12</v>
      </c>
      <c r="I110" s="8">
        <f>+Tabla_master_rend[[#This Row],[L_Leche_ent]]+Tabla_master_rend[[#This Row],[L_desn_ext]]+Tabla_master_rend[[#This Row],[L_cabra]]+Tabla_master_rend[[#This Row],[L_oveja]]</f>
        <v>190262</v>
      </c>
      <c r="J110" s="8">
        <f>190262-76941</f>
        <v>113321</v>
      </c>
      <c r="K110" s="5">
        <v>2.3599999999999999E-2</v>
      </c>
      <c r="L110" s="5">
        <v>3.3000000000000002E-2</v>
      </c>
      <c r="M110" s="5">
        <f t="shared" si="31"/>
        <v>9.4368000000000007E-2</v>
      </c>
      <c r="N110" s="35" t="s">
        <v>188</v>
      </c>
      <c r="O110" s="8">
        <v>76941</v>
      </c>
      <c r="P110" s="8">
        <v>0</v>
      </c>
      <c r="Q110" s="8">
        <v>0</v>
      </c>
      <c r="R110" s="8">
        <v>0</v>
      </c>
      <c r="T110" s="8">
        <v>165600</v>
      </c>
      <c r="U110" s="38">
        <f>+Tabla_master_rend[[#This Row],[L_suero Total]]/Tabla_master_rend[[#This Row],[Litros_Leche_Total]]</f>
        <v>0.87037874089413547</v>
      </c>
      <c r="V110" s="5">
        <v>1.4000000000000002E-3</v>
      </c>
      <c r="W110" s="5">
        <v>8.6999999999999994E-3</v>
      </c>
      <c r="X110" s="8">
        <v>165600</v>
      </c>
      <c r="Y110" s="57">
        <f>100674/(165600+77380)*165600</f>
        <v>68613.113836529752</v>
      </c>
      <c r="Z110" s="58">
        <f>IF(Tabla_master_rend[[#This Row],[L_suero para con]]=0,0,+Tabla_master_rend[[#This Row],[L_suero para con]]/Tabla_master_rend[[#This Row],[L_suero_con]])</f>
        <v>2.4135327890021259</v>
      </c>
      <c r="AA110" s="8">
        <f>+Tabla_master_rend[[#This Row],[L_suero Total]]-Tabla_master_rend[[#This Row],[L_suero para con]]</f>
        <v>0</v>
      </c>
      <c r="AD110" s="8"/>
      <c r="AE110" s="8"/>
      <c r="AF110" s="8"/>
      <c r="AG110" s="5"/>
      <c r="AI110" s="7">
        <f>+Tabla_master_rend[[#This Row],[Kg_Finos]]+Tabla_master_rend[[#This Row],[Kg_Llenadora]]+Tabla_master_rend[[#This Row],[Kg_Desmoldeo]]+Tabla_master_rend[[#This Row],[L_Agua]]+Tabla_master_rend[[#This Row],[Kg_SalidaSecadero]]</f>
        <v>19989.536573316494</v>
      </c>
      <c r="AJ110" s="59">
        <f>+Tabla_master_rend[[#This Row],[Litros_Leche_Total]]/Tabla_master_rend[[#This Row],[Kg_Queso_Blan]]</f>
        <v>9.5180795863960004</v>
      </c>
      <c r="AK110" s="59">
        <f>+Tabla_master_rend[[#This Row],[Litros_Leche_Total]]/(Tabla_master_rend[[#This Row],[Kg_Queso_Blan]]-Tabla_master_rend[[#This Row],[Merma_TOT]])</f>
        <v>9.7563101782792341</v>
      </c>
      <c r="AL110" s="59">
        <f>VLOOKUP(G110,REND_TARGET[#All],8,FALSE)</f>
        <v>9.8078500000000002</v>
      </c>
      <c r="AM110" s="7">
        <f>(I110*1.03*Tabla_master_rend[[#This Row],[%MG_Leche]])+(I110*1.03*Tabla_master_rend[[#This Row],[%MP_Leche]])</f>
        <v>11091.894076</v>
      </c>
      <c r="AN110" s="38">
        <v>0.2268</v>
      </c>
      <c r="AO110" s="38">
        <v>0.25059999999999999</v>
      </c>
      <c r="AP110" s="60">
        <v>0.53280000000000005</v>
      </c>
      <c r="AQ110" s="38">
        <f>+Tabla_master_rend[[#This Row],[Kg_Queso_Blan]]*Tabla_master_rend[[#This Row],[ES_QUESO]]/(Tabla_master_rend[[#This Row],[Kg_Solidos_leche]])</f>
        <v>0.9601989536942841</v>
      </c>
      <c r="AR110" s="7">
        <f t="shared" si="32"/>
        <v>0</v>
      </c>
      <c r="AS110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0.98026724378237473</v>
      </c>
      <c r="AT110" s="62">
        <f>+Tabla_master_rend[[#This Row],[Kg_Queso_Blan]]*Tabla_master_rend[[#This Row],[%PT_QUESO]]/(Tabla_master_rend[[#This Row],[Litros_Leche_Total]]*1.03*Tabla_master_rend[[#This Row],[%MP_Leche]])</f>
        <v>0.77460548908235372</v>
      </c>
      <c r="AU110" s="63">
        <f t="shared" si="33"/>
        <v>0</v>
      </c>
      <c r="AV110" s="7">
        <v>44.836573316495638</v>
      </c>
      <c r="AW110" s="7">
        <v>25.5</v>
      </c>
      <c r="AX110" s="7">
        <v>14.2</v>
      </c>
      <c r="AY110" s="8">
        <f>SUM(Tabla_master_rend[[#This Row],[Kg_Finos]:[Kg_Desmoldeo]])</f>
        <v>84.536573316495648</v>
      </c>
      <c r="AZ110" s="60">
        <f>+(Tabla_master_rend[[#This Row],[Kg_Finos]]+Tabla_master_rend[[#This Row],[Kg_Llenadora]]+Tabla_master_rend[[#This Row],[Kg_Desmoldeo]])/(Tabla_master_rend[[#This Row],[Kg_Queso_Blan]])</f>
        <v>4.2290411789406507E-3</v>
      </c>
      <c r="BA110" s="7">
        <v>183</v>
      </c>
      <c r="BB110" s="60">
        <f>+Tabla_master_rend[[#This Row],[L_Agua]]/(Tabla_master_rend[[#This Row],[L_Agua]]+Tabla_master_rend[[#This Row],[Kg_SalidaSecadero]])</f>
        <v>9.1936699321778451E-3</v>
      </c>
      <c r="BC110" s="8">
        <v>2788</v>
      </c>
      <c r="BD110" s="8">
        <v>2731</v>
      </c>
      <c r="BE110" s="8">
        <v>19538</v>
      </c>
      <c r="BF110" s="8">
        <f>2*6.5</f>
        <v>13</v>
      </c>
      <c r="BG110" s="8">
        <f>33*6.5</f>
        <v>214.5</v>
      </c>
      <c r="BH110" s="7">
        <f>2*6.5</f>
        <v>13</v>
      </c>
      <c r="BI110" s="7">
        <f>11*6.5</f>
        <v>71.5</v>
      </c>
      <c r="BJ110" s="8">
        <v>68</v>
      </c>
      <c r="BK110" s="8">
        <v>19722</v>
      </c>
      <c r="BL110" s="8">
        <v>0</v>
      </c>
      <c r="BM110" s="8">
        <v>202.46</v>
      </c>
      <c r="BN110" s="7">
        <v>18.11</v>
      </c>
      <c r="BO110" s="68">
        <f>+SUM(Tabla_master_rend[[#This Row],[B_altas]:[B_lab]])/Tabla_master_rend[[#This Row],[Kg_SalidaSecadero]]</f>
        <v>1.9267822736030827E-2</v>
      </c>
      <c r="BP110" s="68">
        <f>+(Tabla_master_rend[[#This Row],[Kg_mer_env_real]]+Tabla_master_rend[[#This Row],[kg_mer_lab_real]])/Tabla_master_rend[[#This Row],[Kg_SalidaSecadero]]</f>
        <v>1.118395700233242E-2</v>
      </c>
      <c r="BQ110" s="64">
        <f>+Tabla_master_rend[[#This Row],[Merma_TOT]]/Tabla_master_rend[[#This Row],[Kg_Queso_Blan]]</f>
        <v>2.4418103517620124E-2</v>
      </c>
      <c r="BR110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488.1065733164956</v>
      </c>
      <c r="BS110" s="8">
        <v>19665.147761553111</v>
      </c>
      <c r="BT110" s="63">
        <f>IF(+Tabla_master_rend[[#This Row],[Kg_Env_Total]]=0,0,Tabla_master_rend[[#This Row],[Kg_Env_Total]]-Tabla_master_rend[[#This Row],[Kg_SalidaSecadero]])</f>
        <v>-56.852238446888805</v>
      </c>
      <c r="BU110" s="60">
        <f>+Tabla_master_rend[[#This Row],[Diferencia_Env_vs_Sec_kg]]/Tabla_master_rend[[#This Row],[Kg_SalidaSecadero]]</f>
        <v>-2.8826811908979214E-3</v>
      </c>
      <c r="BV110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10" s="65">
        <f>+(Tabla_master_rend[[#This Row],[Coste_Leche_€]]-Tabla_master_rend[[#This Row],[Kg_MG_Nata]]*$CO$3)/Tabla_master_rend[[#This Row],[Kg_Queso_Blan]]</f>
        <v>0</v>
      </c>
      <c r="BX110" s="8">
        <f>SUM(Tabla_master_rend[[#This Row],[Kg_Finos]:[Kg_Desmoldeo]])+Tabla_master_rend[[#This Row],[L_Agua]]+SUM(Tabla_master_rend[[#This Row],[B_altas]:[B_lab]])</f>
        <v>647.53657331649561</v>
      </c>
      <c r="BY110" s="8">
        <f>+BX110-Tabla_master_rend[[#This Row],[Merma_TOT]]</f>
        <v>159.43</v>
      </c>
      <c r="BZ110" s="62">
        <f t="shared" si="34"/>
        <v>0.24621003132447875</v>
      </c>
      <c r="CA110" s="8">
        <f>+Tabla_master_rend[[#This Row],[Kg_Queso_Blan]]*$CA$1</f>
        <v>129.9319877265572</v>
      </c>
      <c r="CB110" s="8">
        <f>+Tabla_master_rend[[#This Row],[Kg_Queso_Blan]]*($CB$1-$CA$1)</f>
        <v>69.963378006607741</v>
      </c>
      <c r="CC110" s="8">
        <f>+(Tabla_master_rend[[#This Row],[Kg_Queso_Blan]]-CA110-CB110)*$CC$1</f>
        <v>207.79123267962495</v>
      </c>
      <c r="CD110" s="8">
        <f t="shared" si="35"/>
        <v>407.68659841278986</v>
      </c>
      <c r="CE110" s="80">
        <f>+CD110/Tabla_master_rend[[#This Row],[Kg_Queso_Blan]]</f>
        <v>2.0394999999999996E-2</v>
      </c>
      <c r="CF110" s="62">
        <f>+Tabla_master_rend[[#This Row],[Merma_TOT]]/Tabla_master_rend[[#This Row],[Kg_Queso_Blan]]</f>
        <v>2.4418103517620124E-2</v>
      </c>
      <c r="CG110" s="8">
        <f>CD110-Tabla_master_rend[[#This Row],[Merma_TOT]]</f>
        <v>-80.419974903705736</v>
      </c>
      <c r="CH110" s="81" cm="1">
        <f t="array" ref="CH110">-BR110 * IFERROR(INDEX('Precio Leche_EBITDA_Ventas'!$BD$87:$BD$110,MATCH(1,('Precio Leche_EBITDA_Ventas'!$AZ$87:$AZ$110=YEAR(A110))*('Precio Leche_EBITDA_Ventas'!$BB$87:$BB$110=C110),0)),1.3)</f>
        <v>-1762.064729672549</v>
      </c>
      <c r="CI110" s="81">
        <f t="shared" si="36"/>
        <v>-104.54596737481747</v>
      </c>
    </row>
    <row r="111" spans="1:87" x14ac:dyDescent="0.35">
      <c r="A111" s="9">
        <v>45890</v>
      </c>
      <c r="B111" s="7">
        <v>8</v>
      </c>
      <c r="C111" s="7" t="str">
        <f>+UPPER(TEXT(Tabla_master_rend[[#This Row],[Fecha]],"MMM"))</f>
        <v>AGO</v>
      </c>
      <c r="D111" s="7" t="str">
        <f>+UPPER(TEXT(Tabla_master_rend[[#This Row],[Fecha]],"ddd"))</f>
        <v>JU</v>
      </c>
      <c r="E111" s="3">
        <v>210825326</v>
      </c>
      <c r="F111" s="3" t="s">
        <v>244</v>
      </c>
      <c r="G111" s="84" t="s">
        <v>301</v>
      </c>
      <c r="H111">
        <v>6</v>
      </c>
      <c r="I111" s="8">
        <f>+Tabla_master_rend[[#This Row],[L_Leche_ent]]+Tabla_master_rend[[#This Row],[L_desn_ext]]+Tabla_master_rend[[#This Row],[L_cabra]]+Tabla_master_rend[[#This Row],[L_oveja]]</f>
        <v>92437</v>
      </c>
      <c r="J111" s="8">
        <f>92437-17598</f>
        <v>74839</v>
      </c>
      <c r="K111" s="5">
        <v>3.15E-2</v>
      </c>
      <c r="L111" s="5">
        <v>3.2599999999999997E-2</v>
      </c>
      <c r="M111" s="5">
        <f t="shared" si="31"/>
        <v>0.101419</v>
      </c>
      <c r="N111" s="35" t="s">
        <v>188</v>
      </c>
      <c r="O111" s="8">
        <v>17598</v>
      </c>
      <c r="P111" s="8">
        <v>0</v>
      </c>
      <c r="Q111" s="8">
        <v>0</v>
      </c>
      <c r="R111" s="8">
        <v>0</v>
      </c>
      <c r="T111" s="8">
        <v>77380</v>
      </c>
      <c r="U111" s="38">
        <f>+Tabla_master_rend[[#This Row],[L_suero Total]]/Tabla_master_rend[[#This Row],[Litros_Leche_Total]]</f>
        <v>0.83711068078799611</v>
      </c>
      <c r="V111" s="5">
        <v>1.4000000000000002E-3</v>
      </c>
      <c r="W111" s="5">
        <v>8.6999999999999994E-3</v>
      </c>
      <c r="X111" s="8">
        <f>77380+46</f>
        <v>77426</v>
      </c>
      <c r="Y111" s="57">
        <f>100674/(165600+77380)*77380</f>
        <v>32060.886163470244</v>
      </c>
      <c r="Z111" s="58">
        <f>IF(Tabla_master_rend[[#This Row],[L_suero para con]]=0,0,+Tabla_master_rend[[#This Row],[L_suero para con]]/Tabla_master_rend[[#This Row],[L_suero_con]])</f>
        <v>2.4149675590757118</v>
      </c>
      <c r="AA111" s="8">
        <f>+Tabla_master_rend[[#This Row],[L_suero Total]]-Tabla_master_rend[[#This Row],[L_suero para con]]</f>
        <v>-46</v>
      </c>
      <c r="AD111" s="8"/>
      <c r="AE111" s="8"/>
      <c r="AF111" s="8"/>
      <c r="AG111" s="5"/>
      <c r="AI111" s="7">
        <f>+Tabla_master_rend[[#This Row],[Kg_Finos]]+Tabla_master_rend[[#This Row],[Kg_Llenadora]]+Tabla_master_rend[[#This Row],[Kg_Desmoldeo]]+Tabla_master_rend[[#This Row],[L_Agua]]+Tabla_master_rend[[#This Row],[Kg_SalidaSecadero]]</f>
        <v>10334.983426683504</v>
      </c>
      <c r="AJ111" s="59">
        <f>+Tabla_master_rend[[#This Row],[Litros_Leche_Total]]/Tabla_master_rend[[#This Row],[Kg_Queso_Blan]]</f>
        <v>8.9440878793613159</v>
      </c>
      <c r="AK111" s="59">
        <f>+Tabla_master_rend[[#This Row],[Litros_Leche_Total]]/(Tabla_master_rend[[#This Row],[Kg_Queso_Blan]]-Tabla_master_rend[[#This Row],[Merma_TOT]])</f>
        <v>9.12627225489625</v>
      </c>
      <c r="AL111" s="59">
        <f>VLOOKUP(G111,REND_TARGET[#All],8,FALSE)</f>
        <v>9.3549429999999987</v>
      </c>
      <c r="AM111" s="7">
        <f>(I111*1.03*Tabla_master_rend[[#This Row],[%MG_Leche]])+(I111*1.03*Tabla_master_rend[[#This Row],[%MP_Leche]])</f>
        <v>6102.9680509999998</v>
      </c>
      <c r="AN111" s="38">
        <v>0.28820000000000001</v>
      </c>
      <c r="AO111" s="38">
        <v>0.2366</v>
      </c>
      <c r="AP111" s="60">
        <v>0.57730000000000004</v>
      </c>
      <c r="AQ111" s="38">
        <f>+Tabla_master_rend[[#This Row],[Kg_Queso_Blan]]*Tabla_master_rend[[#This Row],[ES_QUESO]]/(Tabla_master_rend[[#This Row],[Kg_Solidos_leche]])</f>
        <v>0.97762037788265443</v>
      </c>
      <c r="AR111" s="7">
        <f t="shared" si="32"/>
        <v>0</v>
      </c>
      <c r="AS111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0.99313923685578254</v>
      </c>
      <c r="AT111" s="62">
        <f>+Tabla_master_rend[[#This Row],[Kg_Queso_Blan]]*Tabla_master_rend[[#This Row],[%PT_QUESO]]/(Tabla_master_rend[[#This Row],[Litros_Leche_Total]]*1.03*Tabla_master_rend[[#This Row],[%MP_Leche]])</f>
        <v>0.78781429673097481</v>
      </c>
      <c r="AU111" s="63">
        <f t="shared" si="33"/>
        <v>0</v>
      </c>
      <c r="AV111" s="7">
        <v>21.783426683504366</v>
      </c>
      <c r="AW111" s="7">
        <v>41.2</v>
      </c>
      <c r="AX111" s="7">
        <v>0</v>
      </c>
      <c r="AY111" s="8">
        <f>SUM(Tabla_master_rend[[#This Row],[Kg_Finos]:[Kg_Desmoldeo]])</f>
        <v>62.983426683504369</v>
      </c>
      <c r="AZ111" s="60">
        <f>+(Tabla_master_rend[[#This Row],[Kg_Finos]]+Tabla_master_rend[[#This Row],[Kg_Llenadora]]+Tabla_master_rend[[#This Row],[Kg_Desmoldeo]])/(Tabla_master_rend[[#This Row],[Kg_Queso_Blan]])</f>
        <v>6.0941971634797046E-3</v>
      </c>
      <c r="BA111" s="7">
        <v>67</v>
      </c>
      <c r="BB111" s="60">
        <f>+Tabla_master_rend[[#This Row],[L_Agua]]/(Tabla_master_rend[[#This Row],[L_Agua]]+Tabla_master_rend[[#This Row],[Kg_SalidaSecadero]])</f>
        <v>6.5225856697819313E-3</v>
      </c>
      <c r="BC111" s="8">
        <v>1400</v>
      </c>
      <c r="BD111" s="8">
        <v>1382</v>
      </c>
      <c r="BE111" s="8">
        <v>10157</v>
      </c>
      <c r="BF111" s="8">
        <f>2*6.4</f>
        <v>12.8</v>
      </c>
      <c r="BG111" s="8">
        <f>9*6.4</f>
        <v>57.6</v>
      </c>
      <c r="BH111" s="7">
        <v>0</v>
      </c>
      <c r="BI111" s="7">
        <f>2*6.4</f>
        <v>12.8</v>
      </c>
      <c r="BJ111" s="8">
        <v>45</v>
      </c>
      <c r="BK111" s="8">
        <v>10205</v>
      </c>
      <c r="BL111" s="8">
        <v>0</v>
      </c>
      <c r="BM111" s="8">
        <v>68.17</v>
      </c>
      <c r="BN111" s="7">
        <v>8.16</v>
      </c>
      <c r="BO111" s="68">
        <f>+SUM(Tabla_master_rend[[#This Row],[B_altas]:[B_lab]])/Tabla_master_rend[[#This Row],[Kg_SalidaSecadero]]</f>
        <v>1.2562469377756002E-2</v>
      </c>
      <c r="BP111" s="68">
        <f>+(Tabla_master_rend[[#This Row],[Kg_mer_env_real]]+Tabla_master_rend[[#This Row],[kg_mer_lab_real]])/Tabla_master_rend[[#This Row],[Kg_SalidaSecadero]]</f>
        <v>7.4796668299853012E-3</v>
      </c>
      <c r="BQ111" s="64">
        <f>+Tabla_master_rend[[#This Row],[Merma_TOT]]/Tabla_master_rend[[#This Row],[Kg_Queso_Blan]]</f>
        <v>1.9962627724281732E-2</v>
      </c>
      <c r="BR111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206.31342668350433</v>
      </c>
      <c r="BS111" s="8">
        <v>10175.582238446887</v>
      </c>
      <c r="BT111" s="63">
        <f>IF(+Tabla_master_rend[[#This Row],[Kg_Env_Total]]=0,0,Tabla_master_rend[[#This Row],[Kg_Env_Total]]-Tabla_master_rend[[#This Row],[Kg_SalidaSecadero]])</f>
        <v>-29.417761553113451</v>
      </c>
      <c r="BU111" s="60">
        <f>+Tabla_master_rend[[#This Row],[Diferencia_Env_vs_Sec_kg]]/Tabla_master_rend[[#This Row],[Kg_SalidaSecadero]]</f>
        <v>-2.8826811908979374E-3</v>
      </c>
      <c r="BV111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11" s="65">
        <f>+(Tabla_master_rend[[#This Row],[Coste_Leche_€]]-Tabla_master_rend[[#This Row],[Kg_MG_Nata]]*$CO$3)/Tabla_master_rend[[#This Row],[Kg_Queso_Blan]]</f>
        <v>0</v>
      </c>
      <c r="BX111" s="8">
        <f>SUM(Tabla_master_rend[[#This Row],[Kg_Finos]:[Kg_Desmoldeo]])+Tabla_master_rend[[#This Row],[L_Agua]]+SUM(Tabla_master_rend[[#This Row],[B_altas]:[B_lab]])</f>
        <v>258.18342668350436</v>
      </c>
      <c r="BY111" s="8">
        <f>+BX111-Tabla_master_rend[[#This Row],[Merma_TOT]]</f>
        <v>51.870000000000033</v>
      </c>
      <c r="BZ111" s="62">
        <f t="shared" si="34"/>
        <v>0.20090367792501712</v>
      </c>
      <c r="CA111" s="8">
        <f>+Tabla_master_rend[[#This Row],[Kg_Queso_Blan]]*$CA$1</f>
        <v>67.177392273442777</v>
      </c>
      <c r="CB111" s="8">
        <f>+Tabla_master_rend[[#This Row],[Kg_Queso_Blan]]*($CB$1-$CA$1)</f>
        <v>36.172441993392269</v>
      </c>
      <c r="CC111" s="8">
        <f>+(Tabla_master_rend[[#This Row],[Kg_Queso_Blan]]-CA111-CB111)*$CC$1</f>
        <v>107.43215272037503</v>
      </c>
      <c r="CD111" s="8">
        <f t="shared" si="35"/>
        <v>210.78198698721008</v>
      </c>
      <c r="CE111" s="80">
        <f>+CD111/Tabla_master_rend[[#This Row],[Kg_Queso_Blan]]</f>
        <v>2.0395E-2</v>
      </c>
      <c r="CF111" s="62">
        <f>+Tabla_master_rend[[#This Row],[Merma_TOT]]/Tabla_master_rend[[#This Row],[Kg_Queso_Blan]]</f>
        <v>1.9962627724281732E-2</v>
      </c>
      <c r="CG111" s="8">
        <f>CD111-Tabla_master_rend[[#This Row],[Merma_TOT]]</f>
        <v>4.4685603037057433</v>
      </c>
      <c r="CH111" s="81" cm="1">
        <f t="array" ref="CH111">-BR111 * IFERROR(INDEX('Precio Leche_EBITDA_Ventas'!$BD$87:$BD$110,MATCH(1,('Precio Leche_EBITDA_Ventas'!$AZ$87:$AZ$110=YEAR(A111))*('Precio Leche_EBITDA_Ventas'!$BB$87:$BB$110=C111),0)),1.3)</f>
        <v>-744.79147032745061</v>
      </c>
      <c r="CI111" s="81">
        <f t="shared" si="36"/>
        <v>5.8091283948174661</v>
      </c>
    </row>
    <row r="112" spans="1:87" x14ac:dyDescent="0.35">
      <c r="A112" s="9">
        <v>45895</v>
      </c>
      <c r="B112" s="7">
        <v>8</v>
      </c>
      <c r="C112" s="7" t="str">
        <f>+UPPER(TEXT(Tabla_master_rend[[#This Row],[Fecha]],"MMM"))</f>
        <v>AGO</v>
      </c>
      <c r="D112" s="7" t="str">
        <f>+UPPER(TEXT(Tabla_master_rend[[#This Row],[Fecha]],"ddd"))</f>
        <v>MA</v>
      </c>
      <c r="E112" s="3">
        <v>260825316</v>
      </c>
      <c r="F112" s="3" t="s">
        <v>244</v>
      </c>
      <c r="G112" s="84" t="s">
        <v>300</v>
      </c>
      <c r="H112">
        <v>16</v>
      </c>
      <c r="I112" s="8">
        <f>+Tabla_master_rend[[#This Row],[L_Leche_ent]]+Tabla_master_rend[[#This Row],[L_desn_ext]]+Tabla_master_rend[[#This Row],[L_cabra]]+Tabla_master_rend[[#This Row],[L_oveja]]</f>
        <v>189285</v>
      </c>
      <c r="J112" s="8">
        <f>189285-22590</f>
        <v>166695</v>
      </c>
      <c r="K112" s="5">
        <v>3.1E-2</v>
      </c>
      <c r="L112" s="5">
        <v>4.2000000000000003E-2</v>
      </c>
      <c r="M112" s="5">
        <f t="shared" si="31"/>
        <v>0.10791000000000001</v>
      </c>
      <c r="N112" s="35" t="s">
        <v>188</v>
      </c>
      <c r="O112" s="8">
        <v>22590</v>
      </c>
      <c r="P112" s="8">
        <v>0</v>
      </c>
      <c r="Q112" s="8">
        <v>0</v>
      </c>
      <c r="R112" s="8">
        <v>0</v>
      </c>
      <c r="T112" s="8">
        <v>241300</v>
      </c>
      <c r="U112" s="38">
        <f>+Tabla_master_rend[[#This Row],[L_suero Total]]/Tabla_master_rend[[#This Row],[Litros_Leche_Total]]</f>
        <v>1.2747972633858995</v>
      </c>
      <c r="V112" s="5">
        <v>2.0999999999999999E-3</v>
      </c>
      <c r="W112" s="5">
        <v>7.9000000000000008E-3</v>
      </c>
      <c r="X112" s="8">
        <f>222648-69000</f>
        <v>153648</v>
      </c>
      <c r="Y112" s="57">
        <f>88113/(241300+69000)*241300</f>
        <v>68519.712858523999</v>
      </c>
      <c r="Z112" s="58">
        <f>IF(Tabla_master_rend[[#This Row],[L_suero para con]]=0,0,+Tabla_master_rend[[#This Row],[L_suero para con]]/Tabla_master_rend[[#This Row],[L_suero_con]])</f>
        <v>2.2423911833554313</v>
      </c>
      <c r="AA112" s="8">
        <f>+Tabla_master_rend[[#This Row],[L_suero Total]]-Tabla_master_rend[[#This Row],[L_suero para con]]</f>
        <v>87652</v>
      </c>
      <c r="AD112" s="8"/>
      <c r="AE112" s="8"/>
      <c r="AF112" s="8"/>
      <c r="AG112" s="5"/>
      <c r="AI112" s="7">
        <f>+Tabla_master_rend[[#This Row],[Kg_Finos]]+Tabla_master_rend[[#This Row],[Kg_Llenadora]]+Tabla_master_rend[[#This Row],[Kg_Desmoldeo]]+Tabla_master_rend[[#This Row],[L_Agua]]+Tabla_master_rend[[#This Row],[Kg_SalidaSecadero]]</f>
        <v>26706.489339688178</v>
      </c>
      <c r="AJ112" s="59">
        <f>+Tabla_master_rend[[#This Row],[Litros_Leche_Total]]/Tabla_master_rend[[#This Row],[Kg_Queso_Blan]]</f>
        <v>7.0876032260333801</v>
      </c>
      <c r="AK112" s="59">
        <f>+Tabla_master_rend[[#This Row],[Litros_Leche_Total]]/(Tabla_master_rend[[#This Row],[Kg_Queso_Blan]]-Tabla_master_rend[[#This Row],[Merma_TOT]])</f>
        <v>7.2731653110533214</v>
      </c>
      <c r="AL112" s="59">
        <f>VLOOKUP(G112,REND_TARGET[#All],8,FALSE)</f>
        <v>7.7024999999999997</v>
      </c>
      <c r="AM112" s="7">
        <f>(I112*1.03*Tabla_master_rend[[#This Row],[%MG_Leche]])+(I112*1.03*Tabla_master_rend[[#This Row],[%MP_Leche]])</f>
        <v>14232.339150000002</v>
      </c>
      <c r="AN112" s="38">
        <v>0.2266</v>
      </c>
      <c r="AO112" s="38">
        <v>0.25019999999999998</v>
      </c>
      <c r="AP112" s="60">
        <v>0.53590000000000004</v>
      </c>
      <c r="AQ112" s="38">
        <f>+Tabla_master_rend[[#This Row],[Kg_Queso_Blan]]*Tabla_master_rend[[#This Row],[ES_QUESO]]/(Tabla_master_rend[[#This Row],[Kg_Solidos_leche]])</f>
        <v>1.0055977085916263</v>
      </c>
      <c r="AR112" s="7">
        <f t="shared" si="32"/>
        <v>0</v>
      </c>
      <c r="AS112" s="61">
        <f>+(Tabla_master_rend[[#This Row],[Kg_Queso_Blan]]*Tabla_master_rend[[#This Row],[%MG_QUESO]]+(Tabla_master_rend[[#This Row],[Kg_MG_Nata]]))/(Tabla_master_rend[[#This Row],[Litros_Leche_Total]]*1.03*Tabla_master_rend[[#This Row],[%MG_Leche]])</f>
        <v>1.0012939448248628</v>
      </c>
      <c r="AT112" s="62">
        <f>+Tabla_master_rend[[#This Row],[Kg_Queso_Blan]]*Tabla_master_rend[[#This Row],[%PT_QUESO]]/(Tabla_master_rend[[#This Row],[Litros_Leche_Total]]*1.03*Tabla_master_rend[[#This Row],[%MP_Leche]])</f>
        <v>0.81602110860868737</v>
      </c>
      <c r="AU112" s="63">
        <f t="shared" si="33"/>
        <v>0</v>
      </c>
      <c r="AV112" s="7">
        <v>49.789339688179759</v>
      </c>
      <c r="AW112" s="7">
        <v>135.30000000000001</v>
      </c>
      <c r="AX112" s="7">
        <v>7.4</v>
      </c>
      <c r="AY112" s="8">
        <f>SUM(Tabla_master_rend[[#This Row],[Kg_Finos]:[Kg_Desmoldeo]])</f>
        <v>192.48933968817977</v>
      </c>
      <c r="AZ112" s="60">
        <f>+(Tabla_master_rend[[#This Row],[Kg_Finos]]+Tabla_master_rend[[#This Row],[Kg_Llenadora]]+Tabla_master_rend[[#This Row],[Kg_Desmoldeo]])/(Tabla_master_rend[[#This Row],[Kg_Queso_Blan]])</f>
        <v>7.2075867868609663E-3</v>
      </c>
      <c r="BA112" s="7">
        <v>280</v>
      </c>
      <c r="BB112" s="60">
        <f>+Tabla_master_rend[[#This Row],[L_Agua]]/(Tabla_master_rend[[#This Row],[L_Agua]]+Tabla_master_rend[[#This Row],[Kg_SalidaSecadero]])</f>
        <v>1.0560458625631741E-2</v>
      </c>
      <c r="BC112" s="8">
        <v>3691</v>
      </c>
      <c r="BD112" s="8">
        <v>3634</v>
      </c>
      <c r="BE112" s="8">
        <v>26143</v>
      </c>
      <c r="BF112" s="8">
        <f>3*6.6</f>
        <v>19.799999999999997</v>
      </c>
      <c r="BG112" s="8">
        <f>33*6.6</f>
        <v>217.79999999999998</v>
      </c>
      <c r="BH112" s="7">
        <v>0</v>
      </c>
      <c r="BI112" s="7">
        <f>10*6.6</f>
        <v>66</v>
      </c>
      <c r="BJ112" s="8">
        <v>87</v>
      </c>
      <c r="BK112" s="8">
        <v>26234</v>
      </c>
      <c r="BL112" s="8">
        <v>0</v>
      </c>
      <c r="BM112" s="8">
        <v>193.57</v>
      </c>
      <c r="BN112" s="7">
        <v>15.31</v>
      </c>
      <c r="BO112" s="68">
        <f>+SUM(Tabla_master_rend[[#This Row],[B_altas]:[B_lab]])/Tabla_master_rend[[#This Row],[Kg_SalidaSecadero]]</f>
        <v>1.4889075245864145E-2</v>
      </c>
      <c r="BP112" s="68">
        <f>+(Tabla_master_rend[[#This Row],[Kg_mer_env_real]]+Tabla_master_rend[[#This Row],[kg_mer_lab_real]])/Tabla_master_rend[[#This Row],[Kg_SalidaSecadero]]</f>
        <v>7.9621864755660583E-3</v>
      </c>
      <c r="BQ112" s="64">
        <f>+Tabla_master_rend[[#This Row],[Merma_TOT]]/Tabla_master_rend[[#This Row],[Kg_Queso_Blan]]</f>
        <v>2.5513250020308933E-2</v>
      </c>
      <c r="BR112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681.36933968817971</v>
      </c>
      <c r="BS112" s="8">
        <v>26216.332072165795</v>
      </c>
      <c r="BT112" s="63">
        <f>IF(+Tabla_master_rend[[#This Row],[Kg_Env_Total]]=0,0,Tabla_master_rend[[#This Row],[Kg_Env_Total]]-Tabla_master_rend[[#This Row],[Kg_SalidaSecadero]])</f>
        <v>-17.667927834205329</v>
      </c>
      <c r="BU112" s="60">
        <f>+Tabla_master_rend[[#This Row],[Diferencia_Env_vs_Sec_kg]]/Tabla_master_rend[[#This Row],[Kg_SalidaSecadero]]</f>
        <v>-6.7347441618530646E-4</v>
      </c>
      <c r="BV112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12" s="65">
        <f>+(Tabla_master_rend[[#This Row],[Coste_Leche_€]]-Tabla_master_rend[[#This Row],[Kg_MG_Nata]]*$CO$3)/Tabla_master_rend[[#This Row],[Kg_Queso_Blan]]</f>
        <v>0</v>
      </c>
      <c r="BX112" s="8">
        <f>SUM(Tabla_master_rend[[#This Row],[Kg_Finos]:[Kg_Desmoldeo]])+Tabla_master_rend[[#This Row],[L_Agua]]+SUM(Tabla_master_rend[[#This Row],[B_altas]:[B_lab]])</f>
        <v>863.08933968817973</v>
      </c>
      <c r="BY112" s="8">
        <f>+BX112-Tabla_master_rend[[#This Row],[Merma_TOT]]</f>
        <v>181.72000000000003</v>
      </c>
      <c r="BZ112" s="62">
        <f t="shared" si="34"/>
        <v>0.210545990598902</v>
      </c>
      <c r="CA112" s="8">
        <f>+Tabla_master_rend[[#This Row],[Kg_Queso_Blan]]*$CA$1</f>
        <v>173.59218070797314</v>
      </c>
      <c r="CB112" s="8">
        <f>+Tabla_master_rend[[#This Row],[Kg_Queso_Blan]]*($CB$1-$CA$1)</f>
        <v>93.472712688908643</v>
      </c>
      <c r="CC112" s="8">
        <f>+(Tabla_master_rend[[#This Row],[Kg_Queso_Blan]]-CA112-CB112)*$CC$1</f>
        <v>277.61395668605866</v>
      </c>
      <c r="CD112" s="8">
        <f t="shared" si="35"/>
        <v>544.67885008294047</v>
      </c>
      <c r="CE112" s="80">
        <f>+CD112/Tabla_master_rend[[#This Row],[Kg_Queso_Blan]]</f>
        <v>2.0395000000000003E-2</v>
      </c>
      <c r="CF112" s="62">
        <f>+Tabla_master_rend[[#This Row],[Merma_TOT]]/Tabla_master_rend[[#This Row],[Kg_Queso_Blan]]</f>
        <v>2.5513250020308933E-2</v>
      </c>
      <c r="CG112" s="8">
        <f>CD112-Tabla_master_rend[[#This Row],[Merma_TOT]]</f>
        <v>-136.69048960523924</v>
      </c>
      <c r="CH112" s="81" cm="1">
        <f t="array" ref="CH112">-BR112 * IFERROR(INDEX('Precio Leche_EBITDA_Ventas'!$BD$87:$BD$110,MATCH(1,('Precio Leche_EBITDA_Ventas'!$AZ$87:$AZ$110=YEAR(A112))*('Precio Leche_EBITDA_Ventas'!$BB$87:$BB$110=C112),0)),1.3)</f>
        <v>-2459.7433162743287</v>
      </c>
      <c r="CI112" s="81">
        <f t="shared" si="36"/>
        <v>-177.69763648681101</v>
      </c>
    </row>
    <row r="113" spans="1:87" x14ac:dyDescent="0.35">
      <c r="A113" s="9">
        <v>45895</v>
      </c>
      <c r="B113" s="7">
        <v>8</v>
      </c>
      <c r="C113" s="7" t="str">
        <f>+UPPER(TEXT(Tabla_master_rend[[#This Row],[Fecha]],"MMM"))</f>
        <v>AGO</v>
      </c>
      <c r="D113" s="7" t="str">
        <f>+UPPER(TEXT(Tabla_master_rend[[#This Row],[Fecha]],"ddd"))</f>
        <v>MA</v>
      </c>
      <c r="E113" s="3">
        <v>260825326</v>
      </c>
      <c r="F113" s="3" t="s">
        <v>244</v>
      </c>
      <c r="G113" s="84" t="s">
        <v>302</v>
      </c>
      <c r="H113">
        <v>6</v>
      </c>
      <c r="I113" s="8">
        <f>+Tabla_master_rend[[#This Row],[L_Leche_ent]]+Tabla_master_rend[[#This Row],[L_desn_ext]]+Tabla_master_rend[[#This Row],[L_cabra]]+Tabla_master_rend[[#This Row],[L_oveja]]</f>
        <v>74136</v>
      </c>
      <c r="J113" s="8">
        <f>74136-358</f>
        <v>73778</v>
      </c>
      <c r="K113" s="5">
        <v>3.9599999999999996E-2</v>
      </c>
      <c r="L113" s="5">
        <v>0.04</v>
      </c>
      <c r="M113" s="5">
        <f t="shared" si="31"/>
        <v>0.114428</v>
      </c>
      <c r="N113" s="35" t="s">
        <v>188</v>
      </c>
      <c r="O113" s="8">
        <v>358</v>
      </c>
      <c r="P113" s="8">
        <v>0</v>
      </c>
      <c r="Q113" s="8">
        <v>0</v>
      </c>
      <c r="R113" s="8">
        <v>0</v>
      </c>
      <c r="T113" s="8">
        <v>69000</v>
      </c>
      <c r="U113" s="38">
        <f>+Tabla_master_rend[[#This Row],[L_suero Total]]/Tabla_master_rend[[#This Row],[Litros_Leche_Total]]</f>
        <v>0.93072191647782454</v>
      </c>
      <c r="V113" s="5">
        <v>2.0999999999999999E-3</v>
      </c>
      <c r="W113" s="5">
        <v>7.9000000000000008E-3</v>
      </c>
      <c r="X113" s="8">
        <v>69000</v>
      </c>
      <c r="Y113" s="57">
        <f>88113/(241300+69000)*69000</f>
        <v>19593.28714147599</v>
      </c>
      <c r="Z113" s="58">
        <f>IF(Tabla_master_rend[[#This Row],[L_suero para con]]=0,0,+Tabla_master_rend[[#This Row],[L_suero para con]]/Tabla_master_rend[[#This Row],[L_suero_con]])</f>
        <v>3.5216142907402994</v>
      </c>
      <c r="AA113" s="8">
        <f>+Tabla_master_rend[[#This Row],[L_suero Total]]-Tabla_master_rend[[#This Row],[L_suero para con]]</f>
        <v>0</v>
      </c>
      <c r="AD113" s="8"/>
      <c r="AE113" s="8"/>
      <c r="AF113" s="8"/>
      <c r="AG113" s="5"/>
      <c r="AI113" s="7">
        <f>+Tabla_master_rend[[#This Row],[Kg_Finos]]+Tabla_master_rend[[#This Row],[Kg_Llenadora]]+Tabla_master_rend[[#This Row],[Kg_Desmoldeo]]+Tabla_master_rend[[#This Row],[L_Agua]]+Tabla_master_rend[[#This Row],[Kg_SalidaSecadero]]</f>
        <v>10441.700660311821</v>
      </c>
      <c r="AJ113" s="59">
        <f>+Tabla_master_rend[[#This Row],[Litros_Leche_Total]]/Tabla_master_rend[[#This Row],[Kg_Queso_Blan]]</f>
        <v>7.0999928471217135</v>
      </c>
      <c r="AK113" s="59">
        <f>+Tabla_master_rend[[#This Row],[Litros_Leche_Total]]/(Tabla_master_rend[[#This Row],[Kg_Queso_Blan]]-Tabla_master_rend[[#This Row],[Merma_TOT]])</f>
        <v>7.2606969822507805</v>
      </c>
      <c r="AL113" s="59">
        <f>VLOOKUP(G113,REND_TARGET[#All],8,FALSE)</f>
        <v>7.1889999999999992</v>
      </c>
      <c r="AM113" s="7">
        <f>(I113*1.03*Tabla_master_rend[[#This Row],[%MG_Leche]])+(I113*1.03*Tabla_master_rend[[#This Row],[%MP_Leche]])</f>
        <v>6078.2623679999997</v>
      </c>
      <c r="AN113" s="38">
        <v>0.28339999999999999</v>
      </c>
      <c r="AO113" s="38">
        <v>0.23420000000000002</v>
      </c>
      <c r="AP113" s="60">
        <v>0.57140000000000002</v>
      </c>
      <c r="AQ113" s="38">
        <f>+Tabla_master_rend[[#This Row],[Kg_Queso_Blan]]*Tabla_master_rend[[#This Row],[ES_QUESO]]/(Tabla_master_rend[[#This Row],[Kg_Solidos_leche]])</f>
        <v>0.98159431035968314</v>
      </c>
      <c r="AR113" s="7">
        <f t="shared" si="32"/>
        <v>0</v>
      </c>
      <c r="AS113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0.97860971782280104</v>
      </c>
      <c r="AT113" s="62">
        <f>+Tabla_master_rend[[#This Row],[Kg_Queso_Blan]]*Tabla_master_rend[[#This Row],[%PT_QUESO]]/(Tabla_master_rend[[#This Row],[Litros_Leche_Total]]*1.03*Tabla_master_rend[[#This Row],[%MP_Leche]])</f>
        <v>0.80062982341199362</v>
      </c>
      <c r="AU113" s="63">
        <f t="shared" si="33"/>
        <v>0</v>
      </c>
      <c r="AV113" s="7">
        <v>19.500660311820241</v>
      </c>
      <c r="AW113" s="7">
        <v>41</v>
      </c>
      <c r="AX113" s="7">
        <v>18.2</v>
      </c>
      <c r="AY113" s="8">
        <f>SUM(Tabla_master_rend[[#This Row],[Kg_Finos]:[Kg_Desmoldeo]])</f>
        <v>78.700660311820243</v>
      </c>
      <c r="AZ113" s="60">
        <f>+(Tabla_master_rend[[#This Row],[Kg_Finos]]+Tabla_master_rend[[#This Row],[Kg_Llenadora]]+Tabla_master_rend[[#This Row],[Kg_Desmoldeo]])/(Tabla_master_rend[[#This Row],[Kg_Queso_Blan]])</f>
        <v>7.5371496341545196E-3</v>
      </c>
      <c r="BA113" s="7">
        <v>70</v>
      </c>
      <c r="BB113" s="60">
        <f>+Tabla_master_rend[[#This Row],[L_Agua]]/(Tabla_master_rend[[#This Row],[L_Agua]]+Tabla_master_rend[[#This Row],[Kg_SalidaSecadero]])</f>
        <v>6.754800733378365E-3</v>
      </c>
      <c r="BC113" s="8">
        <v>1406</v>
      </c>
      <c r="BD113" s="8">
        <v>1389</v>
      </c>
      <c r="BE113" s="8">
        <v>10259</v>
      </c>
      <c r="BF113" s="8">
        <f>24*5.9</f>
        <v>141.60000000000002</v>
      </c>
      <c r="BG113" s="8">
        <f>10*5.9</f>
        <v>59</v>
      </c>
      <c r="BH113" s="7">
        <v>0</v>
      </c>
      <c r="BI113" s="7">
        <v>0</v>
      </c>
      <c r="BJ113" s="8">
        <v>45</v>
      </c>
      <c r="BK113" s="8">
        <v>10293</v>
      </c>
      <c r="BL113" s="8">
        <v>0</v>
      </c>
      <c r="BM113" s="8">
        <v>72.540000000000006</v>
      </c>
      <c r="BN113" s="7">
        <v>9.8699999999999992</v>
      </c>
      <c r="BO113" s="68">
        <f>+SUM(Tabla_master_rend[[#This Row],[B_altas]:[B_lab]])/Tabla_master_rend[[#This Row],[Kg_SalidaSecadero]]</f>
        <v>2.3860876323715148E-2</v>
      </c>
      <c r="BP113" s="68">
        <f>+(Tabla_master_rend[[#This Row],[Kg_mer_env_real]]+Tabla_master_rend[[#This Row],[kg_mer_lab_real]])/Tabla_master_rend[[#This Row],[Kg_SalidaSecadero]]</f>
        <v>8.006412124744974E-3</v>
      </c>
      <c r="BQ113" s="64">
        <f>+Tabla_master_rend[[#This Row],[Merma_TOT]]/Tabla_master_rend[[#This Row],[Kg_Queso_Blan]]</f>
        <v>2.2133430925697365E-2</v>
      </c>
      <c r="BR113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231.11066031182025</v>
      </c>
      <c r="BS113" s="8">
        <v>10286.067927834205</v>
      </c>
      <c r="BT113" s="63">
        <f>IF(+Tabla_master_rend[[#This Row],[Kg_Env_Total]]=0,0,Tabla_master_rend[[#This Row],[Kg_Env_Total]]-Tabla_master_rend[[#This Row],[Kg_SalidaSecadero]])</f>
        <v>-6.9320721657950344</v>
      </c>
      <c r="BU113" s="60">
        <f>+Tabla_master_rend[[#This Row],[Diferencia_Env_vs_Sec_kg]]/Tabla_master_rend[[#This Row],[Kg_SalidaSecadero]]</f>
        <v>-6.7347441618527491E-4</v>
      </c>
      <c r="BV113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13" s="65">
        <f>+(Tabla_master_rend[[#This Row],[Coste_Leche_€]]-Tabla_master_rend[[#This Row],[Kg_MG_Nata]]*$CO$3)/Tabla_master_rend[[#This Row],[Kg_Queso_Blan]]</f>
        <v>0</v>
      </c>
      <c r="BX113" s="8">
        <f>SUM(Tabla_master_rend[[#This Row],[Kg_Finos]:[Kg_Desmoldeo]])+Tabla_master_rend[[#This Row],[L_Agua]]+SUM(Tabla_master_rend[[#This Row],[B_altas]:[B_lab]])</f>
        <v>394.30066031182025</v>
      </c>
      <c r="BY113" s="8">
        <f>+BX113-Tabla_master_rend[[#This Row],[Merma_TOT]]</f>
        <v>163.19</v>
      </c>
      <c r="BZ113" s="62">
        <f t="shared" si="34"/>
        <v>0.41387199268432961</v>
      </c>
      <c r="CA113" s="8">
        <f>+Tabla_master_rend[[#This Row],[Kg_Queso_Blan]]*$CA$1</f>
        <v>67.871054292026827</v>
      </c>
      <c r="CB113" s="8">
        <f>+Tabla_master_rend[[#This Row],[Kg_Queso_Blan]]*($CB$1-$CA$1)</f>
        <v>36.545952311091376</v>
      </c>
      <c r="CC113" s="8">
        <f>+(Tabla_master_rend[[#This Row],[Kg_Queso_Blan]]-CA113-CB113)*$CC$1</f>
        <v>108.54147836394138</v>
      </c>
      <c r="CD113" s="8">
        <f t="shared" si="35"/>
        <v>212.95848496705958</v>
      </c>
      <c r="CE113" s="80">
        <f>+CD113/Tabla_master_rend[[#This Row],[Kg_Queso_Blan]]</f>
        <v>2.0395E-2</v>
      </c>
      <c r="CF113" s="62">
        <f>+Tabla_master_rend[[#This Row],[Merma_TOT]]/Tabla_master_rend[[#This Row],[Kg_Queso_Blan]]</f>
        <v>2.2133430925697365E-2</v>
      </c>
      <c r="CG113" s="8">
        <f>CD113-Tabla_master_rend[[#This Row],[Merma_TOT]]</f>
        <v>-18.152175344760678</v>
      </c>
      <c r="CH113" s="81" cm="1">
        <f t="array" ref="CH113">-BR113 * IFERROR(INDEX('Precio Leche_EBITDA_Ventas'!$BD$87:$BD$110,MATCH(1,('Precio Leche_EBITDA_Ventas'!$AZ$87:$AZ$110=YEAR(A113))*('Precio Leche_EBITDA_Ventas'!$BB$87:$BB$110=C113),0)),1.3)</f>
        <v>-834.30948372567104</v>
      </c>
      <c r="CI113" s="81">
        <f t="shared" si="36"/>
        <v>-23.597827948188883</v>
      </c>
    </row>
    <row r="114" spans="1:87" x14ac:dyDescent="0.35">
      <c r="A114" s="9">
        <v>45897</v>
      </c>
      <c r="B114" s="7">
        <v>8</v>
      </c>
      <c r="C114" s="7" t="str">
        <f>+UPPER(TEXT(Tabla_master_rend[[#This Row],[Fecha]],"MMM"))</f>
        <v>AGO</v>
      </c>
      <c r="D114" s="7" t="str">
        <f>+UPPER(TEXT(Tabla_master_rend[[#This Row],[Fecha]],"ddd"))</f>
        <v>JU</v>
      </c>
      <c r="E114" s="3">
        <v>280825316</v>
      </c>
      <c r="F114" s="3" t="s">
        <v>244</v>
      </c>
      <c r="G114" s="84" t="s">
        <v>299</v>
      </c>
      <c r="H114">
        <v>20</v>
      </c>
      <c r="I114" s="8">
        <f>+Tabla_master_rend[[#This Row],[L_Leche_ent]]+Tabla_master_rend[[#This Row],[L_desn_ext]]+Tabla_master_rend[[#This Row],[L_cabra]]+Tabla_master_rend[[#This Row],[L_oveja]]</f>
        <v>313603</v>
      </c>
      <c r="J114" s="8">
        <f>313603-93321</f>
        <v>220282</v>
      </c>
      <c r="K114" s="5">
        <v>2.9900000000000003E-2</v>
      </c>
      <c r="L114" s="5">
        <v>3.2899999999999999E-2</v>
      </c>
      <c r="M114" s="5">
        <f t="shared" si="31"/>
        <v>0.10015300000000001</v>
      </c>
      <c r="N114" s="35" t="s">
        <v>188</v>
      </c>
      <c r="O114" s="8">
        <v>93321</v>
      </c>
      <c r="P114" s="8">
        <v>0</v>
      </c>
      <c r="Q114" s="8">
        <v>0</v>
      </c>
      <c r="R114" s="8">
        <v>2183</v>
      </c>
      <c r="T114" s="8">
        <v>277310</v>
      </c>
      <c r="U114" s="38">
        <f>+Tabla_master_rend[[#This Row],[L_suero Total]]/Tabla_master_rend[[#This Row],[Litros_Leche_Total]]</f>
        <v>0.88427087751073807</v>
      </c>
      <c r="V114" s="5">
        <v>1.4000000000000002E-3</v>
      </c>
      <c r="W114" s="5">
        <v>8.5000000000000006E-3</v>
      </c>
      <c r="X114" s="8">
        <v>228578</v>
      </c>
      <c r="Y114" s="57">
        <v>95150</v>
      </c>
      <c r="Z114" s="58">
        <f>IF(Tabla_master_rend[[#This Row],[L_suero para con]]=0,0,+Tabla_master_rend[[#This Row],[L_suero para con]]/Tabla_master_rend[[#This Row],[L_suero_con]])</f>
        <v>2.4022911192853389</v>
      </c>
      <c r="AA114" s="8">
        <f>+Tabla_master_rend[[#This Row],[L_suero Total]]-Tabla_master_rend[[#This Row],[L_suero para con]]</f>
        <v>48732</v>
      </c>
      <c r="AD114" s="8"/>
      <c r="AE114" s="8"/>
      <c r="AF114" s="8"/>
      <c r="AG114" s="5"/>
      <c r="AI114" s="7">
        <f>+Tabla_master_rend[[#This Row],[Kg_Finos]]+Tabla_master_rend[[#This Row],[Kg_Llenadora]]+Tabla_master_rend[[#This Row],[Kg_Desmoldeo]]+Tabla_master_rend[[#This Row],[L_Agua]]+Tabla_master_rend[[#This Row],[Kg_SalidaSecadero]]</f>
        <v>33636</v>
      </c>
      <c r="AJ114" s="59">
        <f>+Tabla_master_rend[[#This Row],[Litros_Leche_Total]]/Tabla_master_rend[[#This Row],[Kg_Queso_Blan]]</f>
        <v>9.3234332263051485</v>
      </c>
      <c r="AK114" s="59">
        <f>+Tabla_master_rend[[#This Row],[Litros_Leche_Total]]/(Tabla_master_rend[[#This Row],[Kg_Queso_Blan]]-Tabla_master_rend[[#This Row],[Merma_TOT]])</f>
        <v>9.4700277696244513</v>
      </c>
      <c r="AL114" s="59">
        <f>VLOOKUP(G114,REND_TARGET[#All],8,FALSE)</f>
        <v>9.8078500000000002</v>
      </c>
      <c r="AM114" s="7">
        <f>(I114*1.03*Tabla_master_rend[[#This Row],[%MG_Leche]])+(I114*1.03*Tabla_master_rend[[#This Row],[%MP_Leche]])</f>
        <v>20285.096452000002</v>
      </c>
      <c r="AN114" s="38">
        <v>0.22140000000000001</v>
      </c>
      <c r="AO114" s="38">
        <v>0.2452</v>
      </c>
      <c r="AP114" s="60">
        <v>0.52680000000000005</v>
      </c>
      <c r="AQ114" s="38">
        <f>+Tabla_master_rend[[#This Row],[Kg_Queso_Blan]]*Tabla_master_rend[[#This Row],[ES_QUESO]]/(Tabla_master_rend[[#This Row],[Kg_Solidos_leche]])</f>
        <v>0.87352036219936036</v>
      </c>
      <c r="AR114" s="7">
        <f t="shared" si="32"/>
        <v>873.2</v>
      </c>
      <c r="AS114" s="61">
        <f>+(Tabla_master_rend[[#This Row],[Kg_Queso_Blan]]*Tabla_master_rend[[#This Row],[%MG_QUESO]]+(Tabla_master_rend[[#This Row],[Kg_MG_Nata]]))/(Tabla_master_rend[[#This Row],[Litros_Leche_Total]]*1.03*Tabla_master_rend[[#This Row],[%MG_Leche]])</f>
        <v>0.86148096758694892</v>
      </c>
      <c r="AT114" s="62">
        <f>+Tabla_master_rend[[#This Row],[Kg_Queso_Blan]]*Tabla_master_rend[[#This Row],[%PT_QUESO]]/(Tabla_master_rend[[#This Row],[Litros_Leche_Total]]*1.03*Tabla_master_rend[[#This Row],[%MP_Leche]])</f>
        <v>0.77608891146110037</v>
      </c>
      <c r="AU114" s="63">
        <f t="shared" si="33"/>
        <v>6549</v>
      </c>
      <c r="AV114" s="7">
        <v>69.5</v>
      </c>
      <c r="AW114" s="7">
        <v>65.5</v>
      </c>
      <c r="AX114" s="7">
        <v>15</v>
      </c>
      <c r="AY114" s="8">
        <f>SUM(Tabla_master_rend[[#This Row],[Kg_Finos]:[Kg_Desmoldeo]])</f>
        <v>150</v>
      </c>
      <c r="AZ114" s="60">
        <f>+(Tabla_master_rend[[#This Row],[Kg_Finos]]+Tabla_master_rend[[#This Row],[Kg_Llenadora]]+Tabla_master_rend[[#This Row],[Kg_Desmoldeo]])/(Tabla_master_rend[[#This Row],[Kg_Queso_Blan]])</f>
        <v>4.4595076703531928E-3</v>
      </c>
      <c r="BA114" s="7">
        <v>255</v>
      </c>
      <c r="BB114" s="60">
        <f>+Tabla_master_rend[[#This Row],[L_Agua]]/(Tabla_master_rend[[#This Row],[L_Agua]]+Tabla_master_rend[[#This Row],[Kg_SalidaSecadero]])</f>
        <v>7.6151227378605984E-3</v>
      </c>
      <c r="BC114" s="8">
        <v>4708</v>
      </c>
      <c r="BD114" s="8">
        <v>4635</v>
      </c>
      <c r="BE114" s="8">
        <v>33019</v>
      </c>
      <c r="BF114" s="8">
        <f>8*6.4</f>
        <v>51.2</v>
      </c>
      <c r="BG114" s="8">
        <f>41*6.4</f>
        <v>262.40000000000003</v>
      </c>
      <c r="BH114" s="7"/>
      <c r="BI114" s="7">
        <f>11*6.4</f>
        <v>70.400000000000006</v>
      </c>
      <c r="BJ114" s="8">
        <v>106</v>
      </c>
      <c r="BK114" s="8">
        <v>33231</v>
      </c>
      <c r="BL114" s="8">
        <v>0</v>
      </c>
      <c r="BM114" s="8">
        <v>113.85</v>
      </c>
      <c r="BN114" s="7">
        <v>1.83</v>
      </c>
      <c r="BO114" s="68">
        <f>+SUM(Tabla_master_rend[[#This Row],[B_altas]:[B_lab]])/Tabla_master_rend[[#This Row],[Kg_SalidaSecadero]]</f>
        <v>1.4745267972676116E-2</v>
      </c>
      <c r="BP114" s="68">
        <f>+(Tabla_master_rend[[#This Row],[Kg_mer_env_real]]+Tabla_master_rend[[#This Row],[kg_mer_lab_real]])/Tabla_master_rend[[#This Row],[Kg_SalidaSecadero]]</f>
        <v>3.4810869368962715E-3</v>
      </c>
      <c r="BQ114" s="64">
        <f>+Tabla_master_rend[[#This Row],[Merma_TOT]]/Tabla_master_rend[[#This Row],[Kg_Queso_Blan]]</f>
        <v>1.5479843025330006E-2</v>
      </c>
      <c r="BR114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520.68000000000006</v>
      </c>
      <c r="BS114" s="8">
        <v>33274.049999999996</v>
      </c>
      <c r="BT114" s="63">
        <f>IF(+Tabla_master_rend[[#This Row],[Kg_Env_Total]]=0,0,Tabla_master_rend[[#This Row],[Kg_Env_Total]]-Tabla_master_rend[[#This Row],[Kg_SalidaSecadero]])</f>
        <v>43.049999999995634</v>
      </c>
      <c r="BU114" s="60">
        <f>+Tabla_master_rend[[#This Row],[Diferencia_Env_vs_Sec_kg]]/Tabla_master_rend[[#This Row],[Kg_SalidaSecadero]]</f>
        <v>1.2954771147421274E-3</v>
      </c>
      <c r="BV114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14" s="65">
        <f>+(Tabla_master_rend[[#This Row],[Coste_Leche_€]]-Tabla_master_rend[[#This Row],[Kg_MG_Nata]]*$CO$3)/Tabla_master_rend[[#This Row],[Kg_Queso_Blan]]</f>
        <v>-0.19470210488762041</v>
      </c>
      <c r="BX114" s="8">
        <f>SUM(Tabla_master_rend[[#This Row],[Kg_Finos]:[Kg_Desmoldeo]])+Tabla_master_rend[[#This Row],[L_Agua]]+SUM(Tabla_master_rend[[#This Row],[B_altas]:[B_lab]])</f>
        <v>895</v>
      </c>
      <c r="BY114" s="8">
        <f>+BX114-Tabla_master_rend[[#This Row],[Merma_TOT]]</f>
        <v>374.31999999999994</v>
      </c>
      <c r="BZ114" s="62">
        <f t="shared" si="34"/>
        <v>0.4182346368715083</v>
      </c>
      <c r="CA114" s="8">
        <f>+Tabla_master_rend[[#This Row],[Kg_Queso_Blan]]*$CA$1</f>
        <v>218.63399999999999</v>
      </c>
      <c r="CB114" s="8">
        <f>+Tabla_master_rend[[#This Row],[Kg_Queso_Blan]]*($CB$1-$CA$1)</f>
        <v>117.72600000000001</v>
      </c>
      <c r="CC114" s="8">
        <f>+(Tabla_master_rend[[#This Row],[Kg_Queso_Blan]]-CA114-CB114)*$CC$1</f>
        <v>349.64622000000003</v>
      </c>
      <c r="CD114" s="8">
        <f t="shared" si="35"/>
        <v>686.00621999999998</v>
      </c>
      <c r="CE114" s="80">
        <f>+CD114/Tabla_master_rend[[#This Row],[Kg_Queso_Blan]]</f>
        <v>2.0395E-2</v>
      </c>
      <c r="CF114" s="62">
        <f>+Tabla_master_rend[[#This Row],[Merma_TOT]]/Tabla_master_rend[[#This Row],[Kg_Queso_Blan]]</f>
        <v>1.5479843025330006E-2</v>
      </c>
      <c r="CG114" s="8">
        <f>CD114-Tabla_master_rend[[#This Row],[Merma_TOT]]</f>
        <v>165.32621999999992</v>
      </c>
      <c r="CH114" s="81" cm="1">
        <f t="array" ref="CH114">-BR114 * IFERROR(INDEX('Precio Leche_EBITDA_Ventas'!$BD$87:$BD$110,MATCH(1,('Precio Leche_EBITDA_Ventas'!$AZ$87:$AZ$110=YEAR(A114))*('Precio Leche_EBITDA_Ventas'!$BB$87:$BB$110=C114),0)),1.3)</f>
        <v>-1879.6548000000003</v>
      </c>
      <c r="CI114" s="81">
        <f t="shared" si="36"/>
        <v>214.9240859999999</v>
      </c>
    </row>
    <row r="115" spans="1:87" x14ac:dyDescent="0.35">
      <c r="A115" s="9">
        <v>45902</v>
      </c>
      <c r="B115" s="7">
        <v>9</v>
      </c>
      <c r="C115" s="7" t="str">
        <f>+UPPER(TEXT(Tabla_master_rend[[#This Row],[Fecha]],"MMM"))</f>
        <v>SEP</v>
      </c>
      <c r="D115" s="7" t="str">
        <f>+UPPER(TEXT(Tabla_master_rend[[#This Row],[Fecha]],"ddd"))</f>
        <v>MA</v>
      </c>
      <c r="E115" s="3" t="s">
        <v>495</v>
      </c>
      <c r="F115" s="3" t="s">
        <v>244</v>
      </c>
      <c r="G115" s="84" t="s">
        <v>194</v>
      </c>
      <c r="H115">
        <v>1</v>
      </c>
      <c r="I115" s="8">
        <f>+Tabla_master_rend[[#This Row],[L_Leche_ent]]+Tabla_master_rend[[#This Row],[L_desn_ext]]+Tabla_master_rend[[#This Row],[L_cabra]]+Tabla_master_rend[[#This Row],[L_oveja]]</f>
        <v>14110</v>
      </c>
      <c r="J115" s="8">
        <f>14110-6550</f>
        <v>7560</v>
      </c>
      <c r="K115" s="5">
        <v>2.2599999999999999E-2</v>
      </c>
      <c r="L115" s="5">
        <v>3.27E-2</v>
      </c>
      <c r="M115" s="5">
        <f t="shared" si="31"/>
        <v>9.3215999999999993E-2</v>
      </c>
      <c r="N115" s="35" t="s">
        <v>188</v>
      </c>
      <c r="O115" s="8">
        <v>6550</v>
      </c>
      <c r="P115" s="8">
        <v>0</v>
      </c>
      <c r="Q115" s="8">
        <v>0</v>
      </c>
      <c r="R115" s="8">
        <v>0</v>
      </c>
      <c r="T115" s="8">
        <v>12257.852887775798</v>
      </c>
      <c r="U115" s="38">
        <f>+Tabla_master_rend[[#This Row],[L_suero Total]]/Tabla_master_rend[[#This Row],[Litros_Leche_Total]]</f>
        <v>0.86873514442068023</v>
      </c>
      <c r="V115" s="5">
        <v>2.8000000000000004E-3</v>
      </c>
      <c r="W115" s="5">
        <v>9.7000000000000003E-3</v>
      </c>
      <c r="X115" s="8">
        <f>125766/(12258+192052)*12258</f>
        <v>7545.5906612500612</v>
      </c>
      <c r="Y115" s="57">
        <f>49809/(12258+192052)*12258</f>
        <v>2988.3937252214773</v>
      </c>
      <c r="Z115" s="58">
        <f>IF(Tabla_master_rend[[#This Row],[L_suero para con]]=0,0,+Tabla_master_rend[[#This Row],[L_suero para con]]/Tabla_master_rend[[#This Row],[L_suero_con]])</f>
        <v>2.5249653677046315</v>
      </c>
      <c r="AA115" s="8">
        <f>+Tabla_master_rend[[#This Row],[L_suero Total]]-Tabla_master_rend[[#This Row],[L_suero para con]]</f>
        <v>4712.2622265257369</v>
      </c>
      <c r="AD115" s="8"/>
      <c r="AE115" s="8"/>
      <c r="AF115" s="8"/>
      <c r="AG115" s="5"/>
      <c r="AI115" s="7">
        <f>+Tabla_master_rend[[#This Row],[Kg_Finos]]+Tabla_master_rend[[#This Row],[Kg_Llenadora]]+Tabla_master_rend[[#This Row],[Kg_Desmoldeo]]+Tabla_master_rend[[#This Row],[L_Agua]]+Tabla_master_rend[[#This Row],[Kg_SalidaSecadero]]</f>
        <v>1385.6618255726441</v>
      </c>
      <c r="AJ115" s="59">
        <f>+Tabla_master_rend[[#This Row],[Litros_Leche_Total]]/Tabla_master_rend[[#This Row],[Kg_Queso_Blan]]</f>
        <v>10.182859727819119</v>
      </c>
      <c r="AK115" s="59">
        <f>+Tabla_master_rend[[#This Row],[Litros_Leche_Total]]/(Tabla_master_rend[[#This Row],[Kg_Queso_Blan]]-Tabla_master_rend[[#This Row],[Merma_TOT]])</f>
        <v>10.878196578494938</v>
      </c>
      <c r="AL115" s="59">
        <f>VLOOKUP(G115,REND_TARGET[#All],8,FALSE)</f>
        <v>10.141624999999999</v>
      </c>
      <c r="AM115" s="7">
        <f>(I115*1.03*Tabla_master_rend[[#This Row],[%MG_Leche]])+(I115*1.03*Tabla_master_rend[[#This Row],[%MP_Leche]])</f>
        <v>803.69149000000004</v>
      </c>
      <c r="AN115" s="38">
        <v>0.23749999999999999</v>
      </c>
      <c r="AO115" s="38">
        <v>0.27629999999999999</v>
      </c>
      <c r="AP115" s="60">
        <v>0.55679999999999996</v>
      </c>
      <c r="AQ115" s="38">
        <f>+Tabla_master_rend[[#This Row],[Kg_Queso_Blan]]*Tabla_master_rend[[#This Row],[ES_QUESO]]/(Tabla_master_rend[[#This Row],[Kg_Solidos_leche]])</f>
        <v>0.95999088466004312</v>
      </c>
      <c r="AR115" s="7">
        <f t="shared" si="32"/>
        <v>0</v>
      </c>
      <c r="AS115" s="61">
        <f>+(Tabla_master_rend[[#This Row],[Kg_Queso_Blan]]*Tabla_master_rend[[#This Row],[%MG_QUESO]]+(Tabla_master_rend[[#This Row],[Kg_MG_Nata]]))/(Tabla_master_rend[[#This Row],[Litros_Leche_Total]]*1.03*Tabla_master_rend[[#This Row],[%MG_Leche]])</f>
        <v>1.0019549353928137</v>
      </c>
      <c r="AT115" s="62">
        <f>+Tabla_master_rend[[#This Row],[Kg_Queso_Blan]]*Tabla_master_rend[[#This Row],[%PT_QUESO]]/(Tabla_master_rend[[#This Row],[Litros_Leche_Total]]*1.03*Tabla_master_rend[[#This Row],[%MP_Leche]])</f>
        <v>0.80561240746411422</v>
      </c>
      <c r="AU115" s="63">
        <f t="shared" si="33"/>
        <v>0</v>
      </c>
      <c r="AV115" s="7">
        <v>2.8618255726440487</v>
      </c>
      <c r="AW115" s="7">
        <v>29.3</v>
      </c>
      <c r="AX115" s="7">
        <v>21.5</v>
      </c>
      <c r="AY115" s="8">
        <f>SUM(Tabla_master_rend[[#This Row],[Kg_Finos]:[Kg_Desmoldeo]])</f>
        <v>53.661825572644048</v>
      </c>
      <c r="AZ115" s="60">
        <f>+(Tabla_master_rend[[#This Row],[Kg_Finos]]+Tabla_master_rend[[#This Row],[Kg_Llenadora]]+Tabla_master_rend[[#This Row],[Kg_Desmoldeo]])/(Tabla_master_rend[[#This Row],[Kg_Queso_Blan]])</f>
        <v>3.8726494864984501E-2</v>
      </c>
      <c r="BA115" s="7">
        <v>5</v>
      </c>
      <c r="BB115" s="60">
        <f>+Tabla_master_rend[[#This Row],[L_Agua]]/(Tabla_master_rend[[#This Row],[L_Agua]]+Tabla_master_rend[[#This Row],[Kg_SalidaSecadero]])</f>
        <v>3.7537537537537537E-3</v>
      </c>
      <c r="BC115" s="8">
        <v>189</v>
      </c>
      <c r="BD115" s="8">
        <v>187</v>
      </c>
      <c r="BE115" s="8">
        <v>1317</v>
      </c>
      <c r="BF115" s="8">
        <v>0</v>
      </c>
      <c r="BG115" s="8">
        <v>0</v>
      </c>
      <c r="BH115" s="7">
        <v>0</v>
      </c>
      <c r="BI115" s="7">
        <v>0</v>
      </c>
      <c r="BJ115" s="8">
        <v>15</v>
      </c>
      <c r="BK115" s="8">
        <v>1327</v>
      </c>
      <c r="BL115" s="8">
        <v>0</v>
      </c>
      <c r="BM115" s="8">
        <v>29.91</v>
      </c>
      <c r="BN115" s="7">
        <v>0</v>
      </c>
      <c r="BO115" s="68">
        <f>+SUM(Tabla_master_rend[[#This Row],[B_altas]:[B_lab]])/Tabla_master_rend[[#This Row],[Kg_SalidaSecadero]]</f>
        <v>1.1303692539562924E-2</v>
      </c>
      <c r="BP115" s="68">
        <f>+(Tabla_master_rend[[#This Row],[Kg_mer_env_real]]+Tabla_master_rend[[#This Row],[kg_mer_lab_real]])/Tabla_master_rend[[#This Row],[Kg_SalidaSecadero]]</f>
        <v>2.2539562923888472E-2</v>
      </c>
      <c r="BQ115" s="64">
        <f>+Tabla_master_rend[[#This Row],[Merma_TOT]]/Tabla_master_rend[[#This Row],[Kg_Queso_Blan]]</f>
        <v>6.3920232150467521E-2</v>
      </c>
      <c r="BR115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88.571825572644045</v>
      </c>
      <c r="BS115" s="8">
        <v>1319.6</v>
      </c>
      <c r="BT115" s="63">
        <f>IF(+Tabla_master_rend[[#This Row],[Kg_Env_Total]]=0,0,Tabla_master_rend[[#This Row],[Kg_Env_Total]]-Tabla_master_rend[[#This Row],[Kg_SalidaSecadero]])</f>
        <v>-7.4000000000000909</v>
      </c>
      <c r="BU115" s="60">
        <f>+Tabla_master_rend[[#This Row],[Diferencia_Env_vs_Sec_kg]]/Tabla_master_rend[[#This Row],[Kg_SalidaSecadero]]</f>
        <v>-5.5764883195177778E-3</v>
      </c>
      <c r="BV115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15" s="65">
        <f>+(Tabla_master_rend[[#This Row],[Coste_Leche_€]]-Tabla_master_rend[[#This Row],[Kg_MG_Nata]]*$CO$3)/Tabla_master_rend[[#This Row],[Kg_Queso_Blan]]</f>
        <v>0</v>
      </c>
      <c r="BX115" s="8">
        <f>SUM(Tabla_master_rend[[#This Row],[Kg_Finos]:[Kg_Desmoldeo]])+Tabla_master_rend[[#This Row],[L_Agua]]+SUM(Tabla_master_rend[[#This Row],[B_altas]:[B_lab]])</f>
        <v>73.661825572644048</v>
      </c>
      <c r="BY115" s="8">
        <f>+BX115-Tabla_master_rend[[#This Row],[Merma_TOT]]</f>
        <v>-14.909999999999997</v>
      </c>
      <c r="BZ115" s="62">
        <f t="shared" si="34"/>
        <v>-0.20241149176103443</v>
      </c>
      <c r="CA115" s="8">
        <f>+Tabla_master_rend[[#This Row],[Kg_Queso_Blan]]*$CA$1</f>
        <v>9.0068018662221867</v>
      </c>
      <c r="CB115" s="8">
        <f>+Tabla_master_rend[[#This Row],[Kg_Queso_Blan]]*($CB$1-$CA$1)</f>
        <v>4.8498163895042552</v>
      </c>
      <c r="CC115" s="8">
        <f>+(Tabla_master_rend[[#This Row],[Kg_Queso_Blan]]-CA115-CB115)*$CC$1</f>
        <v>14.403954676827638</v>
      </c>
      <c r="CD115" s="8">
        <f t="shared" si="35"/>
        <v>28.26057293255408</v>
      </c>
      <c r="CE115" s="80">
        <f>+CD115/Tabla_master_rend[[#This Row],[Kg_Queso_Blan]]</f>
        <v>2.0395000000000003E-2</v>
      </c>
      <c r="CF115" s="62">
        <f>+Tabla_master_rend[[#This Row],[Merma_TOT]]/Tabla_master_rend[[#This Row],[Kg_Queso_Blan]]</f>
        <v>6.3920232150467521E-2</v>
      </c>
      <c r="CG115" s="8">
        <f>CD115-Tabla_master_rend[[#This Row],[Merma_TOT]]</f>
        <v>-60.311252640089961</v>
      </c>
      <c r="CH115" s="81" cm="1">
        <f t="array" ref="CH115">-BR115 * IFERROR(INDEX('Precio Leche_EBITDA_Ventas'!$BD$87:$BD$110,MATCH(1,('Precio Leche_EBITDA_Ventas'!$AZ$87:$AZ$110=YEAR(A115))*('Precio Leche_EBITDA_Ventas'!$BB$87:$BB$110=C115),0)),1.3)</f>
        <v>-321.51572682869789</v>
      </c>
      <c r="CI115" s="81">
        <f t="shared" si="36"/>
        <v>-78.404628432116951</v>
      </c>
    </row>
    <row r="116" spans="1:87" x14ac:dyDescent="0.35">
      <c r="A116" s="9">
        <v>45902</v>
      </c>
      <c r="B116" s="7">
        <v>9</v>
      </c>
      <c r="C116" s="7" t="str">
        <f>+UPPER(TEXT(Tabla_master_rend[[#This Row],[Fecha]],"MMM"))</f>
        <v>SEP</v>
      </c>
      <c r="D116" s="7" t="str">
        <f>+UPPER(TEXT(Tabla_master_rend[[#This Row],[Fecha]],"ddd"))</f>
        <v>MA</v>
      </c>
      <c r="E116" s="3" t="s">
        <v>496</v>
      </c>
      <c r="F116" s="3" t="s">
        <v>244</v>
      </c>
      <c r="G116" s="84" t="s">
        <v>194</v>
      </c>
      <c r="H116">
        <v>16</v>
      </c>
      <c r="I116" s="8">
        <f>+Tabla_master_rend[[#This Row],[L_Leche_ent]]+Tabla_master_rend[[#This Row],[L_desn_ext]]+Tabla_master_rend[[#This Row],[L_cabra]]+Tabla_master_rend[[#This Row],[L_oveja]]</f>
        <v>221071</v>
      </c>
      <c r="J116" s="8">
        <f>221071-33277</f>
        <v>187794</v>
      </c>
      <c r="K116" s="5">
        <v>3.2300000000000002E-2</v>
      </c>
      <c r="L116" s="5">
        <v>3.3099999999999997E-2</v>
      </c>
      <c r="M116" s="5">
        <f t="shared" si="31"/>
        <v>0.102533</v>
      </c>
      <c r="N116" s="35" t="s">
        <v>188</v>
      </c>
      <c r="O116" s="8">
        <v>33277</v>
      </c>
      <c r="P116" s="8">
        <v>0</v>
      </c>
      <c r="Q116" s="8">
        <v>0</v>
      </c>
      <c r="R116" s="8">
        <v>2741</v>
      </c>
      <c r="T116" s="8">
        <v>192052.14711222419</v>
      </c>
      <c r="U116" s="38">
        <f>+Tabla_master_rend[[#This Row],[L_suero Total]]/Tabla_master_rend[[#This Row],[Litros_Leche_Total]]</f>
        <v>0.86873514442068023</v>
      </c>
      <c r="V116" s="5">
        <v>2.8000000000000004E-3</v>
      </c>
      <c r="W116" s="5">
        <v>9.7000000000000003E-3</v>
      </c>
      <c r="X116" s="8">
        <f>125766/(12258+192052)*192052</f>
        <v>118220.40933874993</v>
      </c>
      <c r="Y116" s="57">
        <f>49809/(12258+192052)*192052</f>
        <v>46820.606274778525</v>
      </c>
      <c r="Z116" s="58">
        <f>IF(Tabla_master_rend[[#This Row],[L_suero para con]]=0,0,+Tabla_master_rend[[#This Row],[L_suero para con]]/Tabla_master_rend[[#This Row],[L_suero_con]])</f>
        <v>2.5249653677046315</v>
      </c>
      <c r="AA116" s="8">
        <f>+Tabla_master_rend[[#This Row],[L_suero Total]]-Tabla_master_rend[[#This Row],[L_suero para con]]</f>
        <v>73831.737773474262</v>
      </c>
      <c r="AD116" s="8"/>
      <c r="AE116" s="8"/>
      <c r="AF116" s="8"/>
      <c r="AG116" s="5"/>
      <c r="AI116" s="7">
        <f>+Tabla_master_rend[[#This Row],[Kg_Finos]]+Tabla_master_rend[[#This Row],[Kg_Llenadora]]+Tabla_master_rend[[#This Row],[Kg_Desmoldeo]]+Tabla_master_rend[[#This Row],[L_Agua]]+Tabla_master_rend[[#This Row],[Kg_SalidaSecadero]]</f>
        <v>22846.938174427356</v>
      </c>
      <c r="AJ116" s="59">
        <f>+Tabla_master_rend[[#This Row],[Litros_Leche_Total]]/Tabla_master_rend[[#This Row],[Kg_Queso_Blan]]</f>
        <v>9.6761762259874899</v>
      </c>
      <c r="AK116" s="59">
        <f>+Tabla_master_rend[[#This Row],[Litros_Leche_Total]]/(Tabla_master_rend[[#This Row],[Kg_Queso_Blan]]-Tabla_master_rend[[#This Row],[Merma_TOT]])</f>
        <v>9.8003802744909763</v>
      </c>
      <c r="AL116" s="59">
        <f>VLOOKUP(G116,REND_TARGET[#All],8,FALSE)</f>
        <v>10.141624999999999</v>
      </c>
      <c r="AM116" s="7">
        <f>(I116*1.03*Tabla_master_rend[[#This Row],[%MG_Leche]])+(I116*1.03*Tabla_master_rend[[#This Row],[%MP_Leche]])</f>
        <v>14891.784702000001</v>
      </c>
      <c r="AN116" s="38">
        <v>0.25750000000000001</v>
      </c>
      <c r="AO116" s="38">
        <v>0.25640000000000002</v>
      </c>
      <c r="AP116" s="60">
        <v>0.55500000000000005</v>
      </c>
      <c r="AQ116" s="38">
        <f>+Tabla_master_rend[[#This Row],[Kg_Queso_Blan]]*Tabla_master_rend[[#This Row],[ES_QUESO]]/(Tabla_master_rend[[#This Row],[Kg_Solidos_leche]])</f>
        <v>0.85147958693656267</v>
      </c>
      <c r="AR116" s="7">
        <f t="shared" si="32"/>
        <v>1096.4000000000001</v>
      </c>
      <c r="AS116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0.94896884311060192</v>
      </c>
      <c r="AT116" s="62">
        <f>+Tabla_master_rend[[#This Row],[Kg_Queso_Blan]]*Tabla_master_rend[[#This Row],[%PT_QUESO]]/(Tabla_master_rend[[#This Row],[Litros_Leche_Total]]*1.03*Tabla_master_rend[[#This Row],[%MP_Leche]])</f>
        <v>0.77722906520350399</v>
      </c>
      <c r="AU116" s="63">
        <f t="shared" si="33"/>
        <v>8223</v>
      </c>
      <c r="AV116" s="7">
        <v>44.838174427355952</v>
      </c>
      <c r="AW116" s="7">
        <v>6.7</v>
      </c>
      <c r="AX116" s="7">
        <v>40.4</v>
      </c>
      <c r="AY116" s="8">
        <f>SUM(Tabla_master_rend[[#This Row],[Kg_Finos]:[Kg_Desmoldeo]])</f>
        <v>91.93817442735596</v>
      </c>
      <c r="AZ116" s="60">
        <f>+(Tabla_master_rend[[#This Row],[Kg_Finos]]+Tabla_master_rend[[#This Row],[Kg_Llenadora]]+Tabla_master_rend[[#This Row],[Kg_Desmoldeo]])/(Tabla_master_rend[[#This Row],[Kg_Queso_Blan]])</f>
        <v>4.0240917065317147E-3</v>
      </c>
      <c r="BA116" s="7">
        <v>140</v>
      </c>
      <c r="BB116" s="60">
        <f>+Tabla_master_rend[[#This Row],[L_Agua]]/(Tabla_master_rend[[#This Row],[L_Agua]]+Tabla_master_rend[[#This Row],[Kg_SalidaSecadero]])</f>
        <v>6.1524939573720065E-3</v>
      </c>
      <c r="BC116" s="8">
        <v>2980</v>
      </c>
      <c r="BD116" s="8">
        <v>2945</v>
      </c>
      <c r="BE116" s="8">
        <v>22509</v>
      </c>
      <c r="BF116" s="8">
        <v>0</v>
      </c>
      <c r="BG116" s="8">
        <v>0</v>
      </c>
      <c r="BH116" s="7">
        <f>18*7.3</f>
        <v>131.4</v>
      </c>
      <c r="BI116" s="7">
        <v>0</v>
      </c>
      <c r="BJ116" s="8">
        <v>115</v>
      </c>
      <c r="BK116" s="8">
        <v>22615</v>
      </c>
      <c r="BL116" s="8">
        <v>0</v>
      </c>
      <c r="BM116" s="8">
        <v>38.229999999999997</v>
      </c>
      <c r="BN116" s="7">
        <v>19.38</v>
      </c>
      <c r="BO116" s="68">
        <f>+SUM(Tabla_master_rend[[#This Row],[B_altas]:[B_lab]])/Tabla_master_rend[[#This Row],[Kg_SalidaSecadero]]</f>
        <v>1.0895423391554278E-2</v>
      </c>
      <c r="BP116" s="68">
        <f>+(Tabla_master_rend[[#This Row],[Kg_mer_env_real]]+Tabla_master_rend[[#This Row],[kg_mer_lab_real]])/Tabla_master_rend[[#This Row],[Kg_SalidaSecadero]]</f>
        <v>2.54742427592306E-3</v>
      </c>
      <c r="BQ116" s="64">
        <f>+Tabla_master_rend[[#This Row],[Merma_TOT]]/Tabla_master_rend[[#This Row],[Kg_Queso_Blan]]</f>
        <v>1.2673390728191668E-2</v>
      </c>
      <c r="BR116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289.54817442735595</v>
      </c>
      <c r="BS116" s="8">
        <v>22613</v>
      </c>
      <c r="BT116" s="63">
        <f>IF(+Tabla_master_rend[[#This Row],[Kg_Env_Total]]=0,0,Tabla_master_rend[[#This Row],[Kg_Env_Total]]-Tabla_master_rend[[#This Row],[Kg_SalidaSecadero]])</f>
        <v>-2</v>
      </c>
      <c r="BU116" s="60">
        <f>+Tabla_master_rend[[#This Row],[Diferencia_Env_vs_Sec_kg]]/Tabla_master_rend[[#This Row],[Kg_SalidaSecadero]]</f>
        <v>-8.8436878178200316E-5</v>
      </c>
      <c r="BV116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16" s="65">
        <f>+(Tabla_master_rend[[#This Row],[Coste_Leche_€]]-Tabla_master_rend[[#This Row],[Kg_MG_Nata]]*$CO$3)/Tabla_master_rend[[#This Row],[Kg_Queso_Blan]]</f>
        <v>-0.35991693666874047</v>
      </c>
      <c r="BX116" s="8">
        <f>SUM(Tabla_master_rend[[#This Row],[Kg_Finos]:[Kg_Desmoldeo]])+Tabla_master_rend[[#This Row],[L_Agua]]+SUM(Tabla_master_rend[[#This Row],[B_altas]:[B_lab]])</f>
        <v>478.33817442735597</v>
      </c>
      <c r="BY116" s="8">
        <f>+BX116-Tabla_master_rend[[#This Row],[Merma_TOT]]</f>
        <v>188.79000000000002</v>
      </c>
      <c r="BZ116" s="62">
        <f t="shared" si="34"/>
        <v>0.39467893238086332</v>
      </c>
      <c r="CA116" s="8">
        <f>+Tabla_master_rend[[#This Row],[Kg_Queso_Blan]]*$CA$1</f>
        <v>148.50509813377781</v>
      </c>
      <c r="CB116" s="8">
        <f>+Tabla_master_rend[[#This Row],[Kg_Queso_Blan]]*($CB$1-$CA$1)</f>
        <v>79.964283610495755</v>
      </c>
      <c r="CC116" s="8">
        <f>+(Tabla_master_rend[[#This Row],[Kg_Queso_Blan]]-CA116-CB116)*$CC$1</f>
        <v>237.4939223231724</v>
      </c>
      <c r="CD116" s="8">
        <f t="shared" si="35"/>
        <v>465.96330406744596</v>
      </c>
      <c r="CE116" s="80">
        <f>+CD116/Tabla_master_rend[[#This Row],[Kg_Queso_Blan]]</f>
        <v>2.0395E-2</v>
      </c>
      <c r="CF116" s="62">
        <f>+Tabla_master_rend[[#This Row],[Merma_TOT]]/Tabla_master_rend[[#This Row],[Kg_Queso_Blan]]</f>
        <v>1.2673390728191668E-2</v>
      </c>
      <c r="CG116" s="8">
        <f>CD116-Tabla_master_rend[[#This Row],[Merma_TOT]]</f>
        <v>176.41512964009002</v>
      </c>
      <c r="CH116" s="81" cm="1">
        <f t="array" ref="CH116">-BR116 * IFERROR(INDEX('Precio Leche_EBITDA_Ventas'!$BD$87:$BD$110,MATCH(1,('Precio Leche_EBITDA_Ventas'!$AZ$87:$AZ$110=YEAR(A116))*('Precio Leche_EBITDA_Ventas'!$BB$87:$BB$110=C116),0)),1.3)</f>
        <v>-1051.0598731713021</v>
      </c>
      <c r="CI116" s="81">
        <f t="shared" si="36"/>
        <v>229.33966853211703</v>
      </c>
    </row>
    <row r="117" spans="1:87" x14ac:dyDescent="0.35">
      <c r="A117" s="9">
        <v>45904</v>
      </c>
      <c r="B117" s="7">
        <v>9</v>
      </c>
      <c r="C117" s="7" t="str">
        <f>+UPPER(TEXT(Tabla_master_rend[[#This Row],[Fecha]],"MMM"))</f>
        <v>SEP</v>
      </c>
      <c r="D117" s="7" t="str">
        <f>+UPPER(TEXT(Tabla_master_rend[[#This Row],[Fecha]],"ddd"))</f>
        <v>JU</v>
      </c>
      <c r="E117" s="3" t="s">
        <v>497</v>
      </c>
      <c r="F117" s="3" t="s">
        <v>244</v>
      </c>
      <c r="G117" s="84" t="s">
        <v>301</v>
      </c>
      <c r="H117">
        <v>15</v>
      </c>
      <c r="I117" s="8">
        <f>+Tabla_master_rend[[#This Row],[L_Leche_ent]]+Tabla_master_rend[[#This Row],[L_desn_ext]]+Tabla_master_rend[[#This Row],[L_cabra]]+Tabla_master_rend[[#This Row],[L_oveja]]</f>
        <v>233374</v>
      </c>
      <c r="J117" s="8">
        <f>233374-14066</f>
        <v>219308</v>
      </c>
      <c r="K117" s="5">
        <v>3.7599999999999995E-2</v>
      </c>
      <c r="L117" s="5">
        <v>3.32E-2</v>
      </c>
      <c r="M117" s="5">
        <f t="shared" si="31"/>
        <v>0.10753599999999999</v>
      </c>
      <c r="N117" s="35" t="s">
        <v>188</v>
      </c>
      <c r="O117" s="8">
        <v>14066</v>
      </c>
      <c r="P117" s="8">
        <v>0</v>
      </c>
      <c r="Q117" s="8">
        <v>0</v>
      </c>
      <c r="R117" s="8">
        <v>2973</v>
      </c>
      <c r="T117" s="8">
        <v>208410</v>
      </c>
      <c r="U117" s="38">
        <f>+Tabla_master_rend[[#This Row],[L_suero Total]]/Tabla_master_rend[[#This Row],[Litros_Leche_Total]]</f>
        <v>0.89303007190175432</v>
      </c>
      <c r="V117" s="5">
        <v>1.9E-3</v>
      </c>
      <c r="W117" s="5">
        <v>8.6E-3</v>
      </c>
      <c r="X117" s="8">
        <v>210692</v>
      </c>
      <c r="Y117" s="57">
        <v>83997</v>
      </c>
      <c r="Z117" s="58">
        <f>IF(Tabla_master_rend[[#This Row],[L_suero para con]]=0,0,+Tabla_master_rend[[#This Row],[L_suero para con]]/Tabla_master_rend[[#This Row],[L_suero_con]])</f>
        <v>2.5083276783694655</v>
      </c>
      <c r="AA117" s="8">
        <f>+Tabla_master_rend[[#This Row],[L_suero Total]]-Tabla_master_rend[[#This Row],[L_suero para con]]</f>
        <v>-2282</v>
      </c>
      <c r="AD117" s="8"/>
      <c r="AE117" s="8"/>
      <c r="AF117" s="8"/>
      <c r="AG117" s="5"/>
      <c r="AI117" s="7">
        <f>+Tabla_master_rend[[#This Row],[Kg_Finos]]+Tabla_master_rend[[#This Row],[Kg_Llenadora]]+Tabla_master_rend[[#This Row],[Kg_Desmoldeo]]+Tabla_master_rend[[#This Row],[L_Agua]]+Tabla_master_rend[[#This Row],[Kg_SalidaSecadero]]</f>
        <v>26557.14</v>
      </c>
      <c r="AJ117" s="59">
        <f>+Tabla_master_rend[[#This Row],[Litros_Leche_Total]]/Tabla_master_rend[[#This Row],[Kg_Queso_Blan]]</f>
        <v>8.7876179437996722</v>
      </c>
      <c r="AK117" s="59">
        <f>+Tabla_master_rend[[#This Row],[Litros_Leche_Total]]/(Tabla_master_rend[[#This Row],[Kg_Queso_Blan]]-Tabla_master_rend[[#This Row],[Merma_TOT]])</f>
        <v>8.9077003702031323</v>
      </c>
      <c r="AL117" s="59">
        <f>VLOOKUP(G117,REND_TARGET[#All],8,FALSE)</f>
        <v>9.3549429999999987</v>
      </c>
      <c r="AM117" s="7">
        <f>(I117*1.03*Tabla_master_rend[[#This Row],[%MG_Leche]])+(I117*1.03*Tabla_master_rend[[#This Row],[%MP_Leche]])</f>
        <v>17018.565576000001</v>
      </c>
      <c r="AN117" s="38">
        <v>0.29220000000000002</v>
      </c>
      <c r="AO117" s="38">
        <v>0.23649999999999999</v>
      </c>
      <c r="AP117" s="60">
        <v>0.57830000000000004</v>
      </c>
      <c r="AQ117" s="38">
        <f>+Tabla_master_rend[[#This Row],[Kg_Queso_Blan]]*Tabla_master_rend[[#This Row],[ES_QUESO]]/(Tabla_master_rend[[#This Row],[Kg_Solidos_leche]])</f>
        <v>0.90242588268768198</v>
      </c>
      <c r="AR117" s="7">
        <f t="shared" si="32"/>
        <v>1189.2</v>
      </c>
      <c r="AS117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0.99016254714767604</v>
      </c>
      <c r="AT117" s="62">
        <f>+Tabla_master_rend[[#This Row],[Kg_Queso_Blan]]*Tabla_master_rend[[#This Row],[%PT_QUESO]]/(Tabla_master_rend[[#This Row],[Litros_Leche_Total]]*1.03*Tabla_master_rend[[#This Row],[%MP_Leche]])</f>
        <v>0.78701800795950971</v>
      </c>
      <c r="AU117" s="63">
        <f t="shared" si="33"/>
        <v>8919</v>
      </c>
      <c r="AV117" s="7">
        <v>32.24</v>
      </c>
      <c r="AW117" s="7">
        <v>42.9</v>
      </c>
      <c r="AX117" s="7">
        <v>12</v>
      </c>
      <c r="AY117" s="8">
        <f>SUM(Tabla_master_rend[[#This Row],[Kg_Finos]:[Kg_Desmoldeo]])</f>
        <v>87.14</v>
      </c>
      <c r="AZ117" s="60">
        <f>+(Tabla_master_rend[[#This Row],[Kg_Finos]]+Tabla_master_rend[[#This Row],[Kg_Llenadora]]+Tabla_master_rend[[#This Row],[Kg_Desmoldeo]])/(Tabla_master_rend[[#This Row],[Kg_Queso_Blan]])</f>
        <v>3.281226818851729E-3</v>
      </c>
      <c r="BA117" s="7">
        <v>190</v>
      </c>
      <c r="BB117" s="60">
        <f>+Tabla_master_rend[[#This Row],[L_Agua]]/(Tabla_master_rend[[#This Row],[L_Agua]]+Tabla_master_rend[[#This Row],[Kg_SalidaSecadero]])</f>
        <v>7.1779372874952773E-3</v>
      </c>
      <c r="BC117" s="8">
        <v>3486</v>
      </c>
      <c r="BD117" s="8">
        <v>3449</v>
      </c>
      <c r="BE117" s="8">
        <v>26082</v>
      </c>
      <c r="BF117" s="8">
        <f>144*7</f>
        <v>1008</v>
      </c>
      <c r="BG117" s="8">
        <f>12*7</f>
        <v>84</v>
      </c>
      <c r="BH117" s="7">
        <f>6*7</f>
        <v>42</v>
      </c>
      <c r="BI117" s="7">
        <f>6*7</f>
        <v>42</v>
      </c>
      <c r="BJ117" s="8">
        <v>84</v>
      </c>
      <c r="BK117" s="8">
        <v>26280</v>
      </c>
      <c r="BL117" s="8">
        <v>0</v>
      </c>
      <c r="BM117" s="8">
        <v>54.47</v>
      </c>
      <c r="BN117" s="7">
        <v>26.4</v>
      </c>
      <c r="BO117" s="68">
        <f>+SUM(Tabla_master_rend[[#This Row],[B_altas]:[B_lab]])/Tabla_master_rend[[#This Row],[Kg_SalidaSecadero]]</f>
        <v>4.7945205479452052E-2</v>
      </c>
      <c r="BP117" s="68">
        <f>+(Tabla_master_rend[[#This Row],[Kg_mer_env_real]]+Tabla_master_rend[[#This Row],[kg_mer_lab_real]])/Tabla_master_rend[[#This Row],[Kg_SalidaSecadero]]</f>
        <v>3.0772450532724508E-3</v>
      </c>
      <c r="BQ117" s="64">
        <f>+Tabla_master_rend[[#This Row],[Merma_TOT]]/Tabla_master_rend[[#This Row],[Kg_Queso_Blan]]</f>
        <v>1.3480743784910574E-2</v>
      </c>
      <c r="BR117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358.01</v>
      </c>
      <c r="BS117" s="8">
        <v>26008.999999999993</v>
      </c>
      <c r="BT117" s="63">
        <f>IF(+Tabla_master_rend[[#This Row],[Kg_Env_Total]]=0,0,Tabla_master_rend[[#This Row],[Kg_Env_Total]]-Tabla_master_rend[[#This Row],[Kg_SalidaSecadero]])</f>
        <v>-271.00000000000728</v>
      </c>
      <c r="BU117" s="60">
        <f>+Tabla_master_rend[[#This Row],[Diferencia_Env_vs_Sec_kg]]/Tabla_master_rend[[#This Row],[Kg_SalidaSecadero]]</f>
        <v>-1.031202435312052E-2</v>
      </c>
      <c r="BV117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17" s="65">
        <f>+(Tabla_master_rend[[#This Row],[Coste_Leche_€]]-Tabla_master_rend[[#This Row],[Kg_MG_Nata]]*$CO$3)/Tabla_master_rend[[#This Row],[Kg_Queso_Blan]]</f>
        <v>-0.33584188658869141</v>
      </c>
      <c r="BX117" s="8">
        <f>SUM(Tabla_master_rend[[#This Row],[Kg_Finos]:[Kg_Desmoldeo]])+Tabla_master_rend[[#This Row],[L_Agua]]+SUM(Tabla_master_rend[[#This Row],[B_altas]:[B_lab]])</f>
        <v>1537.1399999999999</v>
      </c>
      <c r="BY117" s="8">
        <f>+BX117-Tabla_master_rend[[#This Row],[Merma_TOT]]</f>
        <v>1179.1299999999999</v>
      </c>
      <c r="BZ117" s="62">
        <f t="shared" si="34"/>
        <v>0.76709343325916957</v>
      </c>
      <c r="CA117" s="8">
        <f>+Tabla_master_rend[[#This Row],[Kg_Queso_Blan]]*$CA$1</f>
        <v>172.62141</v>
      </c>
      <c r="CB117" s="8">
        <f>+Tabla_master_rend[[#This Row],[Kg_Queso_Blan]]*($CB$1-$CA$1)</f>
        <v>92.949990000000014</v>
      </c>
      <c r="CC117" s="8">
        <f>+(Tabla_master_rend[[#This Row],[Kg_Queso_Blan]]-CA117-CB117)*$CC$1</f>
        <v>276.0614703</v>
      </c>
      <c r="CD117" s="8">
        <f t="shared" si="35"/>
        <v>541.63287030000004</v>
      </c>
      <c r="CE117" s="80">
        <f>+CD117/Tabla_master_rend[[#This Row],[Kg_Queso_Blan]]</f>
        <v>2.0395000000000003E-2</v>
      </c>
      <c r="CF117" s="62">
        <f>+Tabla_master_rend[[#This Row],[Merma_TOT]]/Tabla_master_rend[[#This Row],[Kg_Queso_Blan]]</f>
        <v>1.3480743784910574E-2</v>
      </c>
      <c r="CG117" s="8">
        <f>CD117-Tabla_master_rend[[#This Row],[Merma_TOT]]</f>
        <v>183.62287030000005</v>
      </c>
      <c r="CH117" s="81" cm="1">
        <f t="array" ref="CH117">-BR117 * IFERROR(INDEX('Precio Leche_EBITDA_Ventas'!$BD$87:$BD$110,MATCH(1,('Precio Leche_EBITDA_Ventas'!$AZ$87:$AZ$110=YEAR(A117))*('Precio Leche_EBITDA_Ventas'!$BB$87:$BB$110=C117),0)),1.3)</f>
        <v>-1299.5762999999999</v>
      </c>
      <c r="CI117" s="81">
        <f t="shared" si="36"/>
        <v>238.70973139000006</v>
      </c>
    </row>
    <row r="118" spans="1:87" x14ac:dyDescent="0.35">
      <c r="A118" s="9">
        <v>45909</v>
      </c>
      <c r="B118" s="7">
        <v>9</v>
      </c>
      <c r="C118" s="7" t="str">
        <f>+UPPER(TEXT(Tabla_master_rend[[#This Row],[Fecha]],"MMM"))</f>
        <v>SEP</v>
      </c>
      <c r="D118" s="7" t="str">
        <f>+UPPER(TEXT(Tabla_master_rend[[#This Row],[Fecha]],"ddd"))</f>
        <v>MA</v>
      </c>
      <c r="E118" s="3" t="s">
        <v>498</v>
      </c>
      <c r="F118" s="3" t="s">
        <v>244</v>
      </c>
      <c r="G118" s="84" t="s">
        <v>194</v>
      </c>
      <c r="H118">
        <v>5</v>
      </c>
      <c r="I118" s="8">
        <f>+Tabla_master_rend[[#This Row],[L_Leche_ent]]+Tabla_master_rend[[#This Row],[L_desn_ext]]+Tabla_master_rend[[#This Row],[L_cabra]]+Tabla_master_rend[[#This Row],[L_oveja]]</f>
        <v>68148</v>
      </c>
      <c r="J118" s="8">
        <f>68148-24122</f>
        <v>44026</v>
      </c>
      <c r="K118" s="5">
        <v>2.3900000000000001E-2</v>
      </c>
      <c r="L118" s="5">
        <v>3.39E-2</v>
      </c>
      <c r="M118" s="5">
        <f t="shared" si="31"/>
        <v>9.5313000000000009E-2</v>
      </c>
      <c r="N118" s="35" t="s">
        <v>188</v>
      </c>
      <c r="O118" s="8">
        <v>24122</v>
      </c>
      <c r="P118" s="8">
        <v>0</v>
      </c>
      <c r="Q118" s="8">
        <v>0</v>
      </c>
      <c r="R118" s="8">
        <v>220</v>
      </c>
      <c r="T118" s="8">
        <v>69000</v>
      </c>
      <c r="U118" s="38">
        <f>+Tabla_master_rend[[#This Row],[L_suero Total]]/Tabla_master_rend[[#This Row],[Litros_Leche_Total]]</f>
        <v>1.0125022010917415</v>
      </c>
      <c r="V118" s="5">
        <v>1.2999999999999999E-3</v>
      </c>
      <c r="W118" s="5">
        <v>9.0000000000000011E-3</v>
      </c>
      <c r="X118" s="8">
        <f>215248/(69000+150640)*69000</f>
        <v>67620.251320342373</v>
      </c>
      <c r="Y118" s="57">
        <f>88943/(69000+150640)*69000</f>
        <v>27941.481515206702</v>
      </c>
      <c r="Z118" s="58">
        <f>IF(Tabla_master_rend[[#This Row],[L_suero para con]]=0,0,+Tabla_master_rend[[#This Row],[L_suero para con]]/Tabla_master_rend[[#This Row],[L_suero_con]])</f>
        <v>2.4200667843450296</v>
      </c>
      <c r="AA118" s="8">
        <f>+Tabla_master_rend[[#This Row],[L_suero Total]]-Tabla_master_rend[[#This Row],[L_suero para con]]</f>
        <v>1379.7486796576268</v>
      </c>
      <c r="AD118" s="8"/>
      <c r="AE118" s="8"/>
      <c r="AF118" s="8"/>
      <c r="AG118" s="5"/>
      <c r="AI118" s="7">
        <f>+Tabla_master_rend[[#This Row],[Kg_Finos]]+Tabla_master_rend[[#This Row],[Kg_Llenadora]]+Tabla_master_rend[[#This Row],[Kg_Desmoldeo]]+Tabla_master_rend[[#This Row],[L_Agua]]+Tabla_master_rend[[#This Row],[Kg_SalidaSecadero]]</f>
        <v>6789.2893794956481</v>
      </c>
      <c r="AJ118" s="59">
        <f>+Tabla_master_rend[[#This Row],[Litros_Leche_Total]]/Tabla_master_rend[[#This Row],[Kg_Queso_Blan]]</f>
        <v>10.037574802130834</v>
      </c>
      <c r="AK118" s="59">
        <f>+Tabla_master_rend[[#This Row],[Litros_Leche_Total]]/(Tabla_master_rend[[#This Row],[Kg_Queso_Blan]]-Tabla_master_rend[[#This Row],[Merma_TOT]])</f>
        <v>10.446347273446339</v>
      </c>
      <c r="AL118" s="59">
        <f>VLOOKUP(G118,REND_TARGET[#All],8,FALSE)</f>
        <v>10.141624999999999</v>
      </c>
      <c r="AM118" s="7">
        <f>(I118*1.03*Tabla_master_rend[[#This Row],[%MG_Leche]])+(I118*1.03*Tabla_master_rend[[#This Row],[%MP_Leche]])</f>
        <v>4057.1230320000004</v>
      </c>
      <c r="AN118" s="38">
        <v>0.2273</v>
      </c>
      <c r="AO118" s="38">
        <v>0.27560000000000001</v>
      </c>
      <c r="AP118" s="60">
        <v>0.54500000000000004</v>
      </c>
      <c r="AQ118" s="38">
        <f>+Tabla_master_rend[[#This Row],[Kg_Queso_Blan]]*Tabla_master_rend[[#This Row],[ES_QUESO]]/(Tabla_master_rend[[#This Row],[Kg_Solidos_leche]])</f>
        <v>0.91201639256207012</v>
      </c>
      <c r="AR118" s="7">
        <f t="shared" si="32"/>
        <v>88</v>
      </c>
      <c r="AS118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0.97234510076502734</v>
      </c>
      <c r="AT118" s="62">
        <f>+Tabla_master_rend[[#This Row],[Kg_Queso_Blan]]*Tabla_master_rend[[#This Row],[%PT_QUESO]]/(Tabla_master_rend[[#This Row],[Litros_Leche_Total]]*1.03*Tabla_master_rend[[#This Row],[%MP_Leche]])</f>
        <v>0.78634566254056215</v>
      </c>
      <c r="AU118" s="63">
        <f t="shared" si="33"/>
        <v>660</v>
      </c>
      <c r="AV118" s="7">
        <v>9.6893794956477937</v>
      </c>
      <c r="AW118" s="7">
        <v>24.1</v>
      </c>
      <c r="AX118" s="7">
        <v>13.5</v>
      </c>
      <c r="AY118" s="8">
        <f>SUM(Tabla_master_rend[[#This Row],[Kg_Finos]:[Kg_Desmoldeo]])</f>
        <v>47.289379495647793</v>
      </c>
      <c r="AZ118" s="60">
        <f>+(Tabla_master_rend[[#This Row],[Kg_Finos]]+Tabla_master_rend[[#This Row],[Kg_Llenadora]]+Tabla_master_rend[[#This Row],[Kg_Desmoldeo]])/(Tabla_master_rend[[#This Row],[Kg_Queso_Blan]])</f>
        <v>6.9652914837400482E-3</v>
      </c>
      <c r="BA118" s="7">
        <v>150</v>
      </c>
      <c r="BB118" s="60">
        <f>+Tabla_master_rend[[#This Row],[L_Agua]]/(Tabla_master_rend[[#This Row],[L_Agua]]+Tabla_master_rend[[#This Row],[Kg_SalidaSecadero]])</f>
        <v>2.2248590922574904E-2</v>
      </c>
      <c r="BC118" s="8">
        <v>924</v>
      </c>
      <c r="BD118" s="8">
        <v>914</v>
      </c>
      <c r="BE118" s="8">
        <v>6679</v>
      </c>
      <c r="BF118" s="8">
        <v>0</v>
      </c>
      <c r="BG118" s="8">
        <v>0</v>
      </c>
      <c r="BH118" s="7">
        <v>0</v>
      </c>
      <c r="BI118" s="7">
        <v>0</v>
      </c>
      <c r="BJ118" s="8">
        <v>63</v>
      </c>
      <c r="BK118" s="8">
        <v>6592</v>
      </c>
      <c r="BL118" s="8">
        <v>0</v>
      </c>
      <c r="BM118" s="8">
        <v>39.67</v>
      </c>
      <c r="BN118" s="7">
        <v>28.71</v>
      </c>
      <c r="BO118" s="68">
        <f>+SUM(Tabla_master_rend[[#This Row],[B_altas]:[B_lab]])/Tabla_master_rend[[#This Row],[Kg_SalidaSecadero]]</f>
        <v>9.5570388349514555E-3</v>
      </c>
      <c r="BP118" s="68">
        <f>+(Tabla_master_rend[[#This Row],[Kg_mer_env_real]]+Tabla_master_rend[[#This Row],[kg_mer_lab_real]])/Tabla_master_rend[[#This Row],[Kg_SalidaSecadero]]</f>
        <v>1.0373179611650485E-2</v>
      </c>
      <c r="BQ118" s="64">
        <f>+Tabla_master_rend[[#This Row],[Merma_TOT]]/Tabla_master_rend[[#This Row],[Kg_Queso_Blan]]</f>
        <v>3.913066075781018E-2</v>
      </c>
      <c r="BR118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265.66937949564777</v>
      </c>
      <c r="BS118" s="8">
        <v>6634.8000000000011</v>
      </c>
      <c r="BT118" s="63">
        <f>IF(+Tabla_master_rend[[#This Row],[Kg_Env_Total]]=0,0,Tabla_master_rend[[#This Row],[Kg_Env_Total]]-Tabla_master_rend[[#This Row],[Kg_SalidaSecadero]])</f>
        <v>42.800000000001091</v>
      </c>
      <c r="BU118" s="60">
        <f>+Tabla_master_rend[[#This Row],[Diferencia_Env_vs_Sec_kg]]/Tabla_master_rend[[#This Row],[Kg_SalidaSecadero]]</f>
        <v>6.4927184466021075E-3</v>
      </c>
      <c r="BV118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18" s="65">
        <f>+(Tabla_master_rend[[#This Row],[Coste_Leche_€]]-Tabla_master_rend[[#This Row],[Kg_MG_Nata]]*$CO$3)/Tabla_master_rend[[#This Row],[Kg_Queso_Blan]]</f>
        <v>-9.7211941207465374E-2</v>
      </c>
      <c r="BX118" s="8">
        <f>SUM(Tabla_master_rend[[#This Row],[Kg_Finos]:[Kg_Desmoldeo]])+Tabla_master_rend[[#This Row],[L_Agua]]+SUM(Tabla_master_rend[[#This Row],[B_altas]:[B_lab]])</f>
        <v>260.28937949564778</v>
      </c>
      <c r="BY118" s="8">
        <f>+BX118-Tabla_master_rend[[#This Row],[Merma_TOT]]</f>
        <v>-5.3799999999999955</v>
      </c>
      <c r="BZ118" s="62">
        <f t="shared" si="34"/>
        <v>-2.0669302798387718E-2</v>
      </c>
      <c r="CA118" s="8">
        <f>+Tabla_master_rend[[#This Row],[Kg_Queso_Blan]]*$CA$1</f>
        <v>44.13038096672171</v>
      </c>
      <c r="CB118" s="8">
        <f>+Tabla_master_rend[[#This Row],[Kg_Queso_Blan]]*($CB$1-$CA$1)</f>
        <v>23.762512828234772</v>
      </c>
      <c r="CC118" s="8">
        <f>+(Tabla_master_rend[[#This Row],[Kg_Queso_Blan]]-CA118-CB118)*$CC$1</f>
        <v>70.574663099857275</v>
      </c>
      <c r="CD118" s="8">
        <f t="shared" si="35"/>
        <v>138.46755689481375</v>
      </c>
      <c r="CE118" s="80">
        <f>+CD118/Tabla_master_rend[[#This Row],[Kg_Queso_Blan]]</f>
        <v>2.0395000000000003E-2</v>
      </c>
      <c r="CF118" s="62">
        <f>+Tabla_master_rend[[#This Row],[Merma_TOT]]/Tabla_master_rend[[#This Row],[Kg_Queso_Blan]]</f>
        <v>3.913066075781018E-2</v>
      </c>
      <c r="CG118" s="8">
        <f>CD118-Tabla_master_rend[[#This Row],[Merma_TOT]]</f>
        <v>-127.20182260083402</v>
      </c>
      <c r="CH118" s="81" cm="1">
        <f t="array" ref="CH118">-BR118 * IFERROR(INDEX('Precio Leche_EBITDA_Ventas'!$BD$87:$BD$110,MATCH(1,('Precio Leche_EBITDA_Ventas'!$AZ$87:$AZ$110=YEAR(A118))*('Precio Leche_EBITDA_Ventas'!$BB$87:$BB$110=C118),0)),1.3)</f>
        <v>-964.37984756920139</v>
      </c>
      <c r="CI118" s="81">
        <f t="shared" si="36"/>
        <v>-165.36236938108422</v>
      </c>
    </row>
    <row r="119" spans="1:87" x14ac:dyDescent="0.35">
      <c r="A119" s="9">
        <v>45909</v>
      </c>
      <c r="B119" s="7">
        <v>9</v>
      </c>
      <c r="C119" s="7" t="str">
        <f>+UPPER(TEXT(Tabla_master_rend[[#This Row],[Fecha]],"MMM"))</f>
        <v>SEP</v>
      </c>
      <c r="D119" s="7" t="str">
        <f>+UPPER(TEXT(Tabla_master_rend[[#This Row],[Fecha]],"ddd"))</f>
        <v>MA</v>
      </c>
      <c r="E119" s="3" t="s">
        <v>499</v>
      </c>
      <c r="F119" s="3" t="s">
        <v>244</v>
      </c>
      <c r="G119" s="84" t="s">
        <v>299</v>
      </c>
      <c r="H119">
        <v>11</v>
      </c>
      <c r="I119" s="8">
        <f>+Tabla_master_rend[[#This Row],[L_Leche_ent]]+Tabla_master_rend[[#This Row],[L_desn_ext]]+Tabla_master_rend[[#This Row],[L_cabra]]+Tabla_master_rend[[#This Row],[L_oveja]]</f>
        <v>181955</v>
      </c>
      <c r="J119" s="8">
        <f>181955-373</f>
        <v>181582</v>
      </c>
      <c r="K119" s="5">
        <v>3.6200000000000003E-2</v>
      </c>
      <c r="L119" s="5">
        <v>3.3000000000000002E-2</v>
      </c>
      <c r="M119" s="5">
        <f t="shared" si="31"/>
        <v>0.106086</v>
      </c>
      <c r="N119" s="35" t="s">
        <v>188</v>
      </c>
      <c r="O119" s="8">
        <v>373</v>
      </c>
      <c r="P119" s="8">
        <v>0</v>
      </c>
      <c r="Q119" s="8">
        <v>0</v>
      </c>
      <c r="R119" s="8">
        <v>5497</v>
      </c>
      <c r="T119" s="8">
        <v>150640</v>
      </c>
      <c r="U119" s="38">
        <f>+Tabla_master_rend[[#This Row],[L_suero Total]]/Tabla_master_rend[[#This Row],[Litros_Leche_Total]]</f>
        <v>0.82789700750185491</v>
      </c>
      <c r="V119" s="5">
        <v>1.2999999999999999E-3</v>
      </c>
      <c r="W119" s="5">
        <v>9.0000000000000011E-3</v>
      </c>
      <c r="X119" s="8">
        <f>215248/(69000+150640)*150640</f>
        <v>147627.74867965761</v>
      </c>
      <c r="Y119" s="57">
        <f>88943/(69000+150640)*150640</f>
        <v>61001.518484793305</v>
      </c>
      <c r="Z119" s="58">
        <f>IF(Tabla_master_rend[[#This Row],[L_suero para con]]=0,0,+Tabla_master_rend[[#This Row],[L_suero para con]]/Tabla_master_rend[[#This Row],[L_suero_con]])</f>
        <v>2.4200667843450296</v>
      </c>
      <c r="AA119" s="8">
        <f>+Tabla_master_rend[[#This Row],[L_suero Total]]-Tabla_master_rend[[#This Row],[L_suero para con]]</f>
        <v>3012.2513203423878</v>
      </c>
      <c r="AD119" s="8"/>
      <c r="AE119" s="8"/>
      <c r="AF119" s="8"/>
      <c r="AG119" s="5"/>
      <c r="AI119" s="7">
        <f>+Tabla_master_rend[[#This Row],[Kg_Finos]]+Tabla_master_rend[[#This Row],[Kg_Llenadora]]+Tabla_master_rend[[#This Row],[Kg_Desmoldeo]]+Tabla_master_rend[[#This Row],[L_Agua]]+Tabla_master_rend[[#This Row],[Kg_SalidaSecadero]]</f>
        <v>19940.170620504352</v>
      </c>
      <c r="AJ119" s="59">
        <f>+Tabla_master_rend[[#This Row],[Litros_Leche_Total]]/Tabla_master_rend[[#This Row],[Kg_Queso_Blan]]</f>
        <v>9.1250472958790443</v>
      </c>
      <c r="AK119" s="59">
        <f>+Tabla_master_rend[[#This Row],[Litros_Leche_Total]]/(Tabla_master_rend[[#This Row],[Kg_Queso_Blan]]-Tabla_master_rend[[#This Row],[Merma_TOT]])</f>
        <v>9.4072825204103214</v>
      </c>
      <c r="AL119" s="59">
        <f>VLOOKUP(G119,REND_TARGET[#All],8,FALSE)</f>
        <v>9.8078500000000002</v>
      </c>
      <c r="AM119" s="7">
        <f>(I119*1.03*Tabla_master_rend[[#This Row],[%MG_Leche]])+(I119*1.03*Tabla_master_rend[[#This Row],[%MP_Leche]])</f>
        <v>12969.024580000001</v>
      </c>
      <c r="AN119" s="38">
        <v>0.21969999999999998</v>
      </c>
      <c r="AO119" s="38">
        <v>0.24230000000000002</v>
      </c>
      <c r="AP119" s="60">
        <v>0.52200000000000002</v>
      </c>
      <c r="AQ119" s="38">
        <f>+Tabla_master_rend[[#This Row],[Kg_Queso_Blan]]*Tabla_master_rend[[#This Row],[ES_QUESO]]/(Tabla_master_rend[[#This Row],[Kg_Solidos_leche]])</f>
        <v>0.8025868869085967</v>
      </c>
      <c r="AR119" s="7">
        <f t="shared" si="32"/>
        <v>2198.8000000000002</v>
      </c>
      <c r="AS119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0.96982497710880311</v>
      </c>
      <c r="AT119" s="62">
        <f>+Tabla_master_rend[[#This Row],[Kg_Queso_Blan]]*Tabla_master_rend[[#This Row],[%PT_QUESO]]/(Tabla_master_rend[[#This Row],[Litros_Leche_Total]]*1.03*Tabla_master_rend[[#This Row],[%MP_Leche]])</f>
        <v>0.78120879755592409</v>
      </c>
      <c r="AU119" s="63">
        <f t="shared" si="33"/>
        <v>16491</v>
      </c>
      <c r="AV119" s="7">
        <v>25.87062050435221</v>
      </c>
      <c r="AW119" s="7">
        <v>69.900000000000006</v>
      </c>
      <c r="AX119" s="7">
        <v>27.4</v>
      </c>
      <c r="AY119" s="8">
        <f>SUM(Tabla_master_rend[[#This Row],[Kg_Finos]:[Kg_Desmoldeo]])</f>
        <v>123.17062050435223</v>
      </c>
      <c r="AZ119" s="60">
        <f>+(Tabla_master_rend[[#This Row],[Kg_Finos]]+Tabla_master_rend[[#This Row],[Kg_Llenadora]]+Tabla_master_rend[[#This Row],[Kg_Desmoldeo]])/(Tabla_master_rend[[#This Row],[Kg_Queso_Blan]])</f>
        <v>6.1770093570662158E-3</v>
      </c>
      <c r="BA119" s="7">
        <v>180</v>
      </c>
      <c r="BB119" s="60">
        <f>+Tabla_master_rend[[#This Row],[L_Agua]]/(Tabla_master_rend[[#This Row],[L_Agua]]+Tabla_master_rend[[#This Row],[Kg_SalidaSecadero]])</f>
        <v>9.0831104607155475E-3</v>
      </c>
      <c r="BC119" s="8">
        <v>2741</v>
      </c>
      <c r="BD119" s="8">
        <v>2690</v>
      </c>
      <c r="BE119" s="8">
        <v>19517</v>
      </c>
      <c r="BF119" s="8">
        <f>5*5.7</f>
        <v>28.5</v>
      </c>
      <c r="BG119" s="8">
        <f>21*5.7</f>
        <v>119.7</v>
      </c>
      <c r="BH119" s="7">
        <v>0</v>
      </c>
      <c r="BI119" s="7">
        <f>18*5.7</f>
        <v>102.60000000000001</v>
      </c>
      <c r="BJ119" s="8">
        <v>78</v>
      </c>
      <c r="BK119" s="8">
        <v>19637</v>
      </c>
      <c r="BL119" s="8">
        <v>0</v>
      </c>
      <c r="BM119" s="8">
        <v>286.14</v>
      </c>
      <c r="BN119" s="7">
        <v>8.93</v>
      </c>
      <c r="BO119" s="68">
        <f>+SUM(Tabla_master_rend[[#This Row],[B_altas]:[B_lab]])/Tabla_master_rend[[#This Row],[Kg_SalidaSecadero]]</f>
        <v>1.6743901817996641E-2</v>
      </c>
      <c r="BP119" s="68">
        <f>+(Tabla_master_rend[[#This Row],[Kg_mer_env_real]]+Tabla_master_rend[[#This Row],[kg_mer_lab_real]])/Tabla_master_rend[[#This Row],[Kg_SalidaSecadero]]</f>
        <v>1.5026226001935122E-2</v>
      </c>
      <c r="BQ119" s="64">
        <f>+Tabla_master_rend[[#This Row],[Merma_TOT]]/Tabla_master_rend[[#This Row],[Kg_Queso_Blan]]</f>
        <v>3.0001780420533874E-2</v>
      </c>
      <c r="BR119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598.24062050435225</v>
      </c>
      <c r="BS119" s="8">
        <v>19385.210000000006</v>
      </c>
      <c r="BT119" s="63">
        <f>IF(+Tabla_master_rend[[#This Row],[Kg_Env_Total]]=0,0,Tabla_master_rend[[#This Row],[Kg_Env_Total]]-Tabla_master_rend[[#This Row],[Kg_SalidaSecadero]])</f>
        <v>-251.7899999999936</v>
      </c>
      <c r="BU119" s="60">
        <f>+Tabla_master_rend[[#This Row],[Diferencia_Env_vs_Sec_kg]]/Tabla_master_rend[[#This Row],[Kg_SalidaSecadero]]</f>
        <v>-1.2822223353872465E-2</v>
      </c>
      <c r="BV119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19" s="65">
        <f>+(Tabla_master_rend[[#This Row],[Coste_Leche_€]]-Tabla_master_rend[[#This Row],[Kg_MG_Nata]]*$CO$3)/Tabla_master_rend[[#This Row],[Kg_Queso_Blan]]</f>
        <v>-0.82702401668732006</v>
      </c>
      <c r="BX119" s="8">
        <f>SUM(Tabla_master_rend[[#This Row],[Kg_Finos]:[Kg_Desmoldeo]])+Tabla_master_rend[[#This Row],[L_Agua]]+SUM(Tabla_master_rend[[#This Row],[B_altas]:[B_lab]])</f>
        <v>631.97062050435215</v>
      </c>
      <c r="BY119" s="8">
        <f>+BX119-Tabla_master_rend[[#This Row],[Merma_TOT]]</f>
        <v>33.729999999999905</v>
      </c>
      <c r="BZ119" s="62">
        <f t="shared" si="34"/>
        <v>5.3372734278503725E-2</v>
      </c>
      <c r="CA119" s="8">
        <f>+Tabla_master_rend[[#This Row],[Kg_Queso_Blan]]*$CA$1</f>
        <v>129.61110903327827</v>
      </c>
      <c r="CB119" s="8">
        <f>+Tabla_master_rend[[#This Row],[Kg_Queso_Blan]]*($CB$1-$CA$1)</f>
        <v>69.790597171765242</v>
      </c>
      <c r="CC119" s="8">
        <f>+(Tabla_master_rend[[#This Row],[Kg_Queso_Blan]]-CA119-CB119)*$CC$1</f>
        <v>207.27807360014273</v>
      </c>
      <c r="CD119" s="8">
        <f t="shared" si="35"/>
        <v>406.67977980518629</v>
      </c>
      <c r="CE119" s="80">
        <f>+CD119/Tabla_master_rend[[#This Row],[Kg_Queso_Blan]]</f>
        <v>2.0395E-2</v>
      </c>
      <c r="CF119" s="62">
        <f>+Tabla_master_rend[[#This Row],[Merma_TOT]]/Tabla_master_rend[[#This Row],[Kg_Queso_Blan]]</f>
        <v>3.0001780420533874E-2</v>
      </c>
      <c r="CG119" s="8">
        <f>CD119-Tabla_master_rend[[#This Row],[Merma_TOT]]</f>
        <v>-191.56084069916596</v>
      </c>
      <c r="CH119" s="81" cm="1">
        <f t="array" ref="CH119">-BR119 * IFERROR(INDEX('Precio Leche_EBITDA_Ventas'!$BD$87:$BD$110,MATCH(1,('Precio Leche_EBITDA_Ventas'!$AZ$87:$AZ$110=YEAR(A119))*('Precio Leche_EBITDA_Ventas'!$BB$87:$BB$110=C119),0)),1.3)</f>
        <v>-2171.6134524307986</v>
      </c>
      <c r="CI119" s="81">
        <f t="shared" si="36"/>
        <v>-249.02909290891577</v>
      </c>
    </row>
    <row r="120" spans="1:87" x14ac:dyDescent="0.35">
      <c r="A120" s="9">
        <v>45911</v>
      </c>
      <c r="B120" s="7">
        <v>9</v>
      </c>
      <c r="C120" s="7" t="str">
        <f>+UPPER(TEXT(Tabla_master_rend[[#This Row],[Fecha]],"MMM"))</f>
        <v>SEP</v>
      </c>
      <c r="D120" s="7" t="str">
        <f>+UPPER(TEXT(Tabla_master_rend[[#This Row],[Fecha]],"ddd"))</f>
        <v>JU</v>
      </c>
      <c r="E120" s="3">
        <v>110925116</v>
      </c>
      <c r="F120" s="3" t="s">
        <v>244</v>
      </c>
      <c r="G120" s="84" t="s">
        <v>299</v>
      </c>
      <c r="H120">
        <v>13</v>
      </c>
      <c r="I120" s="8">
        <f>+Tabla_master_rend[[#This Row],[L_Leche_ent]]+Tabla_master_rend[[#This Row],[L_desn_ext]]+Tabla_master_rend[[#This Row],[L_cabra]]+Tabla_master_rend[[#This Row],[L_oveja]]</f>
        <v>196873</v>
      </c>
      <c r="J120" s="8">
        <v>196873</v>
      </c>
      <c r="K120" s="5">
        <v>3.8300000000000001E-2</v>
      </c>
      <c r="L120" s="5">
        <v>3.32E-2</v>
      </c>
      <c r="M120" s="5">
        <f t="shared" si="31"/>
        <v>0.10818700000000001</v>
      </c>
      <c r="N120" s="35" t="s">
        <v>188</v>
      </c>
      <c r="O120" s="8">
        <v>0</v>
      </c>
      <c r="P120" s="8">
        <v>0</v>
      </c>
      <c r="Q120" s="8">
        <v>0</v>
      </c>
      <c r="R120" s="8">
        <v>7013</v>
      </c>
      <c r="T120" s="8">
        <v>177300</v>
      </c>
      <c r="U120" s="38">
        <f>+Tabla_master_rend[[#This Row],[L_suero Total]]/Tabla_master_rend[[#This Row],[Litros_Leche_Total]]</f>
        <v>0.90058057732649988</v>
      </c>
      <c r="V120" s="5">
        <v>1.1999999999999999E-3</v>
      </c>
      <c r="W120" s="5">
        <v>8.3999999999999995E-3</v>
      </c>
      <c r="X120" s="8">
        <v>76013</v>
      </c>
      <c r="Y120" s="57">
        <v>26414</v>
      </c>
      <c r="Z120" s="58">
        <f>IF(Tabla_master_rend[[#This Row],[L_suero para con]]=0,0,+Tabla_master_rend[[#This Row],[L_suero para con]]/Tabla_master_rend[[#This Row],[L_suero_con]])</f>
        <v>2.8777542212463088</v>
      </c>
      <c r="AA120" s="8">
        <f>+Tabla_master_rend[[#This Row],[L_suero Total]]-Tabla_master_rend[[#This Row],[L_suero para con]]</f>
        <v>101287</v>
      </c>
      <c r="AD120" s="8"/>
      <c r="AE120" s="8"/>
      <c r="AF120" s="8"/>
      <c r="AG120" s="5"/>
      <c r="AI120" s="7">
        <f>+Tabla_master_rend[[#This Row],[Kg_Finos]]+Tabla_master_rend[[#This Row],[Kg_Llenadora]]+Tabla_master_rend[[#This Row],[Kg_Desmoldeo]]+Tabla_master_rend[[#This Row],[L_Agua]]+Tabla_master_rend[[#This Row],[Kg_SalidaSecadero]]</f>
        <v>21693.13</v>
      </c>
      <c r="AJ120" s="59">
        <f>+Tabla_master_rend[[#This Row],[Litros_Leche_Total]]/Tabla_master_rend[[#This Row],[Kg_Queso_Blan]]</f>
        <v>9.0753616467517588</v>
      </c>
      <c r="AK120" s="59">
        <f>+Tabla_master_rend[[#This Row],[Litros_Leche_Total]]/(Tabla_master_rend[[#This Row],[Kg_Queso_Blan]]-Tabla_master_rend[[#This Row],[Merma_TOT]])</f>
        <v>9.3303058997041752</v>
      </c>
      <c r="AL120" s="59">
        <f>VLOOKUP(G120,REND_TARGET[#All],8,FALSE)</f>
        <v>9.8078500000000002</v>
      </c>
      <c r="AM120" s="7">
        <f>(I120*1.03*Tabla_master_rend[[#This Row],[%MG_Leche]])+(I120*1.03*Tabla_master_rend[[#This Row],[%MP_Leche]])</f>
        <v>14498.712085000001</v>
      </c>
      <c r="AN120" s="38">
        <v>0.22289999999999999</v>
      </c>
      <c r="AO120" s="38">
        <v>0.24629999999999999</v>
      </c>
      <c r="AP120" s="60">
        <v>0.5262</v>
      </c>
      <c r="AQ120" s="38">
        <f>+Tabla_master_rend[[#This Row],[Kg_Queso_Blan]]*Tabla_master_rend[[#This Row],[ES_QUESO]]/(Tabla_master_rend[[#This Row],[Kg_Solidos_leche]])</f>
        <v>0.78730613719887521</v>
      </c>
      <c r="AR120" s="7">
        <f t="shared" si="32"/>
        <v>2805.2000000000003</v>
      </c>
      <c r="AS120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0.98379640456091888</v>
      </c>
      <c r="AT120" s="62">
        <f>+Tabla_master_rend[[#This Row],[Kg_Queso_Blan]]*Tabla_master_rend[[#This Row],[%PT_QUESO]]/(Tabla_master_rend[[#This Row],[Litros_Leche_Total]]*1.03*Tabla_master_rend[[#This Row],[%MP_Leche]])</f>
        <v>0.79364295058420287</v>
      </c>
      <c r="AU120" s="63">
        <f t="shared" si="33"/>
        <v>21039.000000000004</v>
      </c>
      <c r="AV120" s="7">
        <v>30.53</v>
      </c>
      <c r="AW120" s="7">
        <v>41.3</v>
      </c>
      <c r="AX120" s="7">
        <v>81.3</v>
      </c>
      <c r="AY120" s="8">
        <f>SUM(Tabla_master_rend[[#This Row],[Kg_Finos]:[Kg_Desmoldeo]])</f>
        <v>153.13</v>
      </c>
      <c r="AZ120" s="60">
        <f>+(Tabla_master_rend[[#This Row],[Kg_Finos]]+Tabla_master_rend[[#This Row],[Kg_Llenadora]]+Tabla_master_rend[[#This Row],[Kg_Desmoldeo]])/(Tabla_master_rend[[#This Row],[Kg_Queso_Blan]])</f>
        <v>7.0589168091464895E-3</v>
      </c>
      <c r="BA120" s="7">
        <v>185</v>
      </c>
      <c r="BB120" s="60">
        <f>+Tabla_master_rend[[#This Row],[L_Agua]]/(Tabla_master_rend[[#This Row],[L_Agua]]+Tabla_master_rend[[#This Row],[Kg_SalidaSecadero]])</f>
        <v>8.5886722376973066E-3</v>
      </c>
      <c r="BC120" s="8">
        <v>2958</v>
      </c>
      <c r="BD120" s="8">
        <v>2908</v>
      </c>
      <c r="BE120" s="8">
        <v>21222</v>
      </c>
      <c r="BF120" s="8">
        <v>0</v>
      </c>
      <c r="BG120" s="8">
        <f>18*6.4</f>
        <v>115.2</v>
      </c>
      <c r="BH120" s="7">
        <v>0</v>
      </c>
      <c r="BI120" s="7">
        <f>19*6.4</f>
        <v>121.60000000000001</v>
      </c>
      <c r="BJ120" s="8">
        <v>81</v>
      </c>
      <c r="BK120" s="8">
        <v>21355</v>
      </c>
      <c r="BL120" s="8">
        <v>0</v>
      </c>
      <c r="BM120" s="8">
        <v>251.96</v>
      </c>
      <c r="BN120" s="7">
        <v>2.66</v>
      </c>
      <c r="BO120" s="68">
        <f>+SUM(Tabla_master_rend[[#This Row],[B_altas]:[B_lab]])/Tabla_master_rend[[#This Row],[Kg_SalidaSecadero]]</f>
        <v>1.4881760711777102E-2</v>
      </c>
      <c r="BP120" s="68">
        <f>+(Tabla_master_rend[[#This Row],[Kg_mer_env_real]]+Tabla_master_rend[[#This Row],[kg_mer_lab_real]])/Tabla_master_rend[[#This Row],[Kg_SalidaSecadero]]</f>
        <v>1.1923202996956216E-2</v>
      </c>
      <c r="BQ120" s="64">
        <f>+Tabla_master_rend[[#This Row],[Merma_TOT]]/Tabla_master_rend[[#This Row],[Kg_Queso_Blan]]</f>
        <v>2.7324318805077914E-2</v>
      </c>
      <c r="BR120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592.74999999999989</v>
      </c>
      <c r="BS120" s="8">
        <v>20988.300000000003</v>
      </c>
      <c r="BT120" s="63">
        <f>IF(+Tabla_master_rend[[#This Row],[Kg_Env_Total]]=0,0,Tabla_master_rend[[#This Row],[Kg_Env_Total]]-Tabla_master_rend[[#This Row],[Kg_SalidaSecadero]])</f>
        <v>-366.69999999999709</v>
      </c>
      <c r="BU120" s="60">
        <f>+Tabla_master_rend[[#This Row],[Diferencia_Env_vs_Sec_kg]]/Tabla_master_rend[[#This Row],[Kg_SalidaSecadero]]</f>
        <v>-1.717162257082637E-2</v>
      </c>
      <c r="BV120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20" s="65">
        <f>+(Tabla_master_rend[[#This Row],[Coste_Leche_€]]-Tabla_master_rend[[#This Row],[Kg_MG_Nata]]*$CO$3)/Tabla_master_rend[[#This Row],[Kg_Queso_Blan]]</f>
        <v>-0.96984621398571813</v>
      </c>
      <c r="BX120" s="8">
        <f>SUM(Tabla_master_rend[[#This Row],[Kg_Finos]:[Kg_Desmoldeo]])+Tabla_master_rend[[#This Row],[L_Agua]]+SUM(Tabla_master_rend[[#This Row],[B_altas]:[B_lab]])</f>
        <v>655.93000000000006</v>
      </c>
      <c r="BY120" s="8">
        <f>+BX120-Tabla_master_rend[[#This Row],[Merma_TOT]]</f>
        <v>63.180000000000177</v>
      </c>
      <c r="BZ120" s="62">
        <f t="shared" si="34"/>
        <v>9.6321253792325659E-2</v>
      </c>
      <c r="CA120" s="8">
        <f>+Tabla_master_rend[[#This Row],[Kg_Queso_Blan]]*$CA$1</f>
        <v>141.00534500000001</v>
      </c>
      <c r="CB120" s="8">
        <f>+Tabla_master_rend[[#This Row],[Kg_Queso_Blan]]*($CB$1-$CA$1)</f>
        <v>75.925955000000016</v>
      </c>
      <c r="CC120" s="8">
        <f>+(Tabla_master_rend[[#This Row],[Kg_Queso_Blan]]-CA120-CB120)*$CC$1</f>
        <v>225.50008635000003</v>
      </c>
      <c r="CD120" s="8">
        <f t="shared" si="35"/>
        <v>442.43138635000003</v>
      </c>
      <c r="CE120" s="80">
        <f>+CD120/Tabla_master_rend[[#This Row],[Kg_Queso_Blan]]</f>
        <v>2.0395E-2</v>
      </c>
      <c r="CF120" s="62">
        <f>+Tabla_master_rend[[#This Row],[Merma_TOT]]/Tabla_master_rend[[#This Row],[Kg_Queso_Blan]]</f>
        <v>2.7324318805077914E-2</v>
      </c>
      <c r="CG120" s="8">
        <f>CD120-Tabla_master_rend[[#This Row],[Merma_TOT]]</f>
        <v>-150.31861364999986</v>
      </c>
      <c r="CH120" s="81" cm="1">
        <f t="array" ref="CH120">-BR120 * IFERROR(INDEX('Precio Leche_EBITDA_Ventas'!$BD$87:$BD$110,MATCH(1,('Precio Leche_EBITDA_Ventas'!$AZ$87:$AZ$110=YEAR(A120))*('Precio Leche_EBITDA_Ventas'!$BB$87:$BB$110=C120),0)),1.3)</f>
        <v>-2151.6824999999994</v>
      </c>
      <c r="CI120" s="81">
        <f t="shared" si="36"/>
        <v>-195.41419774499983</v>
      </c>
    </row>
    <row r="121" spans="1:87" x14ac:dyDescent="0.35">
      <c r="A121" s="9">
        <v>45916</v>
      </c>
      <c r="B121" s="7">
        <v>9</v>
      </c>
      <c r="C121" s="7" t="str">
        <f>+UPPER(TEXT(Tabla_master_rend[[#This Row],[Fecha]],"MMM"))</f>
        <v>SEP</v>
      </c>
      <c r="D121" s="7" t="str">
        <f>+UPPER(TEXT(Tabla_master_rend[[#This Row],[Fecha]],"ddd"))</f>
        <v>MA</v>
      </c>
      <c r="E121" s="3">
        <v>160925316</v>
      </c>
      <c r="F121" s="3" t="s">
        <v>244</v>
      </c>
      <c r="G121" s="84" t="s">
        <v>299</v>
      </c>
      <c r="H121">
        <v>16</v>
      </c>
      <c r="I121" s="8">
        <f>+Tabla_master_rend[[#This Row],[L_Leche_ent]]+Tabla_master_rend[[#This Row],[L_desn_ext]]+Tabla_master_rend[[#This Row],[L_cabra]]+Tabla_master_rend[[#This Row],[L_oveja]]</f>
        <v>257928</v>
      </c>
      <c r="J121" s="8">
        <v>257928</v>
      </c>
      <c r="K121" s="5">
        <v>3.6200000000000003E-2</v>
      </c>
      <c r="L121" s="5">
        <v>3.3300000000000003E-2</v>
      </c>
      <c r="M121" s="5">
        <f t="shared" si="31"/>
        <v>0.106308</v>
      </c>
      <c r="N121" s="35" t="s">
        <v>188</v>
      </c>
      <c r="O121" s="8">
        <v>0</v>
      </c>
      <c r="P121" s="8">
        <v>0</v>
      </c>
      <c r="Q121" s="8">
        <v>0</v>
      </c>
      <c r="R121" s="8">
        <v>7662</v>
      </c>
      <c r="T121" s="8">
        <v>221350</v>
      </c>
      <c r="U121" s="38">
        <f>+Tabla_master_rend[[#This Row],[L_suero Total]]/Tabla_master_rend[[#This Row],[Litros_Leche_Total]]</f>
        <v>0.85818522998666291</v>
      </c>
      <c r="V121" s="5">
        <v>1E-3</v>
      </c>
      <c r="W121" s="5">
        <v>8.6E-3</v>
      </c>
      <c r="X121" s="8">
        <v>126122</v>
      </c>
      <c r="Y121" s="57">
        <v>42253</v>
      </c>
      <c r="Z121" s="58">
        <f>IF(Tabla_master_rend[[#This Row],[L_suero para con]]=0,0,+Tabla_master_rend[[#This Row],[L_suero para con]]/Tabla_master_rend[[#This Row],[L_suero_con]])</f>
        <v>2.9849241473978179</v>
      </c>
      <c r="AA121" s="8">
        <f>+Tabla_master_rend[[#This Row],[L_suero Total]]-Tabla_master_rend[[#This Row],[L_suero para con]]</f>
        <v>95228</v>
      </c>
      <c r="AD121" s="8"/>
      <c r="AE121" s="8"/>
      <c r="AF121" s="8"/>
      <c r="AG121" s="5"/>
      <c r="AI121" s="7">
        <f>+Tabla_master_rend[[#This Row],[Kg_Finos]]+Tabla_master_rend[[#This Row],[Kg_Llenadora]]+Tabla_master_rend[[#This Row],[Kg_Desmoldeo]]+Tabla_master_rend[[#This Row],[L_Agua]]+Tabla_master_rend[[#This Row],[Kg_SalidaSecadero]]</f>
        <v>27575.94</v>
      </c>
      <c r="AJ121" s="59">
        <f>+Tabla_master_rend[[#This Row],[Litros_Leche_Total]]/Tabla_master_rend[[#This Row],[Kg_Queso_Blan]]</f>
        <v>9.3533710908857515</v>
      </c>
      <c r="AK121" s="59">
        <f>+Tabla_master_rend[[#This Row],[Litros_Leche_Total]]/(Tabla_master_rend[[#This Row],[Kg_Queso_Blan]]-Tabla_master_rend[[#This Row],[Merma_TOT]])</f>
        <v>9.7092034687342252</v>
      </c>
      <c r="AL121" s="59">
        <f>VLOOKUP(G121,REND_TARGET[#All],8,FALSE)</f>
        <v>9.8078500000000002</v>
      </c>
      <c r="AM121" s="7">
        <f>(I121*1.03*Tabla_master_rend[[#This Row],[%MG_Leche]])+(I121*1.03*Tabla_master_rend[[#This Row],[%MP_Leche]])</f>
        <v>18463.775880000001</v>
      </c>
      <c r="AN121" s="38">
        <v>0.22120000000000001</v>
      </c>
      <c r="AO121" s="38">
        <v>0.24199999999999999</v>
      </c>
      <c r="AP121" s="60">
        <v>0.52290000000000003</v>
      </c>
      <c r="AQ121" s="38">
        <f>+Tabla_master_rend[[#This Row],[Kg_Queso_Blan]]*Tabla_master_rend[[#This Row],[ES_QUESO]]/(Tabla_master_rend[[#This Row],[Kg_Solidos_leche]])</f>
        <v>0.78095938337397108</v>
      </c>
      <c r="AR121" s="7">
        <f t="shared" si="32"/>
        <v>3064.8</v>
      </c>
      <c r="AS121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0.95294784086198092</v>
      </c>
      <c r="AT121" s="62">
        <f>+Tabla_master_rend[[#This Row],[Kg_Queso_Blan]]*Tabla_master_rend[[#This Row],[%PT_QUESO]]/(Tabla_master_rend[[#This Row],[Litros_Leche_Total]]*1.03*Tabla_master_rend[[#This Row],[%MP_Leche]])</f>
        <v>0.75433757733446671</v>
      </c>
      <c r="AU121" s="63">
        <f t="shared" si="33"/>
        <v>22986</v>
      </c>
      <c r="AV121" s="7">
        <v>35.94</v>
      </c>
      <c r="AW121" s="7">
        <v>80.8</v>
      </c>
      <c r="AX121" s="7">
        <v>83.2</v>
      </c>
      <c r="AY121" s="8">
        <f>SUM(Tabla_master_rend[[#This Row],[Kg_Finos]:[Kg_Desmoldeo]])</f>
        <v>199.94</v>
      </c>
      <c r="AZ121" s="60">
        <f>+(Tabla_master_rend[[#This Row],[Kg_Finos]]+Tabla_master_rend[[#This Row],[Kg_Llenadora]]+Tabla_master_rend[[#This Row],[Kg_Desmoldeo]])/(Tabla_master_rend[[#This Row],[Kg_Queso_Blan]])</f>
        <v>7.2505234635700548E-3</v>
      </c>
      <c r="BA121" s="7">
        <v>320</v>
      </c>
      <c r="BB121" s="60">
        <f>+Tabla_master_rend[[#This Row],[L_Agua]]/(Tabla_master_rend[[#This Row],[L_Agua]]+Tabla_master_rend[[#This Row],[Kg_SalidaSecadero]])</f>
        <v>1.1689070718877849E-2</v>
      </c>
      <c r="BC121" s="8">
        <v>3811</v>
      </c>
      <c r="BD121" s="8">
        <v>3729</v>
      </c>
      <c r="BE121" s="8">
        <v>26853</v>
      </c>
      <c r="BF121" s="8">
        <f>12*6.4</f>
        <v>76.800000000000011</v>
      </c>
      <c r="BG121" s="8">
        <f>44*6.4</f>
        <v>281.60000000000002</v>
      </c>
      <c r="BH121" s="7">
        <f>1*6.4</f>
        <v>6.4</v>
      </c>
      <c r="BI121" s="7">
        <f>23*6.4</f>
        <v>147.20000000000002</v>
      </c>
      <c r="BJ121" s="8">
        <v>86</v>
      </c>
      <c r="BK121" s="8">
        <v>27056</v>
      </c>
      <c r="BL121" s="8">
        <v>0</v>
      </c>
      <c r="BM121" s="8">
        <v>468.72</v>
      </c>
      <c r="BN121" s="7">
        <v>21.97</v>
      </c>
      <c r="BO121" s="68">
        <f>+SUM(Tabla_master_rend[[#This Row],[B_altas]:[B_lab]])/Tabla_master_rend[[#This Row],[Kg_SalidaSecadero]]</f>
        <v>2.2102306327616793E-2</v>
      </c>
      <c r="BP121" s="68">
        <f>+(Tabla_master_rend[[#This Row],[Kg_mer_env_real]]+Tabla_master_rend[[#This Row],[kg_mer_lab_real]])/Tabla_master_rend[[#This Row],[Kg_SalidaSecadero]]</f>
        <v>1.8136088113542285E-2</v>
      </c>
      <c r="BQ121" s="64">
        <f>+Tabla_master_rend[[#This Row],[Merma_TOT]]/Tabla_master_rend[[#This Row],[Kg_Queso_Blan]]</f>
        <v>3.6648977333138967E-2</v>
      </c>
      <c r="BR121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1010.6300000000001</v>
      </c>
      <c r="BS121" s="8">
        <v>27118.100000000006</v>
      </c>
      <c r="BT121" s="63">
        <f>IF(+Tabla_master_rend[[#This Row],[Kg_Env_Total]]=0,0,Tabla_master_rend[[#This Row],[Kg_Env_Total]]-Tabla_master_rend[[#This Row],[Kg_SalidaSecadero]])</f>
        <v>62.100000000005821</v>
      </c>
      <c r="BU121" s="60">
        <f>+Tabla_master_rend[[#This Row],[Diferencia_Env_vs_Sec_kg]]/Tabla_master_rend[[#This Row],[Kg_SalidaSecadero]]</f>
        <v>2.2952395032527283E-3</v>
      </c>
      <c r="BV121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21" s="65">
        <f>+(Tabla_master_rend[[#This Row],[Coste_Leche_€]]-Tabla_master_rend[[#This Row],[Kg_MG_Nata]]*$CO$3)/Tabla_master_rend[[#This Row],[Kg_Queso_Blan]]</f>
        <v>-0.83355272748635223</v>
      </c>
      <c r="BX121" s="8">
        <f>SUM(Tabla_master_rend[[#This Row],[Kg_Finos]:[Kg_Desmoldeo]])+Tabla_master_rend[[#This Row],[L_Agua]]+SUM(Tabla_master_rend[[#This Row],[B_altas]:[B_lab]])</f>
        <v>1117.94</v>
      </c>
      <c r="BY121" s="8">
        <f>+BX121-Tabla_master_rend[[#This Row],[Merma_TOT]]</f>
        <v>107.30999999999995</v>
      </c>
      <c r="BZ121" s="62">
        <f t="shared" si="34"/>
        <v>9.5989051290766889E-2</v>
      </c>
      <c r="CA121" s="8">
        <f>+Tabla_master_rend[[#This Row],[Kg_Queso_Blan]]*$CA$1</f>
        <v>179.24360999999999</v>
      </c>
      <c r="CB121" s="8">
        <f>+Tabla_master_rend[[#This Row],[Kg_Queso_Blan]]*($CB$1-$CA$1)</f>
        <v>96.51579000000001</v>
      </c>
      <c r="CC121" s="8">
        <f>+(Tabla_master_rend[[#This Row],[Kg_Queso_Blan]]-CA121-CB121)*$CC$1</f>
        <v>286.65189629999998</v>
      </c>
      <c r="CD121" s="8">
        <f t="shared" si="35"/>
        <v>562.4112963</v>
      </c>
      <c r="CE121" s="80">
        <f>+CD121/Tabla_master_rend[[#This Row],[Kg_Queso_Blan]]</f>
        <v>2.0395E-2</v>
      </c>
      <c r="CF121" s="62">
        <f>+Tabla_master_rend[[#This Row],[Merma_TOT]]/Tabla_master_rend[[#This Row],[Kg_Queso_Blan]]</f>
        <v>3.6648977333138967E-2</v>
      </c>
      <c r="CG121" s="8">
        <f>CD121-Tabla_master_rend[[#This Row],[Merma_TOT]]</f>
        <v>-448.21870370000011</v>
      </c>
      <c r="CH121" s="81" cm="1">
        <f t="array" ref="CH121">-BR121 * IFERROR(INDEX('Precio Leche_EBITDA_Ventas'!$BD$87:$BD$110,MATCH(1,('Precio Leche_EBITDA_Ventas'!$AZ$87:$AZ$110=YEAR(A121))*('Precio Leche_EBITDA_Ventas'!$BB$87:$BB$110=C121),0)),1.3)</f>
        <v>-3668.5869000000002</v>
      </c>
      <c r="CI121" s="81">
        <f t="shared" si="36"/>
        <v>-582.68431481000016</v>
      </c>
    </row>
    <row r="122" spans="1:87" x14ac:dyDescent="0.35">
      <c r="A122" s="9">
        <v>45918</v>
      </c>
      <c r="B122" s="7">
        <v>9</v>
      </c>
      <c r="C122" s="7" t="str">
        <f>+UPPER(TEXT(Tabla_master_rend[[#This Row],[Fecha]],"MMM"))</f>
        <v>SEP</v>
      </c>
      <c r="D122" s="7" t="str">
        <f>+UPPER(TEXT(Tabla_master_rend[[#This Row],[Fecha]],"ddd"))</f>
        <v>JU</v>
      </c>
      <c r="E122" s="3">
        <v>180925316</v>
      </c>
      <c r="F122" s="3" t="s">
        <v>244</v>
      </c>
      <c r="G122" s="84" t="s">
        <v>299</v>
      </c>
      <c r="H122">
        <v>12</v>
      </c>
      <c r="I122" s="8">
        <f>+Tabla_master_rend[[#This Row],[L_Leche_ent]]+Tabla_master_rend[[#This Row],[L_desn_ext]]+Tabla_master_rend[[#This Row],[L_cabra]]+Tabla_master_rend[[#This Row],[L_oveja]]</f>
        <v>192579</v>
      </c>
      <c r="J122" s="8">
        <v>192579</v>
      </c>
      <c r="K122" s="5">
        <v>3.95E-2</v>
      </c>
      <c r="L122" s="5">
        <v>3.3799999999999997E-2</v>
      </c>
      <c r="M122" s="5">
        <f t="shared" ref="M122:M153" si="37">0.93*K122+0.74*L122+0.048</f>
        <v>0.109747</v>
      </c>
      <c r="N122" s="35" t="s">
        <v>188</v>
      </c>
      <c r="O122" s="8">
        <v>0</v>
      </c>
      <c r="P122" s="8">
        <v>0</v>
      </c>
      <c r="Q122" s="8">
        <v>0</v>
      </c>
      <c r="R122" s="8">
        <v>7289</v>
      </c>
      <c r="T122" s="8">
        <v>172980</v>
      </c>
      <c r="U122" s="38">
        <f>+Tabla_master_rend[[#This Row],[L_suero Total]]/Tabla_master_rend[[#This Row],[Litros_Leche_Total]]</f>
        <v>0.89822877883881425</v>
      </c>
      <c r="V122" s="5">
        <v>8.0000000000000004E-4</v>
      </c>
      <c r="W122" s="5">
        <v>8.3999999999999995E-3</v>
      </c>
      <c r="X122" s="8">
        <v>134534</v>
      </c>
      <c r="Y122" s="57">
        <v>44021</v>
      </c>
      <c r="Z122" s="58">
        <f>IF(Tabla_master_rend[[#This Row],[L_suero para con]]=0,0,+Tabla_master_rend[[#This Row],[L_suero para con]]/Tabla_master_rend[[#This Row],[L_suero_con]])</f>
        <v>3.0561323004929464</v>
      </c>
      <c r="AA122" s="8">
        <f>+Tabla_master_rend[[#This Row],[L_suero Total]]-Tabla_master_rend[[#This Row],[L_suero para con]]</f>
        <v>38446</v>
      </c>
      <c r="AD122" s="8"/>
      <c r="AE122" s="8"/>
      <c r="AF122" s="8"/>
      <c r="AG122" s="5"/>
      <c r="AI122" s="7">
        <f>+Tabla_master_rend[[#This Row],[Kg_Finos]]+Tabla_master_rend[[#This Row],[Kg_Llenadora]]+Tabla_master_rend[[#This Row],[Kg_Desmoldeo]]+Tabla_master_rend[[#This Row],[L_Agua]]+Tabla_master_rend[[#This Row],[Kg_SalidaSecadero]]</f>
        <v>21058.28</v>
      </c>
      <c r="AJ122" s="59">
        <f>+Tabla_master_rend[[#This Row],[Litros_Leche_Total]]/Tabla_master_rend[[#This Row],[Kg_Queso_Blan]]</f>
        <v>9.1450488833845878</v>
      </c>
      <c r="AK122" s="59">
        <f>+Tabla_master_rend[[#This Row],[Litros_Leche_Total]]/(Tabla_master_rend[[#This Row],[Kg_Queso_Blan]]-Tabla_master_rend[[#This Row],[Merma_TOT]])</f>
        <v>9.4772756800170086</v>
      </c>
      <c r="AL122" s="59">
        <f>VLOOKUP(G122,REND_TARGET[#All],8,FALSE)</f>
        <v>9.8078500000000002</v>
      </c>
      <c r="AM122" s="7">
        <f>(I122*1.03*Tabla_master_rend[[#This Row],[%MG_Leche]])+(I122*1.03*Tabla_master_rend[[#This Row],[%MP_Leche]])</f>
        <v>14539.521921</v>
      </c>
      <c r="AN122" s="38">
        <v>0.22059999999999999</v>
      </c>
      <c r="AO122" s="38">
        <v>0.24379999999999999</v>
      </c>
      <c r="AP122" s="60">
        <v>0.52190000000000003</v>
      </c>
      <c r="AQ122" s="38">
        <f>+Tabla_master_rend[[#This Row],[Kg_Queso_Blan]]*Tabla_master_rend[[#This Row],[ES_QUESO]]/(Tabla_master_rend[[#This Row],[Kg_Solidos_leche]])</f>
        <v>0.75589255215649542</v>
      </c>
      <c r="AR122" s="7">
        <f t="shared" ref="AR122:AR153" si="38">R122*0.4</f>
        <v>2915.6000000000004</v>
      </c>
      <c r="AS122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0.96502650063747974</v>
      </c>
      <c r="AT122" s="62">
        <f>+Tabla_master_rend[[#This Row],[Kg_Queso_Blan]]*Tabla_master_rend[[#This Row],[%PT_QUESO]]/(Tabla_master_rend[[#This Row],[Litros_Leche_Total]]*1.03*Tabla_master_rend[[#This Row],[%MP_Leche]])</f>
        <v>0.76576188329934292</v>
      </c>
      <c r="AU122" s="63">
        <f t="shared" ref="AU122:AU153" si="39">AR122*$CO$3</f>
        <v>21867.000000000004</v>
      </c>
      <c r="AV122" s="7">
        <v>25.18</v>
      </c>
      <c r="AW122" s="7">
        <v>132.4</v>
      </c>
      <c r="AX122" s="7">
        <v>45.7</v>
      </c>
      <c r="AY122" s="8">
        <f>SUM(Tabla_master_rend[[#This Row],[Kg_Finos]:[Kg_Desmoldeo]])</f>
        <v>203.28000000000003</v>
      </c>
      <c r="AZ122" s="60">
        <f>+(Tabla_master_rend[[#This Row],[Kg_Finos]]+Tabla_master_rend[[#This Row],[Kg_Llenadora]]+Tabla_master_rend[[#This Row],[Kg_Desmoldeo]])/(Tabla_master_rend[[#This Row],[Kg_Queso_Blan]])</f>
        <v>9.653210043745265E-3</v>
      </c>
      <c r="BA122" s="7">
        <v>190</v>
      </c>
      <c r="BB122" s="60">
        <f>+Tabla_master_rend[[#This Row],[L_Agua]]/(Tabla_master_rend[[#This Row],[L_Agua]]+Tabla_master_rend[[#This Row],[Kg_SalidaSecadero]])</f>
        <v>9.1105250539438975E-3</v>
      </c>
      <c r="BC122" s="8">
        <v>2909</v>
      </c>
      <c r="BD122" s="8">
        <v>2836</v>
      </c>
      <c r="BE122" s="8">
        <v>20381</v>
      </c>
      <c r="BF122" s="8">
        <v>0</v>
      </c>
      <c r="BG122" s="8">
        <f>38*6.6</f>
        <v>250.79999999999998</v>
      </c>
      <c r="BH122" s="7">
        <f>2*6.6</f>
        <v>13.2</v>
      </c>
      <c r="BI122" s="7">
        <f>22*6.6</f>
        <v>145.19999999999999</v>
      </c>
      <c r="BJ122" s="8">
        <v>67</v>
      </c>
      <c r="BK122" s="8">
        <v>20665</v>
      </c>
      <c r="BL122" s="8">
        <v>0</v>
      </c>
      <c r="BM122" s="8">
        <v>334.09</v>
      </c>
      <c r="BN122" s="7">
        <v>10.83</v>
      </c>
      <c r="BO122" s="68">
        <f>+SUM(Tabla_master_rend[[#This Row],[B_altas]:[B_lab]])/Tabla_master_rend[[#This Row],[Kg_SalidaSecadero]]</f>
        <v>2.3043793854343093E-2</v>
      </c>
      <c r="BP122" s="68">
        <f>+(Tabla_master_rend[[#This Row],[Kg_mer_env_real]]+Tabla_master_rend[[#This Row],[kg_mer_lab_real]])/Tabla_master_rend[[#This Row],[Kg_SalidaSecadero]]</f>
        <v>1.6691023469634646E-2</v>
      </c>
      <c r="BQ122" s="64">
        <f>+Tabla_master_rend[[#This Row],[Merma_TOT]]/Tabla_master_rend[[#This Row],[Kg_Queso_Blan]]</f>
        <v>3.5055094718087133E-2</v>
      </c>
      <c r="BR122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738.19999999999993</v>
      </c>
      <c r="BS122" s="8">
        <v>20665</v>
      </c>
      <c r="BT122" s="63">
        <f>IF(+Tabla_master_rend[[#This Row],[Kg_Env_Total]]=0,0,Tabla_master_rend[[#This Row],[Kg_Env_Total]]-Tabla_master_rend[[#This Row],[Kg_SalidaSecadero]])</f>
        <v>0</v>
      </c>
      <c r="BU122" s="60">
        <f>+Tabla_master_rend[[#This Row],[Diferencia_Env_vs_Sec_kg]]/Tabla_master_rend[[#This Row],[Kg_SalidaSecadero]]</f>
        <v>0</v>
      </c>
      <c r="BV122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22" s="65">
        <f>+(Tabla_master_rend[[#This Row],[Coste_Leche_€]]-Tabla_master_rend[[#This Row],[Kg_MG_Nata]]*$CO$3)/Tabla_master_rend[[#This Row],[Kg_Queso_Blan]]</f>
        <v>-1.0384038962346405</v>
      </c>
      <c r="BX122" s="8">
        <f>SUM(Tabla_master_rend[[#This Row],[Kg_Finos]:[Kg_Desmoldeo]])+Tabla_master_rend[[#This Row],[L_Agua]]+SUM(Tabla_master_rend[[#This Row],[B_altas]:[B_lab]])</f>
        <v>869.48</v>
      </c>
      <c r="BY122" s="8">
        <f>+BX122-Tabla_master_rend[[#This Row],[Merma_TOT]]</f>
        <v>131.28000000000009</v>
      </c>
      <c r="BZ122" s="62">
        <f t="shared" ref="BZ122:BZ153" si="40">+BY122/BX122</f>
        <v>0.15098679670607729</v>
      </c>
      <c r="CA122" s="8">
        <f>+Tabla_master_rend[[#This Row],[Kg_Queso_Blan]]*$CA$1</f>
        <v>136.87881999999999</v>
      </c>
      <c r="CB122" s="8">
        <f>+Tabla_master_rend[[#This Row],[Kg_Queso_Blan]]*($CB$1-$CA$1)</f>
        <v>73.703980000000001</v>
      </c>
      <c r="CC122" s="8">
        <f>+(Tabla_master_rend[[#This Row],[Kg_Queso_Blan]]-CA122-CB122)*$CC$1</f>
        <v>218.9008206</v>
      </c>
      <c r="CD122" s="8">
        <f t="shared" ref="CD122:CD153" si="41">+CA122+CB122+CC122</f>
        <v>429.48362059999999</v>
      </c>
      <c r="CE122" s="80">
        <f>+CD122/Tabla_master_rend[[#This Row],[Kg_Queso_Blan]]</f>
        <v>2.0395E-2</v>
      </c>
      <c r="CF122" s="62">
        <f>+Tabla_master_rend[[#This Row],[Merma_TOT]]/Tabla_master_rend[[#This Row],[Kg_Queso_Blan]]</f>
        <v>3.5055094718087133E-2</v>
      </c>
      <c r="CG122" s="8">
        <f>CD122-Tabla_master_rend[[#This Row],[Merma_TOT]]</f>
        <v>-308.71637939999994</v>
      </c>
      <c r="CH122" s="81" cm="1">
        <f t="array" ref="CH122">-BR122 * IFERROR(INDEX('Precio Leche_EBITDA_Ventas'!$BD$87:$BD$110,MATCH(1,('Precio Leche_EBITDA_Ventas'!$AZ$87:$AZ$110=YEAR(A122))*('Precio Leche_EBITDA_Ventas'!$BB$87:$BB$110=C122),0)),1.3)</f>
        <v>-2679.6659999999997</v>
      </c>
      <c r="CI122" s="81">
        <f t="shared" ref="CI122:CI153" si="42">+CG122*$CM$2</f>
        <v>-401.33129321999991</v>
      </c>
    </row>
    <row r="123" spans="1:87" x14ac:dyDescent="0.35">
      <c r="A123" s="9">
        <v>45922</v>
      </c>
      <c r="B123" s="7">
        <v>9</v>
      </c>
      <c r="C123" s="7" t="str">
        <f>+UPPER(TEXT(Tabla_master_rend[[#This Row],[Fecha]],"MMM"))</f>
        <v>SEP</v>
      </c>
      <c r="D123" s="7" t="str">
        <f>+UPPER(TEXT(Tabla_master_rend[[#This Row],[Fecha]],"ddd"))</f>
        <v>LU</v>
      </c>
      <c r="E123" s="3">
        <v>220925146</v>
      </c>
      <c r="F123" s="3" t="s">
        <v>244</v>
      </c>
      <c r="G123" s="84" t="s">
        <v>40</v>
      </c>
      <c r="H123">
        <v>14</v>
      </c>
      <c r="I123" s="8">
        <f>+Tabla_master_rend[[#This Row],[L_Leche_ent]]+Tabla_master_rend[[#This Row],[L_desn_ext]]+Tabla_master_rend[[#This Row],[L_cabra]]+Tabla_master_rend[[#This Row],[L_oveja]]</f>
        <v>230804</v>
      </c>
      <c r="J123" s="8">
        <v>230804</v>
      </c>
      <c r="K123" s="5">
        <v>3.6900000000000002E-2</v>
      </c>
      <c r="L123" s="5">
        <v>3.3000000000000002E-2</v>
      </c>
      <c r="M123" s="5">
        <f t="shared" si="37"/>
        <v>0.10673700000000001</v>
      </c>
      <c r="N123" s="35" t="s">
        <v>43</v>
      </c>
      <c r="O123" s="8">
        <v>0</v>
      </c>
      <c r="P123" s="8">
        <v>0</v>
      </c>
      <c r="Q123" s="8">
        <v>0</v>
      </c>
      <c r="R123" s="8">
        <v>1633</v>
      </c>
      <c r="T123" s="8">
        <v>194430</v>
      </c>
      <c r="U123" s="38">
        <f>+Tabla_master_rend[[#This Row],[L_suero Total]]/Tabla_master_rend[[#This Row],[Litros_Leche_Total]]</f>
        <v>0.84240307793625757</v>
      </c>
      <c r="V123" s="5">
        <v>2.5000000000000001E-3</v>
      </c>
      <c r="W123" s="5">
        <v>9.4999999999999998E-3</v>
      </c>
      <c r="X123" s="8">
        <f>149843/(194430+13800)*194430</f>
        <v>139912.47413917305</v>
      </c>
      <c r="Y123" s="57">
        <f>56815/(194430+13800)*194430</f>
        <v>53049.706814580029</v>
      </c>
      <c r="Z123" s="58">
        <f>IF(Tabla_master_rend[[#This Row],[L_suero para con]]=0,0,+Tabla_master_rend[[#This Row],[L_suero para con]]/Tabla_master_rend[[#This Row],[L_suero_con]])</f>
        <v>2.6373844935316382</v>
      </c>
      <c r="AA123" s="8">
        <f>+Tabla_master_rend[[#This Row],[L_suero Total]]-Tabla_master_rend[[#This Row],[L_suero para con]]</f>
        <v>54517.525860826951</v>
      </c>
      <c r="AD123" s="8"/>
      <c r="AE123" s="8"/>
      <c r="AF123" s="8"/>
      <c r="AG123" s="5"/>
      <c r="AI123" s="7">
        <f>+Tabla_master_rend[[#This Row],[Kg_Finos]]+Tabla_master_rend[[#This Row],[Kg_Llenadora]]+Tabla_master_rend[[#This Row],[Kg_Desmoldeo]]+Tabla_master_rend[[#This Row],[L_Agua]]+Tabla_master_rend[[#This Row],[Kg_SalidaSecadero]]</f>
        <v>26685.296292529674</v>
      </c>
      <c r="AJ123" s="59">
        <f>+Tabla_master_rend[[#This Row],[Litros_Leche_Total]]/Tabla_master_rend[[#This Row],[Kg_Queso_Blan]]</f>
        <v>8.6491076385242032</v>
      </c>
      <c r="AK123" s="59">
        <f>+Tabla_master_rend[[#This Row],[Litros_Leche_Total]]/(Tabla_master_rend[[#This Row],[Kg_Queso_Blan]]-Tabla_master_rend[[#This Row],[Merma_TOT]])</f>
        <v>8.8214653093472499</v>
      </c>
      <c r="AL123" s="59">
        <f>VLOOKUP(G123,REND_TARGET[#All],8,FALSE)</f>
        <v>8.9338729999999984</v>
      </c>
      <c r="AM123" s="7">
        <f>(I123*1.03*Tabla_master_rend[[#This Row],[%MG_Leche]])+(I123*1.03*Tabla_master_rend[[#This Row],[%MP_Leche]])</f>
        <v>16617.195588000002</v>
      </c>
      <c r="AN123" s="38">
        <v>0.26590000000000003</v>
      </c>
      <c r="AO123" s="38">
        <v>0.22059999999999999</v>
      </c>
      <c r="AP123" s="60">
        <v>0.56510000000000005</v>
      </c>
      <c r="AQ123" s="38">
        <f>+Tabla_master_rend[[#This Row],[Kg_Queso_Blan]]*Tabla_master_rend[[#This Row],[ES_QUESO]]/(Tabla_master_rend[[#This Row],[Kg_Solidos_leche]])</f>
        <v>0.90748531273221222</v>
      </c>
      <c r="AR123" s="7">
        <f t="shared" si="38"/>
        <v>653.20000000000005</v>
      </c>
      <c r="AS123" s="61">
        <f>+(Tabla_master_rend[[#This Row],[Kg_Queso_Blan]]*Tabla_master_rend[[#This Row],[%MG_QUESO]]+(Tabla_master_rend[[#This Row],[Kg_MG_Nata]]))/(Tabla_master_rend[[#This Row],[Litros_Leche_Total]]*1.03*Tabla_master_rend[[#This Row],[%MG_Leche]])</f>
        <v>0.88334156536750119</v>
      </c>
      <c r="AT123" s="62">
        <f>+Tabla_master_rend[[#This Row],[Kg_Queso_Blan]]*Tabla_master_rend[[#This Row],[%PT_QUESO]]/(Tabla_master_rend[[#This Row],[Litros_Leche_Total]]*1.03*Tabla_master_rend[[#This Row],[%MP_Leche]])</f>
        <v>0.75038309514604273</v>
      </c>
      <c r="AU123" s="63">
        <f t="shared" si="39"/>
        <v>4899</v>
      </c>
      <c r="AV123" s="7">
        <v>57.896292529675627</v>
      </c>
      <c r="AW123" s="7">
        <v>56.7</v>
      </c>
      <c r="AX123" s="7">
        <v>46.7</v>
      </c>
      <c r="AY123" s="8">
        <f>SUM(Tabla_master_rend[[#This Row],[Kg_Finos]:[Kg_Desmoldeo]])</f>
        <v>161.29629252967561</v>
      </c>
      <c r="AZ123" s="60">
        <f>+(Tabla_master_rend[[#This Row],[Kg_Finos]]+Tabla_master_rend[[#This Row],[Kg_Llenadora]]+Tabla_master_rend[[#This Row],[Kg_Desmoldeo]])/(Tabla_master_rend[[#This Row],[Kg_Queso_Blan]])</f>
        <v>6.0443882938946104E-3</v>
      </c>
      <c r="BA123" s="7">
        <v>200</v>
      </c>
      <c r="BB123" s="60">
        <f>+Tabla_master_rend[[#This Row],[L_Agua]]/(Tabla_master_rend[[#This Row],[L_Agua]]+Tabla_master_rend[[#This Row],[Kg_SalidaSecadero]])</f>
        <v>7.5403408234052177E-3</v>
      </c>
      <c r="BC123" s="8">
        <v>3727</v>
      </c>
      <c r="BD123" s="8">
        <v>3671</v>
      </c>
      <c r="BE123" s="8">
        <v>26162</v>
      </c>
      <c r="BF123" s="8">
        <f>209*6.6</f>
        <v>1379.3999999999999</v>
      </c>
      <c r="BG123" s="8">
        <f>14*6.6</f>
        <v>92.399999999999991</v>
      </c>
      <c r="BH123" s="7">
        <f>11*6.6</f>
        <v>72.599999999999994</v>
      </c>
      <c r="BI123" s="7">
        <f>3*6.6</f>
        <v>19.799999999999997</v>
      </c>
      <c r="BJ123" s="8">
        <v>177</v>
      </c>
      <c r="BK123" s="8">
        <v>26324</v>
      </c>
      <c r="BL123" s="8">
        <v>0</v>
      </c>
      <c r="BM123" s="8">
        <v>102.83276846110485</v>
      </c>
      <c r="BN123" s="7">
        <v>57.26</v>
      </c>
      <c r="BO123" s="68">
        <f>+SUM(Tabla_master_rend[[#This Row],[B_altas]:[B_lab]])/Tabla_master_rend[[#This Row],[Kg_SalidaSecadero]]</f>
        <v>6.6144962771615246E-2</v>
      </c>
      <c r="BP123" s="68">
        <f>+(Tabla_master_rend[[#This Row],[Kg_mer_env_real]]+Tabla_master_rend[[#This Row],[kg_mer_lab_real]])/Tabla_master_rend[[#This Row],[Kg_SalidaSecadero]]</f>
        <v>6.0816277336690795E-3</v>
      </c>
      <c r="BQ123" s="64">
        <f>+Tabla_master_rend[[#This Row],[Merma_TOT]]/Tabla_master_rend[[#This Row],[Kg_Queso_Blan]]</f>
        <v>1.9538440018623249E-2</v>
      </c>
      <c r="BR123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521.38906099078042</v>
      </c>
      <c r="BS123" s="8">
        <v>26123.670000000002</v>
      </c>
      <c r="BT123" s="63">
        <f>IF(+Tabla_master_rend[[#This Row],[Kg_Env_Total]]=0,0,Tabla_master_rend[[#This Row],[Kg_Env_Total]]-Tabla_master_rend[[#This Row],[Kg_SalidaSecadero]])</f>
        <v>-200.32999999999811</v>
      </c>
      <c r="BU123" s="60">
        <f>+Tabla_master_rend[[#This Row],[Diferencia_Env_vs_Sec_kg]]/Tabla_master_rend[[#This Row],[Kg_SalidaSecadero]]</f>
        <v>-7.6101656283238906E-3</v>
      </c>
      <c r="BV123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23" s="65">
        <f>+(Tabla_master_rend[[#This Row],[Coste_Leche_€]]-Tabla_master_rend[[#This Row],[Kg_MG_Nata]]*$CO$3)/Tabla_master_rend[[#This Row],[Kg_Queso_Blan]]</f>
        <v>-0.18358424603182819</v>
      </c>
      <c r="BX123" s="8">
        <f>SUM(Tabla_master_rend[[#This Row],[Kg_Finos]:[Kg_Desmoldeo]])+Tabla_master_rend[[#This Row],[L_Agua]]+SUM(Tabla_master_rend[[#This Row],[B_altas]:[B_lab]])</f>
        <v>2102.4962925296754</v>
      </c>
      <c r="BY123" s="8">
        <f>+BX123-Tabla_master_rend[[#This Row],[Merma_TOT]]</f>
        <v>1581.1072315388951</v>
      </c>
      <c r="BZ123" s="62">
        <f t="shared" si="40"/>
        <v>0.75201427805446597</v>
      </c>
      <c r="CA123" s="8">
        <f>+Tabla_master_rend[[#This Row],[Kg_Queso_Blan]]*$CA$1</f>
        <v>173.45442590144287</v>
      </c>
      <c r="CB123" s="8">
        <f>+Tabla_master_rend[[#This Row],[Kg_Queso_Blan]]*($CB$1-$CA$1)</f>
        <v>93.398537023853876</v>
      </c>
      <c r="CC123" s="8">
        <f>+(Tabla_master_rend[[#This Row],[Kg_Queso_Blan]]-CA123-CB123)*$CC$1</f>
        <v>277.39365496084594</v>
      </c>
      <c r="CD123" s="8">
        <f t="shared" si="41"/>
        <v>544.24661788614276</v>
      </c>
      <c r="CE123" s="80">
        <f>+CD123/Tabla_master_rend[[#This Row],[Kg_Queso_Blan]]</f>
        <v>2.0395000000000003E-2</v>
      </c>
      <c r="CF123" s="62">
        <f>+Tabla_master_rend[[#This Row],[Merma_TOT]]/Tabla_master_rend[[#This Row],[Kg_Queso_Blan]]</f>
        <v>1.9538440018623249E-2</v>
      </c>
      <c r="CG123" s="8">
        <f>CD123-Tabla_master_rend[[#This Row],[Merma_TOT]]</f>
        <v>22.857556895362336</v>
      </c>
      <c r="CH123" s="81" cm="1">
        <f t="array" ref="CH123">-BR123 * IFERROR(INDEX('Precio Leche_EBITDA_Ventas'!$BD$87:$BD$110,MATCH(1,('Precio Leche_EBITDA_Ventas'!$AZ$87:$AZ$110=YEAR(A123))*('Precio Leche_EBITDA_Ventas'!$BB$87:$BB$110=C123),0)),1.3)</f>
        <v>-1892.642291396533</v>
      </c>
      <c r="CI123" s="81">
        <f t="shared" si="42"/>
        <v>29.714823963971039</v>
      </c>
    </row>
    <row r="124" spans="1:87" x14ac:dyDescent="0.35">
      <c r="A124" s="9">
        <v>45922</v>
      </c>
      <c r="B124" s="7">
        <v>9</v>
      </c>
      <c r="C124" s="7" t="str">
        <f>+UPPER(TEXT(Tabla_master_rend[[#This Row],[Fecha]],"MMM"))</f>
        <v>SEP</v>
      </c>
      <c r="D124" s="7" t="str">
        <f>+UPPER(TEXT(Tabla_master_rend[[#This Row],[Fecha]],"ddd"))</f>
        <v>LU</v>
      </c>
      <c r="E124" s="3">
        <v>220925126</v>
      </c>
      <c r="F124" s="3" t="s">
        <v>244</v>
      </c>
      <c r="G124" s="84" t="s">
        <v>301</v>
      </c>
      <c r="H124">
        <v>1</v>
      </c>
      <c r="I124" s="8">
        <f>+Tabla_master_rend[[#This Row],[L_Leche_ent]]+Tabla_master_rend[[#This Row],[L_desn_ext]]+Tabla_master_rend[[#This Row],[L_cabra]]+Tabla_master_rend[[#This Row],[L_oveja]]</f>
        <v>16200</v>
      </c>
      <c r="J124" s="8">
        <v>16200</v>
      </c>
      <c r="K124" s="5">
        <v>4.07E-2</v>
      </c>
      <c r="L124" s="5">
        <v>3.3700000000000001E-2</v>
      </c>
      <c r="M124" s="5">
        <f t="shared" si="37"/>
        <v>0.11078900000000001</v>
      </c>
      <c r="N124" s="35" t="s">
        <v>43</v>
      </c>
      <c r="O124" s="8">
        <v>0</v>
      </c>
      <c r="P124" s="8">
        <v>0</v>
      </c>
      <c r="Q124" s="8">
        <v>0</v>
      </c>
      <c r="R124" s="8">
        <v>295</v>
      </c>
      <c r="T124" s="8">
        <v>13800</v>
      </c>
      <c r="U124" s="38">
        <f>+Tabla_master_rend[[#This Row],[L_suero Total]]/Tabla_master_rend[[#This Row],[Litros_Leche_Total]]</f>
        <v>0.85185185185185186</v>
      </c>
      <c r="V124" s="5">
        <v>2.5000000000000001E-3</v>
      </c>
      <c r="W124" s="5">
        <v>9.4999999999999998E-3</v>
      </c>
      <c r="X124" s="8">
        <f>149843/(194430+13800)*13800</f>
        <v>9930.5258608269705</v>
      </c>
      <c r="Y124" s="57">
        <f>56815/(194430+13800)*13800</f>
        <v>3765.2931854199683</v>
      </c>
      <c r="Z124" s="58">
        <f>IF(Tabla_master_rend[[#This Row],[L_suero para con]]=0,0,+Tabla_master_rend[[#This Row],[L_suero para con]]/Tabla_master_rend[[#This Row],[L_suero_con]])</f>
        <v>2.6373844935316377</v>
      </c>
      <c r="AA124" s="8">
        <f>+Tabla_master_rend[[#This Row],[L_suero Total]]-Tabla_master_rend[[#This Row],[L_suero para con]]</f>
        <v>3869.4741391730295</v>
      </c>
      <c r="AD124" s="8"/>
      <c r="AE124" s="8"/>
      <c r="AF124" s="8"/>
      <c r="AG124" s="5"/>
      <c r="AI124" s="7">
        <f>+Tabla_master_rend[[#This Row],[Kg_Finos]]+Tabla_master_rend[[#This Row],[Kg_Llenadora]]+Tabla_master_rend[[#This Row],[Kg_Desmoldeo]]+Tabla_master_rend[[#This Row],[L_Agua]]+Tabla_master_rend[[#This Row],[Kg_SalidaSecadero]]</f>
        <v>1699.0637074703243</v>
      </c>
      <c r="AJ124" s="59">
        <f>+Tabla_master_rend[[#This Row],[Litros_Leche_Total]]/Tabla_master_rend[[#This Row],[Kg_Queso_Blan]]</f>
        <v>9.5346630787138675</v>
      </c>
      <c r="AK124" s="59">
        <f>+Tabla_master_rend[[#This Row],[Litros_Leche_Total]]/(Tabla_master_rend[[#This Row],[Kg_Queso_Blan]]-Tabla_master_rend[[#This Row],[Merma_TOT]])</f>
        <v>9.7826514152320101</v>
      </c>
      <c r="AL124" s="59">
        <f>VLOOKUP(G124,REND_TARGET[#All],8,FALSE)</f>
        <v>9.3549429999999987</v>
      </c>
      <c r="AM124" s="7">
        <f>(I124*1.03*Tabla_master_rend[[#This Row],[%MG_Leche]])+(I124*1.03*Tabla_master_rend[[#This Row],[%MP_Leche]])</f>
        <v>1241.4384</v>
      </c>
      <c r="AN124" s="38">
        <v>0.29760000000000003</v>
      </c>
      <c r="AO124" s="38">
        <v>0.2382</v>
      </c>
      <c r="AP124" s="60">
        <v>0.58069999999999999</v>
      </c>
      <c r="AQ124" s="38">
        <f>+Tabla_master_rend[[#This Row],[Kg_Queso_Blan]]*Tabla_master_rend[[#This Row],[ES_QUESO]]/(Tabla_master_rend[[#This Row],[Kg_Solidos_leche]])</f>
        <v>0.794760573644264</v>
      </c>
      <c r="AR124" s="7">
        <f t="shared" si="38"/>
        <v>118</v>
      </c>
      <c r="AS124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0.91830777429852417</v>
      </c>
      <c r="AT124" s="62">
        <f>+Tabla_master_rend[[#This Row],[Kg_Queso_Blan]]*Tabla_master_rend[[#This Row],[%PT_QUESO]]/(Tabla_master_rend[[#This Row],[Litros_Leche_Total]]*1.03*Tabla_master_rend[[#This Row],[%MP_Leche]])</f>
        <v>0.71972946121863246</v>
      </c>
      <c r="AU124" s="63">
        <f t="shared" si="39"/>
        <v>885</v>
      </c>
      <c r="AV124" s="7">
        <v>4.063707470324367</v>
      </c>
      <c r="AW124" s="7">
        <v>4</v>
      </c>
      <c r="AX124" s="7">
        <v>0</v>
      </c>
      <c r="AY124" s="8">
        <f>SUM(Tabla_master_rend[[#This Row],[Kg_Finos]:[Kg_Desmoldeo]])</f>
        <v>8.063707470324367</v>
      </c>
      <c r="AZ124" s="60">
        <f>+(Tabla_master_rend[[#This Row],[Kg_Finos]]+Tabla_master_rend[[#This Row],[Kg_Llenadora]]+Tabla_master_rend[[#This Row],[Kg_Desmoldeo]])/(Tabla_master_rend[[#This Row],[Kg_Queso_Blan]])</f>
        <v>4.7459712280772184E-3</v>
      </c>
      <c r="BA124" s="7">
        <v>25</v>
      </c>
      <c r="BB124" s="60">
        <f>+Tabla_master_rend[[#This Row],[L_Agua]]/(Tabla_master_rend[[#This Row],[L_Agua]]+Tabla_master_rend[[#This Row],[Kg_SalidaSecadero]])</f>
        <v>1.478415138971023E-2</v>
      </c>
      <c r="BC124" s="8">
        <v>234</v>
      </c>
      <c r="BD124" s="8">
        <v>221</v>
      </c>
      <c r="BE124" s="8">
        <v>1607</v>
      </c>
      <c r="BF124" s="8">
        <v>0</v>
      </c>
      <c r="BG124" s="8">
        <f>7*6.5</f>
        <v>45.5</v>
      </c>
      <c r="BH124" s="7">
        <f>2*6.5</f>
        <v>13</v>
      </c>
      <c r="BI124" s="7">
        <f>1*6.5</f>
        <v>6.5</v>
      </c>
      <c r="BJ124" s="8">
        <v>19</v>
      </c>
      <c r="BK124" s="8">
        <v>1666</v>
      </c>
      <c r="BL124" s="8">
        <v>0</v>
      </c>
      <c r="BM124" s="8">
        <v>6.5472315388951525</v>
      </c>
      <c r="BN124" s="7">
        <v>3.46</v>
      </c>
      <c r="BO124" s="68">
        <f>+SUM(Tabla_master_rend[[#This Row],[B_altas]:[B_lab]])/Tabla_master_rend[[#This Row],[Kg_SalidaSecadero]]</f>
        <v>5.0420168067226892E-2</v>
      </c>
      <c r="BP124" s="68">
        <f>+(Tabla_master_rend[[#This Row],[Kg_mer_env_real]]+Tabla_master_rend[[#This Row],[kg_mer_lab_real]])/Tabla_master_rend[[#This Row],[Kg_SalidaSecadero]]</f>
        <v>6.0067416199850853E-3</v>
      </c>
      <c r="BQ124" s="64">
        <f>+Tabla_master_rend[[#This Row],[Merma_TOT]]/Tabla_master_rend[[#This Row],[Kg_Queso_Blan]]</f>
        <v>2.5349808144243348E-2</v>
      </c>
      <c r="BR124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43.070939009219522</v>
      </c>
      <c r="BS124" s="8">
        <v>1678.9099999999999</v>
      </c>
      <c r="BT124" s="63">
        <f>IF(+Tabla_master_rend[[#This Row],[Kg_Env_Total]]=0,0,Tabla_master_rend[[#This Row],[Kg_Env_Total]]-Tabla_master_rend[[#This Row],[Kg_SalidaSecadero]])</f>
        <v>12.909999999999854</v>
      </c>
      <c r="BU124" s="60">
        <f>+Tabla_master_rend[[#This Row],[Diferencia_Env_vs_Sec_kg]]/Tabla_master_rend[[#This Row],[Kg_SalidaSecadero]]</f>
        <v>7.7490996398558547E-3</v>
      </c>
      <c r="BV124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24" s="65">
        <f>+(Tabla_master_rend[[#This Row],[Coste_Leche_€]]-Tabla_master_rend[[#This Row],[Kg_MG_Nata]]*$CO$3)/Tabla_master_rend[[#This Row],[Kg_Queso_Blan]]</f>
        <v>-0.52087511263344277</v>
      </c>
      <c r="BX124" s="8">
        <f>SUM(Tabla_master_rend[[#This Row],[Kg_Finos]:[Kg_Desmoldeo]])+Tabla_master_rend[[#This Row],[L_Agua]]+SUM(Tabla_master_rend[[#This Row],[B_altas]:[B_lab]])</f>
        <v>117.06370747032437</v>
      </c>
      <c r="BY124" s="8">
        <f>+BX124-Tabla_master_rend[[#This Row],[Merma_TOT]]</f>
        <v>73.992768461104845</v>
      </c>
      <c r="BZ124" s="62">
        <f t="shared" si="40"/>
        <v>0.63207265565087278</v>
      </c>
      <c r="CA124" s="8">
        <f>+Tabla_master_rend[[#This Row],[Kg_Queso_Blan]]*$CA$1</f>
        <v>11.043914098557106</v>
      </c>
      <c r="CB124" s="8">
        <f>+Tabla_master_rend[[#This Row],[Kg_Queso_Blan]]*($CB$1-$CA$1)</f>
        <v>5.9467229761461358</v>
      </c>
      <c r="CC124" s="8">
        <f>+(Tabla_master_rend[[#This Row],[Kg_Queso_Blan]]-CA124-CB124)*$CC$1</f>
        <v>17.66176723915402</v>
      </c>
      <c r="CD124" s="8">
        <f t="shared" si="41"/>
        <v>34.652404313857261</v>
      </c>
      <c r="CE124" s="80">
        <f>+CD124/Tabla_master_rend[[#This Row],[Kg_Queso_Blan]]</f>
        <v>2.0395E-2</v>
      </c>
      <c r="CF124" s="62">
        <f>+Tabla_master_rend[[#This Row],[Merma_TOT]]/Tabla_master_rend[[#This Row],[Kg_Queso_Blan]]</f>
        <v>2.5349808144243348E-2</v>
      </c>
      <c r="CG124" s="8">
        <f>CD124-Tabla_master_rend[[#This Row],[Merma_TOT]]</f>
        <v>-8.4185346953622613</v>
      </c>
      <c r="CH124" s="81" cm="1">
        <f t="array" ref="CH124">-BR124 * IFERROR(INDEX('Precio Leche_EBITDA_Ventas'!$BD$87:$BD$110,MATCH(1,('Precio Leche_EBITDA_Ventas'!$AZ$87:$AZ$110=YEAR(A124))*('Precio Leche_EBITDA_Ventas'!$BB$87:$BB$110=C124),0)),1.3)</f>
        <v>-156.34750860346685</v>
      </c>
      <c r="CI124" s="81">
        <f t="shared" si="42"/>
        <v>-10.944095103970939</v>
      </c>
    </row>
    <row r="125" spans="1:87" x14ac:dyDescent="0.35">
      <c r="A125" s="9">
        <v>45924</v>
      </c>
      <c r="B125" s="7">
        <v>9</v>
      </c>
      <c r="C125" s="7" t="str">
        <f>+UPPER(TEXT(Tabla_master_rend[[#This Row],[Fecha]],"MMM"))</f>
        <v>SEP</v>
      </c>
      <c r="D125" s="7" t="str">
        <f>+UPPER(TEXT(Tabla_master_rend[[#This Row],[Fecha]],"ddd"))</f>
        <v>MI</v>
      </c>
      <c r="E125" s="3">
        <v>240925146</v>
      </c>
      <c r="F125" s="3" t="s">
        <v>244</v>
      </c>
      <c r="G125" s="84" t="s">
        <v>40</v>
      </c>
      <c r="H125">
        <v>10</v>
      </c>
      <c r="I125" s="8">
        <f>+Tabla_master_rend[[#This Row],[L_Leche_ent]]+Tabla_master_rend[[#This Row],[L_desn_ext]]+Tabla_master_rend[[#This Row],[L_cabra]]+Tabla_master_rend[[#This Row],[L_oveja]]</f>
        <v>163261</v>
      </c>
      <c r="J125" s="8">
        <v>163261</v>
      </c>
      <c r="K125" s="5">
        <v>3.95E-2</v>
      </c>
      <c r="L125" s="5">
        <v>3.3799999999999997E-2</v>
      </c>
      <c r="M125" s="5">
        <f t="shared" si="37"/>
        <v>0.109747</v>
      </c>
      <c r="N125" s="35" t="s">
        <v>43</v>
      </c>
      <c r="O125" s="8">
        <v>0</v>
      </c>
      <c r="P125" s="8">
        <v>0</v>
      </c>
      <c r="Q125" s="8">
        <v>0</v>
      </c>
      <c r="R125" s="8">
        <v>3529</v>
      </c>
      <c r="T125" s="8">
        <v>139060</v>
      </c>
      <c r="U125" s="38">
        <f>+Tabla_master_rend[[#This Row],[L_suero Total]]/Tabla_master_rend[[#This Row],[Litros_Leche_Total]]</f>
        <v>0.8517649653009598</v>
      </c>
      <c r="V125" s="5">
        <v>2.8000000000000004E-3</v>
      </c>
      <c r="W125" s="5">
        <v>9.5999999999999992E-3</v>
      </c>
      <c r="X125" s="8">
        <v>126790</v>
      </c>
      <c r="Y125" s="57">
        <v>42797</v>
      </c>
      <c r="Z125" s="58">
        <f>IF(Tabla_master_rend[[#This Row],[L_suero para con]]=0,0,+Tabla_master_rend[[#This Row],[L_suero para con]]/Tabla_master_rend[[#This Row],[L_suero_con]])</f>
        <v>2.9625908358062483</v>
      </c>
      <c r="AA125" s="8">
        <f>+Tabla_master_rend[[#This Row],[L_suero Total]]-Tabla_master_rend[[#This Row],[L_suero para con]]</f>
        <v>12270</v>
      </c>
      <c r="AD125" s="8"/>
      <c r="AE125" s="8"/>
      <c r="AF125" s="8"/>
      <c r="AG125" s="5"/>
      <c r="AI125" s="7">
        <f>+Tabla_master_rend[[#This Row],[Kg_Finos]]+Tabla_master_rend[[#This Row],[Kg_Llenadora]]+Tabla_master_rend[[#This Row],[Kg_Desmoldeo]]+Tabla_master_rend[[#This Row],[L_Agua]]+Tabla_master_rend[[#This Row],[Kg_SalidaSecadero]]</f>
        <v>18930.73</v>
      </c>
      <c r="AJ125" s="59">
        <f>+Tabla_master_rend[[#This Row],[Litros_Leche_Total]]/Tabla_master_rend[[#This Row],[Kg_Queso_Blan]]</f>
        <v>8.6241259581643188</v>
      </c>
      <c r="AK125" s="59">
        <f>+Tabla_master_rend[[#This Row],[Litros_Leche_Total]]/(Tabla_master_rend[[#This Row],[Kg_Queso_Blan]]-Tabla_master_rend[[#This Row],[Merma_TOT]])</f>
        <v>8.8703109371035467</v>
      </c>
      <c r="AL125" s="59">
        <f>VLOOKUP(G125,REND_TARGET[#All],8,FALSE)</f>
        <v>8.9338729999999984</v>
      </c>
      <c r="AM125" s="7">
        <f>(I125*1.03*Tabla_master_rend[[#This Row],[%MG_Leche]])+(I125*1.03*Tabla_master_rend[[#This Row],[%MP_Leche]])</f>
        <v>12326.042239</v>
      </c>
      <c r="AN125" s="38">
        <v>0.22059999999999999</v>
      </c>
      <c r="AO125" s="38">
        <v>0.24379999999999999</v>
      </c>
      <c r="AP125" s="60">
        <v>0.56489999999999996</v>
      </c>
      <c r="AQ125" s="38">
        <f>+Tabla_master_rend[[#This Row],[Kg_Queso_Blan]]*Tabla_master_rend[[#This Row],[ES_QUESO]]/(Tabla_master_rend[[#This Row],[Kg_Solidos_leche]])</f>
        <v>0.86759149203334152</v>
      </c>
      <c r="AR125" s="7">
        <f t="shared" si="38"/>
        <v>1411.6000000000001</v>
      </c>
      <c r="AS125" s="61">
        <f>+(Tabla_master_rend[[#This Row],[Kg_Queso_Blan]]*Tabla_master_rend[[#This Row],[%MG_QUESO]]+(Tabla_master_rend[[#This Row],[Kg_MG_Nata]]))/(Tabla_master_rend[[#This Row],[Litros_Leche_Total]]*1.03*Tabla_master_rend[[#This Row],[%MG_Leche]])</f>
        <v>0.84123588079409461</v>
      </c>
      <c r="AT125" s="62">
        <f>+Tabla_master_rend[[#This Row],[Kg_Queso_Blan]]*Tabla_master_rend[[#This Row],[%PT_QUESO]]/(Tabla_master_rend[[#This Row],[Litros_Leche_Total]]*1.03*Tabla_master_rend[[#This Row],[%MP_Leche]])</f>
        <v>0.81201618457063196</v>
      </c>
      <c r="AU125" s="63">
        <f t="shared" si="39"/>
        <v>10587.000000000002</v>
      </c>
      <c r="AV125" s="7">
        <v>49.53</v>
      </c>
      <c r="AW125" s="7">
        <v>28.9</v>
      </c>
      <c r="AX125" s="7">
        <v>19.3</v>
      </c>
      <c r="AY125" s="8">
        <f>SUM(Tabla_master_rend[[#This Row],[Kg_Finos]:[Kg_Desmoldeo]])</f>
        <v>97.73</v>
      </c>
      <c r="AZ125" s="60">
        <f>+(Tabla_master_rend[[#This Row],[Kg_Finos]]+Tabla_master_rend[[#This Row],[Kg_Llenadora]]+Tabla_master_rend[[#This Row],[Kg_Desmoldeo]])/(Tabla_master_rend[[#This Row],[Kg_Queso_Blan]])</f>
        <v>5.1625056191705234E-3</v>
      </c>
      <c r="BA125" s="7">
        <v>230</v>
      </c>
      <c r="BB125" s="60">
        <f>+Tabla_master_rend[[#This Row],[L_Agua]]/(Tabla_master_rend[[#This Row],[L_Agua]]+Tabla_master_rend[[#This Row],[Kg_SalidaSecadero]])</f>
        <v>1.221260553284129E-2</v>
      </c>
      <c r="BC125" s="8">
        <v>2720</v>
      </c>
      <c r="BD125" s="8">
        <v>2676</v>
      </c>
      <c r="BE125" s="8">
        <v>18562</v>
      </c>
      <c r="BF125" s="8">
        <v>0</v>
      </c>
      <c r="BG125" s="8">
        <f>10*6.4</f>
        <v>64</v>
      </c>
      <c r="BH125" s="7">
        <f>7*6.4</f>
        <v>44.800000000000004</v>
      </c>
      <c r="BI125" s="7">
        <f>4*6.4</f>
        <v>25.6</v>
      </c>
      <c r="BJ125" s="8">
        <v>137</v>
      </c>
      <c r="BK125" s="8">
        <v>18603</v>
      </c>
      <c r="BL125" s="8">
        <v>0</v>
      </c>
      <c r="BM125" s="8">
        <v>178.92</v>
      </c>
      <c r="BN125" s="7">
        <v>18.75</v>
      </c>
      <c r="BO125" s="68">
        <f>+SUM(Tabla_master_rend[[#This Row],[B_altas]:[B_lab]])/Tabla_master_rend[[#This Row],[Kg_SalidaSecadero]]</f>
        <v>1.4589044777724021E-2</v>
      </c>
      <c r="BP125" s="68">
        <f>+(Tabla_master_rend[[#This Row],[Kg_mer_env_real]]+Tabla_master_rend[[#This Row],[kg_mer_lab_real]])/Tabla_master_rend[[#This Row],[Kg_SalidaSecadero]]</f>
        <v>1.0625705531365909E-2</v>
      </c>
      <c r="BQ125" s="64">
        <f>+Tabla_master_rend[[#This Row],[Merma_TOT]]/Tabla_master_rend[[#This Row],[Kg_Queso_Blan]]</f>
        <v>2.7753816149720587E-2</v>
      </c>
      <c r="BR125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525.4</v>
      </c>
      <c r="BS125" s="8">
        <v>18330.580000000005</v>
      </c>
      <c r="BT125" s="63">
        <f>IF(+Tabla_master_rend[[#This Row],[Kg_Env_Total]]=0,0,Tabla_master_rend[[#This Row],[Kg_Env_Total]]-Tabla_master_rend[[#This Row],[Kg_SalidaSecadero]])</f>
        <v>-272.41999999999462</v>
      </c>
      <c r="BU125" s="60">
        <f>+Tabla_master_rend[[#This Row],[Diferencia_Env_vs_Sec_kg]]/Tabla_master_rend[[#This Row],[Kg_SalidaSecadero]]</f>
        <v>-1.4643874643874354E-2</v>
      </c>
      <c r="BV125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25" s="65">
        <f>+(Tabla_master_rend[[#This Row],[Coste_Leche_€]]-Tabla_master_rend[[#This Row],[Kg_MG_Nata]]*$CO$3)/Tabla_master_rend[[#This Row],[Kg_Queso_Blan]]</f>
        <v>-0.55924943200816879</v>
      </c>
      <c r="BX125" s="8">
        <f>SUM(Tabla_master_rend[[#This Row],[Kg_Finos]:[Kg_Desmoldeo]])+Tabla_master_rend[[#This Row],[L_Agua]]+SUM(Tabla_master_rend[[#This Row],[B_altas]:[B_lab]])</f>
        <v>599.13</v>
      </c>
      <c r="BY125" s="8">
        <f>+BX125-Tabla_master_rend[[#This Row],[Merma_TOT]]</f>
        <v>73.730000000000018</v>
      </c>
      <c r="BZ125" s="62">
        <f t="shared" si="40"/>
        <v>0.12306177290404423</v>
      </c>
      <c r="CA125" s="8">
        <f>+Tabla_master_rend[[#This Row],[Kg_Queso_Blan]]*$CA$1</f>
        <v>123.04974499999999</v>
      </c>
      <c r="CB125" s="8">
        <f>+Tabla_master_rend[[#This Row],[Kg_Queso_Blan]]*($CB$1-$CA$1)</f>
        <v>66.257555000000011</v>
      </c>
      <c r="CC125" s="8">
        <f>+(Tabla_master_rend[[#This Row],[Kg_Queso_Blan]]-CA125-CB125)*$CC$1</f>
        <v>196.78493835</v>
      </c>
      <c r="CD125" s="8">
        <f t="shared" si="41"/>
        <v>386.09223835</v>
      </c>
      <c r="CE125" s="80">
        <f>+CD125/Tabla_master_rend[[#This Row],[Kg_Queso_Blan]]</f>
        <v>2.0395E-2</v>
      </c>
      <c r="CF125" s="62">
        <f>+Tabla_master_rend[[#This Row],[Merma_TOT]]/Tabla_master_rend[[#This Row],[Kg_Queso_Blan]]</f>
        <v>2.7753816149720587E-2</v>
      </c>
      <c r="CG125" s="8">
        <f>CD125-Tabla_master_rend[[#This Row],[Merma_TOT]]</f>
        <v>-139.30776164999997</v>
      </c>
      <c r="CH125" s="81" cm="1">
        <f t="array" ref="CH125">-BR125 * IFERROR(INDEX('Precio Leche_EBITDA_Ventas'!$BD$87:$BD$110,MATCH(1,('Precio Leche_EBITDA_Ventas'!$AZ$87:$AZ$110=YEAR(A125))*('Precio Leche_EBITDA_Ventas'!$BB$87:$BB$110=C125),0)),1.3)</f>
        <v>-1907.2019999999998</v>
      </c>
      <c r="CI125" s="81">
        <f t="shared" si="42"/>
        <v>-181.10009014499997</v>
      </c>
    </row>
    <row r="126" spans="1:87" x14ac:dyDescent="0.35">
      <c r="A126" s="9">
        <v>45929</v>
      </c>
      <c r="B126" s="7">
        <v>9</v>
      </c>
      <c r="C126" s="7" t="str">
        <f>+UPPER(TEXT(Tabla_master_rend[[#This Row],[Fecha]],"MMM"))</f>
        <v>SEP</v>
      </c>
      <c r="D126" s="7" t="str">
        <f>+UPPER(TEXT(Tabla_master_rend[[#This Row],[Fecha]],"ddd"))</f>
        <v>LU</v>
      </c>
      <c r="E126" s="3">
        <v>290925326</v>
      </c>
      <c r="F126" s="3" t="s">
        <v>244</v>
      </c>
      <c r="G126" s="84" t="s">
        <v>301</v>
      </c>
      <c r="H126">
        <v>17</v>
      </c>
      <c r="I126" s="8">
        <f>+Tabla_master_rend[[#This Row],[L_Leche_ent]]+Tabla_master_rend[[#This Row],[L_desn_ext]]+Tabla_master_rend[[#This Row],[L_cabra]]+Tabla_master_rend[[#This Row],[L_oveja]]</f>
        <v>257044</v>
      </c>
      <c r="J126" s="8">
        <v>257044</v>
      </c>
      <c r="K126" s="5">
        <v>3.7699999999999997E-2</v>
      </c>
      <c r="L126" s="5">
        <v>3.4300000000000004E-2</v>
      </c>
      <c r="M126" s="5">
        <f t="shared" si="37"/>
        <v>0.10844300000000001</v>
      </c>
      <c r="N126" s="35" t="s">
        <v>43</v>
      </c>
      <c r="O126" s="8">
        <v>0</v>
      </c>
      <c r="P126" s="8">
        <v>0</v>
      </c>
      <c r="Q126" s="8">
        <v>0</v>
      </c>
      <c r="R126" s="8">
        <v>2494</v>
      </c>
      <c r="T126" s="8">
        <v>234080</v>
      </c>
      <c r="U126" s="38">
        <f>+Tabla_master_rend[[#This Row],[L_suero Total]]/Tabla_master_rend[[#This Row],[Litros_Leche_Total]]</f>
        <v>0.91066120975397213</v>
      </c>
      <c r="V126" s="5">
        <v>1.7000000000000001E-3</v>
      </c>
      <c r="W126" s="5">
        <v>8.6E-3</v>
      </c>
      <c r="X126" s="8">
        <v>141554</v>
      </c>
      <c r="Y126" s="57">
        <v>49262</v>
      </c>
      <c r="Z126" s="58">
        <f>IF(Tabla_master_rend[[#This Row],[L_suero para con]]=0,0,+Tabla_master_rend[[#This Row],[L_suero para con]]/Tabla_master_rend[[#This Row],[L_suero_con]])</f>
        <v>2.8734927530347933</v>
      </c>
      <c r="AA126" s="8">
        <f>+Tabla_master_rend[[#This Row],[L_suero Total]]-Tabla_master_rend[[#This Row],[L_suero para con]]</f>
        <v>92526</v>
      </c>
      <c r="AD126" s="8"/>
      <c r="AE126" s="8"/>
      <c r="AF126" s="8"/>
      <c r="AG126" s="5"/>
      <c r="AI126" s="7">
        <f>+Tabla_master_rend[[#This Row],[Kg_Finos]]+Tabla_master_rend[[#This Row],[Kg_Llenadora]]+Tabla_master_rend[[#This Row],[Kg_Desmoldeo]]+Tabla_master_rend[[#This Row],[L_Agua]]+Tabla_master_rend[[#This Row],[Kg_SalidaSecadero]]</f>
        <v>30142.7</v>
      </c>
      <c r="AJ126" s="59">
        <f>+Tabla_master_rend[[#This Row],[Litros_Leche_Total]]/Tabla_master_rend[[#This Row],[Kg_Queso_Blan]]</f>
        <v>8.5275705228795022</v>
      </c>
      <c r="AK126" s="59">
        <f>+Tabla_master_rend[[#This Row],[Litros_Leche_Total]]/(Tabla_master_rend[[#This Row],[Kg_Queso_Blan]]-Tabla_master_rend[[#This Row],[Merma_TOT]])</f>
        <v>8.6619625995323339</v>
      </c>
      <c r="AL126" s="59">
        <f>VLOOKUP(G126,REND_TARGET[#All],8,FALSE)</f>
        <v>9.3549429999999987</v>
      </c>
      <c r="AM126" s="7">
        <f>(I126*1.03*Tabla_master_rend[[#This Row],[%MG_Leche]])+(I126*1.03*Tabla_master_rend[[#This Row],[%MP_Leche]])</f>
        <v>19062.383040000001</v>
      </c>
      <c r="AN126" s="38">
        <v>0.28960000000000002</v>
      </c>
      <c r="AO126" s="38">
        <v>0.23530000000000001</v>
      </c>
      <c r="AP126" s="60">
        <v>0.57289999999999996</v>
      </c>
      <c r="AQ126" s="38">
        <f>+Tabla_master_rend[[#This Row],[Kg_Queso_Blan]]*Tabla_master_rend[[#This Row],[ES_QUESO]]/(Tabla_master_rend[[#This Row],[Kg_Solidos_leche]])</f>
        <v>0.90590734609433166</v>
      </c>
      <c r="AR126" s="7">
        <f t="shared" si="38"/>
        <v>997.6</v>
      </c>
      <c r="AS126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0.97451732072027197</v>
      </c>
      <c r="AT126" s="62">
        <f>+Tabla_master_rend[[#This Row],[Kg_Queso_Blan]]*Tabla_master_rend[[#This Row],[%PT_QUESO]]/(Tabla_master_rend[[#This Row],[Litros_Leche_Total]]*1.03*Tabla_master_rend[[#This Row],[%MP_Leche]])</f>
        <v>0.78102558842570846</v>
      </c>
      <c r="AU126" s="63">
        <f t="shared" si="39"/>
        <v>7482</v>
      </c>
      <c r="AV126" s="7">
        <v>35.1</v>
      </c>
      <c r="AW126" s="7">
        <v>53.6</v>
      </c>
      <c r="AX126" s="7">
        <v>0</v>
      </c>
      <c r="AY126" s="8">
        <f>SUM(Tabla_master_rend[[#This Row],[Kg_Finos]:[Kg_Desmoldeo]])</f>
        <v>88.7</v>
      </c>
      <c r="AZ126" s="60">
        <f>+(Tabla_master_rend[[#This Row],[Kg_Finos]]+Tabla_master_rend[[#This Row],[Kg_Llenadora]]+Tabla_master_rend[[#This Row],[Kg_Desmoldeo]])/(Tabla_master_rend[[#This Row],[Kg_Queso_Blan]])</f>
        <v>2.9426693693663806E-3</v>
      </c>
      <c r="BA126" s="7">
        <v>225</v>
      </c>
      <c r="BB126" s="60">
        <f>+Tabla_master_rend[[#This Row],[L_Agua]]/(Tabla_master_rend[[#This Row],[L_Agua]]+Tabla_master_rend[[#This Row],[Kg_SalidaSecadero]])</f>
        <v>7.4865242563385906E-3</v>
      </c>
      <c r="BC126" s="8">
        <v>4074</v>
      </c>
      <c r="BD126" s="8">
        <v>4038</v>
      </c>
      <c r="BE126" s="8">
        <v>29826</v>
      </c>
      <c r="BF126" s="8">
        <f>114*6.3</f>
        <v>718.19999999999993</v>
      </c>
      <c r="BG126" s="8">
        <f>11*6.3</f>
        <v>69.3</v>
      </c>
      <c r="BH126" s="7">
        <f>4*6.3</f>
        <v>25.2</v>
      </c>
      <c r="BI126" s="7">
        <f>7*6.3</f>
        <v>44.1</v>
      </c>
      <c r="BJ126" s="8">
        <v>89</v>
      </c>
      <c r="BK126" s="8">
        <v>29829</v>
      </c>
      <c r="BL126" s="8">
        <v>0</v>
      </c>
      <c r="BM126" s="8">
        <v>145.97</v>
      </c>
      <c r="BN126" s="7">
        <v>8</v>
      </c>
      <c r="BO126" s="68">
        <f>+SUM(Tabla_master_rend[[#This Row],[B_altas]:[B_lab]])/Tabla_master_rend[[#This Row],[Kg_SalidaSecadero]]</f>
        <v>3.1707398840054982E-2</v>
      </c>
      <c r="BP126" s="68">
        <f>+(Tabla_master_rend[[#This Row],[Kg_mer_env_real]]+Tabla_master_rend[[#This Row],[kg_mer_lab_real]])/Tabla_master_rend[[#This Row],[Kg_SalidaSecadero]]</f>
        <v>5.1617553387642897E-3</v>
      </c>
      <c r="BQ126" s="64">
        <f>+Tabla_master_rend[[#This Row],[Merma_TOT]]/Tabla_master_rend[[#This Row],[Kg_Queso_Blan]]</f>
        <v>1.5515199368337942E-2</v>
      </c>
      <c r="BR126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467.67000000000007</v>
      </c>
      <c r="BS126" s="8">
        <v>29453.539999999994</v>
      </c>
      <c r="BT126" s="63">
        <f>IF(+Tabla_master_rend[[#This Row],[Kg_Env_Total]]=0,0,Tabla_master_rend[[#This Row],[Kg_Env_Total]]-Tabla_master_rend[[#This Row],[Kg_SalidaSecadero]])</f>
        <v>-375.4600000000064</v>
      </c>
      <c r="BU126" s="60">
        <f>+Tabla_master_rend[[#This Row],[Diferencia_Env_vs_Sec_kg]]/Tabla_master_rend[[#This Row],[Kg_SalidaSecadero]]</f>
        <v>-1.2587079687552596E-2</v>
      </c>
      <c r="BV126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26" s="65">
        <f>+(Tabla_master_rend[[#This Row],[Coste_Leche_€]]-Tabla_master_rend[[#This Row],[Kg_MG_Nata]]*$CO$3)/Tabla_master_rend[[#This Row],[Kg_Queso_Blan]]</f>
        <v>-0.24821930351295671</v>
      </c>
      <c r="BX126" s="8">
        <f>SUM(Tabla_master_rend[[#This Row],[Kg_Finos]:[Kg_Desmoldeo]])+Tabla_master_rend[[#This Row],[L_Agua]]+SUM(Tabla_master_rend[[#This Row],[B_altas]:[B_lab]])</f>
        <v>1259.5</v>
      </c>
      <c r="BY126" s="8">
        <f>+BX126-Tabla_master_rend[[#This Row],[Merma_TOT]]</f>
        <v>791.82999999999993</v>
      </c>
      <c r="BZ126" s="62">
        <f t="shared" si="40"/>
        <v>0.62868598650258034</v>
      </c>
      <c r="CA126" s="8">
        <f>+Tabla_master_rend[[#This Row],[Kg_Queso_Blan]]*$CA$1</f>
        <v>195.92755</v>
      </c>
      <c r="CB126" s="8">
        <f>+Tabla_master_rend[[#This Row],[Kg_Queso_Blan]]*($CB$1-$CA$1)</f>
        <v>105.49945000000002</v>
      </c>
      <c r="CC126" s="8">
        <f>+(Tabla_master_rend[[#This Row],[Kg_Queso_Blan]]-CA126-CB126)*$CC$1</f>
        <v>313.33336650000001</v>
      </c>
      <c r="CD126" s="8">
        <f t="shared" si="41"/>
        <v>614.76036650000003</v>
      </c>
      <c r="CE126" s="80">
        <f>+CD126/Tabla_master_rend[[#This Row],[Kg_Queso_Blan]]</f>
        <v>2.0395E-2</v>
      </c>
      <c r="CF126" s="62">
        <f>+Tabla_master_rend[[#This Row],[Merma_TOT]]/Tabla_master_rend[[#This Row],[Kg_Queso_Blan]]</f>
        <v>1.5515199368337942E-2</v>
      </c>
      <c r="CG126" s="8">
        <f>CD126-Tabla_master_rend[[#This Row],[Merma_TOT]]</f>
        <v>147.09036649999996</v>
      </c>
      <c r="CH126" s="81" cm="1">
        <f t="array" ref="CH126">-BR126 * IFERROR(INDEX('Precio Leche_EBITDA_Ventas'!$BD$87:$BD$110,MATCH(1,('Precio Leche_EBITDA_Ventas'!$AZ$87:$AZ$110=YEAR(A126))*('Precio Leche_EBITDA_Ventas'!$BB$87:$BB$110=C126),0)),1.3)</f>
        <v>-1697.6421000000003</v>
      </c>
      <c r="CI126" s="81">
        <f t="shared" si="42"/>
        <v>191.21747644999996</v>
      </c>
    </row>
    <row r="127" spans="1:87" x14ac:dyDescent="0.35">
      <c r="A127" s="9">
        <v>45932</v>
      </c>
      <c r="B127" s="7">
        <v>10</v>
      </c>
      <c r="C127" s="7" t="str">
        <f>+UPPER(TEXT(Tabla_master_rend[[#This Row],[Fecha]],"MMM"))</f>
        <v>OCT</v>
      </c>
      <c r="D127" s="7" t="str">
        <f>+UPPER(TEXT(Tabla_master_rend[[#This Row],[Fecha]],"ddd"))</f>
        <v>JU</v>
      </c>
      <c r="E127" s="3" t="s">
        <v>500</v>
      </c>
      <c r="F127" s="3" t="s">
        <v>244</v>
      </c>
      <c r="G127" s="84" t="s">
        <v>299</v>
      </c>
      <c r="H127">
        <v>15</v>
      </c>
      <c r="I127" s="8">
        <f>+Tabla_master_rend[[#This Row],[L_Leche_ent]]+Tabla_master_rend[[#This Row],[L_desn_ext]]+Tabla_master_rend[[#This Row],[L_cabra]]+Tabla_master_rend[[#This Row],[L_oveja]]</f>
        <v>231692</v>
      </c>
      <c r="J127" s="8">
        <v>231692</v>
      </c>
      <c r="K127" s="5">
        <v>3.9300000000000002E-2</v>
      </c>
      <c r="L127" s="5">
        <v>3.39E-2</v>
      </c>
      <c r="M127" s="5">
        <f t="shared" si="37"/>
        <v>0.10963500000000001</v>
      </c>
      <c r="N127" s="35" t="s">
        <v>188</v>
      </c>
      <c r="O127" s="8">
        <v>0</v>
      </c>
      <c r="P127" s="8">
        <v>0</v>
      </c>
      <c r="Q127" s="8">
        <v>0</v>
      </c>
      <c r="R127" s="8">
        <v>8327</v>
      </c>
      <c r="T127" s="8">
        <v>207300</v>
      </c>
      <c r="U127" s="38">
        <f>+Tabla_master_rend[[#This Row],[L_suero Total]]/Tabla_master_rend[[#This Row],[Litros_Leche_Total]]</f>
        <v>0.89472230374807937</v>
      </c>
      <c r="V127" s="5">
        <v>1.7000000000000001E-3</v>
      </c>
      <c r="W127" s="5">
        <v>8.6999999999999994E-3</v>
      </c>
      <c r="X127" s="8">
        <v>210588</v>
      </c>
      <c r="Y127" s="57">
        <v>78271</v>
      </c>
      <c r="Z127" s="58">
        <f>IF(Tabla_master_rend[[#This Row],[L_suero para con]]=0,0,+Tabla_master_rend[[#This Row],[L_suero para con]]/Tabla_master_rend[[#This Row],[L_suero_con]])</f>
        <v>2.6904983965964404</v>
      </c>
      <c r="AA127" s="8">
        <f>+Tabla_master_rend[[#This Row],[L_suero Total]]-Tabla_master_rend[[#This Row],[L_suero para con]]</f>
        <v>-3288</v>
      </c>
      <c r="AD127" s="8"/>
      <c r="AE127" s="8"/>
      <c r="AF127" s="8"/>
      <c r="AG127" s="5"/>
      <c r="AI127" s="7">
        <f>+Tabla_master_rend[[#This Row],[Kg_Finos]]+Tabla_master_rend[[#This Row],[Kg_Llenadora]]+Tabla_master_rend[[#This Row],[Kg_Desmoldeo]]+Tabla_master_rend[[#This Row],[L_Agua]]+Tabla_master_rend[[#This Row],[Kg_SalidaSecadero]]</f>
        <v>25231.62</v>
      </c>
      <c r="AJ127" s="59">
        <f>+Tabla_master_rend[[#This Row],[Litros_Leche_Total]]/Tabla_master_rend[[#This Row],[Kg_Queso_Blan]]</f>
        <v>9.1826050011850207</v>
      </c>
      <c r="AK127" s="59">
        <f>+Tabla_master_rend[[#This Row],[Litros_Leche_Total]]/(Tabla_master_rend[[#This Row],[Kg_Queso_Blan]]-Tabla_master_rend[[#This Row],[Merma_TOT]])</f>
        <v>9.4764771155830658</v>
      </c>
      <c r="AL127" s="59">
        <f>VLOOKUP(G127,REND_TARGET[#All],8,FALSE)</f>
        <v>9.8078500000000002</v>
      </c>
      <c r="AM127" s="7">
        <f>(I127*1.03*Tabla_master_rend[[#This Row],[%MG_Leche]])+(I127*1.03*Tabla_master_rend[[#This Row],[%MP_Leche]])</f>
        <v>17468.650032000001</v>
      </c>
      <c r="AN127" s="38">
        <v>0.22469999999999998</v>
      </c>
      <c r="AO127" s="38">
        <v>0.24670000000000003</v>
      </c>
      <c r="AP127" s="60">
        <v>0.52680000000000005</v>
      </c>
      <c r="AQ127" s="38">
        <f>+Tabla_master_rend[[#This Row],[Kg_Queso_Blan]]*Tabla_master_rend[[#This Row],[ES_QUESO]]/(Tabla_master_rend[[#This Row],[Kg_Solidos_leche]])</f>
        <v>0.76090696142237535</v>
      </c>
      <c r="AR127" s="7">
        <f t="shared" si="38"/>
        <v>3330.8</v>
      </c>
      <c r="AS127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0.95966210150257447</v>
      </c>
      <c r="AT127" s="62">
        <f>+Tabla_master_rend[[#This Row],[Kg_Queso_Blan]]*Tabla_master_rend[[#This Row],[%PT_QUESO]]/(Tabla_master_rend[[#This Row],[Litros_Leche_Total]]*1.03*Tabla_master_rend[[#This Row],[%MP_Leche]])</f>
        <v>0.76942505361184921</v>
      </c>
      <c r="AU127" s="63">
        <f t="shared" si="39"/>
        <v>24981</v>
      </c>
      <c r="AV127" s="7">
        <v>42.22</v>
      </c>
      <c r="AW127" s="7">
        <v>58.3</v>
      </c>
      <c r="AX127" s="7">
        <v>11.1</v>
      </c>
      <c r="AY127" s="8">
        <f>SUM(Tabla_master_rend[[#This Row],[Kg_Finos]:[Kg_Desmoldeo]])</f>
        <v>111.61999999999999</v>
      </c>
      <c r="AZ127" s="60">
        <f>+(Tabla_master_rend[[#This Row],[Kg_Finos]]+Tabla_master_rend[[#This Row],[Kg_Llenadora]]+Tabla_master_rend[[#This Row],[Kg_Desmoldeo]])/(Tabla_master_rend[[#This Row],[Kg_Queso_Blan]])</f>
        <v>4.4238142457757364E-3</v>
      </c>
      <c r="BA127" s="7">
        <v>250</v>
      </c>
      <c r="BB127" s="60">
        <f>+Tabla_master_rend[[#This Row],[L_Agua]]/(Tabla_master_rend[[#This Row],[L_Agua]]+Tabla_master_rend[[#This Row],[Kg_SalidaSecadero]])</f>
        <v>9.9522292993630568E-3</v>
      </c>
      <c r="BC127" s="8">
        <v>3453</v>
      </c>
      <c r="BD127" s="8">
        <v>3356</v>
      </c>
      <c r="BE127" s="8">
        <v>24481</v>
      </c>
      <c r="BF127" s="8">
        <f>19*6.6</f>
        <v>125.39999999999999</v>
      </c>
      <c r="BG127" s="8">
        <f>55*6.6</f>
        <v>363</v>
      </c>
      <c r="BH127" s="7">
        <f>2*6.6</f>
        <v>13.2</v>
      </c>
      <c r="BI127" s="7">
        <f>27*6.6</f>
        <v>178.2</v>
      </c>
      <c r="BJ127" s="8">
        <v>81</v>
      </c>
      <c r="BK127" s="8">
        <v>24870</v>
      </c>
      <c r="BL127" s="8">
        <v>0</v>
      </c>
      <c r="BM127" s="8">
        <v>402.43</v>
      </c>
      <c r="BN127" s="7">
        <v>18.399999999999999</v>
      </c>
      <c r="BO127" s="68">
        <f>+SUM(Tabla_master_rend[[#This Row],[B_altas]:[B_lab]])/Tabla_master_rend[[#This Row],[Kg_SalidaSecadero]]</f>
        <v>3.0591073582629674E-2</v>
      </c>
      <c r="BP127" s="68">
        <f>+(Tabla_master_rend[[#This Row],[Kg_mer_env_real]]+Tabla_master_rend[[#This Row],[kg_mer_lab_real]])/Tabla_master_rend[[#This Row],[Kg_SalidaSecadero]]</f>
        <v>1.6921190188982711E-2</v>
      </c>
      <c r="BQ127" s="64">
        <f>+Tabla_master_rend[[#This Row],[Merma_TOT]]/Tabla_master_rend[[#This Row],[Kg_Queso_Blan]]</f>
        <v>3.1010692139466271E-2</v>
      </c>
      <c r="BR127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782.44999999999993</v>
      </c>
      <c r="BS127" s="8">
        <v>24905.990000000005</v>
      </c>
      <c r="BT127" s="63">
        <f>IF(+Tabla_master_rend[[#This Row],[Kg_Env_Total]]=0,0,Tabla_master_rend[[#This Row],[Kg_Env_Total]]-Tabla_master_rend[[#This Row],[Kg_SalidaSecadero]])</f>
        <v>35.990000000005239</v>
      </c>
      <c r="BU127" s="60">
        <f>+Tabla_master_rend[[#This Row],[Diferencia_Env_vs_Sec_kg]]/Tabla_master_rend[[#This Row],[Kg_SalidaSecadero]]</f>
        <v>1.4471250502615697E-3</v>
      </c>
      <c r="BV127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27" s="65">
        <f>+(Tabla_master_rend[[#This Row],[Coste_Leche_€]]-Tabla_master_rend[[#This Row],[Kg_MG_Nata]]*$CO$3)/Tabla_master_rend[[#This Row],[Kg_Queso_Blan]]</f>
        <v>-0.99006722517222445</v>
      </c>
      <c r="BX127" s="8">
        <f>SUM(Tabla_master_rend[[#This Row],[Kg_Finos]:[Kg_Desmoldeo]])+Tabla_master_rend[[#This Row],[L_Agua]]+SUM(Tabla_master_rend[[#This Row],[B_altas]:[B_lab]])</f>
        <v>1122.42</v>
      </c>
      <c r="BY127" s="8">
        <f>+BX127-Tabla_master_rend[[#This Row],[Merma_TOT]]</f>
        <v>339.97000000000014</v>
      </c>
      <c r="BZ127" s="62">
        <f t="shared" si="40"/>
        <v>0.30289018371019771</v>
      </c>
      <c r="CA127" s="8">
        <f>+Tabla_master_rend[[#This Row],[Kg_Queso_Blan]]*$CA$1</f>
        <v>164.00552999999999</v>
      </c>
      <c r="CB127" s="8">
        <f>+Tabla_master_rend[[#This Row],[Kg_Queso_Blan]]*($CB$1-$CA$1)</f>
        <v>88.310670000000016</v>
      </c>
      <c r="CC127" s="8">
        <f>+(Tabla_master_rend[[#This Row],[Kg_Queso_Blan]]-CA127-CB127)*$CC$1</f>
        <v>262.28268990000004</v>
      </c>
      <c r="CD127" s="8">
        <f t="shared" si="41"/>
        <v>514.59888990000002</v>
      </c>
      <c r="CE127" s="80">
        <f>+CD127/Tabla_master_rend[[#This Row],[Kg_Queso_Blan]]</f>
        <v>2.0395E-2</v>
      </c>
      <c r="CF127" s="62">
        <f>+Tabla_master_rend[[#This Row],[Merma_TOT]]/Tabla_master_rend[[#This Row],[Kg_Queso_Blan]]</f>
        <v>3.1010692139466271E-2</v>
      </c>
      <c r="CG127" s="8">
        <f>CD127-Tabla_master_rend[[#This Row],[Merma_TOT]]</f>
        <v>-267.85111009999991</v>
      </c>
      <c r="CH127" s="81" cm="1">
        <f t="array" ref="CH127">-BR127 * IFERROR(INDEX('Precio Leche_EBITDA_Ventas'!$BD$87:$BD$110,MATCH(1,('Precio Leche_EBITDA_Ventas'!$AZ$87:$AZ$110=YEAR(A127))*('Precio Leche_EBITDA_Ventas'!$BB$87:$BB$110=C127),0)),1.3)</f>
        <v>-2824.6444999999999</v>
      </c>
      <c r="CI127" s="81">
        <f t="shared" si="42"/>
        <v>-348.20644312999991</v>
      </c>
    </row>
    <row r="128" spans="1:87" x14ac:dyDescent="0.35">
      <c r="A128" s="9">
        <v>45936</v>
      </c>
      <c r="B128" s="7">
        <v>10</v>
      </c>
      <c r="C128" s="7" t="str">
        <f>+UPPER(TEXT(Tabla_master_rend[[#This Row],[Fecha]],"MMM"))</f>
        <v>OCT</v>
      </c>
      <c r="D128" s="7" t="str">
        <f>+UPPER(TEXT(Tabla_master_rend[[#This Row],[Fecha]],"ddd"))</f>
        <v>LU</v>
      </c>
      <c r="E128" s="3" t="s">
        <v>501</v>
      </c>
      <c r="F128" s="3" t="s">
        <v>244</v>
      </c>
      <c r="G128" s="84" t="s">
        <v>299</v>
      </c>
      <c r="H128">
        <v>9</v>
      </c>
      <c r="I128" s="8">
        <f>+Tabla_master_rend[[#This Row],[L_Leche_ent]]+Tabla_master_rend[[#This Row],[L_desn_ext]]+Tabla_master_rend[[#This Row],[L_cabra]]+Tabla_master_rend[[#This Row],[L_oveja]]</f>
        <v>141088</v>
      </c>
      <c r="J128" s="8">
        <v>141088</v>
      </c>
      <c r="K128" s="5">
        <v>3.6900000000000002E-2</v>
      </c>
      <c r="L128" s="5">
        <v>3.4200000000000001E-2</v>
      </c>
      <c r="M128" s="5">
        <f t="shared" si="37"/>
        <v>0.10762500000000001</v>
      </c>
      <c r="N128" s="35" t="s">
        <v>43</v>
      </c>
      <c r="O128" s="8">
        <v>0</v>
      </c>
      <c r="P128" s="8">
        <v>0</v>
      </c>
      <c r="Q128" s="8">
        <v>0</v>
      </c>
      <c r="R128" s="8">
        <v>4299</v>
      </c>
      <c r="T128" s="8">
        <v>125760</v>
      </c>
      <c r="U128" s="38">
        <f>+Tabla_master_rend[[#This Row],[L_suero Total]]/Tabla_master_rend[[#This Row],[Litros_Leche_Total]]</f>
        <v>0.89135858471308682</v>
      </c>
      <c r="V128" s="5">
        <v>1.1999999999999999E-3</v>
      </c>
      <c r="W128" s="5">
        <v>8.6E-3</v>
      </c>
      <c r="X128" s="8">
        <v>163109</v>
      </c>
      <c r="Y128" s="57">
        <v>57905</v>
      </c>
      <c r="Z128" s="58">
        <f>IF(Tabla_master_rend[[#This Row],[L_suero para con]]=0,0,+Tabla_master_rend[[#This Row],[L_suero para con]]/Tabla_master_rend[[#This Row],[L_suero_con]])</f>
        <v>2.8168379241861672</v>
      </c>
      <c r="AA128" s="8">
        <f>+Tabla_master_rend[[#This Row],[L_suero Total]]-Tabla_master_rend[[#This Row],[L_suero para con]]</f>
        <v>-37349</v>
      </c>
      <c r="AD128" s="8"/>
      <c r="AE128" s="8"/>
      <c r="AF128" s="8"/>
      <c r="AG128" s="5"/>
      <c r="AI128" s="7">
        <f>+Tabla_master_rend[[#This Row],[Kg_Finos]]+Tabla_master_rend[[#This Row],[Kg_Llenadora]]+Tabla_master_rend[[#This Row],[Kg_Desmoldeo]]+Tabla_master_rend[[#This Row],[L_Agua]]+Tabla_master_rend[[#This Row],[Kg_SalidaSecadero]]</f>
        <v>15537.41</v>
      </c>
      <c r="AJ128" s="59">
        <f>+Tabla_master_rend[[#This Row],[Litros_Leche_Total]]/Tabla_master_rend[[#This Row],[Kg_Queso_Blan]]</f>
        <v>9.0805353015721408</v>
      </c>
      <c r="AK128" s="59">
        <f>+Tabla_master_rend[[#This Row],[Litros_Leche_Total]]/(Tabla_master_rend[[#This Row],[Kg_Queso_Blan]]-Tabla_master_rend[[#This Row],[Merma_TOT]])</f>
        <v>9.4053462375081907</v>
      </c>
      <c r="AL128" s="59">
        <f>VLOOKUP(G128,REND_TARGET[#All],8,FALSE)</f>
        <v>9.8078500000000002</v>
      </c>
      <c r="AM128" s="7">
        <f>(I128*1.03*Tabla_master_rend[[#This Row],[%MG_Leche]])+(I128*1.03*Tabla_master_rend[[#This Row],[%MP_Leche]])</f>
        <v>10332.297504000002</v>
      </c>
      <c r="AN128" s="38">
        <v>0.22239999999999999</v>
      </c>
      <c r="AO128" s="38">
        <v>0.2457</v>
      </c>
      <c r="AP128" s="60">
        <v>0.5242</v>
      </c>
      <c r="AQ128" s="38">
        <f>+Tabla_master_rend[[#This Row],[Kg_Queso_Blan]]*Tabla_master_rend[[#This Row],[ES_QUESO]]/(Tabla_master_rend[[#This Row],[Kg_Solidos_leche]])</f>
        <v>0.78827679118287985</v>
      </c>
      <c r="AR128" s="7">
        <f t="shared" si="38"/>
        <v>1719.6000000000001</v>
      </c>
      <c r="AS128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0.96508764369562616</v>
      </c>
      <c r="AT128" s="62">
        <f>+Tabla_master_rend[[#This Row],[Kg_Queso_Blan]]*Tabla_master_rend[[#This Row],[%PT_QUESO]]/(Tabla_master_rend[[#This Row],[Litros_Leche_Total]]*1.03*Tabla_master_rend[[#This Row],[%MP_Leche]])</f>
        <v>0.76812230164747552</v>
      </c>
      <c r="AU128" s="63">
        <f t="shared" si="39"/>
        <v>12897.000000000002</v>
      </c>
      <c r="AV128" s="7">
        <v>23.11</v>
      </c>
      <c r="AW128" s="7">
        <v>65.099999999999994</v>
      </c>
      <c r="AX128" s="7">
        <v>40.200000000000003</v>
      </c>
      <c r="AY128" s="8">
        <f>SUM(Tabla_master_rend[[#This Row],[Kg_Finos]:[Kg_Desmoldeo]])</f>
        <v>128.41</v>
      </c>
      <c r="AZ128" s="60">
        <f>+(Tabla_master_rend[[#This Row],[Kg_Finos]]+Tabla_master_rend[[#This Row],[Kg_Llenadora]]+Tabla_master_rend[[#This Row],[Kg_Desmoldeo]])/(Tabla_master_rend[[#This Row],[Kg_Queso_Blan]])</f>
        <v>8.2645691913903283E-3</v>
      </c>
      <c r="BA128" s="7">
        <v>130</v>
      </c>
      <c r="BB128" s="60">
        <f>+Tabla_master_rend[[#This Row],[L_Agua]]/(Tabla_master_rend[[#This Row],[L_Agua]]+Tabla_master_rend[[#This Row],[Kg_SalidaSecadero]])</f>
        <v>8.4366279447076389E-3</v>
      </c>
      <c r="BC128" s="8">
        <v>2111</v>
      </c>
      <c r="BD128" s="8">
        <v>2056</v>
      </c>
      <c r="BE128" s="8">
        <v>15046</v>
      </c>
      <c r="BF128" s="8">
        <f>48*6.6</f>
        <v>316.79999999999995</v>
      </c>
      <c r="BG128" s="8">
        <f>31*6.6</f>
        <v>204.6</v>
      </c>
      <c r="BH128" s="7">
        <f>5*6.6</f>
        <v>33</v>
      </c>
      <c r="BI128" s="7">
        <f>9*6.6</f>
        <v>59.4</v>
      </c>
      <c r="BJ128" s="8">
        <v>64</v>
      </c>
      <c r="BK128" s="8">
        <v>15279</v>
      </c>
      <c r="BL128" s="8">
        <v>0</v>
      </c>
      <c r="BM128" s="8">
        <v>260.33999999999997</v>
      </c>
      <c r="BN128" s="7">
        <v>17.829999999999998</v>
      </c>
      <c r="BO128" s="68">
        <f>+SUM(Tabla_master_rend[[#This Row],[B_altas]:[B_lab]])/Tabla_master_rend[[#This Row],[Kg_SalidaSecadero]]</f>
        <v>4.4361541985732049E-2</v>
      </c>
      <c r="BP128" s="68">
        <f>+(Tabla_master_rend[[#This Row],[Kg_mer_env_real]]+Tabla_master_rend[[#This Row],[kg_mer_lab_real]])/Tabla_master_rend[[#This Row],[Kg_SalidaSecadero]]</f>
        <v>1.8206034426336799E-2</v>
      </c>
      <c r="BQ128" s="64">
        <f>+Tabla_master_rend[[#This Row],[Merma_TOT]]/Tabla_master_rend[[#This Row],[Kg_Queso_Blan]]</f>
        <v>3.4534713314509941E-2</v>
      </c>
      <c r="BR128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536.57999999999993</v>
      </c>
      <c r="BS128" s="8">
        <v>15298.080000000004</v>
      </c>
      <c r="BT128" s="63">
        <f>IF(+Tabla_master_rend[[#This Row],[Kg_Env_Total]]=0,0,Tabla_master_rend[[#This Row],[Kg_Env_Total]]-Tabla_master_rend[[#This Row],[Kg_SalidaSecadero]])</f>
        <v>19.080000000003565</v>
      </c>
      <c r="BU128" s="60">
        <f>+Tabla_master_rend[[#This Row],[Diferencia_Env_vs_Sec_kg]]/Tabla_master_rend[[#This Row],[Kg_SalidaSecadero]]</f>
        <v>1.2487728254469248E-3</v>
      </c>
      <c r="BV128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28" s="65">
        <f>+(Tabla_master_rend[[#This Row],[Coste_Leche_€]]-Tabla_master_rend[[#This Row],[Kg_MG_Nata]]*$CO$3)/Tabla_master_rend[[#This Row],[Kg_Queso_Blan]]</f>
        <v>-0.83006112344335392</v>
      </c>
      <c r="BX128" s="8">
        <f>SUM(Tabla_master_rend[[#This Row],[Kg_Finos]:[Kg_Desmoldeo]])+Tabla_master_rend[[#This Row],[L_Agua]]+SUM(Tabla_master_rend[[#This Row],[B_altas]:[B_lab]])</f>
        <v>936.20999999999992</v>
      </c>
      <c r="BY128" s="8">
        <f>+BX128-Tabla_master_rend[[#This Row],[Merma_TOT]]</f>
        <v>399.63</v>
      </c>
      <c r="BZ128" s="62">
        <f t="shared" si="40"/>
        <v>0.42685935847726475</v>
      </c>
      <c r="CA128" s="8">
        <f>+Tabla_master_rend[[#This Row],[Kg_Queso_Blan]]*$CA$1</f>
        <v>100.99316499999999</v>
      </c>
      <c r="CB128" s="8">
        <f>+Tabla_master_rend[[#This Row],[Kg_Queso_Blan]]*($CB$1-$CA$1)</f>
        <v>54.380935000000008</v>
      </c>
      <c r="CC128" s="8">
        <f>+(Tabla_master_rend[[#This Row],[Kg_Queso_Blan]]-CA128-CB128)*$CC$1</f>
        <v>161.51137695000003</v>
      </c>
      <c r="CD128" s="8">
        <f t="shared" si="41"/>
        <v>316.88547695</v>
      </c>
      <c r="CE128" s="80">
        <f>+CD128/Tabla_master_rend[[#This Row],[Kg_Queso_Blan]]</f>
        <v>2.0395E-2</v>
      </c>
      <c r="CF128" s="62">
        <f>+Tabla_master_rend[[#This Row],[Merma_TOT]]/Tabla_master_rend[[#This Row],[Kg_Queso_Blan]]</f>
        <v>3.4534713314509941E-2</v>
      </c>
      <c r="CG128" s="8">
        <f>CD128-Tabla_master_rend[[#This Row],[Merma_TOT]]</f>
        <v>-219.69452304999993</v>
      </c>
      <c r="CH128" s="81" cm="1">
        <f t="array" ref="CH128">-BR128 * IFERROR(INDEX('Precio Leche_EBITDA_Ventas'!$BD$87:$BD$110,MATCH(1,('Precio Leche_EBITDA_Ventas'!$AZ$87:$AZ$110=YEAR(A128))*('Precio Leche_EBITDA_Ventas'!$BB$87:$BB$110=C128),0)),1.3)</f>
        <v>-1937.0537999999997</v>
      </c>
      <c r="CI128" s="81">
        <f t="shared" si="42"/>
        <v>-285.60287996499994</v>
      </c>
    </row>
    <row r="129" spans="1:87" x14ac:dyDescent="0.35">
      <c r="A129" s="9">
        <v>45939</v>
      </c>
      <c r="B129" s="7">
        <v>10</v>
      </c>
      <c r="C129" s="7" t="str">
        <f>+UPPER(TEXT(Tabla_master_rend[[#This Row],[Fecha]],"MMM"))</f>
        <v>OCT</v>
      </c>
      <c r="D129" s="7" t="str">
        <f>+UPPER(TEXT(Tabla_master_rend[[#This Row],[Fecha]],"ddd"))</f>
        <v>JU</v>
      </c>
      <c r="E129" s="3" t="s">
        <v>502</v>
      </c>
      <c r="F129" s="3" t="s">
        <v>244</v>
      </c>
      <c r="G129" s="84" t="s">
        <v>299</v>
      </c>
      <c r="H129">
        <v>13</v>
      </c>
      <c r="I129" s="8">
        <f>+Tabla_master_rend[[#This Row],[L_Leche_ent]]+Tabla_master_rend[[#This Row],[L_desn_ext]]+Tabla_master_rend[[#This Row],[L_cabra]]+Tabla_master_rend[[#This Row],[L_oveja]]</f>
        <v>203427</v>
      </c>
      <c r="J129" s="8">
        <v>203427</v>
      </c>
      <c r="K129" s="5">
        <v>3.9100000000000003E-2</v>
      </c>
      <c r="L129" s="5">
        <v>3.3799999999999997E-2</v>
      </c>
      <c r="M129" s="5">
        <f t="shared" si="37"/>
        <v>0.109375</v>
      </c>
      <c r="N129" s="35" t="s">
        <v>188</v>
      </c>
      <c r="O129" s="8">
        <v>0</v>
      </c>
      <c r="P129" s="8">
        <v>0</v>
      </c>
      <c r="Q129" s="8">
        <v>0</v>
      </c>
      <c r="R129" s="8">
        <v>7372</v>
      </c>
      <c r="T129" s="8">
        <v>183150</v>
      </c>
      <c r="U129" s="38">
        <f>+Tabla_master_rend[[#This Row],[L_suero Total]]/Tabla_master_rend[[#This Row],[Litros_Leche_Total]]</f>
        <v>0.90032296597796757</v>
      </c>
      <c r="V129" s="5">
        <v>1.1000000000000001E-3</v>
      </c>
      <c r="W129" s="5">
        <v>8.199999999999999E-3</v>
      </c>
      <c r="X129" s="8">
        <v>188091</v>
      </c>
      <c r="Y129" s="57">
        <v>69541</v>
      </c>
      <c r="Z129" s="58">
        <f>IF(Tabla_master_rend[[#This Row],[L_suero para con]]=0,0,+Tabla_master_rend[[#This Row],[L_suero para con]]/Tabla_master_rend[[#This Row],[L_suero_con]])</f>
        <v>2.7047497159948808</v>
      </c>
      <c r="AA129" s="8">
        <f>+Tabla_master_rend[[#This Row],[L_suero Total]]-Tabla_master_rend[[#This Row],[L_suero para con]]</f>
        <v>-4941</v>
      </c>
      <c r="AD129" s="8"/>
      <c r="AE129" s="8"/>
      <c r="AF129" s="8"/>
      <c r="AG129" s="5"/>
      <c r="AI129" s="7">
        <f>+Tabla_master_rend[[#This Row],[Kg_Finos]]+Tabla_master_rend[[#This Row],[Kg_Llenadora]]+Tabla_master_rend[[#This Row],[Kg_Desmoldeo]]+Tabla_master_rend[[#This Row],[L_Agua]]+Tabla_master_rend[[#This Row],[Kg_SalidaSecadero]]</f>
        <v>21918</v>
      </c>
      <c r="AJ129" s="59">
        <f>+Tabla_master_rend[[#This Row],[Litros_Leche_Total]]/Tabla_master_rend[[#This Row],[Kg_Queso_Blan]]</f>
        <v>9.2812756638379419</v>
      </c>
      <c r="AK129" s="59">
        <f>+Tabla_master_rend[[#This Row],[Litros_Leche_Total]]/(Tabla_master_rend[[#This Row],[Kg_Queso_Blan]]-Tabla_master_rend[[#This Row],[Merma_TOT]])</f>
        <v>9.742504439578628</v>
      </c>
      <c r="AL129" s="59">
        <f>VLOOKUP(G129,REND_TARGET[#All],8,FALSE)</f>
        <v>9.8078500000000002</v>
      </c>
      <c r="AM129" s="7">
        <f>(I129*1.03*Tabla_master_rend[[#This Row],[%MG_Leche]])+(I129*1.03*Tabla_master_rend[[#This Row],[%MP_Leche]])</f>
        <v>15274.723148999999</v>
      </c>
      <c r="AN129" s="38">
        <v>0.22440000000000002</v>
      </c>
      <c r="AO129" s="38">
        <v>0.25079999999999997</v>
      </c>
      <c r="AP129" s="60">
        <v>0.52869999999999995</v>
      </c>
      <c r="AQ129" s="38">
        <f>+Tabla_master_rend[[#This Row],[Kg_Queso_Blan]]*Tabla_master_rend[[#This Row],[ES_QUESO]]/(Tabla_master_rend[[#This Row],[Kg_Solidos_leche]])</f>
        <v>0.7586420052895454</v>
      </c>
      <c r="AR129" s="7">
        <f t="shared" si="38"/>
        <v>2948.8</v>
      </c>
      <c r="AS129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0.96027930662926508</v>
      </c>
      <c r="AT129" s="62">
        <f>+Tabla_master_rend[[#This Row],[Kg_Queso_Blan]]*Tabla_master_rend[[#This Row],[%PT_QUESO]]/(Tabla_master_rend[[#This Row],[Litros_Leche_Total]]*1.03*Tabla_master_rend[[#This Row],[%MP_Leche]])</f>
        <v>0.77618623262319497</v>
      </c>
      <c r="AU129" s="63">
        <f t="shared" si="39"/>
        <v>22116</v>
      </c>
      <c r="AV129" s="7">
        <v>30.4</v>
      </c>
      <c r="AW129" s="7">
        <v>82.2</v>
      </c>
      <c r="AX129" s="7">
        <v>119.4</v>
      </c>
      <c r="AY129" s="8">
        <f>SUM(Tabla_master_rend[[#This Row],[Kg_Finos]:[Kg_Desmoldeo]])</f>
        <v>232</v>
      </c>
      <c r="AZ129" s="60">
        <f>+(Tabla_master_rend[[#This Row],[Kg_Finos]]+Tabla_master_rend[[#This Row],[Kg_Llenadora]]+Tabla_master_rend[[#This Row],[Kg_Desmoldeo]])/(Tabla_master_rend[[#This Row],[Kg_Queso_Blan]])</f>
        <v>1.0584907382060407E-2</v>
      </c>
      <c r="BA129" s="7">
        <v>180</v>
      </c>
      <c r="BB129" s="60">
        <f>+Tabla_master_rend[[#This Row],[L_Agua]]/(Tabla_master_rend[[#This Row],[L_Agua]]+Tabla_master_rend[[#This Row],[Kg_SalidaSecadero]])</f>
        <v>8.3002858987365116E-3</v>
      </c>
      <c r="BC129" s="8">
        <v>2974</v>
      </c>
      <c r="BD129" s="8">
        <v>2799</v>
      </c>
      <c r="BE129" s="8">
        <v>20537</v>
      </c>
      <c r="BF129" s="8">
        <f>8*6.6</f>
        <v>52.8</v>
      </c>
      <c r="BG129" s="8">
        <f>66*6.6</f>
        <v>435.59999999999997</v>
      </c>
      <c r="BH129" s="7">
        <f>2*6.6</f>
        <v>13.2</v>
      </c>
      <c r="BI129" s="7">
        <f>30*6.6</f>
        <v>198</v>
      </c>
      <c r="BJ129" s="8">
        <v>72</v>
      </c>
      <c r="BK129" s="8">
        <v>21506</v>
      </c>
      <c r="BL129" s="8">
        <v>0</v>
      </c>
      <c r="BM129" s="8">
        <v>613.70000000000005</v>
      </c>
      <c r="BN129" s="7">
        <v>11.94</v>
      </c>
      <c r="BO129" s="68">
        <f>+SUM(Tabla_master_rend[[#This Row],[B_altas]:[B_lab]])/Tabla_master_rend[[#This Row],[Kg_SalidaSecadero]]</f>
        <v>3.5878359527573699E-2</v>
      </c>
      <c r="BP129" s="68">
        <f>+(Tabla_master_rend[[#This Row],[Kg_mer_env_real]]+Tabla_master_rend[[#This Row],[kg_mer_lab_real]])/Tabla_master_rend[[#This Row],[Kg_SalidaSecadero]]</f>
        <v>2.9091416348925887E-2</v>
      </c>
      <c r="BQ129" s="64">
        <f>+Tabla_master_rend[[#This Row],[Merma_TOT]]/Tabla_master_rend[[#This Row],[Kg_Queso_Blan]]</f>
        <v>4.734191075828087E-2</v>
      </c>
      <c r="BR129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1037.6400000000001</v>
      </c>
      <c r="BS129" s="8">
        <v>21461.760000000002</v>
      </c>
      <c r="BT129" s="63">
        <f>IF(+Tabla_master_rend[[#This Row],[Kg_Env_Total]]=0,0,Tabla_master_rend[[#This Row],[Kg_Env_Total]]-Tabla_master_rend[[#This Row],[Kg_SalidaSecadero]])</f>
        <v>-44.239999999997963</v>
      </c>
      <c r="BU129" s="60">
        <f>+Tabla_master_rend[[#This Row],[Diferencia_Env_vs_Sec_kg]]/Tabla_master_rend[[#This Row],[Kg_SalidaSecadero]]</f>
        <v>-2.0571003440899268E-3</v>
      </c>
      <c r="BV129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29" s="65">
        <f>+(Tabla_master_rend[[#This Row],[Coste_Leche_€]]-Tabla_master_rend[[#This Row],[Kg_MG_Nata]]*$CO$3)/Tabla_master_rend[[#This Row],[Kg_Queso_Blan]]</f>
        <v>-1.0090336709553791</v>
      </c>
      <c r="BX129" s="8">
        <f>SUM(Tabla_master_rend[[#This Row],[Kg_Finos]:[Kg_Desmoldeo]])+Tabla_master_rend[[#This Row],[L_Agua]]+SUM(Tabla_master_rend[[#This Row],[B_altas]:[B_lab]])</f>
        <v>1183.5999999999999</v>
      </c>
      <c r="BY129" s="8">
        <f>+BX129-Tabla_master_rend[[#This Row],[Merma_TOT]]</f>
        <v>145.95999999999981</v>
      </c>
      <c r="BZ129" s="62">
        <f t="shared" si="40"/>
        <v>0.12331868874619789</v>
      </c>
      <c r="CA129" s="8">
        <f>+Tabla_master_rend[[#This Row],[Kg_Queso_Blan]]*$CA$1</f>
        <v>142.46699999999998</v>
      </c>
      <c r="CB129" s="8">
        <f>+Tabla_master_rend[[#This Row],[Kg_Queso_Blan]]*($CB$1-$CA$1)</f>
        <v>76.713000000000008</v>
      </c>
      <c r="CC129" s="8">
        <f>+(Tabla_master_rend[[#This Row],[Kg_Queso_Blan]]-CA129-CB129)*$CC$1</f>
        <v>227.83761000000001</v>
      </c>
      <c r="CD129" s="8">
        <f t="shared" si="41"/>
        <v>447.01760999999999</v>
      </c>
      <c r="CE129" s="80">
        <f>+CD129/Tabla_master_rend[[#This Row],[Kg_Queso_Blan]]</f>
        <v>2.0395E-2</v>
      </c>
      <c r="CF129" s="62">
        <f>+Tabla_master_rend[[#This Row],[Merma_TOT]]/Tabla_master_rend[[#This Row],[Kg_Queso_Blan]]</f>
        <v>4.734191075828087E-2</v>
      </c>
      <c r="CG129" s="8">
        <f>CD129-Tabla_master_rend[[#This Row],[Merma_TOT]]</f>
        <v>-590.62239000000011</v>
      </c>
      <c r="CH129" s="81" cm="1">
        <f t="array" ref="CH129">-BR129 * IFERROR(INDEX('Precio Leche_EBITDA_Ventas'!$BD$87:$BD$110,MATCH(1,('Precio Leche_EBITDA_Ventas'!$AZ$87:$AZ$110=YEAR(A129))*('Precio Leche_EBITDA_Ventas'!$BB$87:$BB$110=C129),0)),1.3)</f>
        <v>-3745.8804</v>
      </c>
      <c r="CI129" s="81">
        <f t="shared" si="42"/>
        <v>-767.80910700000015</v>
      </c>
    </row>
    <row r="130" spans="1:87" x14ac:dyDescent="0.35">
      <c r="A130" s="9">
        <v>45944</v>
      </c>
      <c r="B130" s="7">
        <v>10</v>
      </c>
      <c r="C130" s="7" t="str">
        <f>+UPPER(TEXT(Tabla_master_rend[[#This Row],[Fecha]],"MMM"))</f>
        <v>OCT</v>
      </c>
      <c r="D130" s="7" t="str">
        <f>+UPPER(TEXT(Tabla_master_rend[[#This Row],[Fecha]],"ddd"))</f>
        <v>MA</v>
      </c>
      <c r="E130" s="3">
        <v>141025116</v>
      </c>
      <c r="F130" s="3" t="s">
        <v>244</v>
      </c>
      <c r="G130" s="84" t="s">
        <v>299</v>
      </c>
      <c r="H130">
        <v>10</v>
      </c>
      <c r="I130" s="8">
        <f>+Tabla_master_rend[[#This Row],[L_Leche_ent]]+Tabla_master_rend[[#This Row],[L_desn_ext]]+Tabla_master_rend[[#This Row],[L_cabra]]+Tabla_master_rend[[#This Row],[L_oveja]]</f>
        <v>156475</v>
      </c>
      <c r="J130" s="8">
        <v>156475</v>
      </c>
      <c r="K130" s="5">
        <v>3.78E-2</v>
      </c>
      <c r="L130" s="5">
        <v>3.4000000000000002E-2</v>
      </c>
      <c r="M130" s="5">
        <f t="shared" si="37"/>
        <v>0.10831400000000001</v>
      </c>
      <c r="N130" s="35" t="s">
        <v>43</v>
      </c>
      <c r="O130" s="8">
        <v>0</v>
      </c>
      <c r="P130" s="8">
        <v>0</v>
      </c>
      <c r="Q130" s="8">
        <v>0</v>
      </c>
      <c r="R130" s="8">
        <v>5261</v>
      </c>
      <c r="T130" s="8">
        <v>142050</v>
      </c>
      <c r="U130" s="38">
        <f>+Tabla_master_rend[[#This Row],[L_suero Total]]/Tabla_master_rend[[#This Row],[Litros_Leche_Total]]</f>
        <v>0.90781274964051761</v>
      </c>
      <c r="V130" s="5">
        <v>1E-3</v>
      </c>
      <c r="W130" s="5">
        <v>8.6999999999999994E-3</v>
      </c>
      <c r="X130" s="8">
        <v>44936</v>
      </c>
      <c r="Y130" s="57">
        <v>13148</v>
      </c>
      <c r="Z130" s="58">
        <f>IF(Tabla_master_rend[[#This Row],[L_suero para con]]=0,0,+Tabla_master_rend[[#This Row],[L_suero para con]]/Tabla_master_rend[[#This Row],[L_suero_con]])</f>
        <v>3.4177061149984787</v>
      </c>
      <c r="AA130" s="8">
        <f>+Tabla_master_rend[[#This Row],[L_suero Total]]-Tabla_master_rend[[#This Row],[L_suero para con]]</f>
        <v>97114</v>
      </c>
      <c r="AD130" s="8"/>
      <c r="AE130" s="8"/>
      <c r="AF130" s="8"/>
      <c r="AG130" s="5"/>
      <c r="AI130" s="7">
        <f>+Tabla_master_rend[[#This Row],[Kg_Finos]]+Tabla_master_rend[[#This Row],[Kg_Llenadora]]+Tabla_master_rend[[#This Row],[Kg_Desmoldeo]]+Tabla_master_rend[[#This Row],[L_Agua]]+Tabla_master_rend[[#This Row],[Kg_SalidaSecadero]]</f>
        <v>17041.650000000001</v>
      </c>
      <c r="AJ130" s="59">
        <f>+Tabla_master_rend[[#This Row],[Litros_Leche_Total]]/Tabla_master_rend[[#This Row],[Kg_Queso_Blan]]</f>
        <v>9.1819160703335641</v>
      </c>
      <c r="AK130" s="59">
        <f>+Tabla_master_rend[[#This Row],[Litros_Leche_Total]]/(Tabla_master_rend[[#This Row],[Kg_Queso_Blan]]-Tabla_master_rend[[#This Row],[Merma_TOT]])</f>
        <v>9.475603537962364</v>
      </c>
      <c r="AL130" s="59">
        <f>VLOOKUP(G130,REND_TARGET[#All],8,FALSE)</f>
        <v>9.8078500000000002</v>
      </c>
      <c r="AM130" s="7">
        <f>(I130*1.03*Tabla_master_rend[[#This Row],[%MG_Leche]])+(I130*1.03*Tabla_master_rend[[#This Row],[%MP_Leche]])</f>
        <v>11571.952150000001</v>
      </c>
      <c r="AN130" s="38">
        <v>0.22190000000000001</v>
      </c>
      <c r="AO130" s="38">
        <v>0.2445</v>
      </c>
      <c r="AP130" s="60">
        <v>0.53049999999999997</v>
      </c>
      <c r="AQ130" s="38">
        <f>+Tabla_master_rend[[#This Row],[Kg_Queso_Blan]]*Tabla_master_rend[[#This Row],[ES_QUESO]]/(Tabla_master_rend[[#This Row],[Kg_Solidos_leche]])</f>
        <v>0.78125066607711469</v>
      </c>
      <c r="AR130" s="7">
        <f t="shared" si="38"/>
        <v>2104.4</v>
      </c>
      <c r="AS130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0.96614431657515265</v>
      </c>
      <c r="AT130" s="62">
        <f>+Tabla_master_rend[[#This Row],[Kg_Queso_Blan]]*Tabla_master_rend[[#This Row],[%PT_QUESO]]/(Tabla_master_rend[[#This Row],[Litros_Leche_Total]]*1.03*Tabla_master_rend[[#This Row],[%MP_Leche]])</f>
        <v>0.76037775506183725</v>
      </c>
      <c r="AU130" s="63">
        <f t="shared" si="39"/>
        <v>15783</v>
      </c>
      <c r="AV130" s="7">
        <v>21.25</v>
      </c>
      <c r="AW130" s="7">
        <v>59.5</v>
      </c>
      <c r="AX130" s="7">
        <v>33.9</v>
      </c>
      <c r="AY130" s="8">
        <f>SUM(Tabla_master_rend[[#This Row],[Kg_Finos]:[Kg_Desmoldeo]])</f>
        <v>114.65</v>
      </c>
      <c r="AZ130" s="60">
        <f>+(Tabla_master_rend[[#This Row],[Kg_Finos]]+Tabla_master_rend[[#This Row],[Kg_Llenadora]]+Tabla_master_rend[[#This Row],[Kg_Desmoldeo]])/(Tabla_master_rend[[#This Row],[Kg_Queso_Blan]])</f>
        <v>6.7276349414522657E-3</v>
      </c>
      <c r="BA130" s="7">
        <v>100</v>
      </c>
      <c r="BB130" s="60">
        <f>+Tabla_master_rend[[#This Row],[L_Agua]]/(Tabla_master_rend[[#This Row],[L_Agua]]+Tabla_master_rend[[#This Row],[Kg_SalidaSecadero]])</f>
        <v>5.90772139185916E-3</v>
      </c>
      <c r="BC130" s="8">
        <v>2307</v>
      </c>
      <c r="BD130" s="8">
        <v>2227</v>
      </c>
      <c r="BE130" s="8">
        <v>16397</v>
      </c>
      <c r="BF130" s="8">
        <f>32*6.7</f>
        <v>214.4</v>
      </c>
      <c r="BG130" s="8">
        <f>43*6.7</f>
        <v>288.10000000000002</v>
      </c>
      <c r="BH130" s="7">
        <f>1*6.7</f>
        <v>6.7</v>
      </c>
      <c r="BI130" s="7">
        <f>26*6.7</f>
        <v>174.20000000000002</v>
      </c>
      <c r="BJ130" s="8">
        <v>64</v>
      </c>
      <c r="BK130" s="8">
        <v>16827</v>
      </c>
      <c r="BL130" s="8">
        <v>0</v>
      </c>
      <c r="BM130" s="8">
        <v>300.48</v>
      </c>
      <c r="BN130" s="7">
        <v>13.06</v>
      </c>
      <c r="BO130" s="68">
        <f>+SUM(Tabla_master_rend[[#This Row],[B_altas]:[B_lab]])/Tabla_master_rend[[#This Row],[Kg_SalidaSecadero]]</f>
        <v>4.4416711237891482E-2</v>
      </c>
      <c r="BP130" s="68">
        <f>+(Tabla_master_rend[[#This Row],[Kg_mer_env_real]]+Tabla_master_rend[[#This Row],[kg_mer_lab_real]])/Tabla_master_rend[[#This Row],[Kg_SalidaSecadero]]</f>
        <v>1.863314910560409E-2</v>
      </c>
      <c r="BQ130" s="64">
        <f>+Tabla_master_rend[[#This Row],[Merma_TOT]]/Tabla_master_rend[[#This Row],[Kg_Queso_Blan]]</f>
        <v>3.0994064541872413E-2</v>
      </c>
      <c r="BR130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528.19000000000005</v>
      </c>
      <c r="BS130" s="8">
        <v>16824.939999999999</v>
      </c>
      <c r="BT130" s="63">
        <f>IF(+Tabla_master_rend[[#This Row],[Kg_Env_Total]]=0,0,Tabla_master_rend[[#This Row],[Kg_Env_Total]]-Tabla_master_rend[[#This Row],[Kg_SalidaSecadero]])</f>
        <v>-2.0600000000013097</v>
      </c>
      <c r="BU130" s="60">
        <f>+Tabla_master_rend[[#This Row],[Diferencia_Env_vs_Sec_kg]]/Tabla_master_rend[[#This Row],[Kg_SalidaSecadero]]</f>
        <v>-1.2242229749814641E-4</v>
      </c>
      <c r="BV130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30" s="65">
        <f>+(Tabla_master_rend[[#This Row],[Coste_Leche_€]]-Tabla_master_rend[[#This Row],[Kg_MG_Nata]]*$CO$3)/Tabla_master_rend[[#This Row],[Kg_Queso_Blan]]</f>
        <v>-0.92614271505399992</v>
      </c>
      <c r="BX130" s="8">
        <f>SUM(Tabla_master_rend[[#This Row],[Kg_Finos]:[Kg_Desmoldeo]])+Tabla_master_rend[[#This Row],[L_Agua]]+SUM(Tabla_master_rend[[#This Row],[B_altas]:[B_lab]])</f>
        <v>962.05</v>
      </c>
      <c r="BY130" s="8">
        <f>+BX130-Tabla_master_rend[[#This Row],[Merma_TOT]]</f>
        <v>433.8599999999999</v>
      </c>
      <c r="BZ130" s="62">
        <f t="shared" si="40"/>
        <v>0.45097448157580161</v>
      </c>
      <c r="CA130" s="8">
        <f>+Tabla_master_rend[[#This Row],[Kg_Queso_Blan]]*$CA$1</f>
        <v>110.770725</v>
      </c>
      <c r="CB130" s="8">
        <f>+Tabla_master_rend[[#This Row],[Kg_Queso_Blan]]*($CB$1-$CA$1)</f>
        <v>59.645775000000015</v>
      </c>
      <c r="CC130" s="8">
        <f>+(Tabla_master_rend[[#This Row],[Kg_Queso_Blan]]-CA130-CB130)*$CC$1</f>
        <v>177.14795175000003</v>
      </c>
      <c r="CD130" s="8">
        <f t="shared" si="41"/>
        <v>347.56445175000005</v>
      </c>
      <c r="CE130" s="80">
        <f>+CD130/Tabla_master_rend[[#This Row],[Kg_Queso_Blan]]</f>
        <v>2.0395E-2</v>
      </c>
      <c r="CF130" s="62">
        <f>+Tabla_master_rend[[#This Row],[Merma_TOT]]/Tabla_master_rend[[#This Row],[Kg_Queso_Blan]]</f>
        <v>3.0994064541872413E-2</v>
      </c>
      <c r="CG130" s="8">
        <f>CD130-Tabla_master_rend[[#This Row],[Merma_TOT]]</f>
        <v>-180.62554825000001</v>
      </c>
      <c r="CH130" s="81" cm="1">
        <f t="array" ref="CH130">-BR130 * IFERROR(INDEX('Precio Leche_EBITDA_Ventas'!$BD$87:$BD$110,MATCH(1,('Precio Leche_EBITDA_Ventas'!$AZ$87:$AZ$110=YEAR(A130))*('Precio Leche_EBITDA_Ventas'!$BB$87:$BB$110=C130),0)),1.3)</f>
        <v>-1906.7659000000001</v>
      </c>
      <c r="CI130" s="81">
        <f t="shared" si="42"/>
        <v>-234.81321272500003</v>
      </c>
    </row>
    <row r="131" spans="1:87" x14ac:dyDescent="0.35">
      <c r="A131" s="9">
        <v>45946</v>
      </c>
      <c r="B131" s="7">
        <v>10</v>
      </c>
      <c r="C131" s="7" t="str">
        <f>+UPPER(TEXT(Tabla_master_rend[[#This Row],[Fecha]],"MMM"))</f>
        <v>OCT</v>
      </c>
      <c r="D131" s="7" t="str">
        <f>+UPPER(TEXT(Tabla_master_rend[[#This Row],[Fecha]],"ddd"))</f>
        <v>JU</v>
      </c>
      <c r="E131" s="3">
        <v>161025326</v>
      </c>
      <c r="F131" s="3" t="s">
        <v>244</v>
      </c>
      <c r="G131" s="84" t="s">
        <v>302</v>
      </c>
      <c r="H131">
        <v>10</v>
      </c>
      <c r="I131" s="8">
        <f>+Tabla_master_rend[[#This Row],[L_Leche_ent]]+Tabla_master_rend[[#This Row],[L_desn_ext]]+Tabla_master_rend[[#This Row],[L_cabra]]+Tabla_master_rend[[#This Row],[L_oveja]]</f>
        <v>123641</v>
      </c>
      <c r="J131" s="8">
        <v>123641</v>
      </c>
      <c r="K131" s="5">
        <v>4.0300000000000002E-2</v>
      </c>
      <c r="L131" s="5">
        <v>4.0399999999999998E-2</v>
      </c>
      <c r="M131" s="5">
        <f t="shared" si="37"/>
        <v>0.11537500000000001</v>
      </c>
      <c r="N131" s="35" t="s">
        <v>188</v>
      </c>
      <c r="O131" s="8">
        <v>0</v>
      </c>
      <c r="P131" s="8">
        <v>0</v>
      </c>
      <c r="Q131" s="8">
        <v>0</v>
      </c>
      <c r="R131" s="8">
        <v>0</v>
      </c>
      <c r="T131" s="8">
        <v>148960</v>
      </c>
      <c r="U131" s="38">
        <f>+Tabla_master_rend[[#This Row],[L_suero Total]]/Tabla_master_rend[[#This Row],[Litros_Leche_Total]]</f>
        <v>1.2047783502236313</v>
      </c>
      <c r="V131" s="5">
        <v>2.0999999999999999E-3</v>
      </c>
      <c r="W131" s="5">
        <v>8.199999999999999E-3</v>
      </c>
      <c r="X131" s="8">
        <v>152786</v>
      </c>
      <c r="Y131" s="57">
        <v>50162</v>
      </c>
      <c r="Z131" s="58">
        <f>IF(Tabla_master_rend[[#This Row],[L_suero para con]]=0,0,+Tabla_master_rend[[#This Row],[L_suero para con]]/Tabla_master_rend[[#This Row],[L_suero_con]])</f>
        <v>3.0458514413300906</v>
      </c>
      <c r="AA131" s="8">
        <f>+Tabla_master_rend[[#This Row],[L_suero Total]]-Tabla_master_rend[[#This Row],[L_suero para con]]</f>
        <v>-3826</v>
      </c>
      <c r="AD131" s="8"/>
      <c r="AE131" s="8"/>
      <c r="AF131" s="8"/>
      <c r="AG131" s="5"/>
      <c r="AI131" s="7">
        <f>+Tabla_master_rend[[#This Row],[Kg_Finos]]+Tabla_master_rend[[#This Row],[Kg_Llenadora]]+Tabla_master_rend[[#This Row],[Kg_Desmoldeo]]+Tabla_master_rend[[#This Row],[L_Agua]]+Tabla_master_rend[[#This Row],[Kg_SalidaSecadero]]</f>
        <v>17573.169999999998</v>
      </c>
      <c r="AJ131" s="59">
        <f>+Tabla_master_rend[[#This Row],[Litros_Leche_Total]]/Tabla_master_rend[[#This Row],[Kg_Queso_Blan]]</f>
        <v>7.035782388720988</v>
      </c>
      <c r="AK131" s="59">
        <f>+Tabla_master_rend[[#This Row],[Litros_Leche_Total]]/(Tabla_master_rend[[#This Row],[Kg_Queso_Blan]]-Tabla_master_rend[[#This Row],[Merma_TOT]])</f>
        <v>7.2155893753581806</v>
      </c>
      <c r="AL131" s="59">
        <f>VLOOKUP(G131,REND_TARGET[#All],8,FALSE)</f>
        <v>7.1889999999999992</v>
      </c>
      <c r="AM131" s="7">
        <f>(I131*1.03*Tabla_master_rend[[#This Row],[%MG_Leche]])+(I131*1.03*Tabla_master_rend[[#This Row],[%MP_Leche]])</f>
        <v>10277.163561000001</v>
      </c>
      <c r="AN131" s="38">
        <v>0.29010000000000002</v>
      </c>
      <c r="AO131" s="38">
        <v>0.2369</v>
      </c>
      <c r="AP131" s="60">
        <v>0.5756</v>
      </c>
      <c r="AQ131" s="38">
        <f>+Tabla_master_rend[[#This Row],[Kg_Queso_Blan]]*Tabla_master_rend[[#This Row],[ES_QUESO]]/(Tabla_master_rend[[#This Row],[Kg_Solidos_leche]])</f>
        <v>0.98423233141730448</v>
      </c>
      <c r="AR131" s="7">
        <f t="shared" si="38"/>
        <v>0</v>
      </c>
      <c r="AS131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0.99332887322986385</v>
      </c>
      <c r="AT131" s="62">
        <f>+Tabla_master_rend[[#This Row],[Kg_Queso_Blan]]*Tabla_master_rend[[#This Row],[%PT_QUESO]]/(Tabla_master_rend[[#This Row],[Litros_Leche_Total]]*1.03*Tabla_master_rend[[#This Row],[%MP_Leche]])</f>
        <v>0.80915937878596289</v>
      </c>
      <c r="AU131" s="63">
        <f t="shared" si="39"/>
        <v>0</v>
      </c>
      <c r="AV131" s="7">
        <v>24.87</v>
      </c>
      <c r="AW131" s="7">
        <v>26.2</v>
      </c>
      <c r="AX131" s="7">
        <v>5.0999999999999996</v>
      </c>
      <c r="AY131" s="8">
        <f>SUM(Tabla_master_rend[[#This Row],[Kg_Finos]:[Kg_Desmoldeo]])</f>
        <v>56.17</v>
      </c>
      <c r="AZ131" s="60">
        <f>+(Tabla_master_rend[[#This Row],[Kg_Finos]]+Tabla_master_rend[[#This Row],[Kg_Llenadora]]+Tabla_master_rend[[#This Row],[Kg_Desmoldeo]])/(Tabla_master_rend[[#This Row],[Kg_Queso_Blan]])</f>
        <v>3.1963498902019389E-3</v>
      </c>
      <c r="BA131" s="7">
        <v>195</v>
      </c>
      <c r="BB131" s="60">
        <f>+Tabla_master_rend[[#This Row],[L_Agua]]/(Tabla_master_rend[[#This Row],[L_Agua]]+Tabla_master_rend[[#This Row],[Kg_SalidaSecadero]])</f>
        <v>1.1132043158075013E-2</v>
      </c>
      <c r="BC131" s="8">
        <v>2351</v>
      </c>
      <c r="BD131" s="8">
        <v>2324</v>
      </c>
      <c r="BE131" s="8">
        <v>17339</v>
      </c>
      <c r="BF131" s="8">
        <f>11*6.6</f>
        <v>72.599999999999994</v>
      </c>
      <c r="BG131" s="8">
        <f>9*6.6</f>
        <v>59.4</v>
      </c>
      <c r="BH131" s="7">
        <f>2*6.6</f>
        <v>13.2</v>
      </c>
      <c r="BI131" s="7">
        <f>6*6.6</f>
        <v>39.599999999999994</v>
      </c>
      <c r="BJ131" s="8">
        <v>65</v>
      </c>
      <c r="BK131" s="8">
        <v>17322</v>
      </c>
      <c r="BL131" s="8">
        <v>0</v>
      </c>
      <c r="BM131" s="8">
        <v>162.19999999999999</v>
      </c>
      <c r="BN131" s="7">
        <v>24.54</v>
      </c>
      <c r="BO131" s="68">
        <f>+SUM(Tabla_master_rend[[#This Row],[B_altas]:[B_lab]])/Tabla_master_rend[[#This Row],[Kg_SalidaSecadero]]</f>
        <v>1.4420967555709501E-2</v>
      </c>
      <c r="BP131" s="68">
        <f>+(Tabla_master_rend[[#This Row],[Kg_mer_env_real]]+Tabla_master_rend[[#This Row],[kg_mer_lab_real]])/Tabla_master_rend[[#This Row],[Kg_SalidaSecadero]]</f>
        <v>1.0780510333679712E-2</v>
      </c>
      <c r="BQ131" s="64">
        <f>+Tabla_master_rend[[#This Row],[Merma_TOT]]/Tabla_master_rend[[#This Row],[Kg_Queso_Blan]]</f>
        <v>2.4919237678802407E-2</v>
      </c>
      <c r="BR131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437.91</v>
      </c>
      <c r="BS131" s="8">
        <v>17322.45</v>
      </c>
      <c r="BT131" s="63">
        <f>IF(+Tabla_master_rend[[#This Row],[Kg_Env_Total]]=0,0,Tabla_master_rend[[#This Row],[Kg_Env_Total]]-Tabla_master_rend[[#This Row],[Kg_SalidaSecadero]])</f>
        <v>0.4500000000007276</v>
      </c>
      <c r="BU131" s="60">
        <f>+Tabla_master_rend[[#This Row],[Diferencia_Env_vs_Sec_kg]]/Tabla_master_rend[[#This Row],[Kg_SalidaSecadero]]</f>
        <v>2.5978524419854958E-5</v>
      </c>
      <c r="BV131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31" s="65">
        <f>+(Tabla_master_rend[[#This Row],[Coste_Leche_€]]-Tabla_master_rend[[#This Row],[Kg_MG_Nata]]*$CO$3)/Tabla_master_rend[[#This Row],[Kg_Queso_Blan]]</f>
        <v>0</v>
      </c>
      <c r="BX131" s="8">
        <f>SUM(Tabla_master_rend[[#This Row],[Kg_Finos]:[Kg_Desmoldeo]])+Tabla_master_rend[[#This Row],[L_Agua]]+SUM(Tabla_master_rend[[#This Row],[B_altas]:[B_lab]])</f>
        <v>500.97</v>
      </c>
      <c r="BY131" s="8">
        <f>+BX131-Tabla_master_rend[[#This Row],[Merma_TOT]]</f>
        <v>63.06</v>
      </c>
      <c r="BZ131" s="62">
        <f t="shared" si="40"/>
        <v>0.12587580094616443</v>
      </c>
      <c r="CA131" s="8">
        <f>+Tabla_master_rend[[#This Row],[Kg_Queso_Blan]]*$CA$1</f>
        <v>114.22560499999999</v>
      </c>
      <c r="CB131" s="8">
        <f>+Tabla_master_rend[[#This Row],[Kg_Queso_Blan]]*($CB$1-$CA$1)</f>
        <v>61.506095000000002</v>
      </c>
      <c r="CC131" s="8">
        <f>+(Tabla_master_rend[[#This Row],[Kg_Queso_Blan]]-CA131-CB131)*$CC$1</f>
        <v>182.67310214999998</v>
      </c>
      <c r="CD131" s="8">
        <f t="shared" si="41"/>
        <v>358.40480214999997</v>
      </c>
      <c r="CE131" s="80">
        <f>+CD131/Tabla_master_rend[[#This Row],[Kg_Queso_Blan]]</f>
        <v>2.0395E-2</v>
      </c>
      <c r="CF131" s="62">
        <f>+Tabla_master_rend[[#This Row],[Merma_TOT]]/Tabla_master_rend[[#This Row],[Kg_Queso_Blan]]</f>
        <v>2.4919237678802407E-2</v>
      </c>
      <c r="CG131" s="8">
        <f>CD131-Tabla_master_rend[[#This Row],[Merma_TOT]]</f>
        <v>-79.505197850000059</v>
      </c>
      <c r="CH131" s="81" cm="1">
        <f t="array" ref="CH131">-BR131 * IFERROR(INDEX('Precio Leche_EBITDA_Ventas'!$BD$87:$BD$110,MATCH(1,('Precio Leche_EBITDA_Ventas'!$AZ$87:$AZ$110=YEAR(A131))*('Precio Leche_EBITDA_Ventas'!$BB$87:$BB$110=C131),0)),1.3)</f>
        <v>-1580.8551</v>
      </c>
      <c r="CI131" s="81">
        <f t="shared" si="42"/>
        <v>-103.35675720500008</v>
      </c>
    </row>
    <row r="132" spans="1:87" x14ac:dyDescent="0.35">
      <c r="A132" s="9">
        <v>45951</v>
      </c>
      <c r="B132" s="7">
        <v>10</v>
      </c>
      <c r="C132" s="7" t="str">
        <f>+UPPER(TEXT(Tabla_master_rend[[#This Row],[Fecha]],"MMM"))</f>
        <v>OCT</v>
      </c>
      <c r="D132" s="7" t="str">
        <f>+UPPER(TEXT(Tabla_master_rend[[#This Row],[Fecha]],"ddd"))</f>
        <v>MA</v>
      </c>
      <c r="E132" s="3">
        <v>211025146</v>
      </c>
      <c r="F132" s="3" t="s">
        <v>244</v>
      </c>
      <c r="G132" s="84" t="s">
        <v>40</v>
      </c>
      <c r="H132">
        <v>12</v>
      </c>
      <c r="I132" s="8">
        <f>+Tabla_master_rend[[#This Row],[L_Leche_ent]]+Tabla_master_rend[[#This Row],[L_desn_ext]]+Tabla_master_rend[[#This Row],[L_cabra]]+Tabla_master_rend[[#This Row],[L_oveja]]</f>
        <v>190597</v>
      </c>
      <c r="J132" s="8">
        <v>190597</v>
      </c>
      <c r="K132" s="5">
        <v>3.8900000000000004E-2</v>
      </c>
      <c r="L132" s="5">
        <v>3.4200000000000001E-2</v>
      </c>
      <c r="M132" s="5">
        <f t="shared" si="37"/>
        <v>0.10948500000000001</v>
      </c>
      <c r="N132" s="35" t="s">
        <v>188</v>
      </c>
      <c r="O132" s="8">
        <v>0</v>
      </c>
      <c r="P132" s="8">
        <v>0</v>
      </c>
      <c r="Q132" s="8">
        <v>0</v>
      </c>
      <c r="R132" s="8">
        <v>1909</v>
      </c>
      <c r="T132" s="8">
        <v>167780</v>
      </c>
      <c r="U132" s="38">
        <f>+Tabla_master_rend[[#This Row],[L_suero Total]]/Tabla_master_rend[[#This Row],[Litros_Leche_Total]]</f>
        <v>0.8802866781743679</v>
      </c>
      <c r="V132" s="5">
        <v>2.3999999999999998E-3</v>
      </c>
      <c r="W132" s="5">
        <v>9.4999999999999998E-3</v>
      </c>
      <c r="X132" s="8">
        <v>166048</v>
      </c>
      <c r="Y132" s="57">
        <v>60507</v>
      </c>
      <c r="Z132" s="58">
        <f>IF(Tabla_master_rend[[#This Row],[L_suero para con]]=0,0,+Tabla_master_rend[[#This Row],[L_suero para con]]/Tabla_master_rend[[#This Row],[L_suero_con]])</f>
        <v>2.74427752160907</v>
      </c>
      <c r="AA132" s="8">
        <f>+Tabla_master_rend[[#This Row],[L_suero Total]]-Tabla_master_rend[[#This Row],[L_suero para con]]</f>
        <v>1732</v>
      </c>
      <c r="AD132" s="8"/>
      <c r="AE132" s="8"/>
      <c r="AF132" s="8"/>
      <c r="AG132" s="5"/>
      <c r="AI132" s="7">
        <f>+Tabla_master_rend[[#This Row],[Kg_Finos]]+Tabla_master_rend[[#This Row],[Kg_Llenadora]]+Tabla_master_rend[[#This Row],[Kg_Desmoldeo]]+Tabla_master_rend[[#This Row],[L_Agua]]+Tabla_master_rend[[#This Row],[Kg_SalidaSecadero]]</f>
        <v>22907.64</v>
      </c>
      <c r="AJ132" s="59">
        <f>+Tabla_master_rend[[#This Row],[Litros_Leche_Total]]/Tabla_master_rend[[#This Row],[Kg_Queso_Blan]]</f>
        <v>8.3202372658204862</v>
      </c>
      <c r="AK132" s="59">
        <f>+Tabla_master_rend[[#This Row],[Litros_Leche_Total]]/(Tabla_master_rend[[#This Row],[Kg_Queso_Blan]]-Tabla_master_rend[[#This Row],[Merma_TOT]])</f>
        <v>8.4867631572502642</v>
      </c>
      <c r="AL132" s="59">
        <f>VLOOKUP(G132,REND_TARGET[#All],8,FALSE)</f>
        <v>8.9338729999999984</v>
      </c>
      <c r="AM132" s="7">
        <f>(I132*1.03*Tabla_master_rend[[#This Row],[%MG_Leche]])+(I132*1.03*Tabla_master_rend[[#This Row],[%MP_Leche]])</f>
        <v>14350.619921000001</v>
      </c>
      <c r="AN132" s="38">
        <v>0.28539999999999999</v>
      </c>
      <c r="AO132" s="38">
        <v>0.2235</v>
      </c>
      <c r="AP132" s="60">
        <v>0.56769999999999998</v>
      </c>
      <c r="AQ132" s="38">
        <f>+Tabla_master_rend[[#This Row],[Kg_Queso_Blan]]*Tabla_master_rend[[#This Row],[ES_QUESO]]/(Tabla_master_rend[[#This Row],[Kg_Solidos_leche]])</f>
        <v>0.90620943900615747</v>
      </c>
      <c r="AR132" s="7">
        <f t="shared" si="38"/>
        <v>763.6</v>
      </c>
      <c r="AS132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0.95610515827700682</v>
      </c>
      <c r="AT132" s="62">
        <f>+Tabla_master_rend[[#This Row],[Kg_Queso_Blan]]*Tabla_master_rend[[#This Row],[%PT_QUESO]]/(Tabla_master_rend[[#This Row],[Litros_Leche_Total]]*1.03*Tabla_master_rend[[#This Row],[%MP_Leche]])</f>
        <v>0.76256783981463894</v>
      </c>
      <c r="AU132" s="63">
        <f t="shared" si="39"/>
        <v>5727</v>
      </c>
      <c r="AV132" s="7">
        <v>37.94</v>
      </c>
      <c r="AW132" s="7">
        <v>40.200000000000003</v>
      </c>
      <c r="AX132" s="7">
        <v>6.5</v>
      </c>
      <c r="AY132" s="8">
        <f>SUM(Tabla_master_rend[[#This Row],[Kg_Finos]:[Kg_Desmoldeo]])</f>
        <v>84.64</v>
      </c>
      <c r="AZ132" s="60">
        <f>+(Tabla_master_rend[[#This Row],[Kg_Finos]]+Tabla_master_rend[[#This Row],[Kg_Llenadora]]+Tabla_master_rend[[#This Row],[Kg_Desmoldeo]])/(Tabla_master_rend[[#This Row],[Kg_Queso_Blan]])</f>
        <v>3.6948371809579685E-3</v>
      </c>
      <c r="BA132" s="7">
        <v>190</v>
      </c>
      <c r="BB132" s="60">
        <f>+Tabla_master_rend[[#This Row],[L_Agua]]/(Tabla_master_rend[[#This Row],[L_Agua]]+Tabla_master_rend[[#This Row],[Kg_SalidaSecadero]])</f>
        <v>8.3249353722122423E-3</v>
      </c>
      <c r="BC132" s="8">
        <v>3112</v>
      </c>
      <c r="BD132" s="8">
        <v>3078</v>
      </c>
      <c r="BE132" s="8">
        <v>22606</v>
      </c>
      <c r="BF132" s="8">
        <f>176*6.5</f>
        <v>1144</v>
      </c>
      <c r="BG132" s="8">
        <f>5*6.5</f>
        <v>32.5</v>
      </c>
      <c r="BH132" s="7">
        <v>0</v>
      </c>
      <c r="BI132" s="7">
        <f>7*6.6</f>
        <v>46.199999999999996</v>
      </c>
      <c r="BJ132" s="8">
        <v>139</v>
      </c>
      <c r="BK132" s="8">
        <v>22633</v>
      </c>
      <c r="BL132" s="8">
        <v>0</v>
      </c>
      <c r="BM132" s="8">
        <v>146.88</v>
      </c>
      <c r="BN132" s="7">
        <v>27.97</v>
      </c>
      <c r="BO132" s="68">
        <f>+SUM(Tabla_master_rend[[#This Row],[B_altas]:[B_lab]])/Tabla_master_rend[[#This Row],[Kg_SalidaSecadero]]</f>
        <v>6.0164361772632881E-2</v>
      </c>
      <c r="BP132" s="68">
        <f>+(Tabla_master_rend[[#This Row],[Kg_mer_env_real]]+Tabla_master_rend[[#This Row],[kg_mer_lab_real]])/Tabla_master_rend[[#This Row],[Kg_SalidaSecadero]]</f>
        <v>7.7254451464675473E-3</v>
      </c>
      <c r="BQ132" s="64">
        <f>+Tabla_master_rend[[#This Row],[Merma_TOT]]/Tabla_master_rend[[#This Row],[Kg_Queso_Blan]]</f>
        <v>1.9621837954499025E-2</v>
      </c>
      <c r="BR132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449.49</v>
      </c>
      <c r="BS132" s="8">
        <v>22386.640000000007</v>
      </c>
      <c r="BT132" s="63">
        <f>IF(+Tabla_master_rend[[#This Row],[Kg_Env_Total]]=0,0,Tabla_master_rend[[#This Row],[Kg_Env_Total]]-Tabla_master_rend[[#This Row],[Kg_SalidaSecadero]])</f>
        <v>-246.35999999999331</v>
      </c>
      <c r="BU132" s="60">
        <f>+Tabla_master_rend[[#This Row],[Diferencia_Env_vs_Sec_kg]]/Tabla_master_rend[[#This Row],[Kg_SalidaSecadero]]</f>
        <v>-1.0884990942428901E-2</v>
      </c>
      <c r="BV132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32" s="65">
        <f>+(Tabla_master_rend[[#This Row],[Coste_Leche_€]]-Tabla_master_rend[[#This Row],[Kg_MG_Nata]]*$CO$3)/Tabla_master_rend[[#This Row],[Kg_Queso_Blan]]</f>
        <v>-0.25000392882025385</v>
      </c>
      <c r="BX132" s="8">
        <f>SUM(Tabla_master_rend[[#This Row],[Kg_Finos]:[Kg_Desmoldeo]])+Tabla_master_rend[[#This Row],[L_Agua]]+SUM(Tabla_master_rend[[#This Row],[B_altas]:[B_lab]])</f>
        <v>1636.3400000000001</v>
      </c>
      <c r="BY132" s="8">
        <f>+BX132-Tabla_master_rend[[#This Row],[Merma_TOT]]</f>
        <v>1186.8500000000001</v>
      </c>
      <c r="BZ132" s="62">
        <f t="shared" si="40"/>
        <v>0.72530769888898394</v>
      </c>
      <c r="CA132" s="8">
        <f>+Tabla_master_rend[[#This Row],[Kg_Queso_Blan]]*$CA$1</f>
        <v>148.89965999999998</v>
      </c>
      <c r="CB132" s="8">
        <f>+Tabla_master_rend[[#This Row],[Kg_Queso_Blan]]*($CB$1-$CA$1)</f>
        <v>80.176740000000009</v>
      </c>
      <c r="CC132" s="8">
        <f>+(Tabla_master_rend[[#This Row],[Kg_Queso_Blan]]-CA132-CB132)*$CC$1</f>
        <v>238.12491780000002</v>
      </c>
      <c r="CD132" s="8">
        <f t="shared" si="41"/>
        <v>467.20131779999997</v>
      </c>
      <c r="CE132" s="80">
        <f>+CD132/Tabla_master_rend[[#This Row],[Kg_Queso_Blan]]</f>
        <v>2.0395E-2</v>
      </c>
      <c r="CF132" s="62">
        <f>+Tabla_master_rend[[#This Row],[Merma_TOT]]/Tabla_master_rend[[#This Row],[Kg_Queso_Blan]]</f>
        <v>1.9621837954499025E-2</v>
      </c>
      <c r="CG132" s="8">
        <f>CD132-Tabla_master_rend[[#This Row],[Merma_TOT]]</f>
        <v>17.711317799999961</v>
      </c>
      <c r="CH132" s="81" cm="1">
        <f t="array" ref="CH132">-BR132 * IFERROR(INDEX('Precio Leche_EBITDA_Ventas'!$BD$87:$BD$110,MATCH(1,('Precio Leche_EBITDA_Ventas'!$AZ$87:$AZ$110=YEAR(A132))*('Precio Leche_EBITDA_Ventas'!$BB$87:$BB$110=C132),0)),1.3)</f>
        <v>-1622.6588999999999</v>
      </c>
      <c r="CI132" s="81">
        <f t="shared" si="42"/>
        <v>23.02471313999995</v>
      </c>
    </row>
    <row r="133" spans="1:87" x14ac:dyDescent="0.35">
      <c r="A133" s="9">
        <v>45953</v>
      </c>
      <c r="B133" s="7">
        <v>10</v>
      </c>
      <c r="C133" s="7" t="str">
        <f>+UPPER(TEXT(Tabla_master_rend[[#This Row],[Fecha]],"MMM"))</f>
        <v>OCT</v>
      </c>
      <c r="D133" s="7" t="str">
        <f>+UPPER(TEXT(Tabla_master_rend[[#This Row],[Fecha]],"ddd"))</f>
        <v>JU</v>
      </c>
      <c r="E133" s="3">
        <v>231025146</v>
      </c>
      <c r="F133" s="3" t="s">
        <v>244</v>
      </c>
      <c r="G133" s="84" t="s">
        <v>40</v>
      </c>
      <c r="H133">
        <v>8</v>
      </c>
      <c r="I133" s="8">
        <f>+Tabla_master_rend[[#This Row],[L_Leche_ent]]+Tabla_master_rend[[#This Row],[L_desn_ext]]+Tabla_master_rend[[#This Row],[L_cabra]]+Tabla_master_rend[[#This Row],[L_oveja]]</f>
        <v>123287</v>
      </c>
      <c r="J133" s="8">
        <v>123287</v>
      </c>
      <c r="K133" s="5">
        <v>3.9900000000000005E-2</v>
      </c>
      <c r="L133" s="5">
        <v>3.4000000000000002E-2</v>
      </c>
      <c r="M133" s="5">
        <f t="shared" si="37"/>
        <v>0.110267</v>
      </c>
      <c r="N133" s="35" t="s">
        <v>188</v>
      </c>
      <c r="O133" s="8">
        <v>0</v>
      </c>
      <c r="P133" s="8">
        <v>0</v>
      </c>
      <c r="Q133" s="8">
        <v>0</v>
      </c>
      <c r="R133" s="8">
        <v>1619</v>
      </c>
      <c r="T133" s="8">
        <v>111300</v>
      </c>
      <c r="U133" s="38">
        <f>+Tabla_master_rend[[#This Row],[L_suero Total]]/Tabla_master_rend[[#This Row],[Litros_Leche_Total]]</f>
        <v>0.90277158175638961</v>
      </c>
      <c r="V133" s="5">
        <v>2.3999999999999998E-3</v>
      </c>
      <c r="W133" s="5">
        <v>9.1999999999999998E-3</v>
      </c>
      <c r="X133" s="8">
        <v>114439</v>
      </c>
      <c r="Y133" s="57">
        <v>36300</v>
      </c>
      <c r="Z133" s="58">
        <f>IF(Tabla_master_rend[[#This Row],[L_suero para con]]=0,0,+Tabla_master_rend[[#This Row],[L_suero para con]]/Tabla_master_rend[[#This Row],[L_suero_con]])</f>
        <v>3.1525895316804409</v>
      </c>
      <c r="AA133" s="8">
        <f>+Tabla_master_rend[[#This Row],[L_suero Total]]-Tabla_master_rend[[#This Row],[L_suero para con]]</f>
        <v>-3139</v>
      </c>
      <c r="AD133" s="8"/>
      <c r="AE133" s="8"/>
      <c r="AF133" s="8"/>
      <c r="AG133" s="5"/>
      <c r="AI133" s="7">
        <f>+Tabla_master_rend[[#This Row],[Kg_Finos]]+Tabla_master_rend[[#This Row],[Kg_Llenadora]]+Tabla_master_rend[[#This Row],[Kg_Desmoldeo]]+Tabla_master_rend[[#This Row],[L_Agua]]+Tabla_master_rend[[#This Row],[Kg_SalidaSecadero]]</f>
        <v>14707.79</v>
      </c>
      <c r="AJ133" s="59">
        <f>+Tabla_master_rend[[#This Row],[Litros_Leche_Total]]/Tabla_master_rend[[#This Row],[Kg_Queso_Blan]]</f>
        <v>8.3824286313579393</v>
      </c>
      <c r="AK133" s="59">
        <f>+Tabla_master_rend[[#This Row],[Litros_Leche_Total]]/(Tabla_master_rend[[#This Row],[Kg_Queso_Blan]]-Tabla_master_rend[[#This Row],[Merma_TOT]])</f>
        <v>8.7050245926988694</v>
      </c>
      <c r="AL133" s="59">
        <f>VLOOKUP(G133,REND_TARGET[#All],8,FALSE)</f>
        <v>8.9338729999999984</v>
      </c>
      <c r="AM133" s="7">
        <f>(I133*1.03*Tabla_master_rend[[#This Row],[%MG_Leche]])+(I133*1.03*Tabla_master_rend[[#This Row],[%MP_Leche]])</f>
        <v>9384.2365790000003</v>
      </c>
      <c r="AN133" s="38">
        <v>0.28839999999999999</v>
      </c>
      <c r="AO133" s="38">
        <v>0.2208</v>
      </c>
      <c r="AP133" s="60">
        <v>0.5575</v>
      </c>
      <c r="AQ133" s="38">
        <f>+Tabla_master_rend[[#This Row],[Kg_Queso_Blan]]*Tabla_master_rend[[#This Row],[ES_QUESO]]/(Tabla_master_rend[[#This Row],[Kg_Solidos_leche]])</f>
        <v>0.87376238396941208</v>
      </c>
      <c r="AR133" s="7">
        <f t="shared" si="38"/>
        <v>647.6</v>
      </c>
      <c r="AS133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0.96498740831119989</v>
      </c>
      <c r="AT133" s="62">
        <f>+Tabla_master_rend[[#This Row],[Kg_Queso_Blan]]*Tabla_master_rend[[#This Row],[%PT_QUESO]]/(Tabla_master_rend[[#This Row],[Litros_Leche_Total]]*1.03*Tabla_master_rend[[#This Row],[%MP_Leche]])</f>
        <v>0.75216489953653232</v>
      </c>
      <c r="AU133" s="63">
        <f t="shared" si="39"/>
        <v>4857</v>
      </c>
      <c r="AV133" s="7">
        <v>31.79</v>
      </c>
      <c r="AW133" s="7">
        <v>34</v>
      </c>
      <c r="AX133" s="7">
        <v>32</v>
      </c>
      <c r="AY133" s="8">
        <f>SUM(Tabla_master_rend[[#This Row],[Kg_Finos]:[Kg_Desmoldeo]])</f>
        <v>97.789999999999992</v>
      </c>
      <c r="AZ133" s="60">
        <f>+(Tabla_master_rend[[#This Row],[Kg_Finos]]+Tabla_master_rend[[#This Row],[Kg_Llenadora]]+Tabla_master_rend[[#This Row],[Kg_Desmoldeo]])/(Tabla_master_rend[[#This Row],[Kg_Queso_Blan]])</f>
        <v>6.6488575102037753E-3</v>
      </c>
      <c r="BA133" s="7">
        <v>210</v>
      </c>
      <c r="BB133" s="60">
        <f>+Tabla_master_rend[[#This Row],[L_Agua]]/(Tabla_master_rend[[#This Row],[L_Agua]]+Tabla_master_rend[[#This Row],[Kg_SalidaSecadero]])</f>
        <v>1.4373716632443531E-2</v>
      </c>
      <c r="BC133" s="8">
        <v>2025</v>
      </c>
      <c r="BD133" s="8">
        <v>1980</v>
      </c>
      <c r="BE133" s="8">
        <v>14313</v>
      </c>
      <c r="BF133" s="8">
        <f>48*6.7</f>
        <v>321.60000000000002</v>
      </c>
      <c r="BG133" s="8">
        <f>9*6.7</f>
        <v>60.300000000000004</v>
      </c>
      <c r="BH133" s="7">
        <f>4*6.7</f>
        <v>26.8</v>
      </c>
      <c r="BI133" s="7">
        <f>16*6.7</f>
        <v>107.2</v>
      </c>
      <c r="BJ133" s="8">
        <v>103</v>
      </c>
      <c r="BK133" s="8">
        <v>14400</v>
      </c>
      <c r="BL133" s="8">
        <v>0</v>
      </c>
      <c r="BM133" s="8">
        <v>217.92</v>
      </c>
      <c r="BN133" s="7">
        <v>19.34</v>
      </c>
      <c r="BO133" s="68">
        <f>+SUM(Tabla_master_rend[[#This Row],[B_altas]:[B_lab]])/Tabla_master_rend[[#This Row],[Kg_SalidaSecadero]]</f>
        <v>4.2979166666666672E-2</v>
      </c>
      <c r="BP133" s="68">
        <f>+(Tabla_master_rend[[#This Row],[Kg_mer_env_real]]+Tabla_master_rend[[#This Row],[kg_mer_lab_real]])/Tabla_master_rend[[#This Row],[Kg_SalidaSecadero]]</f>
        <v>1.6476388888888888E-2</v>
      </c>
      <c r="BQ133" s="64">
        <f>+Tabla_master_rend[[#This Row],[Merma_TOT]]/Tabla_master_rend[[#This Row],[Kg_Queso_Blan]]</f>
        <v>3.7058592759347253E-2</v>
      </c>
      <c r="BR133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545.04999999999995</v>
      </c>
      <c r="BS133" s="8">
        <v>14285.620000000003</v>
      </c>
      <c r="BT133" s="63">
        <f>IF(+Tabla_master_rend[[#This Row],[Kg_Env_Total]]=0,0,Tabla_master_rend[[#This Row],[Kg_Env_Total]]-Tabla_master_rend[[#This Row],[Kg_SalidaSecadero]])</f>
        <v>-114.37999999999738</v>
      </c>
      <c r="BU133" s="60">
        <f>+Tabla_master_rend[[#This Row],[Diferencia_Env_vs_Sec_kg]]/Tabla_master_rend[[#This Row],[Kg_SalidaSecadero]]</f>
        <v>-7.9430555555553735E-3</v>
      </c>
      <c r="BV133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33" s="65">
        <f>+(Tabla_master_rend[[#This Row],[Coste_Leche_€]]-Tabla_master_rend[[#This Row],[Kg_MG_Nata]]*$CO$3)/Tabla_master_rend[[#This Row],[Kg_Queso_Blan]]</f>
        <v>-0.33023316215420534</v>
      </c>
      <c r="BX133" s="8">
        <f>SUM(Tabla_master_rend[[#This Row],[Kg_Finos]:[Kg_Desmoldeo]])+Tabla_master_rend[[#This Row],[L_Agua]]+SUM(Tabla_master_rend[[#This Row],[B_altas]:[B_lab]])</f>
        <v>926.69</v>
      </c>
      <c r="BY133" s="8">
        <f>+BX133-Tabla_master_rend[[#This Row],[Merma_TOT]]</f>
        <v>381.6400000000001</v>
      </c>
      <c r="BZ133" s="62">
        <f t="shared" si="40"/>
        <v>0.41183135676439808</v>
      </c>
      <c r="CA133" s="8">
        <f>+Tabla_master_rend[[#This Row],[Kg_Queso_Blan]]*$CA$1</f>
        <v>95.600634999999997</v>
      </c>
      <c r="CB133" s="8">
        <f>+Tabla_master_rend[[#This Row],[Kg_Queso_Blan]]*($CB$1-$CA$1)</f>
        <v>51.47726500000001</v>
      </c>
      <c r="CC133" s="8">
        <f>+(Tabla_master_rend[[#This Row],[Kg_Queso_Blan]]-CA133-CB133)*$CC$1</f>
        <v>152.88747705000003</v>
      </c>
      <c r="CD133" s="8">
        <f t="shared" si="41"/>
        <v>299.96537705000003</v>
      </c>
      <c r="CE133" s="80">
        <f>+CD133/Tabla_master_rend[[#This Row],[Kg_Queso_Blan]]</f>
        <v>2.0395E-2</v>
      </c>
      <c r="CF133" s="62">
        <f>+Tabla_master_rend[[#This Row],[Merma_TOT]]/Tabla_master_rend[[#This Row],[Kg_Queso_Blan]]</f>
        <v>3.7058592759347253E-2</v>
      </c>
      <c r="CG133" s="8">
        <f>CD133-Tabla_master_rend[[#This Row],[Merma_TOT]]</f>
        <v>-245.08462294999993</v>
      </c>
      <c r="CH133" s="81" cm="1">
        <f t="array" ref="CH133">-BR133 * IFERROR(INDEX('Precio Leche_EBITDA_Ventas'!$BD$87:$BD$110,MATCH(1,('Precio Leche_EBITDA_Ventas'!$AZ$87:$AZ$110=YEAR(A133))*('Precio Leche_EBITDA_Ventas'!$BB$87:$BB$110=C133),0)),1.3)</f>
        <v>-1967.6304999999998</v>
      </c>
      <c r="CI133" s="81">
        <f t="shared" si="42"/>
        <v>-318.61000983499991</v>
      </c>
    </row>
    <row r="134" spans="1:87" x14ac:dyDescent="0.35">
      <c r="A134" s="9">
        <v>45957</v>
      </c>
      <c r="B134" s="7">
        <v>10</v>
      </c>
      <c r="C134" s="7" t="str">
        <f>+UPPER(TEXT(Tabla_master_rend[[#This Row],[Fecha]],"MMM"))</f>
        <v>OCT</v>
      </c>
      <c r="D134" s="7" t="str">
        <f>+UPPER(TEXT(Tabla_master_rend[[#This Row],[Fecha]],"ddd"))</f>
        <v>LU</v>
      </c>
      <c r="E134" s="3">
        <v>271025146</v>
      </c>
      <c r="F134" s="3" t="s">
        <v>244</v>
      </c>
      <c r="G134" s="84" t="s">
        <v>40</v>
      </c>
      <c r="H134">
        <v>11</v>
      </c>
      <c r="I134" s="8">
        <f>+Tabla_master_rend[[#This Row],[L_Leche_ent]]+Tabla_master_rend[[#This Row],[L_desn_ext]]+Tabla_master_rend[[#This Row],[L_cabra]]+Tabla_master_rend[[#This Row],[L_oveja]]</f>
        <v>178734</v>
      </c>
      <c r="J134" s="8">
        <v>178734</v>
      </c>
      <c r="K134" s="5">
        <v>3.9599999999999996E-2</v>
      </c>
      <c r="L134" s="5">
        <v>3.4000000000000002E-2</v>
      </c>
      <c r="M134" s="5">
        <f t="shared" si="37"/>
        <v>0.109988</v>
      </c>
      <c r="N134" s="35" t="s">
        <v>43</v>
      </c>
      <c r="O134" s="8">
        <v>0</v>
      </c>
      <c r="P134" s="8">
        <v>0</v>
      </c>
      <c r="Q134" s="8">
        <v>0</v>
      </c>
      <c r="R134" s="8">
        <v>2135</v>
      </c>
      <c r="T134" s="8">
        <v>150920</v>
      </c>
      <c r="U134" s="38">
        <f>+Tabla_master_rend[[#This Row],[L_suero Total]]/Tabla_master_rend[[#This Row],[Litros_Leche_Total]]</f>
        <v>0.84438327346783493</v>
      </c>
      <c r="V134" s="5">
        <v>2.5000000000000001E-3</v>
      </c>
      <c r="W134" s="5">
        <v>9.4999999999999998E-3</v>
      </c>
      <c r="X134" s="8">
        <v>57423</v>
      </c>
      <c r="Y134" s="57">
        <v>22333</v>
      </c>
      <c r="Z134" s="58">
        <f>IF(Tabla_master_rend[[#This Row],[L_suero para con]]=0,0,+Tabla_master_rend[[#This Row],[L_suero para con]]/Tabla_master_rend[[#This Row],[L_suero_con]])</f>
        <v>2.5712174808579231</v>
      </c>
      <c r="AA134" s="8">
        <f>+Tabla_master_rend[[#This Row],[L_suero Total]]-Tabla_master_rend[[#This Row],[L_suero para con]]</f>
        <v>93497</v>
      </c>
      <c r="AD134" s="8"/>
      <c r="AE134" s="8"/>
      <c r="AF134" s="8"/>
      <c r="AG134" s="5"/>
      <c r="AI134" s="7">
        <f>+Tabla_master_rend[[#This Row],[Kg_Finos]]+Tabla_master_rend[[#This Row],[Kg_Llenadora]]+Tabla_master_rend[[#This Row],[Kg_Desmoldeo]]+Tabla_master_rend[[#This Row],[L_Agua]]+Tabla_master_rend[[#This Row],[Kg_SalidaSecadero]]</f>
        <v>21461.23</v>
      </c>
      <c r="AJ134" s="59">
        <f>+Tabla_master_rend[[#This Row],[Litros_Leche_Total]]/Tabla_master_rend[[#This Row],[Kg_Queso_Blan]]</f>
        <v>8.3282272264916788</v>
      </c>
      <c r="AK134" s="59">
        <f>+Tabla_master_rend[[#This Row],[Litros_Leche_Total]]/(Tabla_master_rend[[#This Row],[Kg_Queso_Blan]]-Tabla_master_rend[[#This Row],[Merma_TOT]])</f>
        <v>8.5178232642458163</v>
      </c>
      <c r="AL134" s="59">
        <f>VLOOKUP(G134,REND_TARGET[#All],8,FALSE)</f>
        <v>8.9338729999999984</v>
      </c>
      <c r="AM134" s="7">
        <f>(I134*1.03*Tabla_master_rend[[#This Row],[%MG_Leche]])+(I134*1.03*Tabla_master_rend[[#This Row],[%MP_Leche]])</f>
        <v>13549.467072000001</v>
      </c>
      <c r="AN134" s="38">
        <v>0.2848</v>
      </c>
      <c r="AO134" s="38">
        <v>0.223</v>
      </c>
      <c r="AP134" s="60">
        <v>0.56679999999999997</v>
      </c>
      <c r="AQ134" s="38">
        <f>+Tabla_master_rend[[#This Row],[Kg_Queso_Blan]]*Tabla_master_rend[[#This Row],[ES_QUESO]]/(Tabla_master_rend[[#This Row],[Kg_Solidos_leche]])</f>
        <v>0.89776410388401129</v>
      </c>
      <c r="AR134" s="7">
        <f t="shared" si="38"/>
        <v>854</v>
      </c>
      <c r="AS134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0.95555074186203737</v>
      </c>
      <c r="AT134" s="62">
        <f>+Tabla_master_rend[[#This Row],[Kg_Queso_Blan]]*Tabla_master_rend[[#This Row],[%PT_QUESO]]/(Tabla_master_rend[[#This Row],[Litros_Leche_Total]]*1.03*Tabla_master_rend[[#This Row],[%MP_Leche]])</f>
        <v>0.76460327764890101</v>
      </c>
      <c r="AU134" s="63">
        <f t="shared" si="39"/>
        <v>6405</v>
      </c>
      <c r="AV134" s="7">
        <v>41.03</v>
      </c>
      <c r="AW134" s="7">
        <v>24.9</v>
      </c>
      <c r="AX134" s="7">
        <v>27.3</v>
      </c>
      <c r="AY134" s="8">
        <f>SUM(Tabla_master_rend[[#This Row],[Kg_Finos]:[Kg_Desmoldeo]])</f>
        <v>93.23</v>
      </c>
      <c r="AZ134" s="60">
        <f>+(Tabla_master_rend[[#This Row],[Kg_Finos]]+Tabla_master_rend[[#This Row],[Kg_Llenadora]]+Tabla_master_rend[[#This Row],[Kg_Desmoldeo]])/(Tabla_master_rend[[#This Row],[Kg_Queso_Blan]])</f>
        <v>4.3441126160988913E-3</v>
      </c>
      <c r="BA134" s="7">
        <v>165</v>
      </c>
      <c r="BB134" s="60">
        <f>+Tabla_master_rend[[#This Row],[L_Agua]]/(Tabla_master_rend[[#This Row],[L_Agua]]+Tabla_master_rend[[#This Row],[Kg_SalidaSecadero]])</f>
        <v>7.7218270310745038E-3</v>
      </c>
      <c r="BC134" s="8">
        <v>2871</v>
      </c>
      <c r="BD134" s="8">
        <v>2834</v>
      </c>
      <c r="BE134" s="8">
        <v>21116</v>
      </c>
      <c r="BF134" s="8">
        <f>156*7.2</f>
        <v>1123.2</v>
      </c>
      <c r="BG134" s="8">
        <f>4*7.2</f>
        <v>28.8</v>
      </c>
      <c r="BH134" s="7">
        <f>7*7.2</f>
        <v>50.4</v>
      </c>
      <c r="BI134" s="7">
        <f>8*7.2</f>
        <v>57.6</v>
      </c>
      <c r="BJ134" s="8">
        <v>116</v>
      </c>
      <c r="BK134" s="8">
        <v>21203</v>
      </c>
      <c r="BL134" s="8">
        <v>0</v>
      </c>
      <c r="BM134" s="8">
        <v>185.55</v>
      </c>
      <c r="BN134" s="7">
        <v>33.92</v>
      </c>
      <c r="BO134" s="68">
        <f>+SUM(Tabla_master_rend[[#This Row],[B_altas]:[B_lab]])/Tabla_master_rend[[#This Row],[Kg_SalidaSecadero]]</f>
        <v>6.4896476913644294E-2</v>
      </c>
      <c r="BP134" s="68">
        <f>+(Tabla_master_rend[[#This Row],[Kg_mer_env_real]]+Tabla_master_rend[[#This Row],[kg_mer_lab_real]])/Tabla_master_rend[[#This Row],[Kg_SalidaSecadero]]</f>
        <v>1.0350893741451683E-2</v>
      </c>
      <c r="BQ134" s="64">
        <f>+Tabla_master_rend[[#This Row],[Merma_TOT]]/Tabla_master_rend[[#This Row],[Kg_Queso_Blan]]</f>
        <v>2.2258742858633919E-2</v>
      </c>
      <c r="BR134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477.70000000000005</v>
      </c>
      <c r="BS134" s="8">
        <v>20485.150000000001</v>
      </c>
      <c r="BT134" s="63">
        <f>IF(+Tabla_master_rend[[#This Row],[Kg_Env_Total]]=0,0,Tabla_master_rend[[#This Row],[Kg_Env_Total]]-Tabla_master_rend[[#This Row],[Kg_SalidaSecadero]])</f>
        <v>-717.84999999999854</v>
      </c>
      <c r="BU134" s="60">
        <f>+Tabla_master_rend[[#This Row],[Diferencia_Env_vs_Sec_kg]]/Tabla_master_rend[[#This Row],[Kg_SalidaSecadero]]</f>
        <v>-3.3856058104985078E-2</v>
      </c>
      <c r="BV134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34" s="65">
        <f>+(Tabla_master_rend[[#This Row],[Coste_Leche_€]]-Tabla_master_rend[[#This Row],[Kg_MG_Nata]]*$CO$3)/Tabla_master_rend[[#This Row],[Kg_Queso_Blan]]</f>
        <v>-0.29844514969552072</v>
      </c>
      <c r="BX134" s="8">
        <f>SUM(Tabla_master_rend[[#This Row],[Kg_Finos]:[Kg_Desmoldeo]])+Tabla_master_rend[[#This Row],[L_Agua]]+SUM(Tabla_master_rend[[#This Row],[B_altas]:[B_lab]])</f>
        <v>1634.23</v>
      </c>
      <c r="BY134" s="8">
        <f>+BX134-Tabla_master_rend[[#This Row],[Merma_TOT]]</f>
        <v>1156.53</v>
      </c>
      <c r="BZ134" s="62">
        <f t="shared" si="40"/>
        <v>0.70769108387436286</v>
      </c>
      <c r="CA134" s="8">
        <f>+Tabla_master_rend[[#This Row],[Kg_Queso_Blan]]*$CA$1</f>
        <v>139.497995</v>
      </c>
      <c r="CB134" s="8">
        <f>+Tabla_master_rend[[#This Row],[Kg_Queso_Blan]]*($CB$1-$CA$1)</f>
        <v>75.114305000000016</v>
      </c>
      <c r="CC134" s="8">
        <f>+(Tabla_master_rend[[#This Row],[Kg_Queso_Blan]]-CA134-CB134)*$CC$1</f>
        <v>223.08948584999999</v>
      </c>
      <c r="CD134" s="8">
        <f t="shared" si="41"/>
        <v>437.70178584999996</v>
      </c>
      <c r="CE134" s="80">
        <f>+CD134/Tabla_master_rend[[#This Row],[Kg_Queso_Blan]]</f>
        <v>2.0395E-2</v>
      </c>
      <c r="CF134" s="62">
        <f>+Tabla_master_rend[[#This Row],[Merma_TOT]]/Tabla_master_rend[[#This Row],[Kg_Queso_Blan]]</f>
        <v>2.2258742858633919E-2</v>
      </c>
      <c r="CG134" s="8">
        <f>CD134-Tabla_master_rend[[#This Row],[Merma_TOT]]</f>
        <v>-39.998214150000081</v>
      </c>
      <c r="CH134" s="81" cm="1">
        <f t="array" ref="CH134">-BR134 * IFERROR(INDEX('Precio Leche_EBITDA_Ventas'!$BD$87:$BD$110,MATCH(1,('Precio Leche_EBITDA_Ventas'!$AZ$87:$AZ$110=YEAR(A134))*('Precio Leche_EBITDA_Ventas'!$BB$87:$BB$110=C134),0)),1.3)</f>
        <v>-1724.4970000000001</v>
      </c>
      <c r="CI134" s="81">
        <f t="shared" si="42"/>
        <v>-51.997678395000108</v>
      </c>
    </row>
    <row r="135" spans="1:87" x14ac:dyDescent="0.35">
      <c r="A135" s="9">
        <v>45960</v>
      </c>
      <c r="B135" s="7">
        <v>10</v>
      </c>
      <c r="C135" s="7" t="str">
        <f>+UPPER(TEXT(Tabla_master_rend[[#This Row],[Fecha]],"MMM"))</f>
        <v>OCT</v>
      </c>
      <c r="D135" s="7" t="str">
        <f>+UPPER(TEXT(Tabla_master_rend[[#This Row],[Fecha]],"ddd"))</f>
        <v>JU</v>
      </c>
      <c r="E135" s="3">
        <v>301025316</v>
      </c>
      <c r="F135" s="3" t="s">
        <v>244</v>
      </c>
      <c r="G135" s="84" t="s">
        <v>300</v>
      </c>
      <c r="H135">
        <v>11</v>
      </c>
      <c r="I135" s="8">
        <f>+Tabla_master_rend[[#This Row],[L_Leche_ent]]+Tabla_master_rend[[#This Row],[L_desn_ext]]+Tabla_master_rend[[#This Row],[L_cabra]]+Tabla_master_rend[[#This Row],[L_oveja]]</f>
        <v>135227</v>
      </c>
      <c r="J135" s="8">
        <v>135227</v>
      </c>
      <c r="K135" s="5">
        <v>3.8300000000000001E-2</v>
      </c>
      <c r="L135" s="5">
        <v>3.4300000000000004E-2</v>
      </c>
      <c r="M135" s="5">
        <f t="shared" si="37"/>
        <v>0.10900100000000001</v>
      </c>
      <c r="N135" s="35" t="s">
        <v>188</v>
      </c>
      <c r="O135" s="8">
        <v>0</v>
      </c>
      <c r="P135" s="8">
        <v>0</v>
      </c>
      <c r="Q135" s="8">
        <v>0</v>
      </c>
      <c r="R135" s="8">
        <v>2645</v>
      </c>
      <c r="T135" s="8">
        <v>157070</v>
      </c>
      <c r="U135" s="38">
        <f>+Tabla_master_rend[[#This Row],[L_suero Total]]/Tabla_master_rend[[#This Row],[Litros_Leche_Total]]</f>
        <v>1.1615283929984397</v>
      </c>
      <c r="V135" s="5">
        <v>2.8000000000000004E-3</v>
      </c>
      <c r="W135" s="5">
        <v>8.3000000000000001E-3</v>
      </c>
      <c r="X135" s="8">
        <v>159966</v>
      </c>
      <c r="Y135" s="57">
        <v>52632</v>
      </c>
      <c r="Z135" s="58">
        <f>IF(Tabla_master_rend[[#This Row],[L_suero para con]]=0,0,+Tabla_master_rend[[#This Row],[L_suero para con]]/Tabla_master_rend[[#This Row],[L_suero_con]])</f>
        <v>3.0393296853625169</v>
      </c>
      <c r="AA135" s="8">
        <f>+Tabla_master_rend[[#This Row],[L_suero Total]]-Tabla_master_rend[[#This Row],[L_suero para con]]</f>
        <v>-2896</v>
      </c>
      <c r="AD135" s="8"/>
      <c r="AE135" s="8"/>
      <c r="AF135" s="8"/>
      <c r="AG135" s="5"/>
      <c r="AI135" s="7">
        <f>+Tabla_master_rend[[#This Row],[Kg_Finos]]+Tabla_master_rend[[#This Row],[Kg_Llenadora]]+Tabla_master_rend[[#This Row],[Kg_Desmoldeo]]+Tabla_master_rend[[#This Row],[L_Agua]]+Tabla_master_rend[[#This Row],[Kg_SalidaSecadero]]</f>
        <v>18611.68</v>
      </c>
      <c r="AJ135" s="59">
        <f>+Tabla_master_rend[[#This Row],[Litros_Leche_Total]]/Tabla_master_rend[[#This Row],[Kg_Queso_Blan]]</f>
        <v>7.2657062661726401</v>
      </c>
      <c r="AK135" s="59">
        <f>+Tabla_master_rend[[#This Row],[Litros_Leche_Total]]/(Tabla_master_rend[[#This Row],[Kg_Queso_Blan]]-Tabla_master_rend[[#This Row],[Merma_TOT]])</f>
        <v>7.5203445320715909</v>
      </c>
      <c r="AL135" s="59">
        <f>VLOOKUP(G135,REND_TARGET[#All],8,FALSE)</f>
        <v>7.7024999999999997</v>
      </c>
      <c r="AM135" s="7">
        <f>(I135*1.03*Tabla_master_rend[[#This Row],[%MG_Leche]])+(I135*1.03*Tabla_master_rend[[#This Row],[%MP_Leche]])</f>
        <v>10112.004606</v>
      </c>
      <c r="AN135" s="38">
        <v>0.22500000000000001</v>
      </c>
      <c r="AO135" s="38">
        <v>0.24350000000000002</v>
      </c>
      <c r="AP135" s="60">
        <v>0.52639999999999998</v>
      </c>
      <c r="AQ135" s="38">
        <f>+Tabla_master_rend[[#This Row],[Kg_Queso_Blan]]*Tabla_master_rend[[#This Row],[ES_QUESO]]/(Tabla_master_rend[[#This Row],[Kg_Solidos_leche]])</f>
        <v>0.96886707766992075</v>
      </c>
      <c r="AR135" s="7">
        <f t="shared" si="38"/>
        <v>1058</v>
      </c>
      <c r="AS135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0.98332725518949027</v>
      </c>
      <c r="AT135" s="62">
        <f>+Tabla_master_rend[[#This Row],[Kg_Queso_Blan]]*Tabla_master_rend[[#This Row],[%PT_QUESO]]/(Tabla_master_rend[[#This Row],[Litros_Leche_Total]]*1.03*Tabla_master_rend[[#This Row],[%MP_Leche]])</f>
        <v>0.94861455586749255</v>
      </c>
      <c r="AU135" s="63">
        <f t="shared" si="39"/>
        <v>7935</v>
      </c>
      <c r="AV135" s="7">
        <v>38.979999999999997</v>
      </c>
      <c r="AW135" s="7">
        <v>88.2</v>
      </c>
      <c r="AX135" s="7">
        <v>8.5</v>
      </c>
      <c r="AY135" s="8">
        <f>SUM(Tabla_master_rend[[#This Row],[Kg_Finos]:[Kg_Desmoldeo]])</f>
        <v>135.68</v>
      </c>
      <c r="AZ135" s="60">
        <f>+(Tabla_master_rend[[#This Row],[Kg_Finos]]+Tabla_master_rend[[#This Row],[Kg_Llenadora]]+Tabla_master_rend[[#This Row],[Kg_Desmoldeo]])/(Tabla_master_rend[[#This Row],[Kg_Queso_Blan]])</f>
        <v>7.2900458206889441E-3</v>
      </c>
      <c r="BA135" s="7">
        <v>170</v>
      </c>
      <c r="BB135" s="60">
        <f>+Tabla_master_rend[[#This Row],[L_Agua]]/(Tabla_master_rend[[#This Row],[L_Agua]]+Tabla_master_rend[[#This Row],[Kg_SalidaSecadero]])</f>
        <v>9.201125784801905E-3</v>
      </c>
      <c r="BC135" s="8">
        <v>2463</v>
      </c>
      <c r="BD135" s="8">
        <v>2398</v>
      </c>
      <c r="BE135" s="8">
        <v>18024</v>
      </c>
      <c r="BF135" s="8">
        <f>84*7</f>
        <v>588</v>
      </c>
      <c r="BG135" s="8">
        <f>23*7</f>
        <v>161</v>
      </c>
      <c r="BH135" s="7">
        <v>0</v>
      </c>
      <c r="BI135" s="7">
        <f>22*7</f>
        <v>154</v>
      </c>
      <c r="BJ135" s="8">
        <v>68</v>
      </c>
      <c r="BK135" s="8">
        <v>18306</v>
      </c>
      <c r="BL135" s="8">
        <v>0</v>
      </c>
      <c r="BM135" s="8">
        <v>303.64999999999998</v>
      </c>
      <c r="BN135" s="7">
        <v>20.86</v>
      </c>
      <c r="BO135" s="68">
        <f>+SUM(Tabla_master_rend[[#This Row],[B_altas]:[B_lab]])/Tabla_master_rend[[#This Row],[Kg_SalidaSecadero]]</f>
        <v>5.304271823445865E-2</v>
      </c>
      <c r="BP135" s="68">
        <f>+(Tabla_master_rend[[#This Row],[Kg_mer_env_real]]+Tabla_master_rend[[#This Row],[kg_mer_lab_real]])/Tabla_master_rend[[#This Row],[Kg_SalidaSecadero]]</f>
        <v>1.7726974762372991E-2</v>
      </c>
      <c r="BQ135" s="64">
        <f>+Tabla_master_rend[[#This Row],[Merma_TOT]]/Tabla_master_rend[[#This Row],[Kg_Queso_Blan]]</f>
        <v>3.3859920222140079E-2</v>
      </c>
      <c r="BR135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630.19000000000005</v>
      </c>
      <c r="BS135" s="8">
        <v>17949.350000000002</v>
      </c>
      <c r="BT135" s="63">
        <f>IF(+Tabla_master_rend[[#This Row],[Kg_Env_Total]]=0,0,Tabla_master_rend[[#This Row],[Kg_Env_Total]]-Tabla_master_rend[[#This Row],[Kg_SalidaSecadero]])</f>
        <v>-356.64999999999782</v>
      </c>
      <c r="BU135" s="60">
        <f>+Tabla_master_rend[[#This Row],[Diferencia_Env_vs_Sec_kg]]/Tabla_master_rend[[#This Row],[Kg_SalidaSecadero]]</f>
        <v>-1.9482683273243626E-2</v>
      </c>
      <c r="BV135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35" s="65">
        <f>+(Tabla_master_rend[[#This Row],[Coste_Leche_€]]-Tabla_master_rend[[#This Row],[Kg_MG_Nata]]*$CO$3)/Tabla_master_rend[[#This Row],[Kg_Queso_Blan]]</f>
        <v>-0.4263451767922079</v>
      </c>
      <c r="BX135" s="8">
        <f>SUM(Tabla_master_rend[[#This Row],[Kg_Finos]:[Kg_Desmoldeo]])+Tabla_master_rend[[#This Row],[L_Agua]]+SUM(Tabla_master_rend[[#This Row],[B_altas]:[B_lab]])</f>
        <v>1276.68</v>
      </c>
      <c r="BY135" s="8">
        <f>+BX135-Tabla_master_rend[[#This Row],[Merma_TOT]]</f>
        <v>646.49</v>
      </c>
      <c r="BZ135" s="62">
        <f t="shared" si="40"/>
        <v>0.50638374533947428</v>
      </c>
      <c r="CA135" s="8">
        <f>+Tabla_master_rend[[#This Row],[Kg_Queso_Blan]]*$CA$1</f>
        <v>120.97592</v>
      </c>
      <c r="CB135" s="8">
        <f>+Tabla_master_rend[[#This Row],[Kg_Queso_Blan]]*($CB$1-$CA$1)</f>
        <v>65.14088000000001</v>
      </c>
      <c r="CC135" s="8">
        <f>+(Tabla_master_rend[[#This Row],[Kg_Queso_Blan]]-CA135-CB135)*$CC$1</f>
        <v>193.46841360000002</v>
      </c>
      <c r="CD135" s="8">
        <f t="shared" si="41"/>
        <v>379.58521360000003</v>
      </c>
      <c r="CE135" s="80">
        <f>+CD135/Tabla_master_rend[[#This Row],[Kg_Queso_Blan]]</f>
        <v>2.0395E-2</v>
      </c>
      <c r="CF135" s="62">
        <f>+Tabla_master_rend[[#This Row],[Merma_TOT]]/Tabla_master_rend[[#This Row],[Kg_Queso_Blan]]</f>
        <v>3.3859920222140079E-2</v>
      </c>
      <c r="CG135" s="8">
        <f>CD135-Tabla_master_rend[[#This Row],[Merma_TOT]]</f>
        <v>-250.60478640000002</v>
      </c>
      <c r="CH135" s="81" cm="1">
        <f t="array" ref="CH135">-BR135 * IFERROR(INDEX('Precio Leche_EBITDA_Ventas'!$BD$87:$BD$110,MATCH(1,('Precio Leche_EBITDA_Ventas'!$AZ$87:$AZ$110=YEAR(A135))*('Precio Leche_EBITDA_Ventas'!$BB$87:$BB$110=C135),0)),1.3)</f>
        <v>-2274.9859000000001</v>
      </c>
      <c r="CI135" s="81">
        <f t="shared" si="42"/>
        <v>-325.78622232000004</v>
      </c>
    </row>
    <row r="136" spans="1:87" x14ac:dyDescent="0.35">
      <c r="A136" s="9">
        <v>45965</v>
      </c>
      <c r="B136" s="7">
        <v>11</v>
      </c>
      <c r="C136" s="7" t="str">
        <f>+UPPER(TEXT(Tabla_master_rend[[#This Row],[Fecha]],"MMM"))</f>
        <v>NOV</v>
      </c>
      <c r="D136" s="7" t="str">
        <f>+UPPER(TEXT(Tabla_master_rend[[#This Row],[Fecha]],"ddd"))</f>
        <v>MA</v>
      </c>
      <c r="E136" s="3" t="s">
        <v>503</v>
      </c>
      <c r="F136" s="3" t="s">
        <v>244</v>
      </c>
      <c r="G136" s="84" t="s">
        <v>302</v>
      </c>
      <c r="H136">
        <v>14</v>
      </c>
      <c r="I136" s="8">
        <f>+Tabla_master_rend[[#This Row],[L_Leche_ent]]+Tabla_master_rend[[#This Row],[L_desn_ext]]+Tabla_master_rend[[#This Row],[L_cabra]]+Tabla_master_rend[[#This Row],[L_oveja]]</f>
        <v>167300</v>
      </c>
      <c r="J136" s="8">
        <v>167300</v>
      </c>
      <c r="K136" s="5">
        <v>3.7999999999999999E-2</v>
      </c>
      <c r="L136" s="5">
        <v>3.39E-2</v>
      </c>
      <c r="M136" s="5">
        <f t="shared" si="37"/>
        <v>0.10842600000000001</v>
      </c>
      <c r="N136" s="35" t="s">
        <v>188</v>
      </c>
      <c r="O136" s="8">
        <v>0</v>
      </c>
      <c r="P136" s="8">
        <v>0</v>
      </c>
      <c r="Q136" s="8">
        <v>0</v>
      </c>
      <c r="R136" s="8">
        <v>0</v>
      </c>
      <c r="T136" s="8">
        <v>197930</v>
      </c>
      <c r="U136" s="38">
        <f>+Tabla_master_rend[[#This Row],[L_suero Total]]/Tabla_master_rend[[#This Row],[Litros_Leche_Total]]</f>
        <v>1.1830842797369994</v>
      </c>
      <c r="V136" s="5">
        <v>1E-4</v>
      </c>
      <c r="W136" s="5">
        <v>7.4000000000000003E-3</v>
      </c>
      <c r="X136" s="8">
        <v>198739</v>
      </c>
      <c r="Y136" s="57">
        <v>64965</v>
      </c>
      <c r="Z136" s="58">
        <f>IF(Tabla_master_rend[[#This Row],[L_suero para con]]=0,0,+Tabla_master_rend[[#This Row],[L_suero para con]]/Tabla_master_rend[[#This Row],[L_suero_con]])</f>
        <v>3.0591703224813362</v>
      </c>
      <c r="AA136" s="8">
        <f>+Tabla_master_rend[[#This Row],[L_suero Total]]-Tabla_master_rend[[#This Row],[L_suero para con]]</f>
        <v>-809</v>
      </c>
      <c r="AD136" s="8"/>
      <c r="AE136" s="8"/>
      <c r="AF136" s="8"/>
      <c r="AG136" s="5"/>
      <c r="AI136" s="7">
        <f>+Tabla_master_rend[[#This Row],[Kg_Finos]]+Tabla_master_rend[[#This Row],[Kg_Llenadora]]+Tabla_master_rend[[#This Row],[Kg_Desmoldeo]]+Tabla_master_rend[[#This Row],[L_Agua]]+Tabla_master_rend[[#This Row],[Kg_SalidaSecadero]]</f>
        <v>22659.01</v>
      </c>
      <c r="AJ136" s="59">
        <f>+Tabla_master_rend[[#This Row],[Litros_Leche_Total]]/Tabla_master_rend[[#This Row],[Kg_Queso_Blan]]</f>
        <v>7.3833764140622211</v>
      </c>
      <c r="AK136" s="59">
        <f>+Tabla_master_rend[[#This Row],[Litros_Leche_Total]]/(Tabla_master_rend[[#This Row],[Kg_Queso_Blan]]-Tabla_master_rend[[#This Row],[Merma_TOT]])</f>
        <v>7.5441817133183893</v>
      </c>
      <c r="AL136" s="59">
        <f>VLOOKUP(G136,REND_TARGET[#All],8,FALSE)</f>
        <v>7.1889999999999992</v>
      </c>
      <c r="AM136" s="7">
        <f>(I136*1.03*Tabla_master_rend[[#This Row],[%MG_Leche]])+(I136*1.03*Tabla_master_rend[[#This Row],[%MP_Leche]])</f>
        <v>12389.736099999998</v>
      </c>
      <c r="AN136" s="38">
        <v>0.28110000000000002</v>
      </c>
      <c r="AO136" s="38">
        <v>0.23070000000000002</v>
      </c>
      <c r="AP136" s="60">
        <v>0.56200000000000006</v>
      </c>
      <c r="AQ136" s="38">
        <f>+Tabla_master_rend[[#This Row],[Kg_Queso_Blan]]*Tabla_master_rend[[#This Row],[ES_QUESO]]/(Tabla_master_rend[[#This Row],[Kg_Solidos_leche]])</f>
        <v>1.0278155658214545</v>
      </c>
      <c r="AR136" s="7">
        <f t="shared" si="38"/>
        <v>0</v>
      </c>
      <c r="AS136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0.97271365912241714</v>
      </c>
      <c r="AT136" s="62">
        <f>+Tabla_master_rend[[#This Row],[Kg_Queso_Blan]]*Tabla_master_rend[[#This Row],[%PT_QUESO]]/(Tabla_master_rend[[#This Row],[Litros_Leche_Total]]*1.03*Tabla_master_rend[[#This Row],[%MP_Leche]])</f>
        <v>0.89486116636838442</v>
      </c>
      <c r="AU136" s="63">
        <f t="shared" si="39"/>
        <v>0</v>
      </c>
      <c r="AV136" s="7">
        <v>32.31</v>
      </c>
      <c r="AW136" s="7">
        <v>56.5</v>
      </c>
      <c r="AX136" s="7">
        <v>21.2</v>
      </c>
      <c r="AY136" s="8">
        <f>SUM(Tabla_master_rend[[#This Row],[Kg_Finos]:[Kg_Desmoldeo]])</f>
        <v>110.01</v>
      </c>
      <c r="AZ136" s="60">
        <f>+(Tabla_master_rend[[#This Row],[Kg_Finos]]+Tabla_master_rend[[#This Row],[Kg_Llenadora]]+Tabla_master_rend[[#This Row],[Kg_Desmoldeo]])/(Tabla_master_rend[[#This Row],[Kg_Queso_Blan]])</f>
        <v>4.855022350932367E-3</v>
      </c>
      <c r="BA136" s="7">
        <v>200</v>
      </c>
      <c r="BB136" s="60">
        <f>+Tabla_master_rend[[#This Row],[L_Agua]]/(Tabla_master_rend[[#This Row],[L_Agua]]+Tabla_master_rend[[#This Row],[Kg_SalidaSecadero]])</f>
        <v>8.8695729300634178E-3</v>
      </c>
      <c r="BC136" s="8">
        <v>3011</v>
      </c>
      <c r="BD136" s="8">
        <v>2985</v>
      </c>
      <c r="BE136" s="8">
        <v>22380</v>
      </c>
      <c r="BF136" s="8">
        <f>71*6.3</f>
        <v>447.3</v>
      </c>
      <c r="BG136" s="8">
        <f>5*6.3</f>
        <v>31.5</v>
      </c>
      <c r="BH136" s="7">
        <f>2*6.3</f>
        <v>12.6</v>
      </c>
      <c r="BI136" s="7">
        <f>5*6.3</f>
        <v>31.5</v>
      </c>
      <c r="BJ136" s="8">
        <v>93</v>
      </c>
      <c r="BK136" s="8">
        <v>22349</v>
      </c>
      <c r="BL136" s="8">
        <v>0</v>
      </c>
      <c r="BM136" s="8">
        <v>143.52000000000001</v>
      </c>
      <c r="BN136" s="7">
        <v>29.45</v>
      </c>
      <c r="BO136" s="68">
        <f>+SUM(Tabla_master_rend[[#This Row],[B_altas]:[B_lab]])/Tabla_master_rend[[#This Row],[Kg_SalidaSecadero]]</f>
        <v>2.7558280012528528E-2</v>
      </c>
      <c r="BP136" s="68">
        <f>+(Tabla_master_rend[[#This Row],[Kg_mer_env_real]]+Tabla_master_rend[[#This Row],[kg_mer_lab_real]])/Tabla_master_rend[[#This Row],[Kg_SalidaSecadero]]</f>
        <v>7.7394961743254736E-3</v>
      </c>
      <c r="BQ136" s="64">
        <f>+Tabla_master_rend[[#This Row],[Merma_TOT]]/Tabla_master_rend[[#This Row],[Kg_Queso_Blan]]</f>
        <v>2.1315141305820514E-2</v>
      </c>
      <c r="BR136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482.98</v>
      </c>
      <c r="BS136" s="8">
        <v>22196.090000000004</v>
      </c>
      <c r="BT136" s="63">
        <f>IF(+Tabla_master_rend[[#This Row],[Kg_Env_Total]]=0,0,Tabla_master_rend[[#This Row],[Kg_Env_Total]]-Tabla_master_rend[[#This Row],[Kg_SalidaSecadero]])</f>
        <v>-152.90999999999622</v>
      </c>
      <c r="BU136" s="60">
        <f>+Tabla_master_rend[[#This Row],[Diferencia_Env_vs_Sec_kg]]/Tabla_master_rend[[#This Row],[Kg_SalidaSecadero]]</f>
        <v>-6.8419168642890604E-3</v>
      </c>
      <c r="BV136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36" s="65">
        <f>+(Tabla_master_rend[[#This Row],[Coste_Leche_€]]-Tabla_master_rend[[#This Row],[Kg_MG_Nata]]*$CO$3)/Tabla_master_rend[[#This Row],[Kg_Queso_Blan]]</f>
        <v>0</v>
      </c>
      <c r="BX136" s="8">
        <f>SUM(Tabla_master_rend[[#This Row],[Kg_Finos]:[Kg_Desmoldeo]])+Tabla_master_rend[[#This Row],[L_Agua]]+SUM(Tabla_master_rend[[#This Row],[B_altas]:[B_lab]])</f>
        <v>925.91000000000008</v>
      </c>
      <c r="BY136" s="8">
        <f>+BX136-Tabla_master_rend[[#This Row],[Merma_TOT]]</f>
        <v>442.93000000000006</v>
      </c>
      <c r="BZ136" s="62">
        <f t="shared" si="40"/>
        <v>0.47837262800920177</v>
      </c>
      <c r="CA136" s="8">
        <f>+Tabla_master_rend[[#This Row],[Kg_Queso_Blan]]*$CA$1</f>
        <v>147.28356499999998</v>
      </c>
      <c r="CB136" s="8">
        <f>+Tabla_master_rend[[#This Row],[Kg_Queso_Blan]]*($CB$1-$CA$1)</f>
        <v>79.306535000000011</v>
      </c>
      <c r="CC136" s="8">
        <f>+(Tabla_master_rend[[#This Row],[Kg_Queso_Blan]]-CA136-CB136)*$CC$1</f>
        <v>235.54040894999997</v>
      </c>
      <c r="CD136" s="8">
        <f t="shared" si="41"/>
        <v>462.13050894999998</v>
      </c>
      <c r="CE136" s="80">
        <f>+CD136/Tabla_master_rend[[#This Row],[Kg_Queso_Blan]]</f>
        <v>2.0395E-2</v>
      </c>
      <c r="CF136" s="62">
        <f>+Tabla_master_rend[[#This Row],[Merma_TOT]]/Tabla_master_rend[[#This Row],[Kg_Queso_Blan]]</f>
        <v>2.1315141305820514E-2</v>
      </c>
      <c r="CG136" s="8">
        <f>CD136-Tabla_master_rend[[#This Row],[Merma_TOT]]</f>
        <v>-20.84949105000004</v>
      </c>
      <c r="CH136" s="81" cm="1">
        <f t="array" ref="CH136">-BR136 * IFERROR(INDEX('Precio Leche_EBITDA_Ventas'!$BD$87:$BD$110,MATCH(1,('Precio Leche_EBITDA_Ventas'!$AZ$87:$AZ$110=YEAR(A136))*('Precio Leche_EBITDA_Ventas'!$BB$87:$BB$110=C136),0)),1.3)</f>
        <v>-1859.4730000000002</v>
      </c>
      <c r="CI136" s="81">
        <f t="shared" si="42"/>
        <v>-27.104338365000054</v>
      </c>
    </row>
    <row r="137" spans="1:87" x14ac:dyDescent="0.35">
      <c r="A137" s="9">
        <v>45967</v>
      </c>
      <c r="B137" s="7">
        <v>11</v>
      </c>
      <c r="C137" s="7" t="str">
        <f>+UPPER(TEXT(Tabla_master_rend[[#This Row],[Fecha]],"MMM"))</f>
        <v>NOV</v>
      </c>
      <c r="D137" s="7" t="str">
        <f>+UPPER(TEXT(Tabla_master_rend[[#This Row],[Fecha]],"ddd"))</f>
        <v>JU</v>
      </c>
      <c r="E137" s="3" t="s">
        <v>504</v>
      </c>
      <c r="F137" s="3" t="s">
        <v>244</v>
      </c>
      <c r="G137" s="84" t="s">
        <v>300</v>
      </c>
      <c r="H137">
        <v>12</v>
      </c>
      <c r="I137" s="8">
        <f>+Tabla_master_rend[[#This Row],[L_Leche_ent]]+Tabla_master_rend[[#This Row],[L_desn_ext]]+Tabla_master_rend[[#This Row],[L_cabra]]+Tabla_master_rend[[#This Row],[L_oveja]]</f>
        <v>142040</v>
      </c>
      <c r="J137" s="8">
        <v>142040</v>
      </c>
      <c r="K137" s="5">
        <v>4.0999999999999995E-2</v>
      </c>
      <c r="L137" s="5">
        <v>3.4300000000000004E-2</v>
      </c>
      <c r="M137" s="5">
        <f t="shared" si="37"/>
        <v>0.111512</v>
      </c>
      <c r="N137" s="35" t="s">
        <v>188</v>
      </c>
      <c r="O137" s="8">
        <v>0</v>
      </c>
      <c r="P137" s="8">
        <v>0</v>
      </c>
      <c r="Q137" s="8">
        <v>0</v>
      </c>
      <c r="R137" s="8">
        <v>3354</v>
      </c>
      <c r="T137" s="8">
        <v>157070</v>
      </c>
      <c r="U137" s="38">
        <f>+Tabla_master_rend[[#This Row],[L_suero Total]]/Tabla_master_rend[[#This Row],[Litros_Leche_Total]]</f>
        <v>1.1058152633061109</v>
      </c>
      <c r="V137" s="5">
        <v>2.0000000000000001E-4</v>
      </c>
      <c r="W137" s="5">
        <v>7.8000000000000005E-3</v>
      </c>
      <c r="X137" s="8">
        <v>171042</v>
      </c>
      <c r="Y137" s="57">
        <v>56313</v>
      </c>
      <c r="Z137" s="58">
        <f>IF(Tabla_master_rend[[#This Row],[L_suero para con]]=0,0,+Tabla_master_rend[[#This Row],[L_suero para con]]/Tabla_master_rend[[#This Row],[L_suero_con]])</f>
        <v>3.037344840445368</v>
      </c>
      <c r="AA137" s="8">
        <f>+Tabla_master_rend[[#This Row],[L_suero Total]]-Tabla_master_rend[[#This Row],[L_suero para con]]</f>
        <v>-13972</v>
      </c>
      <c r="AD137" s="8"/>
      <c r="AE137" s="8"/>
      <c r="AF137" s="8"/>
      <c r="AG137" s="5"/>
      <c r="AI137" s="7">
        <f>+Tabla_master_rend[[#This Row],[Kg_Finos]]+Tabla_master_rend[[#This Row],[Kg_Llenadora]]+Tabla_master_rend[[#This Row],[Kg_Desmoldeo]]+Tabla_master_rend[[#This Row],[L_Agua]]+Tabla_master_rend[[#This Row],[Kg_SalidaSecadero]]</f>
        <v>20317.669999999998</v>
      </c>
      <c r="AJ137" s="59">
        <f>+Tabla_master_rend[[#This Row],[Litros_Leche_Total]]/Tabla_master_rend[[#This Row],[Kg_Queso_Blan]]</f>
        <v>6.9909591011174026</v>
      </c>
      <c r="AK137" s="59">
        <f>+Tabla_master_rend[[#This Row],[Litros_Leche_Total]]/(Tabla_master_rend[[#This Row],[Kg_Queso_Blan]]-Tabla_master_rend[[#This Row],[Merma_TOT]])</f>
        <v>7.2185507199238916</v>
      </c>
      <c r="AL137" s="59">
        <f>VLOOKUP(G137,REND_TARGET[#All],8,FALSE)</f>
        <v>7.7024999999999997</v>
      </c>
      <c r="AM137" s="7">
        <f>(I137*1.03*Tabla_master_rend[[#This Row],[%MG_Leche]])+(I137*1.03*Tabla_master_rend[[#This Row],[%MP_Leche]])</f>
        <v>11016.480360000001</v>
      </c>
      <c r="AN137" s="38">
        <v>0.22170000000000001</v>
      </c>
      <c r="AO137" s="38">
        <v>0.23960000000000001</v>
      </c>
      <c r="AP137" s="60">
        <v>0.51980000000000004</v>
      </c>
      <c r="AQ137" s="38">
        <f>+Tabla_master_rend[[#This Row],[Kg_Queso_Blan]]*Tabla_master_rend[[#This Row],[ES_QUESO]]/(Tabla_master_rend[[#This Row],[Kg_Solidos_leche]])</f>
        <v>0.95866597324011371</v>
      </c>
      <c r="AR137" s="7">
        <f t="shared" si="38"/>
        <v>1341.6000000000001</v>
      </c>
      <c r="AS137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0.97460605311207971</v>
      </c>
      <c r="AT137" s="62">
        <f>+Tabla_master_rend[[#This Row],[Kg_Queso_Blan]]*Tabla_master_rend[[#This Row],[%PT_QUESO]]/(Tabla_master_rend[[#This Row],[Litros_Leche_Total]]*1.03*Tabla_master_rend[[#This Row],[%MP_Leche]])</f>
        <v>0.97010492089250189</v>
      </c>
      <c r="AU137" s="63">
        <f t="shared" si="39"/>
        <v>10062.000000000002</v>
      </c>
      <c r="AV137" s="7">
        <v>29.67</v>
      </c>
      <c r="AW137" s="7">
        <v>48</v>
      </c>
      <c r="AX137" s="7">
        <v>57</v>
      </c>
      <c r="AY137" s="8">
        <f>SUM(Tabla_master_rend[[#This Row],[Kg_Finos]:[Kg_Desmoldeo]])</f>
        <v>134.67000000000002</v>
      </c>
      <c r="AZ137" s="60">
        <f>+(Tabla_master_rend[[#This Row],[Kg_Finos]]+Tabla_master_rend[[#This Row],[Kg_Llenadora]]+Tabla_master_rend[[#This Row],[Kg_Desmoldeo]])/(Tabla_master_rend[[#This Row],[Kg_Queso_Blan]])</f>
        <v>6.6282206571914998E-3</v>
      </c>
      <c r="BA137" s="7">
        <v>220</v>
      </c>
      <c r="BB137" s="60">
        <f>+Tabla_master_rend[[#This Row],[L_Agua]]/(Tabla_master_rend[[#This Row],[L_Agua]]+Tabla_master_rend[[#This Row],[Kg_SalidaSecadero]])</f>
        <v>1.0900262597235297E-2</v>
      </c>
      <c r="BC137" s="8">
        <v>2775</v>
      </c>
      <c r="BD137" s="8">
        <v>2719</v>
      </c>
      <c r="BE137" s="8">
        <v>19833</v>
      </c>
      <c r="BF137" s="8">
        <f>7*6.2</f>
        <v>43.4</v>
      </c>
      <c r="BG137" s="8">
        <f>21*6.2</f>
        <v>130.20000000000002</v>
      </c>
      <c r="BH137" s="7">
        <f>1*6.2</f>
        <v>6.2</v>
      </c>
      <c r="BI137" s="7">
        <f>23*6.2</f>
        <v>142.6</v>
      </c>
      <c r="BJ137" s="8">
        <v>71</v>
      </c>
      <c r="BK137" s="8">
        <v>19963</v>
      </c>
      <c r="BL137" s="8">
        <v>0</v>
      </c>
      <c r="BM137" s="8">
        <v>269.45</v>
      </c>
      <c r="BN137" s="7">
        <v>16.47</v>
      </c>
      <c r="BO137" s="68">
        <f>+SUM(Tabla_master_rend[[#This Row],[B_altas]:[B_lab]])/Tabla_master_rend[[#This Row],[Kg_SalidaSecadero]]</f>
        <v>1.9706456945348894E-2</v>
      </c>
      <c r="BP137" s="68">
        <f>+(Tabla_master_rend[[#This Row],[Kg_mer_env_real]]+Tabla_master_rend[[#This Row],[kg_mer_lab_real]])/Tabla_master_rend[[#This Row],[Kg_SalidaSecadero]]</f>
        <v>1.4322496618744676E-2</v>
      </c>
      <c r="BQ137" s="64">
        <f>+Tabla_master_rend[[#This Row],[Merma_TOT]]/Tabla_master_rend[[#This Row],[Kg_Queso_Blan]]</f>
        <v>3.1528713676322137E-2</v>
      </c>
      <c r="BR137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640.58999999999992</v>
      </c>
      <c r="BS137" s="8">
        <v>19939.18</v>
      </c>
      <c r="BT137" s="63">
        <f>IF(+Tabla_master_rend[[#This Row],[Kg_Env_Total]]=0,0,Tabla_master_rend[[#This Row],[Kg_Env_Total]]-Tabla_master_rend[[#This Row],[Kg_SalidaSecadero]])</f>
        <v>-23.819999999999709</v>
      </c>
      <c r="BU137" s="60">
        <f>+Tabla_master_rend[[#This Row],[Diferencia_Env_vs_Sec_kg]]/Tabla_master_rend[[#This Row],[Kg_SalidaSecadero]]</f>
        <v>-1.1932074337524274E-3</v>
      </c>
      <c r="BV137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37" s="65">
        <f>+(Tabla_master_rend[[#This Row],[Coste_Leche_€]]-Tabla_master_rend[[#This Row],[Kg_MG_Nata]]*$CO$3)/Tabla_master_rend[[#This Row],[Kg_Queso_Blan]]</f>
        <v>-0.49523395153085975</v>
      </c>
      <c r="BX137" s="8">
        <f>SUM(Tabla_master_rend[[#This Row],[Kg_Finos]:[Kg_Desmoldeo]])+Tabla_master_rend[[#This Row],[L_Agua]]+SUM(Tabla_master_rend[[#This Row],[B_altas]:[B_lab]])</f>
        <v>748.06999999999994</v>
      </c>
      <c r="BY137" s="8">
        <f>+BX137-Tabla_master_rend[[#This Row],[Merma_TOT]]</f>
        <v>107.48000000000002</v>
      </c>
      <c r="BZ137" s="62">
        <f t="shared" si="40"/>
        <v>0.14367639392035508</v>
      </c>
      <c r="CA137" s="8">
        <f>+Tabla_master_rend[[#This Row],[Kg_Queso_Blan]]*$CA$1</f>
        <v>132.06485499999999</v>
      </c>
      <c r="CB137" s="8">
        <f>+Tabla_master_rend[[#This Row],[Kg_Queso_Blan]]*($CB$1-$CA$1)</f>
        <v>71.111845000000002</v>
      </c>
      <c r="CC137" s="8">
        <f>+(Tabla_master_rend[[#This Row],[Kg_Queso_Blan]]-CA137-CB137)*$CC$1</f>
        <v>211.20217965000001</v>
      </c>
      <c r="CD137" s="8">
        <f t="shared" si="41"/>
        <v>414.37887964999999</v>
      </c>
      <c r="CE137" s="80">
        <f>+CD137/Tabla_master_rend[[#This Row],[Kg_Queso_Blan]]</f>
        <v>2.0395E-2</v>
      </c>
      <c r="CF137" s="62">
        <f>+Tabla_master_rend[[#This Row],[Merma_TOT]]/Tabla_master_rend[[#This Row],[Kg_Queso_Blan]]</f>
        <v>3.1528713676322137E-2</v>
      </c>
      <c r="CG137" s="8">
        <f>CD137-Tabla_master_rend[[#This Row],[Merma_TOT]]</f>
        <v>-226.21112034999993</v>
      </c>
      <c r="CH137" s="81" cm="1">
        <f t="array" ref="CH137">-BR137 * IFERROR(INDEX('Precio Leche_EBITDA_Ventas'!$BD$87:$BD$110,MATCH(1,('Precio Leche_EBITDA_Ventas'!$AZ$87:$AZ$110=YEAR(A137))*('Precio Leche_EBITDA_Ventas'!$BB$87:$BB$110=C137),0)),1.3)</f>
        <v>-2466.2714999999998</v>
      </c>
      <c r="CI137" s="81">
        <f t="shared" si="42"/>
        <v>-294.0744564549999</v>
      </c>
    </row>
    <row r="138" spans="1:87" x14ac:dyDescent="0.35">
      <c r="A138" s="9">
        <v>45972</v>
      </c>
      <c r="B138" s="7">
        <v>11</v>
      </c>
      <c r="C138" s="7" t="str">
        <f>+UPPER(TEXT(Tabla_master_rend[[#This Row],[Fecha]],"MMM"))</f>
        <v>NOV</v>
      </c>
      <c r="D138" s="7" t="str">
        <f>+UPPER(TEXT(Tabla_master_rend[[#This Row],[Fecha]],"ddd"))</f>
        <v>MA</v>
      </c>
      <c r="E138" s="3">
        <v>111125316</v>
      </c>
      <c r="F138" s="3" t="s">
        <v>244</v>
      </c>
      <c r="G138" s="84" t="s">
        <v>300</v>
      </c>
      <c r="H138">
        <v>13</v>
      </c>
      <c r="I138" s="8">
        <f>+Tabla_master_rend[[#This Row],[L_Leche_ent]]+Tabla_master_rend[[#This Row],[L_desn_ext]]+Tabla_master_rend[[#This Row],[L_cabra]]+Tabla_master_rend[[#This Row],[L_oveja]]</f>
        <v>152297</v>
      </c>
      <c r="J138" s="8">
        <v>152297</v>
      </c>
      <c r="K138" s="5">
        <v>3.8900000000000004E-2</v>
      </c>
      <c r="L138" s="5">
        <v>3.3799999999999997E-2</v>
      </c>
      <c r="M138" s="5">
        <f t="shared" si="37"/>
        <v>0.10918900000000001</v>
      </c>
      <c r="N138" s="35" t="s">
        <v>188</v>
      </c>
      <c r="O138" s="8">
        <v>0</v>
      </c>
      <c r="P138" s="8">
        <v>0</v>
      </c>
      <c r="Q138" s="8">
        <v>0</v>
      </c>
      <c r="R138" s="8">
        <v>3130</v>
      </c>
      <c r="T138" s="8">
        <v>120937.79545661338</v>
      </c>
      <c r="U138" s="38">
        <f>+Tabla_master_rend[[#This Row],[L_suero Total]]/Tabla_master_rend[[#This Row],[Litros_Leche_Total]]</f>
        <v>0.7940917776227594</v>
      </c>
      <c r="V138" s="5">
        <v>1.5E-3</v>
      </c>
      <c r="W138" s="5">
        <v>8.1000000000000013E-3</v>
      </c>
      <c r="X138" s="8">
        <v>0</v>
      </c>
      <c r="Y138" s="57">
        <v>0</v>
      </c>
      <c r="Z138" s="58">
        <f>IF(Tabla_master_rend[[#This Row],[L_suero para con]]=0,0,+Tabla_master_rend[[#This Row],[L_suero para con]]/Tabla_master_rend[[#This Row],[L_suero_con]])</f>
        <v>0</v>
      </c>
      <c r="AA138" s="8">
        <f>+Tabla_master_rend[[#This Row],[L_suero Total]]-Tabla_master_rend[[#This Row],[L_suero para con]]</f>
        <v>120937.79545661338</v>
      </c>
      <c r="AD138" s="8"/>
      <c r="AE138" s="8"/>
      <c r="AF138" s="8"/>
      <c r="AG138" s="5"/>
      <c r="AI138" s="7">
        <f>+Tabla_master_rend[[#This Row],[Kg_Finos]]+Tabla_master_rend[[#This Row],[Kg_Llenadora]]+Tabla_master_rend[[#This Row],[Kg_Desmoldeo]]+Tabla_master_rend[[#This Row],[L_Agua]]+Tabla_master_rend[[#This Row],[Kg_SalidaSecadero]]</f>
        <v>21614.94783885072</v>
      </c>
      <c r="AJ138" s="59">
        <f>+Tabla_master_rend[[#This Row],[Litros_Leche_Total]]/Tabla_master_rend[[#This Row],[Kg_Queso_Blan]]</f>
        <v>7.045911058191928</v>
      </c>
      <c r="AK138" s="59">
        <f>+Tabla_master_rend[[#This Row],[Litros_Leche_Total]]/(Tabla_master_rend[[#This Row],[Kg_Queso_Blan]]-Tabla_master_rend[[#This Row],[Merma_TOT]])</f>
        <v>7.3031343643533795</v>
      </c>
      <c r="AL138" s="59">
        <f>VLOOKUP(G138,REND_TARGET[#All],8,FALSE)</f>
        <v>7.7024999999999997</v>
      </c>
      <c r="AM138" s="7">
        <f>(I138*1.03*Tabla_master_rend[[#This Row],[%MG_Leche]])+(I138*1.03*Tabla_master_rend[[#This Row],[%MP_Leche]])</f>
        <v>11404.151657</v>
      </c>
      <c r="AN138" s="38">
        <v>0.22219999999999998</v>
      </c>
      <c r="AO138" s="38">
        <v>0.24079999999999999</v>
      </c>
      <c r="AP138" s="60">
        <v>0.52210000000000001</v>
      </c>
      <c r="AQ138" s="38">
        <f>+Tabla_master_rend[[#This Row],[Kg_Queso_Blan]]*Tabla_master_rend[[#This Row],[ES_QUESO]]/(Tabla_master_rend[[#This Row],[Kg_Solidos_leche]])</f>
        <v>0.98956630936567702</v>
      </c>
      <c r="AR138" s="7">
        <f t="shared" si="38"/>
        <v>1252</v>
      </c>
      <c r="AS138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0.9922579744904666</v>
      </c>
      <c r="AT138" s="62">
        <f>+Tabla_master_rend[[#This Row],[Kg_Queso_Blan]]*Tabla_master_rend[[#This Row],[%PT_QUESO]]/(Tabla_master_rend[[#This Row],[Litros_Leche_Total]]*1.03*Tabla_master_rend[[#This Row],[%MP_Leche]])</f>
        <v>0.98166973285882586</v>
      </c>
      <c r="AU138" s="63">
        <f t="shared" si="39"/>
        <v>9390</v>
      </c>
      <c r="AV138" s="7">
        <v>36.293060587133041</v>
      </c>
      <c r="AW138" s="7">
        <v>47.370830730793259</v>
      </c>
      <c r="AX138" s="7">
        <v>34.283947532792006</v>
      </c>
      <c r="AY138" s="8">
        <f>SUM(Tabla_master_rend[[#This Row],[Kg_Finos]:[Kg_Desmoldeo]])</f>
        <v>117.94783885071831</v>
      </c>
      <c r="AZ138" s="60">
        <f>+(Tabla_master_rend[[#This Row],[Kg_Finos]]+Tabla_master_rend[[#This Row],[Kg_Llenadora]]+Tabla_master_rend[[#This Row],[Kg_Desmoldeo]])/(Tabla_master_rend[[#This Row],[Kg_Queso_Blan]])</f>
        <v>5.4567718474304531E-3</v>
      </c>
      <c r="BA138" s="7">
        <v>215</v>
      </c>
      <c r="BB138" s="60">
        <f>+Tabla_master_rend[[#This Row],[L_Agua]]/(Tabla_master_rend[[#This Row],[L_Agua]]+Tabla_master_rend[[#This Row],[Kg_SalidaSecadero]])</f>
        <v>1.0001395543564218E-2</v>
      </c>
      <c r="BC138" s="8">
        <v>2951</v>
      </c>
      <c r="BD138" s="8">
        <v>2862</v>
      </c>
      <c r="BE138" s="8">
        <v>20926</v>
      </c>
      <c r="BF138" s="8">
        <f>28*6.4</f>
        <v>179.20000000000002</v>
      </c>
      <c r="BG138" s="8">
        <f>45*6.4</f>
        <v>288</v>
      </c>
      <c r="BH138" s="7">
        <v>0</v>
      </c>
      <c r="BI138" s="7">
        <f>33*6.4</f>
        <v>211.20000000000002</v>
      </c>
      <c r="BJ138" s="8">
        <v>69</v>
      </c>
      <c r="BK138" s="8">
        <v>21282</v>
      </c>
      <c r="BL138" s="8">
        <v>0</v>
      </c>
      <c r="BM138" s="8">
        <v>409.2</v>
      </c>
      <c r="BN138" s="7">
        <v>19.151086820737042</v>
      </c>
      <c r="BO138" s="68">
        <f>+SUM(Tabla_master_rend[[#This Row],[B_altas]:[B_lab]])/Tabla_master_rend[[#This Row],[Kg_SalidaSecadero]]</f>
        <v>3.5118879804529657E-2</v>
      </c>
      <c r="BP138" s="68">
        <f>+(Tabla_master_rend[[#This Row],[Kg_mer_env_real]]+Tabla_master_rend[[#This Row],[kg_mer_lab_real]])/Tabla_master_rend[[#This Row],[Kg_SalidaSecadero]]</f>
        <v>2.0127388723838784E-2</v>
      </c>
      <c r="BQ138" s="64">
        <f>+Tabla_master_rend[[#This Row],[Merma_TOT]]/Tabla_master_rend[[#This Row],[Kg_Queso_Blan]]</f>
        <v>3.5220946696114447E-2</v>
      </c>
      <c r="BR138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761.29892567145532</v>
      </c>
      <c r="BS138" s="8">
        <v>21314.930000000004</v>
      </c>
      <c r="BT138" s="63">
        <f>IF(+Tabla_master_rend[[#This Row],[Kg_Env_Total]]=0,0,Tabla_master_rend[[#This Row],[Kg_Env_Total]]-Tabla_master_rend[[#This Row],[Kg_SalidaSecadero]])</f>
        <v>32.930000000003929</v>
      </c>
      <c r="BU138" s="60">
        <f>+Tabla_master_rend[[#This Row],[Diferencia_Env_vs_Sec_kg]]/Tabla_master_rend[[#This Row],[Kg_SalidaSecadero]]</f>
        <v>1.547316981486887E-3</v>
      </c>
      <c r="BV138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38" s="65">
        <f>+(Tabla_master_rend[[#This Row],[Coste_Leche_€]]-Tabla_master_rend[[#This Row],[Kg_MG_Nata]]*$CO$3)/Tabla_master_rend[[#This Row],[Kg_Queso_Blan]]</f>
        <v>-0.43442158963355942</v>
      </c>
      <c r="BX138" s="8">
        <f>SUM(Tabla_master_rend[[#This Row],[Kg_Finos]:[Kg_Desmoldeo]])+Tabla_master_rend[[#This Row],[L_Agua]]+SUM(Tabla_master_rend[[#This Row],[B_altas]:[B_lab]])</f>
        <v>1080.3478388507183</v>
      </c>
      <c r="BY138" s="8">
        <f>+BX138-Tabla_master_rend[[#This Row],[Merma_TOT]]</f>
        <v>319.04891317926297</v>
      </c>
      <c r="BZ138" s="62">
        <f t="shared" si="40"/>
        <v>0.29532054557416382</v>
      </c>
      <c r="CA138" s="8">
        <f>+Tabla_master_rend[[#This Row],[Kg_Queso_Blan]]*$CA$1</f>
        <v>140.49716095252967</v>
      </c>
      <c r="CB138" s="8">
        <f>+Tabla_master_rend[[#This Row],[Kg_Queso_Blan]]*($CB$1-$CA$1)</f>
        <v>75.652317435977523</v>
      </c>
      <c r="CC138" s="8">
        <f>+(Tabla_master_rend[[#This Row],[Kg_Queso_Blan]]-CA138-CB138)*$CC$1</f>
        <v>224.68738278485321</v>
      </c>
      <c r="CD138" s="8">
        <f t="shared" si="41"/>
        <v>440.83686117336038</v>
      </c>
      <c r="CE138" s="80">
        <f>+CD138/Tabla_master_rend[[#This Row],[Kg_Queso_Blan]]</f>
        <v>2.0394999999999996E-2</v>
      </c>
      <c r="CF138" s="62">
        <f>+Tabla_master_rend[[#This Row],[Merma_TOT]]/Tabla_master_rend[[#This Row],[Kg_Queso_Blan]]</f>
        <v>3.5220946696114447E-2</v>
      </c>
      <c r="CG138" s="8">
        <f>CD138-Tabla_master_rend[[#This Row],[Merma_TOT]]</f>
        <v>-320.46206449809495</v>
      </c>
      <c r="CH138" s="81" cm="1">
        <f t="array" ref="CH138">-BR138 * IFERROR(INDEX('Precio Leche_EBITDA_Ventas'!$BD$87:$BD$110,MATCH(1,('Precio Leche_EBITDA_Ventas'!$AZ$87:$AZ$110=YEAR(A138))*('Precio Leche_EBITDA_Ventas'!$BB$87:$BB$110=C138),0)),1.3)</f>
        <v>-2931.0008638351032</v>
      </c>
      <c r="CI138" s="81">
        <f t="shared" si="42"/>
        <v>-416.60068384752344</v>
      </c>
    </row>
    <row r="139" spans="1:87" x14ac:dyDescent="0.35">
      <c r="A139" s="9">
        <v>45972</v>
      </c>
      <c r="B139" s="7">
        <v>11</v>
      </c>
      <c r="C139" s="7" t="str">
        <f>+UPPER(TEXT(Tabla_master_rend[[#This Row],[Fecha]],"MMM"))</f>
        <v>NOV</v>
      </c>
      <c r="D139" s="7" t="str">
        <f>+UPPER(TEXT(Tabla_master_rend[[#This Row],[Fecha]],"ddd"))</f>
        <v>MA</v>
      </c>
      <c r="E139" s="3">
        <v>111125317</v>
      </c>
      <c r="F139" s="3" t="s">
        <v>244</v>
      </c>
      <c r="G139" s="84" t="s">
        <v>300</v>
      </c>
      <c r="H139">
        <v>1</v>
      </c>
      <c r="I139" s="8">
        <f>+Tabla_master_rend[[#This Row],[L_Leche_ent]]+Tabla_master_rend[[#This Row],[L_desn_ext]]+Tabla_master_rend[[#This Row],[L_cabra]]+Tabla_master_rend[[#This Row],[L_oveja]]</f>
        <v>12558</v>
      </c>
      <c r="J139" s="8">
        <v>12558</v>
      </c>
      <c r="K139" s="5">
        <v>3.8900000000000004E-2</v>
      </c>
      <c r="L139" s="5">
        <v>3.3799999999999997E-2</v>
      </c>
      <c r="M139" s="5">
        <f t="shared" si="37"/>
        <v>0.10918900000000001</v>
      </c>
      <c r="N139" s="35" t="s">
        <v>188</v>
      </c>
      <c r="O139" s="8">
        <v>0</v>
      </c>
      <c r="P139" s="8">
        <v>0</v>
      </c>
      <c r="Q139" s="8">
        <v>0</v>
      </c>
      <c r="R139" s="8">
        <v>258</v>
      </c>
      <c r="T139" s="8">
        <v>9972.2045433866133</v>
      </c>
      <c r="U139" s="38">
        <f>+Tabla_master_rend[[#This Row],[L_suero Total]]/Tabla_master_rend[[#This Row],[Litros_Leche_Total]]</f>
        <v>0.79409177762275951</v>
      </c>
      <c r="V139" s="5">
        <v>1.5E-3</v>
      </c>
      <c r="W139" s="5">
        <v>8.1000000000000013E-3</v>
      </c>
      <c r="X139" s="8">
        <v>0</v>
      </c>
      <c r="Y139" s="57">
        <v>0</v>
      </c>
      <c r="Z139" s="58">
        <f>IF(Tabla_master_rend[[#This Row],[L_suero para con]]=0,0,+Tabla_master_rend[[#This Row],[L_suero para con]]/Tabla_master_rend[[#This Row],[L_suero_con]])</f>
        <v>0</v>
      </c>
      <c r="AA139" s="8">
        <f>+Tabla_master_rend[[#This Row],[L_suero Total]]-Tabla_master_rend[[#This Row],[L_suero para con]]</f>
        <v>9972.2045433866133</v>
      </c>
      <c r="AD139" s="8"/>
      <c r="AE139" s="8"/>
      <c r="AF139" s="8"/>
      <c r="AG139" s="5"/>
      <c r="AI139" s="7">
        <f>+Tabla_master_rend[[#This Row],[Kg_Finos]]+Tabla_master_rend[[#This Row],[Kg_Llenadora]]+Tabla_master_rend[[#This Row],[Kg_Desmoldeo]]+Tabla_master_rend[[#This Row],[L_Agua]]+Tabla_master_rend[[#This Row],[Kg_SalidaSecadero]]</f>
        <v>1870.0321611492816</v>
      </c>
      <c r="AJ139" s="59">
        <f>+Tabla_master_rend[[#This Row],[Litros_Leche_Total]]/Tabla_master_rend[[#This Row],[Kg_Queso_Blan]]</f>
        <v>6.7153925268761814</v>
      </c>
      <c r="AK139" s="59">
        <f>+Tabla_master_rend[[#This Row],[Litros_Leche_Total]]/(Tabla_master_rend[[#This Row],[Kg_Queso_Blan]]-Tabla_master_rend[[#This Row],[Merma_TOT]])</f>
        <v>7.3271012111222067</v>
      </c>
      <c r="AL139" s="59">
        <f>VLOOKUP(G139,REND_TARGET[#All],8,FALSE)</f>
        <v>7.7024999999999997</v>
      </c>
      <c r="AM139" s="7">
        <f>(I139*1.03*Tabla_master_rend[[#This Row],[%MG_Leche]])+(I139*1.03*Tabla_master_rend[[#This Row],[%MP_Leche]])</f>
        <v>940.35559799999999</v>
      </c>
      <c r="AN139" s="38">
        <v>0.22649999999999998</v>
      </c>
      <c r="AO139" s="38">
        <v>0.24239999999999998</v>
      </c>
      <c r="AP139" s="60">
        <v>0.52690000000000003</v>
      </c>
      <c r="AQ139" s="38">
        <f>+Tabla_master_rend[[#This Row],[Kg_Queso_Blan]]*Tabla_master_rend[[#This Row],[ES_QUESO]]/(Tabla_master_rend[[#This Row],[Kg_Solidos_leche]])</f>
        <v>1.0478163237451761</v>
      </c>
      <c r="AR139" s="7">
        <f t="shared" si="38"/>
        <v>103.2</v>
      </c>
      <c r="AS139" s="61">
        <f>+(Tabla_master_rend[[#This Row],[Kg_Queso_Blan]]*Tabla_master_rend[[#This Row],[%MG_QUESO]]+(Tabla_master_rend[[#This Row],[Kg_MG_Nata]]))/(Tabla_master_rend[[#This Row],[Litros_Leche_Total]]*1.03*Tabla_master_rend[[#This Row],[%MG_Leche]])</f>
        <v>1.0469052259513256</v>
      </c>
      <c r="AT139" s="62">
        <f>+Tabla_master_rend[[#This Row],[Kg_Queso_Blan]]*Tabla_master_rend[[#This Row],[%PT_QUESO]]/(Tabla_master_rend[[#This Row],[Litros_Leche_Total]]*1.03*Tabla_master_rend[[#This Row],[%MP_Leche]])</f>
        <v>1.0368293619188762</v>
      </c>
      <c r="AU139" s="63">
        <f t="shared" si="39"/>
        <v>774</v>
      </c>
      <c r="AV139" s="7">
        <v>3.0869394128669581</v>
      </c>
      <c r="AW139" s="7">
        <v>4.0291692692067462</v>
      </c>
      <c r="AX139" s="7">
        <v>2.916052467207995</v>
      </c>
      <c r="AY139" s="8">
        <f>SUM(Tabla_master_rend[[#This Row],[Kg_Finos]:[Kg_Desmoldeo]])</f>
        <v>10.0321611492817</v>
      </c>
      <c r="AZ139" s="60">
        <f>+(Tabla_master_rend[[#This Row],[Kg_Finos]]+Tabla_master_rend[[#This Row],[Kg_Llenadora]]+Tabla_master_rend[[#This Row],[Kg_Desmoldeo]])/(Tabla_master_rend[[#This Row],[Kg_Queso_Blan]])</f>
        <v>5.3646997937811663E-3</v>
      </c>
      <c r="BA139" s="7">
        <v>45</v>
      </c>
      <c r="BB139" s="60">
        <f>+Tabla_master_rend[[#This Row],[L_Agua]]/(Tabla_master_rend[[#This Row],[L_Agua]]+Tabla_master_rend[[#This Row],[Kg_SalidaSecadero]])</f>
        <v>2.4193548387096774E-2</v>
      </c>
      <c r="BC139" s="8">
        <v>251</v>
      </c>
      <c r="BD139" s="8">
        <v>233</v>
      </c>
      <c r="BE139" s="8">
        <v>1741</v>
      </c>
      <c r="BF139" s="8">
        <v>0</v>
      </c>
      <c r="BG139" s="8">
        <f>16*6.6</f>
        <v>105.6</v>
      </c>
      <c r="BH139" s="7">
        <v>0</v>
      </c>
      <c r="BI139" s="7">
        <f>16*6.6</f>
        <v>105.6</v>
      </c>
      <c r="BJ139" s="8">
        <v>13</v>
      </c>
      <c r="BK139" s="8">
        <v>1815</v>
      </c>
      <c r="BL139" s="8">
        <v>0</v>
      </c>
      <c r="BM139" s="8">
        <v>99.46</v>
      </c>
      <c r="BN139" s="7">
        <v>1.6289131792629608</v>
      </c>
      <c r="BO139" s="68">
        <f>+SUM(Tabla_master_rend[[#This Row],[B_altas]:[B_lab]])/Tabla_master_rend[[#This Row],[Kg_SalidaSecadero]]</f>
        <v>0.12352617079889806</v>
      </c>
      <c r="BP139" s="68">
        <f>+(Tabla_master_rend[[#This Row],[Kg_mer_env_real]]+Tabla_master_rend[[#This Row],[kg_mer_lab_real]])/Tabla_master_rend[[#This Row],[Kg_SalidaSecadero]]</f>
        <v>5.5696370897665541E-2</v>
      </c>
      <c r="BQ139" s="64">
        <f>+Tabla_master_rend[[#This Row],[Merma_TOT]]/Tabla_master_rend[[#This Row],[Kg_Queso_Blan]]</f>
        <v>8.3485769695316903E-2</v>
      </c>
      <c r="BR139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156.12107432854467</v>
      </c>
      <c r="BS139" s="8">
        <v>1818.3600000000001</v>
      </c>
      <c r="BT139" s="63">
        <f>IF(+Tabla_master_rend[[#This Row],[Kg_Env_Total]]=0,0,Tabla_master_rend[[#This Row],[Kg_Env_Total]]-Tabla_master_rend[[#This Row],[Kg_SalidaSecadero]])</f>
        <v>3.3600000000001273</v>
      </c>
      <c r="BU139" s="60">
        <f>+Tabla_master_rend[[#This Row],[Diferencia_Env_vs_Sec_kg]]/Tabla_master_rend[[#This Row],[Kg_SalidaSecadero]]</f>
        <v>1.8512396694215576E-3</v>
      </c>
      <c r="BV139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39" s="65">
        <f>+(Tabla_master_rend[[#This Row],[Coste_Leche_€]]-Tabla_master_rend[[#This Row],[Kg_MG_Nata]]*$CO$3)/Tabla_master_rend[[#This Row],[Kg_Queso_Blan]]</f>
        <v>-0.41389662492452334</v>
      </c>
      <c r="BX139" s="8">
        <f>SUM(Tabla_master_rend[[#This Row],[Kg_Finos]:[Kg_Desmoldeo]])+Tabla_master_rend[[#This Row],[L_Agua]]+SUM(Tabla_master_rend[[#This Row],[B_altas]:[B_lab]])</f>
        <v>279.23216114928169</v>
      </c>
      <c r="BY139" s="8">
        <f>+BX139-Tabla_master_rend[[#This Row],[Merma_TOT]]</f>
        <v>123.11108682073703</v>
      </c>
      <c r="BZ139" s="62">
        <f t="shared" si="40"/>
        <v>0.44089150158788476</v>
      </c>
      <c r="CA139" s="8">
        <f>+Tabla_master_rend[[#This Row],[Kg_Queso_Blan]]*$CA$1</f>
        <v>12.155209047470329</v>
      </c>
      <c r="CB139" s="8">
        <f>+Tabla_master_rend[[#This Row],[Kg_Queso_Blan]]*($CB$1-$CA$1)</f>
        <v>6.5451125640224861</v>
      </c>
      <c r="CC139" s="8">
        <f>+(Tabla_master_rend[[#This Row],[Kg_Queso_Blan]]-CA139-CB139)*$CC$1</f>
        <v>19.438984315146783</v>
      </c>
      <c r="CD139" s="8">
        <f t="shared" si="41"/>
        <v>38.139305926639594</v>
      </c>
      <c r="CE139" s="80">
        <f>+CD139/Tabla_master_rend[[#This Row],[Kg_Queso_Blan]]</f>
        <v>2.0394999999999996E-2</v>
      </c>
      <c r="CF139" s="62">
        <f>+Tabla_master_rend[[#This Row],[Merma_TOT]]/Tabla_master_rend[[#This Row],[Kg_Queso_Blan]]</f>
        <v>8.3485769695316903E-2</v>
      </c>
      <c r="CG139" s="8">
        <f>CD139-Tabla_master_rend[[#This Row],[Merma_TOT]]</f>
        <v>-117.98176840190507</v>
      </c>
      <c r="CH139" s="81" cm="1">
        <f t="array" ref="CH139">-BR139 * IFERROR(INDEX('Precio Leche_EBITDA_Ventas'!$BD$87:$BD$110,MATCH(1,('Precio Leche_EBITDA_Ventas'!$AZ$87:$AZ$110=YEAR(A139))*('Precio Leche_EBITDA_Ventas'!$BB$87:$BB$110=C139),0)),1.3)</f>
        <v>-601.06613616489699</v>
      </c>
      <c r="CI139" s="81">
        <f t="shared" si="42"/>
        <v>-153.37629892247659</v>
      </c>
    </row>
    <row r="140" spans="1:87" x14ac:dyDescent="0.35">
      <c r="A140" s="9">
        <v>45974</v>
      </c>
      <c r="B140" s="7">
        <v>11</v>
      </c>
      <c r="C140" s="7" t="str">
        <f>+UPPER(TEXT(Tabla_master_rend[[#This Row],[Fecha]],"MMM"))</f>
        <v>NOV</v>
      </c>
      <c r="D140" s="7" t="str">
        <f>+UPPER(TEXT(Tabla_master_rend[[#This Row],[Fecha]],"ddd"))</f>
        <v>JU</v>
      </c>
      <c r="E140" s="3">
        <v>131125146</v>
      </c>
      <c r="F140" s="3" t="s">
        <v>244</v>
      </c>
      <c r="G140" s="84" t="s">
        <v>40</v>
      </c>
      <c r="H140">
        <v>10</v>
      </c>
      <c r="I140" s="8">
        <f>+Tabla_master_rend[[#This Row],[L_Leche_ent]]+Tabla_master_rend[[#This Row],[L_desn_ext]]+Tabla_master_rend[[#This Row],[L_cabra]]+Tabla_master_rend[[#This Row],[L_oveja]]</f>
        <v>151263</v>
      </c>
      <c r="J140" s="8">
        <v>151263</v>
      </c>
      <c r="K140" s="5">
        <v>4.0800000000000003E-2</v>
      </c>
      <c r="L140" s="5">
        <v>3.3700000000000001E-2</v>
      </c>
      <c r="M140" s="5">
        <f t="shared" si="37"/>
        <v>0.11088200000000001</v>
      </c>
      <c r="N140" s="35" t="s">
        <v>188</v>
      </c>
      <c r="O140" s="8">
        <v>0</v>
      </c>
      <c r="P140" s="8">
        <v>0</v>
      </c>
      <c r="Q140" s="8">
        <v>0</v>
      </c>
      <c r="R140" s="8">
        <v>2508</v>
      </c>
      <c r="T140" s="8">
        <v>135230</v>
      </c>
      <c r="U140" s="38">
        <f>+Tabla_master_rend[[#This Row],[L_suero Total]]/Tabla_master_rend[[#This Row],[Litros_Leche_Total]]</f>
        <v>0.89400580445978195</v>
      </c>
      <c r="V140" s="5">
        <v>2.0000000000000001E-4</v>
      </c>
      <c r="W140" s="5">
        <v>7.8000000000000005E-3</v>
      </c>
      <c r="X140" s="8">
        <v>130971</v>
      </c>
      <c r="Y140" s="57">
        <v>43647</v>
      </c>
      <c r="Z140" s="58">
        <f>IF(Tabla_master_rend[[#This Row],[L_suero para con]]=0,0,+Tabla_master_rend[[#This Row],[L_suero para con]]/Tabla_master_rend[[#This Row],[L_suero_con]])</f>
        <v>3.0006873324627121</v>
      </c>
      <c r="AA140" s="8">
        <f>+Tabla_master_rend[[#This Row],[L_suero Total]]-Tabla_master_rend[[#This Row],[L_suero para con]]</f>
        <v>4259</v>
      </c>
      <c r="AD140" s="8"/>
      <c r="AE140" s="8"/>
      <c r="AF140" s="8"/>
      <c r="AG140" s="5"/>
      <c r="AI140" s="7">
        <f>+Tabla_master_rend[[#This Row],[Kg_Finos]]+Tabla_master_rend[[#This Row],[Kg_Llenadora]]+Tabla_master_rend[[#This Row],[Kg_Desmoldeo]]+Tabla_master_rend[[#This Row],[L_Agua]]+Tabla_master_rend[[#This Row],[Kg_SalidaSecadero]]</f>
        <v>17655</v>
      </c>
      <c r="AJ140" s="59">
        <f>+Tabla_master_rend[[#This Row],[Litros_Leche_Total]]/Tabla_master_rend[[#This Row],[Kg_Queso_Blan]]</f>
        <v>8.5677145284621918</v>
      </c>
      <c r="AK140" s="59">
        <f>+Tabla_master_rend[[#This Row],[Litros_Leche_Total]]/(Tabla_master_rend[[#This Row],[Kg_Queso_Blan]]-Tabla_master_rend[[#This Row],[Merma_TOT]])</f>
        <v>8.8116969665900822</v>
      </c>
      <c r="AL140" s="59">
        <f>VLOOKUP(G140,REND_TARGET[#All],8,FALSE)</f>
        <v>8.9338729999999984</v>
      </c>
      <c r="AM140" s="7">
        <f>(I140*1.03*Tabla_master_rend[[#This Row],[%MG_Leche]])+(I140*1.03*Tabla_master_rend[[#This Row],[%MP_Leche]])</f>
        <v>11607.166305000002</v>
      </c>
      <c r="AN140" s="38">
        <v>0.2969</v>
      </c>
      <c r="AO140" s="38">
        <v>0.22510000000000002</v>
      </c>
      <c r="AP140" s="60">
        <v>0.56759999999999999</v>
      </c>
      <c r="AQ140" s="38">
        <f>+Tabla_master_rend[[#This Row],[Kg_Queso_Blan]]*Tabla_master_rend[[#This Row],[ES_QUESO]]/(Tabla_master_rend[[#This Row],[Kg_Solidos_leche]])</f>
        <v>0.86334405286183213</v>
      </c>
      <c r="AR140" s="7">
        <f t="shared" si="38"/>
        <v>1003.2</v>
      </c>
      <c r="AS140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0.98242685225467219</v>
      </c>
      <c r="AT140" s="62">
        <f>+Tabla_master_rend[[#This Row],[Kg_Queso_Blan]]*Tabla_master_rend[[#This Row],[%PT_QUESO]]/(Tabla_master_rend[[#This Row],[Litros_Leche_Total]]*1.03*Tabla_master_rend[[#This Row],[%MP_Leche]])</f>
        <v>0.75690849907310742</v>
      </c>
      <c r="AU140" s="63">
        <f t="shared" si="39"/>
        <v>7524</v>
      </c>
      <c r="AV140" s="7">
        <v>39</v>
      </c>
      <c r="AW140" s="7">
        <v>23.8</v>
      </c>
      <c r="AX140" s="7">
        <v>48.2</v>
      </c>
      <c r="AY140" s="8">
        <f>SUM(Tabla_master_rend[[#This Row],[Kg_Finos]:[Kg_Desmoldeo]])</f>
        <v>111</v>
      </c>
      <c r="AZ140" s="60">
        <f>+(Tabla_master_rend[[#This Row],[Kg_Finos]]+Tabla_master_rend[[#This Row],[Kg_Llenadora]]+Tabla_master_rend[[#This Row],[Kg_Desmoldeo]])/(Tabla_master_rend[[#This Row],[Kg_Queso_Blan]])</f>
        <v>6.2871707731520813E-3</v>
      </c>
      <c r="BA140" s="7">
        <v>210</v>
      </c>
      <c r="BB140" s="60">
        <f>+Tabla_master_rend[[#This Row],[L_Agua]]/(Tabla_master_rend[[#This Row],[L_Agua]]+Tabla_master_rend[[#This Row],[Kg_SalidaSecadero]])</f>
        <v>1.1969904240766074E-2</v>
      </c>
      <c r="BC140" s="8">
        <v>2439</v>
      </c>
      <c r="BD140" s="8">
        <v>2415</v>
      </c>
      <c r="BE140" s="8">
        <v>17387</v>
      </c>
      <c r="BF140" s="8">
        <f>204*7.2</f>
        <v>1468.8</v>
      </c>
      <c r="BG140" s="8">
        <v>0</v>
      </c>
      <c r="BH140" s="7">
        <f>2*7.2</f>
        <v>14.4</v>
      </c>
      <c r="BI140" s="7">
        <f>4*7.2</f>
        <v>28.8</v>
      </c>
      <c r="BJ140" s="8">
        <v>114</v>
      </c>
      <c r="BK140" s="8">
        <v>17334</v>
      </c>
      <c r="BL140" s="8">
        <v>0</v>
      </c>
      <c r="BM140" s="8">
        <v>147.06</v>
      </c>
      <c r="BN140" s="7">
        <v>20.78</v>
      </c>
      <c r="BO140" s="68">
        <f>+SUM(Tabla_master_rend[[#This Row],[B_altas]:[B_lab]])/Tabla_master_rend[[#This Row],[Kg_SalidaSecadero]]</f>
        <v>9.3804084458290068E-2</v>
      </c>
      <c r="BP140" s="68">
        <f>+(Tabla_master_rend[[#This Row],[Kg_mer_env_real]]+Tabla_master_rend[[#This Row],[kg_mer_lab_real]])/Tabla_master_rend[[#This Row],[Kg_SalidaSecadero]]</f>
        <v>9.6827045113649472E-3</v>
      </c>
      <c r="BQ140" s="64">
        <f>+Tabla_master_rend[[#This Row],[Merma_TOT]]/Tabla_master_rend[[#This Row],[Kg_Queso_Blan]]</f>
        <v>2.7688473520249224E-2</v>
      </c>
      <c r="BR140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488.84000000000003</v>
      </c>
      <c r="BS140" s="8">
        <v>17108.16</v>
      </c>
      <c r="BT140" s="63">
        <f>IF(+Tabla_master_rend[[#This Row],[Kg_Env_Total]]=0,0,Tabla_master_rend[[#This Row],[Kg_Env_Total]]-Tabla_master_rend[[#This Row],[Kg_SalidaSecadero]])</f>
        <v>-225.84000000000015</v>
      </c>
      <c r="BU140" s="60">
        <f>+Tabla_master_rend[[#This Row],[Diferencia_Env_vs_Sec_kg]]/Tabla_master_rend[[#This Row],[Kg_SalidaSecadero]]</f>
        <v>-1.3028729664243691E-2</v>
      </c>
      <c r="BV140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40" s="65">
        <f>+(Tabla_master_rend[[#This Row],[Coste_Leche_€]]-Tabla_master_rend[[#This Row],[Kg_MG_Nata]]*$CO$3)/Tabla_master_rend[[#This Row],[Kg_Queso_Blan]]</f>
        <v>-0.42616822429906542</v>
      </c>
      <c r="BX140" s="8">
        <f>SUM(Tabla_master_rend[[#This Row],[Kg_Finos]:[Kg_Desmoldeo]])+Tabla_master_rend[[#This Row],[L_Agua]]+SUM(Tabla_master_rend[[#This Row],[B_altas]:[B_lab]])</f>
        <v>1947</v>
      </c>
      <c r="BY140" s="8">
        <f>+BX140-Tabla_master_rend[[#This Row],[Merma_TOT]]</f>
        <v>1458.1599999999999</v>
      </c>
      <c r="BZ140" s="62">
        <f t="shared" si="40"/>
        <v>0.74892655367231631</v>
      </c>
      <c r="CA140" s="8">
        <f>+Tabla_master_rend[[#This Row],[Kg_Queso_Blan]]*$CA$1</f>
        <v>114.75749999999999</v>
      </c>
      <c r="CB140" s="8">
        <f>+Tabla_master_rend[[#This Row],[Kg_Queso_Blan]]*($CB$1-$CA$1)</f>
        <v>61.792500000000011</v>
      </c>
      <c r="CC140" s="8">
        <f>+(Tabla_master_rend[[#This Row],[Kg_Queso_Blan]]-CA140-CB140)*$CC$1</f>
        <v>183.52372500000001</v>
      </c>
      <c r="CD140" s="8">
        <f t="shared" si="41"/>
        <v>360.07372500000002</v>
      </c>
      <c r="CE140" s="80">
        <f>+CD140/Tabla_master_rend[[#This Row],[Kg_Queso_Blan]]</f>
        <v>2.0395E-2</v>
      </c>
      <c r="CF140" s="62">
        <f>+Tabla_master_rend[[#This Row],[Merma_TOT]]/Tabla_master_rend[[#This Row],[Kg_Queso_Blan]]</f>
        <v>2.7688473520249224E-2</v>
      </c>
      <c r="CG140" s="8">
        <f>CD140-Tabla_master_rend[[#This Row],[Merma_TOT]]</f>
        <v>-128.76627500000001</v>
      </c>
      <c r="CH140" s="81" cm="1">
        <f t="array" ref="CH140">-BR140 * IFERROR(INDEX('Precio Leche_EBITDA_Ventas'!$BD$87:$BD$110,MATCH(1,('Precio Leche_EBITDA_Ventas'!$AZ$87:$AZ$110=YEAR(A140))*('Precio Leche_EBITDA_Ventas'!$BB$87:$BB$110=C140),0)),1.3)</f>
        <v>-1882.0340000000001</v>
      </c>
      <c r="CI140" s="81">
        <f t="shared" si="42"/>
        <v>-167.39615750000002</v>
      </c>
    </row>
    <row r="141" spans="1:87" x14ac:dyDescent="0.35">
      <c r="A141" s="9">
        <v>45980</v>
      </c>
      <c r="B141" s="7">
        <v>11</v>
      </c>
      <c r="C141" s="7" t="str">
        <f>+UPPER(TEXT(Tabla_master_rend[[#This Row],[Fecha]],"MMM"))</f>
        <v>NOV</v>
      </c>
      <c r="D141" s="7" t="str">
        <f>+UPPER(TEXT(Tabla_master_rend[[#This Row],[Fecha]],"ddd"))</f>
        <v>MI</v>
      </c>
      <c r="E141" s="3">
        <v>191125316</v>
      </c>
      <c r="F141" s="3" t="s">
        <v>244</v>
      </c>
      <c r="G141" s="84" t="s">
        <v>300</v>
      </c>
      <c r="H141">
        <v>7</v>
      </c>
      <c r="I141" s="8">
        <f>+Tabla_master_rend[[#This Row],[L_Leche_ent]]+Tabla_master_rend[[#This Row],[L_desn_ext]]+Tabla_master_rend[[#This Row],[L_cabra]]+Tabla_master_rend[[#This Row],[L_oveja]]</f>
        <v>86339</v>
      </c>
      <c r="J141" s="8">
        <v>86339</v>
      </c>
      <c r="K141" s="5">
        <v>4.1100000000000005E-2</v>
      </c>
      <c r="L141" s="5">
        <v>3.32E-2</v>
      </c>
      <c r="M141" s="5">
        <f t="shared" si="37"/>
        <v>0.11079100000000001</v>
      </c>
      <c r="N141" s="35" t="s">
        <v>188</v>
      </c>
      <c r="O141" s="8">
        <v>0</v>
      </c>
      <c r="P141" s="8">
        <v>0</v>
      </c>
      <c r="Q141" s="8">
        <v>0</v>
      </c>
      <c r="R141" s="8">
        <v>2069</v>
      </c>
      <c r="T141" s="8">
        <v>102590</v>
      </c>
      <c r="U141" s="38">
        <f>+Tabla_master_rend[[#This Row],[L_suero Total]]/Tabla_master_rend[[#This Row],[Litros_Leche_Total]]</f>
        <v>1.1882231668191663</v>
      </c>
      <c r="V141" s="5">
        <v>1.8E-3</v>
      </c>
      <c r="W141" s="5">
        <v>7.3000000000000001E-3</v>
      </c>
      <c r="X141" s="8">
        <f>66957/(102590+69000)*102590</f>
        <v>40032.161722711113</v>
      </c>
      <c r="Y141" s="57">
        <f>24021/(40032+26925)*40032</f>
        <v>14361.585375688876</v>
      </c>
      <c r="Z141" s="58">
        <f>IF(Tabla_master_rend[[#This Row],[L_suero para con]]=0,0,+Tabla_master_rend[[#This Row],[L_suero para con]]/Tabla_master_rend[[#This Row],[L_suero_con]])</f>
        <v>2.7874472542897033</v>
      </c>
      <c r="AA141" s="8">
        <f>+Tabla_master_rend[[#This Row],[L_suero Total]]-Tabla_master_rend[[#This Row],[L_suero para con]]</f>
        <v>62557.838277288887</v>
      </c>
      <c r="AD141" s="8"/>
      <c r="AE141" s="8"/>
      <c r="AF141" s="8"/>
      <c r="AG141" s="5"/>
      <c r="AI141" s="7">
        <f>+Tabla_master_rend[[#This Row],[Kg_Finos]]+Tabla_master_rend[[#This Row],[Kg_Llenadora]]+Tabla_master_rend[[#This Row],[Kg_Desmoldeo]]+Tabla_master_rend[[#This Row],[L_Agua]]+Tabla_master_rend[[#This Row],[Kg_SalidaSecadero]]</f>
        <v>11751.138321780372</v>
      </c>
      <c r="AJ141" s="59">
        <f>+Tabla_master_rend[[#This Row],[Litros_Leche_Total]]/Tabla_master_rend[[#This Row],[Kg_Queso_Blan]]</f>
        <v>7.3472882061113456</v>
      </c>
      <c r="AK141" s="59">
        <f>+Tabla_master_rend[[#This Row],[Litros_Leche_Total]]/(Tabla_master_rend[[#This Row],[Kg_Queso_Blan]]-Tabla_master_rend[[#This Row],[Merma_TOT]])</f>
        <v>7.5301068216545843</v>
      </c>
      <c r="AL141" s="59">
        <f>VLOOKUP(G141,REND_TARGET[#All],8,FALSE)</f>
        <v>7.7024999999999997</v>
      </c>
      <c r="AM141" s="7">
        <f>(I141*1.03*Tabla_master_rend[[#This Row],[%MG_Leche]])+(I141*1.03*Tabla_master_rend[[#This Row],[%MP_Leche]])</f>
        <v>6607.437331000001</v>
      </c>
      <c r="AN141" s="38">
        <v>0.22739999999999999</v>
      </c>
      <c r="AO141" s="38">
        <v>0.24460000000000001</v>
      </c>
      <c r="AP141" s="60">
        <v>0.52849999999999997</v>
      </c>
      <c r="AQ141" s="38">
        <f>+Tabla_master_rend[[#This Row],[Kg_Queso_Blan]]*Tabla_master_rend[[#This Row],[ES_QUESO]]/(Tabla_master_rend[[#This Row],[Kg_Solidos_leche]])</f>
        <v>0.93992213500434418</v>
      </c>
      <c r="AR141" s="7">
        <f t="shared" si="38"/>
        <v>827.6</v>
      </c>
      <c r="AS141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0.95754295363822151</v>
      </c>
      <c r="AT141" s="62">
        <f>+Tabla_master_rend[[#This Row],[Kg_Queso_Blan]]*Tabla_master_rend[[#This Row],[%PT_QUESO]]/(Tabla_master_rend[[#This Row],[Litros_Leche_Total]]*1.03*Tabla_master_rend[[#This Row],[%MP_Leche]])</f>
        <v>0.97354060130964271</v>
      </c>
      <c r="AU141" s="63">
        <f t="shared" si="39"/>
        <v>6207</v>
      </c>
      <c r="AV141" s="7">
        <v>23.238321780372129</v>
      </c>
      <c r="AW141" s="7">
        <v>50</v>
      </c>
      <c r="AX141" s="7">
        <v>31.9</v>
      </c>
      <c r="AY141" s="8">
        <f>SUM(Tabla_master_rend[[#This Row],[Kg_Finos]:[Kg_Desmoldeo]])</f>
        <v>105.13832178037214</v>
      </c>
      <c r="AZ141" s="60">
        <f>+(Tabla_master_rend[[#This Row],[Kg_Finos]]+Tabla_master_rend[[#This Row],[Kg_Llenadora]]+Tabla_master_rend[[#This Row],[Kg_Desmoldeo]])/(Tabla_master_rend[[#This Row],[Kg_Queso_Blan]])</f>
        <v>8.9470755003795248E-3</v>
      </c>
      <c r="BA141" s="7">
        <v>72</v>
      </c>
      <c r="BB141" s="60">
        <f>+Tabla_master_rend[[#This Row],[L_Agua]]/(Tabla_master_rend[[#This Row],[L_Agua]]+Tabla_master_rend[[#This Row],[Kg_SalidaSecadero]])</f>
        <v>6.1823802163833074E-3</v>
      </c>
      <c r="BC141" s="8">
        <v>1594</v>
      </c>
      <c r="BD141" s="8">
        <v>1560</v>
      </c>
      <c r="BE141" s="8">
        <v>11410</v>
      </c>
      <c r="BF141" s="8">
        <f>6*19</f>
        <v>114</v>
      </c>
      <c r="BG141" s="8">
        <f>14*6</f>
        <v>84</v>
      </c>
      <c r="BH141" s="7">
        <v>0</v>
      </c>
      <c r="BI141" s="7">
        <f>8*6</f>
        <v>48</v>
      </c>
      <c r="BJ141" s="8">
        <v>72</v>
      </c>
      <c r="BK141" s="8">
        <v>11574</v>
      </c>
      <c r="BL141" s="8">
        <v>0</v>
      </c>
      <c r="BM141" s="8">
        <v>100.25</v>
      </c>
      <c r="BN141" s="7">
        <v>7.91</v>
      </c>
      <c r="BO141" s="68">
        <f>+SUM(Tabla_master_rend[[#This Row],[B_altas]:[B_lab]])/Tabla_master_rend[[#This Row],[Kg_SalidaSecadero]]</f>
        <v>2.7475375842405392E-2</v>
      </c>
      <c r="BP141" s="68">
        <f>+(Tabla_master_rend[[#This Row],[Kg_mer_env_real]]+Tabla_master_rend[[#This Row],[kg_mer_lab_real]])/Tabla_master_rend[[#This Row],[Kg_SalidaSecadero]]</f>
        <v>9.3450838085363738E-3</v>
      </c>
      <c r="BQ141" s="64">
        <f>+Tabla_master_rend[[#This Row],[Merma_TOT]]/Tabla_master_rend[[#This Row],[Kg_Queso_Blan]]</f>
        <v>2.4278356187126187E-2</v>
      </c>
      <c r="BR141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285.29832178037213</v>
      </c>
      <c r="BS141" s="8">
        <v>11617.5</v>
      </c>
      <c r="BT141" s="63">
        <f>IF(+Tabla_master_rend[[#This Row],[Kg_Env_Total]]=0,0,Tabla_master_rend[[#This Row],[Kg_Env_Total]]-Tabla_master_rend[[#This Row],[Kg_SalidaSecadero]])</f>
        <v>43.5</v>
      </c>
      <c r="BU141" s="60">
        <f>+Tabla_master_rend[[#This Row],[Diferencia_Env_vs_Sec_kg]]/Tabla_master_rend[[#This Row],[Kg_SalidaSecadero]]</f>
        <v>3.7584240539139451E-3</v>
      </c>
      <c r="BV141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41" s="65">
        <f>+(Tabla_master_rend[[#This Row],[Coste_Leche_€]]-Tabla_master_rend[[#This Row],[Kg_MG_Nata]]*$CO$3)/Tabla_master_rend[[#This Row],[Kg_Queso_Blan]]</f>
        <v>-0.52820414755015832</v>
      </c>
      <c r="BX141" s="8">
        <f>SUM(Tabla_master_rend[[#This Row],[Kg_Finos]:[Kg_Desmoldeo]])+Tabla_master_rend[[#This Row],[L_Agua]]+SUM(Tabla_master_rend[[#This Row],[B_altas]:[B_lab]])</f>
        <v>495.13832178037217</v>
      </c>
      <c r="BY141" s="8">
        <f>+BX141-Tabla_master_rend[[#This Row],[Merma_TOT]]</f>
        <v>209.84000000000003</v>
      </c>
      <c r="BZ141" s="62">
        <f t="shared" si="40"/>
        <v>0.42380076590613497</v>
      </c>
      <c r="CA141" s="8">
        <f>+Tabla_master_rend[[#This Row],[Kg_Queso_Blan]]*$CA$1</f>
        <v>76.38239909157241</v>
      </c>
      <c r="CB141" s="8">
        <f>+Tabla_master_rend[[#This Row],[Kg_Queso_Blan]]*($CB$1-$CA$1)</f>
        <v>41.128984126231309</v>
      </c>
      <c r="CC141" s="8">
        <f>+(Tabla_master_rend[[#This Row],[Kg_Queso_Blan]]-CA141-CB141)*$CC$1</f>
        <v>122.15308285490698</v>
      </c>
      <c r="CD141" s="8">
        <f t="shared" si="41"/>
        <v>239.6644660727107</v>
      </c>
      <c r="CE141" s="80">
        <f>+CD141/Tabla_master_rend[[#This Row],[Kg_Queso_Blan]]</f>
        <v>2.0395E-2</v>
      </c>
      <c r="CF141" s="62">
        <f>+Tabla_master_rend[[#This Row],[Merma_TOT]]/Tabla_master_rend[[#This Row],[Kg_Queso_Blan]]</f>
        <v>2.4278356187126187E-2</v>
      </c>
      <c r="CG141" s="8">
        <f>CD141-Tabla_master_rend[[#This Row],[Merma_TOT]]</f>
        <v>-45.633855707661439</v>
      </c>
      <c r="CH141" s="81" cm="1">
        <f t="array" ref="CH141">-BR141 * IFERROR(INDEX('Precio Leche_EBITDA_Ventas'!$BD$87:$BD$110,MATCH(1,('Precio Leche_EBITDA_Ventas'!$AZ$87:$AZ$110=YEAR(A141))*('Precio Leche_EBITDA_Ventas'!$BB$87:$BB$110=C141),0)),1.3)</f>
        <v>-1098.3985388544327</v>
      </c>
      <c r="CI141" s="81">
        <f t="shared" si="42"/>
        <v>-59.324012419959871</v>
      </c>
    </row>
    <row r="142" spans="1:87" x14ac:dyDescent="0.35">
      <c r="A142" s="9">
        <v>45980</v>
      </c>
      <c r="B142" s="7">
        <v>11</v>
      </c>
      <c r="C142" s="7" t="str">
        <f>+UPPER(TEXT(Tabla_master_rend[[#This Row],[Fecha]],"MMM"))</f>
        <v>NOV</v>
      </c>
      <c r="D142" s="7" t="str">
        <f>+UPPER(TEXT(Tabla_master_rend[[#This Row],[Fecha]],"ddd"))</f>
        <v>MI</v>
      </c>
      <c r="E142" s="3">
        <v>191125916</v>
      </c>
      <c r="F142" s="3" t="s">
        <v>244</v>
      </c>
      <c r="G142" s="84" t="s">
        <v>445</v>
      </c>
      <c r="H142">
        <v>5</v>
      </c>
      <c r="I142" s="8">
        <f>+Tabla_master_rend[[#This Row],[L_Leche_ent]]+Tabla_master_rend[[#This Row],[L_desn_ext]]+Tabla_master_rend[[#This Row],[L_cabra]]+Tabla_master_rend[[#This Row],[L_oveja]]</f>
        <v>60218</v>
      </c>
      <c r="J142" s="8">
        <v>60218</v>
      </c>
      <c r="K142" s="5">
        <v>4.1100000000000005E-2</v>
      </c>
      <c r="L142" s="5">
        <v>3.32E-2</v>
      </c>
      <c r="M142" s="5">
        <f t="shared" si="37"/>
        <v>0.11079100000000001</v>
      </c>
      <c r="N142" s="35" t="s">
        <v>188</v>
      </c>
      <c r="O142" s="8">
        <v>0</v>
      </c>
      <c r="P142" s="8">
        <v>0</v>
      </c>
      <c r="Q142" s="8">
        <v>0</v>
      </c>
      <c r="R142" s="8">
        <v>1443</v>
      </c>
      <c r="T142" s="8">
        <v>69000</v>
      </c>
      <c r="U142" s="38">
        <f>+Tabla_master_rend[[#This Row],[L_suero Total]]/Tabla_master_rend[[#This Row],[Litros_Leche_Total]]</f>
        <v>1.145836792985486</v>
      </c>
      <c r="V142" s="5">
        <v>1.8E-3</v>
      </c>
      <c r="W142" s="5">
        <v>7.3000000000000001E-3</v>
      </c>
      <c r="X142" s="8">
        <f>66957/(102590+69000)*69000</f>
        <v>26924.838277288884</v>
      </c>
      <c r="Y142" s="57">
        <f>24021/(40032+26925)*26925</f>
        <v>9659.4146243111245</v>
      </c>
      <c r="Z142" s="58">
        <f>IF(Tabla_master_rend[[#This Row],[L_suero para con]]=0,0,+Tabla_master_rend[[#This Row],[L_suero para con]]/Tabla_master_rend[[#This Row],[L_suero_con]])</f>
        <v>2.7874192510096405</v>
      </c>
      <c r="AA142" s="8">
        <f>+Tabla_master_rend[[#This Row],[L_suero Total]]-Tabla_master_rend[[#This Row],[L_suero para con]]</f>
        <v>42075.161722711113</v>
      </c>
      <c r="AD142" s="8"/>
      <c r="AE142" s="8"/>
      <c r="AF142" s="8"/>
      <c r="AG142" s="5"/>
      <c r="AI142" s="7">
        <f>+Tabla_master_rend[[#This Row],[Kg_Finos]]+Tabla_master_rend[[#This Row],[Kg_Llenadora]]+Tabla_master_rend[[#This Row],[Kg_Desmoldeo]]+Tabla_master_rend[[#This Row],[L_Agua]]+Tabla_master_rend[[#This Row],[Kg_SalidaSecadero]]</f>
        <v>8393.9216782196272</v>
      </c>
      <c r="AJ142" s="59">
        <f>+Tabla_master_rend[[#This Row],[Litros_Leche_Total]]/Tabla_master_rend[[#This Row],[Kg_Queso_Blan]]</f>
        <v>7.1740007005607893</v>
      </c>
      <c r="AK142" s="59">
        <f>+Tabla_master_rend[[#This Row],[Litros_Leche_Total]]/(Tabla_master_rend[[#This Row],[Kg_Queso_Blan]]-Tabla_master_rend[[#This Row],[Merma_TOT]])</f>
        <v>7.2868918716147872</v>
      </c>
      <c r="AL142" s="59">
        <f>VLOOKUP(G142,REND_TARGET[#All],8,FALSE)</f>
        <v>9.8078500000000002</v>
      </c>
      <c r="AM142" s="7">
        <f>(I142*1.03*Tabla_master_rend[[#This Row],[%MG_Leche]])+(I142*1.03*Tabla_master_rend[[#This Row],[%MP_Leche]])</f>
        <v>4608.4233220000006</v>
      </c>
      <c r="AN142" s="38">
        <v>0.22460000000000002</v>
      </c>
      <c r="AO142" s="38">
        <v>0.24350000000000002</v>
      </c>
      <c r="AP142" s="60">
        <v>0.52490000000000003</v>
      </c>
      <c r="AQ142" s="38">
        <f>+Tabla_master_rend[[#This Row],[Kg_Queso_Blan]]*Tabla_master_rend[[#This Row],[ES_QUESO]]/(Tabla_master_rend[[#This Row],[Kg_Solidos_leche]])</f>
        <v>0.95606874217999238</v>
      </c>
      <c r="AR142" s="7">
        <f t="shared" si="38"/>
        <v>577.20000000000005</v>
      </c>
      <c r="AS142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0.96597619148310787</v>
      </c>
      <c r="AT142" s="62">
        <f>+Tabla_master_rend[[#This Row],[Kg_Queso_Blan]]*Tabla_master_rend[[#This Row],[%PT_QUESO]]/(Tabla_master_rend[[#This Row],[Litros_Leche_Total]]*1.03*Tabla_master_rend[[#This Row],[%MP_Leche]])</f>
        <v>0.99257250875998948</v>
      </c>
      <c r="AU142" s="63">
        <f t="shared" si="39"/>
        <v>4329</v>
      </c>
      <c r="AV142" s="7">
        <v>16.721678219627872</v>
      </c>
      <c r="AW142" s="7">
        <v>12.8</v>
      </c>
      <c r="AX142" s="7">
        <v>9.4</v>
      </c>
      <c r="AY142" s="8">
        <f>SUM(Tabla_master_rend[[#This Row],[Kg_Finos]:[Kg_Desmoldeo]])</f>
        <v>38.921678219627871</v>
      </c>
      <c r="AZ142" s="60">
        <f>+(Tabla_master_rend[[#This Row],[Kg_Finos]]+Tabla_master_rend[[#This Row],[Kg_Llenadora]]+Tabla_master_rend[[#This Row],[Kg_Desmoldeo]])/(Tabla_master_rend[[#This Row],[Kg_Queso_Blan]])</f>
        <v>4.636888418987877E-3</v>
      </c>
      <c r="BA142" s="7">
        <v>38</v>
      </c>
      <c r="BB142" s="60">
        <f>+Tabla_master_rend[[#This Row],[L_Agua]]/(Tabla_master_rend[[#This Row],[L_Agua]]+Tabla_master_rend[[#This Row],[Kg_SalidaSecadero]])</f>
        <v>4.5481747456612804E-3</v>
      </c>
      <c r="BC142" s="8">
        <v>1147</v>
      </c>
      <c r="BD142" s="8">
        <v>1117</v>
      </c>
      <c r="BE142" s="8">
        <v>8197</v>
      </c>
      <c r="BF142" s="8">
        <f>20*6.3</f>
        <v>126</v>
      </c>
      <c r="BG142" s="8">
        <f>9*6.3</f>
        <v>56.699999999999996</v>
      </c>
      <c r="BH142" s="7">
        <v>0</v>
      </c>
      <c r="BI142" s="7">
        <f>15*6.3</f>
        <v>94.5</v>
      </c>
      <c r="BJ142" s="8">
        <v>38</v>
      </c>
      <c r="BK142" s="8">
        <v>8317</v>
      </c>
      <c r="BL142" s="8">
        <v>0</v>
      </c>
      <c r="BM142" s="8">
        <v>39.409999999999997</v>
      </c>
      <c r="BN142" s="7">
        <v>13.71</v>
      </c>
      <c r="BO142" s="68">
        <f>+SUM(Tabla_master_rend[[#This Row],[B_altas]:[B_lab]])/Tabla_master_rend[[#This Row],[Kg_SalidaSecadero]]</f>
        <v>3.7898280630034864E-2</v>
      </c>
      <c r="BP142" s="68">
        <f>+(Tabla_master_rend[[#This Row],[Kg_mer_env_real]]+Tabla_master_rend[[#This Row],[kg_mer_lab_real]])/Tabla_master_rend[[#This Row],[Kg_SalidaSecadero]]</f>
        <v>6.3869183599855718E-3</v>
      </c>
      <c r="BQ142" s="64">
        <f>+Tabla_master_rend[[#This Row],[Merma_TOT]]/Tabla_master_rend[[#This Row],[Kg_Queso_Blan]]</f>
        <v>1.549236259340581E-2</v>
      </c>
      <c r="BR142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130.04167821962787</v>
      </c>
      <c r="BS142" s="8">
        <v>8369.9999999999982</v>
      </c>
      <c r="BT142" s="63">
        <f>IF(+Tabla_master_rend[[#This Row],[Kg_Env_Total]]=0,0,Tabla_master_rend[[#This Row],[Kg_Env_Total]]-Tabla_master_rend[[#This Row],[Kg_SalidaSecadero]])</f>
        <v>52.999999999998181</v>
      </c>
      <c r="BU142" s="60">
        <f>+Tabla_master_rend[[#This Row],[Diferencia_Env_vs_Sec_kg]]/Tabla_master_rend[[#This Row],[Kg_SalidaSecadero]]</f>
        <v>6.3724900805576749E-3</v>
      </c>
      <c r="BV142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42" s="65">
        <f>+(Tabla_master_rend[[#This Row],[Coste_Leche_€]]-Tabla_master_rend[[#This Row],[Kg_MG_Nata]]*$CO$3)/Tabla_master_rend[[#This Row],[Kg_Queso_Blan]]</f>
        <v>-0.51573033034520666</v>
      </c>
      <c r="BX142" s="8">
        <f>SUM(Tabla_master_rend[[#This Row],[Kg_Finos]:[Kg_Desmoldeo]])+Tabla_master_rend[[#This Row],[L_Agua]]+SUM(Tabla_master_rend[[#This Row],[B_altas]:[B_lab]])</f>
        <v>392.12167821962782</v>
      </c>
      <c r="BY142" s="8">
        <f>+BX142-Tabla_master_rend[[#This Row],[Merma_TOT]]</f>
        <v>262.07999999999993</v>
      </c>
      <c r="BZ142" s="62">
        <f t="shared" si="40"/>
        <v>0.66836396597590964</v>
      </c>
      <c r="CA142" s="8">
        <f>+Tabla_master_rend[[#This Row],[Kg_Queso_Blan]]*$CA$1</f>
        <v>54.560490908427575</v>
      </c>
      <c r="CB142" s="8">
        <f>+Tabla_master_rend[[#This Row],[Kg_Queso_Blan]]*($CB$1-$CA$1)</f>
        <v>29.378725873768701</v>
      </c>
      <c r="CC142" s="8">
        <f>+(Tabla_master_rend[[#This Row],[Kg_Queso_Blan]]-CA142-CB142)*$CC$1</f>
        <v>87.254815845093034</v>
      </c>
      <c r="CD142" s="8">
        <f t="shared" si="41"/>
        <v>171.19403262728929</v>
      </c>
      <c r="CE142" s="80">
        <f>+CD142/Tabla_master_rend[[#This Row],[Kg_Queso_Blan]]</f>
        <v>2.0395E-2</v>
      </c>
      <c r="CF142" s="62">
        <f>+Tabla_master_rend[[#This Row],[Merma_TOT]]/Tabla_master_rend[[#This Row],[Kg_Queso_Blan]]</f>
        <v>1.549236259340581E-2</v>
      </c>
      <c r="CG142" s="8">
        <f>CD142-Tabla_master_rend[[#This Row],[Merma_TOT]]</f>
        <v>41.15235440766142</v>
      </c>
      <c r="CH142" s="81" cm="1">
        <f t="array" ref="CH142">-BR142 * IFERROR(INDEX('Precio Leche_EBITDA_Ventas'!$BD$87:$BD$110,MATCH(1,('Precio Leche_EBITDA_Ventas'!$AZ$87:$AZ$110=YEAR(A142))*('Precio Leche_EBITDA_Ventas'!$BB$87:$BB$110=C142),0)),1.3)</f>
        <v>-500.6604611455673</v>
      </c>
      <c r="CI142" s="81">
        <f t="shared" si="42"/>
        <v>53.498060729959846</v>
      </c>
    </row>
    <row r="143" spans="1:87" x14ac:dyDescent="0.35">
      <c r="A143" s="9">
        <v>45981</v>
      </c>
      <c r="B143" s="7">
        <v>11</v>
      </c>
      <c r="C143" s="7" t="str">
        <f>+UPPER(TEXT(Tabla_master_rend[[#This Row],[Fecha]],"MMM"))</f>
        <v>NOV</v>
      </c>
      <c r="D143" s="7" t="str">
        <f>+UPPER(TEXT(Tabla_master_rend[[#This Row],[Fecha]],"ddd"))</f>
        <v>JU</v>
      </c>
      <c r="E143" s="3">
        <v>201125307</v>
      </c>
      <c r="F143" s="3" t="s">
        <v>143</v>
      </c>
      <c r="G143" s="84" t="s">
        <v>41</v>
      </c>
      <c r="H143">
        <v>2</v>
      </c>
      <c r="I143" s="8">
        <f>+Tabla_master_rend[[#This Row],[L_Leche_ent]]+Tabla_master_rend[[#This Row],[L_desn_ext]]+Tabla_master_rend[[#This Row],[L_cabra]]+Tabla_master_rend[[#This Row],[L_oveja]]</f>
        <v>23730</v>
      </c>
      <c r="J143" s="8">
        <f>23730-2539-2493</f>
        <v>18698</v>
      </c>
      <c r="K143" s="5">
        <v>4.2199999999999994E-2</v>
      </c>
      <c r="L143" s="5">
        <v>3.5099999999999999E-2</v>
      </c>
      <c r="M143" s="5">
        <f t="shared" si="37"/>
        <v>0.11322</v>
      </c>
      <c r="N143" s="35" t="s">
        <v>188</v>
      </c>
      <c r="O143" s="8">
        <v>0</v>
      </c>
      <c r="P143" s="8">
        <v>2539</v>
      </c>
      <c r="Q143" s="8">
        <v>2493</v>
      </c>
      <c r="R143" s="8">
        <v>198</v>
      </c>
      <c r="T143" s="8">
        <v>27600</v>
      </c>
      <c r="U143" s="38">
        <f>+Tabla_master_rend[[#This Row],[L_suero Total]]/Tabla_master_rend[[#This Row],[Litros_Leche_Total]]</f>
        <v>1.1630847029077118</v>
      </c>
      <c r="V143" s="5">
        <v>1.2999999999999999E-3</v>
      </c>
      <c r="W143" s="5">
        <v>4.1999999999999997E-3</v>
      </c>
      <c r="X143" s="8">
        <f>183753/(27600+128210)*27600</f>
        <v>32549.790129003271</v>
      </c>
      <c r="Y143" s="57">
        <f>65301/(32550+151203)*32550</f>
        <v>11567.41685850027</v>
      </c>
      <c r="Z143" s="58">
        <f>IF(Tabla_master_rend[[#This Row],[L_suero para con]]=0,0,+Tabla_master_rend[[#This Row],[L_suero para con]]/Tabla_master_rend[[#This Row],[L_suero_con]])</f>
        <v>2.8139203875136727</v>
      </c>
      <c r="AA143" s="8">
        <f>+Tabla_master_rend[[#This Row],[L_suero Total]]-Tabla_master_rend[[#This Row],[L_suero para con]]</f>
        <v>-4949.7901290032714</v>
      </c>
      <c r="AD143" s="8"/>
      <c r="AE143" s="8"/>
      <c r="AF143" s="8"/>
      <c r="AG143" s="5"/>
      <c r="AI143" s="7">
        <f>+Tabla_master_rend[[#This Row],[Kg_Finos]]+Tabla_master_rend[[#This Row],[Kg_Llenadora]]+Tabla_master_rend[[#This Row],[Kg_Desmoldeo]]+Tabla_master_rend[[#This Row],[L_Agua]]+Tabla_master_rend[[#This Row],[Kg_SalidaSecadero]]</f>
        <v>3004</v>
      </c>
      <c r="AJ143" s="59">
        <f>+Tabla_master_rend[[#This Row],[Litros_Leche_Total]]/Tabla_master_rend[[#This Row],[Kg_Queso_Blan]]</f>
        <v>7.8994673768308923</v>
      </c>
      <c r="AK143" s="59">
        <f>+Tabla_master_rend[[#This Row],[Litros_Leche_Total]]/(Tabla_master_rend[[#This Row],[Kg_Queso_Blan]]-Tabla_master_rend[[#This Row],[Merma_TOT]])</f>
        <v>8.1915998992015524</v>
      </c>
      <c r="AL143" s="59">
        <f>VLOOKUP(G143,REND_TARGET[#All],8,FALSE)</f>
        <v>7.5160994999999993</v>
      </c>
      <c r="AM143" s="7">
        <f>(I143*1.03*Tabla_master_rend[[#This Row],[%MG_Leche]])+(I143*1.03*Tabla_master_rend[[#This Row],[%MP_Leche]])</f>
        <v>1889.35887</v>
      </c>
      <c r="AN143" s="38">
        <v>0.28820000000000001</v>
      </c>
      <c r="AO143" s="38">
        <v>0.21920000000000001</v>
      </c>
      <c r="AP143" s="60">
        <v>0.55159999999999998</v>
      </c>
      <c r="AQ143" s="38">
        <f>+Tabla_master_rend[[#This Row],[Kg_Queso_Blan]]*Tabla_master_rend[[#This Row],[ES_QUESO]]/(Tabla_master_rend[[#This Row],[Kg_Solidos_leche]])</f>
        <v>0.87702046779498277</v>
      </c>
      <c r="AR143" s="7">
        <f t="shared" si="38"/>
        <v>79.2</v>
      </c>
      <c r="AS143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0.91614180753123264</v>
      </c>
      <c r="AT143" s="62">
        <f>+Tabla_master_rend[[#This Row],[Kg_Queso_Blan]]*Tabla_master_rend[[#This Row],[%PT_QUESO]]/(Tabla_master_rend[[#This Row],[Litros_Leche_Total]]*1.03*Tabla_master_rend[[#This Row],[%MP_Leche]])</f>
        <v>0.76753537131003691</v>
      </c>
      <c r="AU143" s="63">
        <f t="shared" si="39"/>
        <v>594</v>
      </c>
      <c r="AV143" s="7">
        <v>0</v>
      </c>
      <c r="AW143" s="7">
        <v>0</v>
      </c>
      <c r="AX143" s="7">
        <v>0</v>
      </c>
      <c r="AY143" s="8">
        <f>SUM(Tabla_master_rend[[#This Row],[Kg_Finos]:[Kg_Desmoldeo]])</f>
        <v>0</v>
      </c>
      <c r="AZ143" s="60">
        <f>+(Tabla_master_rend[[#This Row],[Kg_Finos]]+Tabla_master_rend[[#This Row],[Kg_Llenadora]]+Tabla_master_rend[[#This Row],[Kg_Desmoldeo]])/(Tabla_master_rend[[#This Row],[Kg_Queso_Blan]])</f>
        <v>0</v>
      </c>
      <c r="BA143" s="7">
        <v>100</v>
      </c>
      <c r="BB143" s="60">
        <f>+Tabla_master_rend[[#This Row],[L_Agua]]/(Tabla_master_rend[[#This Row],[L_Agua]]+Tabla_master_rend[[#This Row],[Kg_SalidaSecadero]])</f>
        <v>3.3288948069241014E-2</v>
      </c>
      <c r="BC143" s="8">
        <v>415</v>
      </c>
      <c r="BD143" s="8">
        <v>397</v>
      </c>
      <c r="BE143" s="8">
        <v>2883</v>
      </c>
      <c r="BF143" s="8">
        <f>15*7</f>
        <v>105</v>
      </c>
      <c r="BG143" s="8">
        <f>1*7</f>
        <v>7</v>
      </c>
      <c r="BH143" s="7">
        <f>5*7</f>
        <v>35</v>
      </c>
      <c r="BI143" s="7">
        <f>4*7</f>
        <v>28</v>
      </c>
      <c r="BJ143" s="8">
        <v>51</v>
      </c>
      <c r="BK143" s="8">
        <v>2904</v>
      </c>
      <c r="BL143" s="8">
        <v>0</v>
      </c>
      <c r="BM143" s="8">
        <v>0</v>
      </c>
      <c r="BN143" s="7">
        <v>7.13</v>
      </c>
      <c r="BO143" s="68">
        <f>+SUM(Tabla_master_rend[[#This Row],[B_altas]:[B_lab]])/Tabla_master_rend[[#This Row],[Kg_SalidaSecadero]]</f>
        <v>7.7823691460055092E-2</v>
      </c>
      <c r="BP143" s="68">
        <f>+(Tabla_master_rend[[#This Row],[Kg_mer_env_real]]+Tabla_master_rend[[#This Row],[kg_mer_lab_real]])/Tabla_master_rend[[#This Row],[Kg_SalidaSecadero]]</f>
        <v>2.4552341597796142E-3</v>
      </c>
      <c r="BQ143" s="64">
        <f>+Tabla_master_rend[[#This Row],[Merma_TOT]]/Tabla_master_rend[[#This Row],[Kg_Queso_Blan]]</f>
        <v>3.5662450066577894E-2</v>
      </c>
      <c r="BR143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107.13</v>
      </c>
      <c r="BS143" s="8">
        <v>2893.9</v>
      </c>
      <c r="BT143" s="63">
        <f>IF(+Tabla_master_rend[[#This Row],[Kg_Env_Total]]=0,0,Tabla_master_rend[[#This Row],[Kg_Env_Total]]-Tabla_master_rend[[#This Row],[Kg_SalidaSecadero]])</f>
        <v>-10.099999999999909</v>
      </c>
      <c r="BU143" s="60">
        <f>+Tabla_master_rend[[#This Row],[Diferencia_Env_vs_Sec_kg]]/Tabla_master_rend[[#This Row],[Kg_SalidaSecadero]]</f>
        <v>-3.4779614325068558E-3</v>
      </c>
      <c r="BV143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43" s="65">
        <f>+(Tabla_master_rend[[#This Row],[Coste_Leche_€]]-Tabla_master_rend[[#This Row],[Kg_MG_Nata]]*$CO$3)/Tabla_master_rend[[#This Row],[Kg_Queso_Blan]]</f>
        <v>-0.1977363515312916</v>
      </c>
      <c r="BX143" s="8">
        <f>SUM(Tabla_master_rend[[#This Row],[Kg_Finos]:[Kg_Desmoldeo]])+Tabla_master_rend[[#This Row],[L_Agua]]+SUM(Tabla_master_rend[[#This Row],[B_altas]:[B_lab]])</f>
        <v>326</v>
      </c>
      <c r="BY143" s="8">
        <f>+BX143-Tabla_master_rend[[#This Row],[Merma_TOT]]</f>
        <v>218.87</v>
      </c>
      <c r="BZ143" s="62">
        <f t="shared" si="40"/>
        <v>0.67138036809815949</v>
      </c>
      <c r="CA143" s="8">
        <f>+Tabla_master_rend[[#This Row],[Kg_Queso_Blan]]*$CA$1</f>
        <v>19.526</v>
      </c>
      <c r="CB143" s="8">
        <f>+Tabla_master_rend[[#This Row],[Kg_Queso_Blan]]*($CB$1-$CA$1)</f>
        <v>10.514000000000001</v>
      </c>
      <c r="CC143" s="8">
        <f>+(Tabla_master_rend[[#This Row],[Kg_Queso_Blan]]-CA143-CB143)*$CC$1</f>
        <v>31.226580000000002</v>
      </c>
      <c r="CD143" s="8">
        <f t="shared" si="41"/>
        <v>61.266580000000005</v>
      </c>
      <c r="CE143" s="80">
        <f>+CD143/Tabla_master_rend[[#This Row],[Kg_Queso_Blan]]</f>
        <v>2.0395E-2</v>
      </c>
      <c r="CF143" s="62">
        <f>+Tabla_master_rend[[#This Row],[Merma_TOT]]/Tabla_master_rend[[#This Row],[Kg_Queso_Blan]]</f>
        <v>3.5662450066577894E-2</v>
      </c>
      <c r="CG143" s="8">
        <f>CD143-Tabla_master_rend[[#This Row],[Merma_TOT]]</f>
        <v>-45.863419999999991</v>
      </c>
      <c r="CH143" s="81" cm="1">
        <f t="array" ref="CH143">-BR143 * IFERROR(INDEX('Precio Leche_EBITDA_Ventas'!$BD$87:$BD$110,MATCH(1,('Precio Leche_EBITDA_Ventas'!$AZ$87:$AZ$110=YEAR(A143))*('Precio Leche_EBITDA_Ventas'!$BB$87:$BB$110=C143),0)),1.3)</f>
        <v>-412.45049999999998</v>
      </c>
      <c r="CI143" s="81">
        <f t="shared" si="42"/>
        <v>-59.622445999999989</v>
      </c>
    </row>
    <row r="144" spans="1:87" x14ac:dyDescent="0.35">
      <c r="A144" s="9">
        <v>45981</v>
      </c>
      <c r="B144" s="7">
        <v>11</v>
      </c>
      <c r="C144" s="7" t="str">
        <f>+UPPER(TEXT(Tabla_master_rend[[#This Row],[Fecha]],"MMM"))</f>
        <v>NOV</v>
      </c>
      <c r="D144" s="7" t="str">
        <f>+UPPER(TEXT(Tabla_master_rend[[#This Row],[Fecha]],"ddd"))</f>
        <v>JU</v>
      </c>
      <c r="E144" s="3">
        <v>201125146</v>
      </c>
      <c r="F144" s="3" t="s">
        <v>244</v>
      </c>
      <c r="G144" s="84" t="s">
        <v>40</v>
      </c>
      <c r="H144">
        <v>9</v>
      </c>
      <c r="I144" s="8">
        <f>+Tabla_master_rend[[#This Row],[L_Leche_ent]]+Tabla_master_rend[[#This Row],[L_desn_ext]]+Tabla_master_rend[[#This Row],[L_cabra]]+Tabla_master_rend[[#This Row],[L_oveja]]</f>
        <v>150107</v>
      </c>
      <c r="J144" s="8">
        <v>150107</v>
      </c>
      <c r="K144" s="5">
        <v>4.1500000000000002E-2</v>
      </c>
      <c r="L144" s="5">
        <v>3.3000000000000002E-2</v>
      </c>
      <c r="M144" s="5">
        <f t="shared" si="37"/>
        <v>0.111015</v>
      </c>
      <c r="N144" s="35" t="s">
        <v>188</v>
      </c>
      <c r="O144" s="8">
        <v>0</v>
      </c>
      <c r="P144" s="8">
        <v>0</v>
      </c>
      <c r="Q144" s="8">
        <v>0</v>
      </c>
      <c r="R144" s="8">
        <v>2892</v>
      </c>
      <c r="T144" s="8">
        <v>128210</v>
      </c>
      <c r="U144" s="38">
        <f>+Tabla_master_rend[[#This Row],[L_suero Total]]/Tabla_master_rend[[#This Row],[Litros_Leche_Total]]</f>
        <v>0.85412405817183745</v>
      </c>
      <c r="V144" s="5">
        <v>1E-3</v>
      </c>
      <c r="W144" s="5">
        <v>2.8999999999999998E-3</v>
      </c>
      <c r="X144" s="8">
        <f>183753/(27600+128210)*128210</f>
        <v>151203.20987099671</v>
      </c>
      <c r="Y144" s="57">
        <f>65301/(32550+151203)*151203</f>
        <v>53733.58314149973</v>
      </c>
      <c r="Z144" s="58">
        <f>IF(Tabla_master_rend[[#This Row],[L_suero para con]]=0,0,+Tabla_master_rend[[#This Row],[L_suero para con]]/Tabla_master_rend[[#This Row],[L_suero_con]])</f>
        <v>2.8139424365731318</v>
      </c>
      <c r="AA144" s="8">
        <f>+Tabla_master_rend[[#This Row],[L_suero Total]]-Tabla_master_rend[[#This Row],[L_suero para con]]</f>
        <v>-22993.20987099671</v>
      </c>
      <c r="AD144" s="8"/>
      <c r="AE144" s="8"/>
      <c r="AF144" s="8"/>
      <c r="AG144" s="5"/>
      <c r="AI144" s="7">
        <f>+Tabla_master_rend[[#This Row],[Kg_Finos]]+Tabla_master_rend[[#This Row],[Kg_Llenadora]]+Tabla_master_rend[[#This Row],[Kg_Desmoldeo]]+Tabla_master_rend[[#This Row],[L_Agua]]+Tabla_master_rend[[#This Row],[Kg_SalidaSecadero]]</f>
        <v>17394.5</v>
      </c>
      <c r="AJ144" s="59">
        <f>+Tabla_master_rend[[#This Row],[Litros_Leche_Total]]/Tabla_master_rend[[#This Row],[Kg_Queso_Blan]]</f>
        <v>8.6295668170973592</v>
      </c>
      <c r="AK144" s="59">
        <f>+Tabla_master_rend[[#This Row],[Litros_Leche_Total]]/(Tabla_master_rend[[#This Row],[Kg_Queso_Blan]]-Tabla_master_rend[[#This Row],[Merma_TOT]])</f>
        <v>8.8038005307840059</v>
      </c>
      <c r="AL144" s="59">
        <f>VLOOKUP(G144,REND_TARGET[#All],8,FALSE)</f>
        <v>8.9338729999999984</v>
      </c>
      <c r="AM144" s="7">
        <f>(I144*1.03*Tabla_master_rend[[#This Row],[%MG_Leche]])+(I144*1.03*Tabla_master_rend[[#This Row],[%MP_Leche]])</f>
        <v>11518.460644999999</v>
      </c>
      <c r="AN144" s="38">
        <v>0.29600000000000004</v>
      </c>
      <c r="AO144" s="38">
        <v>0.22519999999999998</v>
      </c>
      <c r="AP144" s="60">
        <v>0.56689999999999996</v>
      </c>
      <c r="AQ144" s="38">
        <f>+Tabla_master_rend[[#This Row],[Kg_Queso_Blan]]*Tabla_master_rend[[#This Row],[ES_QUESO]]/(Tabla_master_rend[[#This Row],[Kg_Solidos_leche]])</f>
        <v>0.85609894880185189</v>
      </c>
      <c r="AR144" s="7">
        <f t="shared" si="38"/>
        <v>1156.8</v>
      </c>
      <c r="AS144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0.98273906992237858</v>
      </c>
      <c r="AT144" s="62">
        <f>+Tabla_master_rend[[#This Row],[Kg_Queso_Blan]]*Tabla_master_rend[[#This Row],[%PT_QUESO]]/(Tabla_master_rend[[#This Row],[Litros_Leche_Total]]*1.03*Tabla_master_rend[[#This Row],[%MP_Leche]])</f>
        <v>0.7677648510307622</v>
      </c>
      <c r="AU144" s="63">
        <f t="shared" si="39"/>
        <v>8676</v>
      </c>
      <c r="AV144" s="7">
        <v>26.5</v>
      </c>
      <c r="AW144" s="7">
        <v>20</v>
      </c>
      <c r="AX144" s="7">
        <v>0</v>
      </c>
      <c r="AY144" s="8">
        <f>SUM(Tabla_master_rend[[#This Row],[Kg_Finos]:[Kg_Desmoldeo]])</f>
        <v>46.5</v>
      </c>
      <c r="AZ144" s="60">
        <f>+(Tabla_master_rend[[#This Row],[Kg_Finos]]+Tabla_master_rend[[#This Row],[Kg_Llenadora]]+Tabla_master_rend[[#This Row],[Kg_Desmoldeo]])/(Tabla_master_rend[[#This Row],[Kg_Queso_Blan]])</f>
        <v>2.6732587886975768E-3</v>
      </c>
      <c r="BA144" s="7">
        <v>140</v>
      </c>
      <c r="BB144" s="60">
        <f>+Tabla_master_rend[[#This Row],[L_Agua]]/(Tabla_master_rend[[#This Row],[L_Agua]]+Tabla_master_rend[[#This Row],[Kg_SalidaSecadero]])</f>
        <v>8.070094535393129E-3</v>
      </c>
      <c r="BC144" s="8">
        <v>2429</v>
      </c>
      <c r="BD144" s="8">
        <v>2399</v>
      </c>
      <c r="BE144" s="8">
        <v>17163</v>
      </c>
      <c r="BF144" s="8">
        <v>0</v>
      </c>
      <c r="BG144" s="8">
        <f>8*6.1</f>
        <v>48.8</v>
      </c>
      <c r="BH144" s="7">
        <f>1*6.1</f>
        <v>6.1</v>
      </c>
      <c r="BI144" s="7">
        <f>6*6.1</f>
        <v>36.599999999999994</v>
      </c>
      <c r="BJ144" s="8">
        <v>93</v>
      </c>
      <c r="BK144" s="8">
        <v>17208</v>
      </c>
      <c r="BL144" s="8">
        <v>0</v>
      </c>
      <c r="BM144" s="8">
        <v>131.91</v>
      </c>
      <c r="BN144" s="7">
        <v>25.84</v>
      </c>
      <c r="BO144" s="68">
        <f>+SUM(Tabla_master_rend[[#This Row],[B_altas]:[B_lab]])/Tabla_master_rend[[#This Row],[Kg_SalidaSecadero]]</f>
        <v>1.0721757322175732E-2</v>
      </c>
      <c r="BP144" s="68">
        <f>+(Tabla_master_rend[[#This Row],[Kg_mer_env_real]]+Tabla_master_rend[[#This Row],[kg_mer_lab_real]])/Tabla_master_rend[[#This Row],[Kg_SalidaSecadero]]</f>
        <v>9.1672477917247794E-3</v>
      </c>
      <c r="BQ144" s="64">
        <f>+Tabla_master_rend[[#This Row],[Merma_TOT]]/Tabla_master_rend[[#This Row],[Kg_Queso_Blan]]</f>
        <v>1.9790738451809481E-2</v>
      </c>
      <c r="BR144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344.25</v>
      </c>
      <c r="BS144" s="8">
        <v>17116.999999999996</v>
      </c>
      <c r="BT144" s="63">
        <f>IF(+Tabla_master_rend[[#This Row],[Kg_Env_Total]]=0,0,Tabla_master_rend[[#This Row],[Kg_Env_Total]]-Tabla_master_rend[[#This Row],[Kg_SalidaSecadero]])</f>
        <v>-91.000000000003638</v>
      </c>
      <c r="BU144" s="60">
        <f>+Tabla_master_rend[[#This Row],[Diferencia_Env_vs_Sec_kg]]/Tabla_master_rend[[#This Row],[Kg_SalidaSecadero]]</f>
        <v>-5.2882380288240141E-3</v>
      </c>
      <c r="BV144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44" s="65">
        <f>+(Tabla_master_rend[[#This Row],[Coste_Leche_€]]-Tabla_master_rend[[#This Row],[Kg_MG_Nata]]*$CO$3)/Tabla_master_rend[[#This Row],[Kg_Queso_Blan]]</f>
        <v>-0.49877834947828337</v>
      </c>
      <c r="BX144" s="8">
        <f>SUM(Tabla_master_rend[[#This Row],[Kg_Finos]:[Kg_Desmoldeo]])+Tabla_master_rend[[#This Row],[L_Agua]]+SUM(Tabla_master_rend[[#This Row],[B_altas]:[B_lab]])</f>
        <v>371</v>
      </c>
      <c r="BY144" s="8">
        <f>+BX144-Tabla_master_rend[[#This Row],[Merma_TOT]]</f>
        <v>26.75</v>
      </c>
      <c r="BZ144" s="62">
        <f t="shared" si="40"/>
        <v>7.2102425876010776E-2</v>
      </c>
      <c r="CA144" s="8">
        <f>+Tabla_master_rend[[#This Row],[Kg_Queso_Blan]]*$CA$1</f>
        <v>113.06425</v>
      </c>
      <c r="CB144" s="8">
        <f>+Tabla_master_rend[[#This Row],[Kg_Queso_Blan]]*($CB$1-$CA$1)</f>
        <v>60.880750000000006</v>
      </c>
      <c r="CC144" s="8">
        <f>+(Tabla_master_rend[[#This Row],[Kg_Queso_Blan]]-CA144-CB144)*$CC$1</f>
        <v>180.81582750000001</v>
      </c>
      <c r="CD144" s="8">
        <f t="shared" si="41"/>
        <v>354.7608275</v>
      </c>
      <c r="CE144" s="80">
        <f>+CD144/Tabla_master_rend[[#This Row],[Kg_Queso_Blan]]</f>
        <v>2.0395E-2</v>
      </c>
      <c r="CF144" s="62">
        <f>+Tabla_master_rend[[#This Row],[Merma_TOT]]/Tabla_master_rend[[#This Row],[Kg_Queso_Blan]]</f>
        <v>1.9790738451809481E-2</v>
      </c>
      <c r="CG144" s="8">
        <f>CD144-Tabla_master_rend[[#This Row],[Merma_TOT]]</f>
        <v>10.510827500000005</v>
      </c>
      <c r="CH144" s="81" cm="1">
        <f t="array" ref="CH144">-BR144 * IFERROR(INDEX('Precio Leche_EBITDA_Ventas'!$BD$87:$BD$110,MATCH(1,('Precio Leche_EBITDA_Ventas'!$AZ$87:$AZ$110=YEAR(A144))*('Precio Leche_EBITDA_Ventas'!$BB$87:$BB$110=C144),0)),1.3)</f>
        <v>-1325.3625</v>
      </c>
      <c r="CI144" s="81">
        <f t="shared" si="42"/>
        <v>13.664075750000007</v>
      </c>
    </row>
    <row r="145" spans="1:87" x14ac:dyDescent="0.35">
      <c r="A145" s="9">
        <v>45985</v>
      </c>
      <c r="B145" s="7">
        <v>11</v>
      </c>
      <c r="C145" s="7" t="str">
        <f>+UPPER(TEXT(Tabla_master_rend[[#This Row],[Fecha]],"MMM"))</f>
        <v>NOV</v>
      </c>
      <c r="D145" s="7" t="str">
        <f>+UPPER(TEXT(Tabla_master_rend[[#This Row],[Fecha]],"ddd"))</f>
        <v>LU</v>
      </c>
      <c r="E145" s="3">
        <v>241125326</v>
      </c>
      <c r="F145" s="3" t="s">
        <v>244</v>
      </c>
      <c r="G145" s="84" t="s">
        <v>302</v>
      </c>
      <c r="H145">
        <v>12</v>
      </c>
      <c r="I145" s="8">
        <f>+Tabla_master_rend[[#This Row],[L_Leche_ent]]+Tabla_master_rend[[#This Row],[L_desn_ext]]+Tabla_master_rend[[#This Row],[L_cabra]]+Tabla_master_rend[[#This Row],[L_oveja]]</f>
        <v>133956</v>
      </c>
      <c r="J145" s="8">
        <v>133956</v>
      </c>
      <c r="K145" s="5">
        <v>4.0300000000000002E-2</v>
      </c>
      <c r="L145" s="5">
        <v>3.4599999999999999E-2</v>
      </c>
      <c r="M145" s="5">
        <f t="shared" si="37"/>
        <v>0.111083</v>
      </c>
      <c r="N145" s="35" t="s">
        <v>188</v>
      </c>
      <c r="O145" s="8">
        <v>0</v>
      </c>
      <c r="P145" s="8">
        <v>0</v>
      </c>
      <c r="Q145" s="8">
        <v>0</v>
      </c>
      <c r="R145" s="8">
        <v>0</v>
      </c>
      <c r="T145" s="8">
        <v>160880</v>
      </c>
      <c r="U145" s="38">
        <f>+Tabla_master_rend[[#This Row],[L_suero Total]]/Tabla_master_rend[[#This Row],[Litros_Leche_Total]]</f>
        <v>1.2009913703006958</v>
      </c>
      <c r="V145" s="5">
        <v>5.9999999999999995E-4</v>
      </c>
      <c r="W145" s="5">
        <v>7.4999999999999997E-3</v>
      </c>
      <c r="X145" s="8">
        <v>160699</v>
      </c>
      <c r="Y145" s="57">
        <v>53091</v>
      </c>
      <c r="Z145" s="58">
        <f>IF(Tabla_master_rend[[#This Row],[L_suero para con]]=0,0,+Tabla_master_rend[[#This Row],[L_suero para con]]/Tabla_master_rend[[#This Row],[L_suero_con]])</f>
        <v>3.0268595430487277</v>
      </c>
      <c r="AA145" s="8">
        <f>+Tabla_master_rend[[#This Row],[L_suero Total]]-Tabla_master_rend[[#This Row],[L_suero para con]]</f>
        <v>181</v>
      </c>
      <c r="AD145" s="8"/>
      <c r="AE145" s="8"/>
      <c r="AF145" s="8"/>
      <c r="AG145" s="5"/>
      <c r="AI145" s="7">
        <f>+Tabla_master_rend[[#This Row],[Kg_Finos]]+Tabla_master_rend[[#This Row],[Kg_Llenadora]]+Tabla_master_rend[[#This Row],[Kg_Desmoldeo]]+Tabla_master_rend[[#This Row],[L_Agua]]+Tabla_master_rend[[#This Row],[Kg_SalidaSecadero]]</f>
        <v>19109.55</v>
      </c>
      <c r="AJ145" s="59">
        <f>+Tabla_master_rend[[#This Row],[Litros_Leche_Total]]/Tabla_master_rend[[#This Row],[Kg_Queso_Blan]]</f>
        <v>7.0098981922651245</v>
      </c>
      <c r="AK145" s="59">
        <f>+Tabla_master_rend[[#This Row],[Litros_Leche_Total]]/(Tabla_master_rend[[#This Row],[Kg_Queso_Blan]]-Tabla_master_rend[[#This Row],[Merma_TOT]])</f>
        <v>7.172608768984877</v>
      </c>
      <c r="AL145" s="59">
        <f>VLOOKUP(G145,REND_TARGET[#All],8,FALSE)</f>
        <v>7.1889999999999992</v>
      </c>
      <c r="AM145" s="7">
        <f>(I145*1.03*Tabla_master_rend[[#This Row],[%MG_Leche]])+(I145*1.03*Tabla_master_rend[[#This Row],[%MP_Leche]])</f>
        <v>10334.303531999998</v>
      </c>
      <c r="AN145" s="38">
        <v>0.28249999999999997</v>
      </c>
      <c r="AO145" s="38">
        <v>0.23149999999999998</v>
      </c>
      <c r="AP145" s="60">
        <v>0.5655</v>
      </c>
      <c r="AQ145" s="38">
        <f>+Tabla_master_rend[[#This Row],[Kg_Queso_Blan]]*Tabla_master_rend[[#This Row],[ES_QUESO]]/(Tabla_master_rend[[#This Row],[Kg_Solidos_leche]])</f>
        <v>1.045687354889278</v>
      </c>
      <c r="AR145" s="7">
        <f t="shared" si="38"/>
        <v>0</v>
      </c>
      <c r="AS145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0.97087757661661966</v>
      </c>
      <c r="AT145" s="62">
        <f>+Tabla_master_rend[[#This Row],[Kg_Queso_Blan]]*Tabla_master_rend[[#This Row],[%PT_QUESO]]/(Tabla_master_rend[[#This Row],[Litros_Leche_Total]]*1.03*Tabla_master_rend[[#This Row],[%MP_Leche]])</f>
        <v>0.92667183049423751</v>
      </c>
      <c r="AU145" s="63">
        <f t="shared" si="39"/>
        <v>0</v>
      </c>
      <c r="AV145" s="7">
        <v>25.55</v>
      </c>
      <c r="AW145" s="7">
        <v>36</v>
      </c>
      <c r="AX145" s="7">
        <v>6</v>
      </c>
      <c r="AY145" s="8">
        <f>SUM(Tabla_master_rend[[#This Row],[Kg_Finos]:[Kg_Desmoldeo]])</f>
        <v>67.55</v>
      </c>
      <c r="AZ145" s="60">
        <f>+(Tabla_master_rend[[#This Row],[Kg_Finos]]+Tabla_master_rend[[#This Row],[Kg_Llenadora]]+Tabla_master_rend[[#This Row],[Kg_Desmoldeo]])/(Tabla_master_rend[[#This Row],[Kg_Queso_Blan]])</f>
        <v>3.5348817737727994E-3</v>
      </c>
      <c r="BA145" s="7">
        <v>190</v>
      </c>
      <c r="BB145" s="60">
        <f>+Tabla_master_rend[[#This Row],[L_Agua]]/(Tabla_master_rend[[#This Row],[L_Agua]]+Tabla_master_rend[[#This Row],[Kg_SalidaSecadero]])</f>
        <v>9.9779434933305322E-3</v>
      </c>
      <c r="BC145" s="8">
        <v>2579</v>
      </c>
      <c r="BD145" s="8">
        <v>2542</v>
      </c>
      <c r="BE145" s="8">
        <v>18812</v>
      </c>
      <c r="BF145" s="8">
        <f>97*6.2</f>
        <v>601.4</v>
      </c>
      <c r="BG145" s="8">
        <f>26*6.2</f>
        <v>161.20000000000002</v>
      </c>
      <c r="BH145" s="7">
        <v>0</v>
      </c>
      <c r="BI145" s="7">
        <v>0</v>
      </c>
      <c r="BJ145" s="8">
        <v>70</v>
      </c>
      <c r="BK145" s="8">
        <v>18852</v>
      </c>
      <c r="BL145" s="8">
        <v>0</v>
      </c>
      <c r="BM145" s="8">
        <v>158.71</v>
      </c>
      <c r="BN145" s="7">
        <v>17.239999999999998</v>
      </c>
      <c r="BO145" s="68">
        <f>+SUM(Tabla_master_rend[[#This Row],[B_altas]:[B_lab]])/Tabla_master_rend[[#This Row],[Kg_SalidaSecadero]]</f>
        <v>4.4165075323573097E-2</v>
      </c>
      <c r="BP145" s="68">
        <f>+(Tabla_master_rend[[#This Row],[Kg_mer_env_real]]+Tabla_master_rend[[#This Row],[kg_mer_lab_real]])/Tabla_master_rend[[#This Row],[Kg_SalidaSecadero]]</f>
        <v>9.3332272437937625E-3</v>
      </c>
      <c r="BQ145" s="64">
        <f>+Tabla_master_rend[[#This Row],[Merma_TOT]]/Tabla_master_rend[[#This Row],[Kg_Queso_Blan]]</f>
        <v>2.2684992582242915E-2</v>
      </c>
      <c r="BR145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433.50000000000006</v>
      </c>
      <c r="BS145" s="8">
        <v>18909.900000000001</v>
      </c>
      <c r="BT145" s="63">
        <f>IF(+Tabla_master_rend[[#This Row],[Kg_Env_Total]]=0,0,Tabla_master_rend[[#This Row],[Kg_Env_Total]]-Tabla_master_rend[[#This Row],[Kg_SalidaSecadero]])</f>
        <v>57.900000000001455</v>
      </c>
      <c r="BU145" s="60">
        <f>+Tabla_master_rend[[#This Row],[Diferencia_Env_vs_Sec_kg]]/Tabla_master_rend[[#This Row],[Kg_SalidaSecadero]]</f>
        <v>3.0712921705920567E-3</v>
      </c>
      <c r="BV145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45" s="65">
        <f>+(Tabla_master_rend[[#This Row],[Coste_Leche_€]]-Tabla_master_rend[[#This Row],[Kg_MG_Nata]]*$CO$3)/Tabla_master_rend[[#This Row],[Kg_Queso_Blan]]</f>
        <v>0</v>
      </c>
      <c r="BX145" s="8">
        <f>SUM(Tabla_master_rend[[#This Row],[Kg_Finos]:[Kg_Desmoldeo]])+Tabla_master_rend[[#This Row],[L_Agua]]+SUM(Tabla_master_rend[[#This Row],[B_altas]:[B_lab]])</f>
        <v>1090.1500000000001</v>
      </c>
      <c r="BY145" s="8">
        <f>+BX145-Tabla_master_rend[[#This Row],[Merma_TOT]]</f>
        <v>656.65000000000009</v>
      </c>
      <c r="BZ145" s="62">
        <f t="shared" si="40"/>
        <v>0.60234830069256529</v>
      </c>
      <c r="CA145" s="8">
        <f>+Tabla_master_rend[[#This Row],[Kg_Queso_Blan]]*$CA$1</f>
        <v>124.21207499999998</v>
      </c>
      <c r="CB145" s="8">
        <f>+Tabla_master_rend[[#This Row],[Kg_Queso_Blan]]*($CB$1-$CA$1)</f>
        <v>66.883425000000003</v>
      </c>
      <c r="CC145" s="8">
        <f>+(Tabla_master_rend[[#This Row],[Kg_Queso_Blan]]-CA145-CB145)*$CC$1</f>
        <v>198.64377225000001</v>
      </c>
      <c r="CD145" s="8">
        <f t="shared" si="41"/>
        <v>389.73927225</v>
      </c>
      <c r="CE145" s="80">
        <f>+CD145/Tabla_master_rend[[#This Row],[Kg_Queso_Blan]]</f>
        <v>2.0395E-2</v>
      </c>
      <c r="CF145" s="62">
        <f>+Tabla_master_rend[[#This Row],[Merma_TOT]]/Tabla_master_rend[[#This Row],[Kg_Queso_Blan]]</f>
        <v>2.2684992582242915E-2</v>
      </c>
      <c r="CG145" s="8">
        <f>CD145-Tabla_master_rend[[#This Row],[Merma_TOT]]</f>
        <v>-43.760727750000058</v>
      </c>
      <c r="CH145" s="81" cm="1">
        <f t="array" ref="CH145">-BR145 * IFERROR(INDEX('Precio Leche_EBITDA_Ventas'!$BD$87:$BD$110,MATCH(1,('Precio Leche_EBITDA_Ventas'!$AZ$87:$AZ$110=YEAR(A145))*('Precio Leche_EBITDA_Ventas'!$BB$87:$BB$110=C145),0)),1.3)</f>
        <v>-1668.9750000000004</v>
      </c>
      <c r="CI145" s="81">
        <f t="shared" si="42"/>
        <v>-56.888946075000078</v>
      </c>
    </row>
    <row r="146" spans="1:87" x14ac:dyDescent="0.35">
      <c r="A146" s="9">
        <v>45989</v>
      </c>
      <c r="B146" s="7">
        <v>11</v>
      </c>
      <c r="C146" s="7" t="str">
        <f>+UPPER(TEXT(Tabla_master_rend[[#This Row],[Fecha]],"MMM"))</f>
        <v>NOV</v>
      </c>
      <c r="D146" s="7" t="str">
        <f>+UPPER(TEXT(Tabla_master_rend[[#This Row],[Fecha]],"ddd"))</f>
        <v>VI</v>
      </c>
      <c r="E146" s="3">
        <v>281125146</v>
      </c>
      <c r="F146" s="3" t="s">
        <v>244</v>
      </c>
      <c r="G146" s="84" t="s">
        <v>40</v>
      </c>
      <c r="H146">
        <v>11</v>
      </c>
      <c r="I146" s="8">
        <f>+Tabla_master_rend[[#This Row],[L_Leche_ent]]+Tabla_master_rend[[#This Row],[L_desn_ext]]+Tabla_master_rend[[#This Row],[L_cabra]]+Tabla_master_rend[[#This Row],[L_oveja]]</f>
        <v>173450</v>
      </c>
      <c r="J146" s="8">
        <v>173450</v>
      </c>
      <c r="K146" s="5">
        <v>4.1100000000000005E-2</v>
      </c>
      <c r="L146" s="5">
        <v>3.49E-2</v>
      </c>
      <c r="M146" s="5">
        <f t="shared" si="37"/>
        <v>0.11204900000000001</v>
      </c>
      <c r="N146" s="35" t="s">
        <v>43</v>
      </c>
      <c r="O146" s="8">
        <v>0</v>
      </c>
      <c r="P146" s="8">
        <v>0</v>
      </c>
      <c r="Q146" s="8">
        <v>0</v>
      </c>
      <c r="R146" s="8">
        <v>2247</v>
      </c>
      <c r="T146" s="8">
        <v>154800</v>
      </c>
      <c r="U146" s="38">
        <f>+Tabla_master_rend[[#This Row],[L_suero Total]]/Tabla_master_rend[[#This Row],[Litros_Leche_Total]]</f>
        <v>0.89247621793023924</v>
      </c>
      <c r="V146" s="5">
        <v>2.2000000000000001E-3</v>
      </c>
      <c r="W146" s="5">
        <v>9.0000000000000011E-3</v>
      </c>
      <c r="X146" s="8">
        <v>71986</v>
      </c>
      <c r="Y146" s="57">
        <v>21170</v>
      </c>
      <c r="Z146" s="58">
        <f>IF(Tabla_master_rend[[#This Row],[L_suero para con]]=0,0,+Tabla_master_rend[[#This Row],[L_suero para con]]/Tabla_master_rend[[#This Row],[L_suero_con]])</f>
        <v>3.400377893245158</v>
      </c>
      <c r="AA146" s="8">
        <f>+Tabla_master_rend[[#This Row],[L_suero Total]]-Tabla_master_rend[[#This Row],[L_suero para con]]</f>
        <v>82814</v>
      </c>
      <c r="AD146" s="8"/>
      <c r="AE146" s="8"/>
      <c r="AF146" s="8"/>
      <c r="AG146" s="5"/>
      <c r="AI146" s="7">
        <f>+Tabla_master_rend[[#This Row],[Kg_Finos]]+Tabla_master_rend[[#This Row],[Kg_Llenadora]]+Tabla_master_rend[[#This Row],[Kg_Desmoldeo]]+Tabla_master_rend[[#This Row],[L_Agua]]+Tabla_master_rend[[#This Row],[Kg_SalidaSecadero]]</f>
        <v>21096.720000000001</v>
      </c>
      <c r="AJ146" s="59">
        <f>+Tabla_master_rend[[#This Row],[Litros_Leche_Total]]/Tabla_master_rend[[#This Row],[Kg_Queso_Blan]]</f>
        <v>8.2216572054802821</v>
      </c>
      <c r="AK146" s="59">
        <f>+Tabla_master_rend[[#This Row],[Litros_Leche_Total]]/(Tabla_master_rend[[#This Row],[Kg_Queso_Blan]]-Tabla_master_rend[[#This Row],[Merma_TOT]])</f>
        <v>8.4652040824294659</v>
      </c>
      <c r="AL146" s="59">
        <f>VLOOKUP(G146,REND_TARGET[#All],8,FALSE)</f>
        <v>8.9338729999999984</v>
      </c>
      <c r="AM146" s="7">
        <f>(I146*1.03*Tabla_master_rend[[#This Row],[%MG_Leche]])+(I146*1.03*Tabla_master_rend[[#This Row],[%MP_Leche]])</f>
        <v>13577.666000000001</v>
      </c>
      <c r="AN146" s="38">
        <v>0.28570000000000001</v>
      </c>
      <c r="AO146" s="38">
        <v>0.21050000000000002</v>
      </c>
      <c r="AP146" s="60">
        <v>0.54959999999999998</v>
      </c>
      <c r="AQ146" s="38">
        <f>+Tabla_master_rend[[#This Row],[Kg_Queso_Blan]]*Tabla_master_rend[[#This Row],[ES_QUESO]]/(Tabla_master_rend[[#This Row],[Kg_Solidos_leche]])</f>
        <v>0.85395805965472993</v>
      </c>
      <c r="AR146" s="7">
        <f t="shared" si="38"/>
        <v>898.80000000000007</v>
      </c>
      <c r="AS146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0.94327314471378443</v>
      </c>
      <c r="AT146" s="62">
        <f>+Tabla_master_rend[[#This Row],[Kg_Queso_Blan]]*Tabla_master_rend[[#This Row],[%PT_QUESO]]/(Tabla_master_rend[[#This Row],[Litros_Leche_Total]]*1.03*Tabla_master_rend[[#This Row],[%MP_Leche]])</f>
        <v>0.71224610544351985</v>
      </c>
      <c r="AU146" s="63">
        <f t="shared" si="39"/>
        <v>6741.0000000000009</v>
      </c>
      <c r="AV146" s="7">
        <v>46.62</v>
      </c>
      <c r="AW146" s="7">
        <v>39.5</v>
      </c>
      <c r="AX146" s="7">
        <v>12.6</v>
      </c>
      <c r="AY146" s="8">
        <f>SUM(Tabla_master_rend[[#This Row],[Kg_Finos]:[Kg_Desmoldeo]])</f>
        <v>98.72</v>
      </c>
      <c r="AZ146" s="60">
        <f>+(Tabla_master_rend[[#This Row],[Kg_Finos]]+Tabla_master_rend[[#This Row],[Kg_Llenadora]]+Tabla_master_rend[[#This Row],[Kg_Desmoldeo]])/(Tabla_master_rend[[#This Row],[Kg_Queso_Blan]])</f>
        <v>4.679400399682984E-3</v>
      </c>
      <c r="BA146" s="7">
        <v>240</v>
      </c>
      <c r="BB146" s="60">
        <f>+Tabla_master_rend[[#This Row],[L_Agua]]/(Tabla_master_rend[[#This Row],[L_Agua]]+Tabla_master_rend[[#This Row],[Kg_SalidaSecadero]])</f>
        <v>1.1429659967615963E-2</v>
      </c>
      <c r="BC146" s="8">
        <v>2910</v>
      </c>
      <c r="BD146" s="8">
        <v>2848</v>
      </c>
      <c r="BE146" s="8">
        <v>20591</v>
      </c>
      <c r="BF146" s="8">
        <f>29*6.6</f>
        <v>191.39999999999998</v>
      </c>
      <c r="BG146" s="8">
        <v>0</v>
      </c>
      <c r="BH146" s="7">
        <f>28*6.6</f>
        <v>184.79999999999998</v>
      </c>
      <c r="BI146" s="7">
        <f>15*6.6</f>
        <v>99</v>
      </c>
      <c r="BJ146" s="8">
        <v>122</v>
      </c>
      <c r="BK146" s="8">
        <v>20758</v>
      </c>
      <c r="BL146" s="8">
        <v>0</v>
      </c>
      <c r="BM146" s="8">
        <v>246.14</v>
      </c>
      <c r="BN146" s="7">
        <v>22.1</v>
      </c>
      <c r="BO146" s="68">
        <f>+SUM(Tabla_master_rend[[#This Row],[B_altas]:[B_lab]])/Tabla_master_rend[[#This Row],[Kg_SalidaSecadero]]</f>
        <v>2.8769630985644085E-2</v>
      </c>
      <c r="BP146" s="68">
        <f>+(Tabla_master_rend[[#This Row],[Kg_mer_env_real]]+Tabla_master_rend[[#This Row],[kg_mer_lab_real]])/Tabla_master_rend[[#This Row],[Kg_SalidaSecadero]]</f>
        <v>1.2922246844590039E-2</v>
      </c>
      <c r="BQ146" s="64">
        <f>+Tabla_master_rend[[#This Row],[Merma_TOT]]/Tabla_master_rend[[#This Row],[Kg_Queso_Blan]]</f>
        <v>2.8770349134841815E-2</v>
      </c>
      <c r="BR146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606.96</v>
      </c>
      <c r="BS146" s="8">
        <v>20747.800000000003</v>
      </c>
      <c r="BT146" s="63">
        <f>IF(+Tabla_master_rend[[#This Row],[Kg_Env_Total]]=0,0,Tabla_master_rend[[#This Row],[Kg_Env_Total]]-Tabla_master_rend[[#This Row],[Kg_SalidaSecadero]])</f>
        <v>-10.19999999999709</v>
      </c>
      <c r="BU146" s="60">
        <f>+Tabla_master_rend[[#This Row],[Diferencia_Env_vs_Sec_kg]]/Tabla_master_rend[[#This Row],[Kg_SalidaSecadero]]</f>
        <v>-4.9137681857583046E-4</v>
      </c>
      <c r="BV146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46" s="65">
        <f>+(Tabla_master_rend[[#This Row],[Coste_Leche_€]]-Tabla_master_rend[[#This Row],[Kg_MG_Nata]]*$CO$3)/Tabla_master_rend[[#This Row],[Kg_Queso_Blan]]</f>
        <v>-0.31952834374253442</v>
      </c>
      <c r="BX146" s="8">
        <f>SUM(Tabla_master_rend[[#This Row],[Kg_Finos]:[Kg_Desmoldeo]])+Tabla_master_rend[[#This Row],[L_Agua]]+SUM(Tabla_master_rend[[#This Row],[B_altas]:[B_lab]])</f>
        <v>935.92</v>
      </c>
      <c r="BY146" s="8">
        <f>+BX146-Tabla_master_rend[[#This Row],[Merma_TOT]]</f>
        <v>328.95999999999992</v>
      </c>
      <c r="BZ146" s="62">
        <f t="shared" si="40"/>
        <v>0.35148303273784076</v>
      </c>
      <c r="CA146" s="8">
        <f>+Tabla_master_rend[[#This Row],[Kg_Queso_Blan]]*$CA$1</f>
        <v>137.12868</v>
      </c>
      <c r="CB146" s="8">
        <f>+Tabla_master_rend[[#This Row],[Kg_Queso_Blan]]*($CB$1-$CA$1)</f>
        <v>73.838520000000017</v>
      </c>
      <c r="CC146" s="8">
        <f>+(Tabla_master_rend[[#This Row],[Kg_Queso_Blan]]-CA146-CB146)*$CC$1</f>
        <v>219.30040439999999</v>
      </c>
      <c r="CD146" s="8">
        <f t="shared" si="41"/>
        <v>430.26760439999998</v>
      </c>
      <c r="CE146" s="80">
        <f>+CD146/Tabla_master_rend[[#This Row],[Kg_Queso_Blan]]</f>
        <v>2.0394999999999996E-2</v>
      </c>
      <c r="CF146" s="62">
        <f>+Tabla_master_rend[[#This Row],[Merma_TOT]]/Tabla_master_rend[[#This Row],[Kg_Queso_Blan]]</f>
        <v>2.8770349134841815E-2</v>
      </c>
      <c r="CG146" s="8">
        <f>CD146-Tabla_master_rend[[#This Row],[Merma_TOT]]</f>
        <v>-176.69239560000005</v>
      </c>
      <c r="CH146" s="81" cm="1">
        <f t="array" ref="CH146">-BR146 * IFERROR(INDEX('Precio Leche_EBITDA_Ventas'!$BD$87:$BD$110,MATCH(1,('Precio Leche_EBITDA_Ventas'!$AZ$87:$AZ$110=YEAR(A146))*('Precio Leche_EBITDA_Ventas'!$BB$87:$BB$110=C146),0)),1.3)</f>
        <v>-2336.7960000000003</v>
      </c>
      <c r="CI146" s="81">
        <f t="shared" si="42"/>
        <v>-229.70011428000007</v>
      </c>
    </row>
    <row r="147" spans="1:87" x14ac:dyDescent="0.35">
      <c r="A147" s="9">
        <v>45992</v>
      </c>
      <c r="B147" s="7">
        <v>12</v>
      </c>
      <c r="C147" s="7" t="str">
        <f>+UPPER(TEXT(Tabla_master_rend[[#This Row],[Fecha]],"MMM"))</f>
        <v>DIC</v>
      </c>
      <c r="D147" s="7" t="str">
        <f>+UPPER(TEXT(Tabla_master_rend[[#This Row],[Fecha]],"ddd"))</f>
        <v>LU</v>
      </c>
      <c r="E147" s="3" t="s">
        <v>505</v>
      </c>
      <c r="F147" s="3" t="s">
        <v>244</v>
      </c>
      <c r="G147" s="84" t="s">
        <v>190</v>
      </c>
      <c r="H147">
        <v>10</v>
      </c>
      <c r="I147" s="8">
        <f>+Tabla_master_rend[[#This Row],[L_Leche_ent]]+Tabla_master_rend[[#This Row],[L_desn_ext]]+Tabla_master_rend[[#This Row],[L_cabra]]+Tabla_master_rend[[#This Row],[L_oveja]]</f>
        <v>138687</v>
      </c>
      <c r="J147" s="8">
        <f>138687</f>
        <v>138687</v>
      </c>
      <c r="K147" s="5">
        <v>4.1100000000000005E-2</v>
      </c>
      <c r="L147" s="5">
        <v>3.5000000000000003E-2</v>
      </c>
      <c r="M147" s="5">
        <f t="shared" si="37"/>
        <v>0.11212300000000001</v>
      </c>
      <c r="N147" s="35" t="s">
        <v>43</v>
      </c>
      <c r="O147" s="8">
        <v>0</v>
      </c>
      <c r="P147" s="8">
        <v>0</v>
      </c>
      <c r="Q147" s="8">
        <v>0</v>
      </c>
      <c r="R147" s="8">
        <v>1781</v>
      </c>
      <c r="T147" s="8">
        <v>136350</v>
      </c>
      <c r="U147" s="38">
        <f>+Tabla_master_rend[[#This Row],[L_suero Total]]/Tabla_master_rend[[#This Row],[Litros_Leche_Total]]</f>
        <v>0.98314910553981272</v>
      </c>
      <c r="V147" s="5">
        <v>2.7000000000000001E-3</v>
      </c>
      <c r="W147" s="5">
        <v>9.1999999999999998E-3</v>
      </c>
      <c r="X147" s="8">
        <v>45418</v>
      </c>
      <c r="Y147" s="57">
        <v>14459</v>
      </c>
      <c r="Z147" s="58">
        <f>IF(Tabla_master_rend[[#This Row],[L_suero para con]]=0,0,+Tabla_master_rend[[#This Row],[L_suero para con]]/Tabla_master_rend[[#This Row],[L_suero_con]])</f>
        <v>3.1411577564146898</v>
      </c>
      <c r="AA147" s="8">
        <f>+Tabla_master_rend[[#This Row],[L_suero Total]]-Tabla_master_rend[[#This Row],[L_suero para con]]</f>
        <v>90932</v>
      </c>
      <c r="AD147" s="8"/>
      <c r="AE147" s="8"/>
      <c r="AF147" s="8"/>
      <c r="AG147" s="5"/>
      <c r="AI147" s="7">
        <f>+Tabla_master_rend[[#This Row],[Kg_Finos]]+Tabla_master_rend[[#This Row],[Kg_Llenadora]]+Tabla_master_rend[[#This Row],[Kg_Desmoldeo]]+Tabla_master_rend[[#This Row],[L_Agua]]+Tabla_master_rend[[#This Row],[Kg_SalidaSecadero]]</f>
        <v>17453.68</v>
      </c>
      <c r="AJ147" s="59">
        <f>+Tabla_master_rend[[#This Row],[Litros_Leche_Total]]/Tabla_master_rend[[#This Row],[Kg_Queso_Blan]]</f>
        <v>7.9460033643334818</v>
      </c>
      <c r="AK147" s="59">
        <f>+Tabla_master_rend[[#This Row],[Litros_Leche_Total]]/(Tabla_master_rend[[#This Row],[Kg_Queso_Blan]]-Tabla_master_rend[[#This Row],[Merma_TOT]])</f>
        <v>8.2595394115821854</v>
      </c>
      <c r="AL147" s="59">
        <f>VLOOKUP(G147,REND_TARGET[#All],8,FALSE)</f>
        <v>8.4943170000000006</v>
      </c>
      <c r="AM147" s="7">
        <f>(I147*1.03*Tabla_master_rend[[#This Row],[%MG_Leche]])+(I147*1.03*Tabla_master_rend[[#This Row],[%MP_Leche]])</f>
        <v>10870.703121000002</v>
      </c>
      <c r="AN147" s="38">
        <v>0.28660000000000002</v>
      </c>
      <c r="AO147" s="38">
        <v>0.22550000000000001</v>
      </c>
      <c r="AP147" s="60">
        <v>0.56330000000000002</v>
      </c>
      <c r="AQ147" s="38">
        <f>+Tabla_master_rend[[#This Row],[Kg_Queso_Blan]]*Tabla_master_rend[[#This Row],[ES_QUESO]]/(Tabla_master_rend[[#This Row],[Kg_Solidos_leche]])</f>
        <v>0.90441784993716035</v>
      </c>
      <c r="AR147" s="7">
        <f t="shared" si="38"/>
        <v>712.40000000000009</v>
      </c>
      <c r="AS147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0.97335869470744951</v>
      </c>
      <c r="AT147" s="62">
        <f>+Tabla_master_rend[[#This Row],[Kg_Queso_Blan]]*Tabla_master_rend[[#This Row],[%PT_QUESO]]/(Tabla_master_rend[[#This Row],[Litros_Leche_Total]]*1.03*Tabla_master_rend[[#This Row],[%MP_Leche]])</f>
        <v>0.78721349875677182</v>
      </c>
      <c r="AU147" s="63">
        <f t="shared" si="39"/>
        <v>5343.0000000000009</v>
      </c>
      <c r="AV147" s="7">
        <v>31.48</v>
      </c>
      <c r="AW147" s="7">
        <v>44.8</v>
      </c>
      <c r="AX147" s="7">
        <v>34.4</v>
      </c>
      <c r="AY147" s="8">
        <f>SUM(Tabla_master_rend[[#This Row],[Kg_Finos]:[Kg_Desmoldeo]])</f>
        <v>110.68</v>
      </c>
      <c r="AZ147" s="60">
        <f>+(Tabla_master_rend[[#This Row],[Kg_Finos]]+Tabla_master_rend[[#This Row],[Kg_Llenadora]]+Tabla_master_rend[[#This Row],[Kg_Desmoldeo]])/(Tabla_master_rend[[#This Row],[Kg_Queso_Blan]])</f>
        <v>6.3413560922395739E-3</v>
      </c>
      <c r="BA147" s="7">
        <v>400</v>
      </c>
      <c r="BB147" s="60">
        <f>+Tabla_master_rend[[#This Row],[L_Agua]]/(Tabla_master_rend[[#This Row],[L_Agua]]+Tabla_master_rend[[#This Row],[Kg_SalidaSecadero]])</f>
        <v>2.3064060427838321E-2</v>
      </c>
      <c r="BC147" s="8">
        <v>2345</v>
      </c>
      <c r="BD147" s="8">
        <v>2324</v>
      </c>
      <c r="BE147" s="8">
        <v>17207</v>
      </c>
      <c r="BF147" s="8">
        <f>105*6.5</f>
        <v>682.5</v>
      </c>
      <c r="BG147" s="8">
        <f>6*6.5</f>
        <v>39</v>
      </c>
      <c r="BH147" s="7">
        <f>2*6.5</f>
        <v>13</v>
      </c>
      <c r="BI147" s="7">
        <f>3*6.5</f>
        <v>19.5</v>
      </c>
      <c r="BJ147" s="8">
        <v>65</v>
      </c>
      <c r="BK147" s="8">
        <v>16943</v>
      </c>
      <c r="BL147" s="8">
        <v>0</v>
      </c>
      <c r="BM147" s="8">
        <v>125.02</v>
      </c>
      <c r="BN147" s="7">
        <v>26.85</v>
      </c>
      <c r="BO147" s="68">
        <f>+SUM(Tabla_master_rend[[#This Row],[B_altas]:[B_lab]])/Tabla_master_rend[[#This Row],[Kg_SalidaSecadero]]</f>
        <v>4.8338546892521983E-2</v>
      </c>
      <c r="BP147" s="68">
        <f>+(Tabla_master_rend[[#This Row],[Kg_mer_env_real]]+Tabla_master_rend[[#This Row],[kg_mer_lab_real]])/Tabla_master_rend[[#This Row],[Kg_SalidaSecadero]]</f>
        <v>8.9635837809124708E-3</v>
      </c>
      <c r="BQ147" s="64">
        <f>+Tabla_master_rend[[#This Row],[Merma_TOT]]/Tabla_master_rend[[#This Row],[Kg_Queso_Blan]]</f>
        <v>3.796047595693286E-2</v>
      </c>
      <c r="BR147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662.55</v>
      </c>
      <c r="BS147" s="8">
        <v>17061.900000000001</v>
      </c>
      <c r="BT147" s="63">
        <f>IF(+Tabla_master_rend[[#This Row],[Kg_Env_Total]]=0,0,Tabla_master_rend[[#This Row],[Kg_Env_Total]]-Tabla_master_rend[[#This Row],[Kg_SalidaSecadero]])</f>
        <v>118.90000000000146</v>
      </c>
      <c r="BU147" s="60">
        <f>+Tabla_master_rend[[#This Row],[Diferencia_Env_vs_Sec_kg]]/Tabla_master_rend[[#This Row],[Kg_SalidaSecadero]]</f>
        <v>7.0176474060084666E-3</v>
      </c>
      <c r="BV147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47" s="65">
        <f>+(Tabla_master_rend[[#This Row],[Coste_Leche_€]]-Tabla_master_rend[[#This Row],[Kg_MG_Nata]]*$CO$3)/Tabla_master_rend[[#This Row],[Kg_Queso_Blan]]</f>
        <v>-0.30612455367578645</v>
      </c>
      <c r="BX147" s="8">
        <f>SUM(Tabla_master_rend[[#This Row],[Kg_Finos]:[Kg_Desmoldeo]])+Tabla_master_rend[[#This Row],[L_Agua]]+SUM(Tabla_master_rend[[#This Row],[B_altas]:[B_lab]])</f>
        <v>1329.68</v>
      </c>
      <c r="BY147" s="8">
        <f>+BX147-Tabla_master_rend[[#This Row],[Merma_TOT]]</f>
        <v>667.13000000000011</v>
      </c>
      <c r="BZ147" s="62">
        <f t="shared" si="40"/>
        <v>0.50172221887973056</v>
      </c>
      <c r="CA147" s="8">
        <f>+Tabla_master_rend[[#This Row],[Kg_Queso_Blan]]*$CA$1</f>
        <v>113.44892</v>
      </c>
      <c r="CB147" s="8">
        <f>+Tabla_master_rend[[#This Row],[Kg_Queso_Blan]]*($CB$1-$CA$1)</f>
        <v>61.087880000000013</v>
      </c>
      <c r="CC147" s="8">
        <f>+(Tabla_master_rend[[#This Row],[Kg_Queso_Blan]]-CA147-CB147)*$CC$1</f>
        <v>181.43100360000003</v>
      </c>
      <c r="CD147" s="8">
        <f t="shared" si="41"/>
        <v>355.96780360000002</v>
      </c>
      <c r="CE147" s="80">
        <f>+CD147/Tabla_master_rend[[#This Row],[Kg_Queso_Blan]]</f>
        <v>2.0395E-2</v>
      </c>
      <c r="CF147" s="62">
        <f>+Tabla_master_rend[[#This Row],[Merma_TOT]]/Tabla_master_rend[[#This Row],[Kg_Queso_Blan]]</f>
        <v>3.796047595693286E-2</v>
      </c>
      <c r="CG147" s="8">
        <f>CD147-Tabla_master_rend[[#This Row],[Merma_TOT]]</f>
        <v>-306.58219639999993</v>
      </c>
      <c r="CH147" s="81" cm="1">
        <f t="array" ref="CH147">-BR147 * IFERROR(INDEX('Precio Leche_EBITDA_Ventas'!$BD$87:$BD$110,MATCH(1,('Precio Leche_EBITDA_Ventas'!$AZ$87:$AZ$110=YEAR(A147))*('Precio Leche_EBITDA_Ventas'!$BB$87:$BB$110=C147),0)),1.3)</f>
        <v>-2318.9249999999997</v>
      </c>
      <c r="CI147" s="81">
        <f t="shared" si="42"/>
        <v>-398.5568553199999</v>
      </c>
    </row>
    <row r="148" spans="1:87" x14ac:dyDescent="0.35">
      <c r="A148" s="9">
        <v>45994</v>
      </c>
      <c r="B148" s="7">
        <v>12</v>
      </c>
      <c r="C148" s="7" t="str">
        <f>+UPPER(TEXT(Tabla_master_rend[[#This Row],[Fecha]],"MMM"))</f>
        <v>DIC</v>
      </c>
      <c r="D148" s="7" t="str">
        <f>+UPPER(TEXT(Tabla_master_rend[[#This Row],[Fecha]],"ddd"))</f>
        <v>MI</v>
      </c>
      <c r="E148" s="3" t="s">
        <v>506</v>
      </c>
      <c r="F148" s="3" t="s">
        <v>143</v>
      </c>
      <c r="G148" s="84" t="s">
        <v>41</v>
      </c>
      <c r="H148">
        <v>2</v>
      </c>
      <c r="I148" s="8">
        <f>+Tabla_master_rend[[#This Row],[L_Leche_ent]]+Tabla_master_rend[[#This Row],[L_desn_ext]]+Tabla_master_rend[[#This Row],[L_cabra]]+Tabla_master_rend[[#This Row],[L_oveja]]</f>
        <v>23754</v>
      </c>
      <c r="J148" s="8">
        <f>23754-2054-2300</f>
        <v>19400</v>
      </c>
      <c r="K148" s="5">
        <v>4.5499999999999999E-2</v>
      </c>
      <c r="L148" s="5">
        <v>3.5799999999999998E-2</v>
      </c>
      <c r="M148" s="5">
        <f t="shared" si="37"/>
        <v>0.11680699999999999</v>
      </c>
      <c r="N148" s="35" t="s">
        <v>43</v>
      </c>
      <c r="O148" s="8">
        <v>0</v>
      </c>
      <c r="P148" s="8">
        <v>2054</v>
      </c>
      <c r="Q148" s="8">
        <v>2300</v>
      </c>
      <c r="R148" s="8">
        <v>0</v>
      </c>
      <c r="T148" s="8">
        <v>30370</v>
      </c>
      <c r="U148" s="38">
        <f>+Tabla_master_rend[[#This Row],[L_suero Total]]/Tabla_master_rend[[#This Row],[Litros_Leche_Total]]</f>
        <v>1.278521512166372</v>
      </c>
      <c r="V148" s="5">
        <v>4.0999999999999995E-3</v>
      </c>
      <c r="W148" s="5">
        <v>7.6E-3</v>
      </c>
      <c r="X148" s="8">
        <v>31077</v>
      </c>
      <c r="Y148" s="57">
        <v>9947</v>
      </c>
      <c r="Z148" s="58">
        <f>IF(Tabla_master_rend[[#This Row],[L_suero para con]]=0,0,+Tabla_master_rend[[#This Row],[L_suero para con]]/Tabla_master_rend[[#This Row],[L_suero_con]])</f>
        <v>3.1242585704232431</v>
      </c>
      <c r="AA148" s="8">
        <f>+Tabla_master_rend[[#This Row],[L_suero Total]]-Tabla_master_rend[[#This Row],[L_suero para con]]</f>
        <v>-707</v>
      </c>
      <c r="AD148" s="8"/>
      <c r="AE148" s="8"/>
      <c r="AF148" s="8"/>
      <c r="AG148" s="5"/>
      <c r="AI148" s="7">
        <f>+Tabla_master_rend[[#This Row],[Kg_Finos]]+Tabla_master_rend[[#This Row],[Kg_Llenadora]]+Tabla_master_rend[[#This Row],[Kg_Desmoldeo]]+Tabla_master_rend[[#This Row],[L_Agua]]+Tabla_master_rend[[#This Row],[Kg_SalidaSecadero]]</f>
        <v>3302.71</v>
      </c>
      <c r="AJ148" s="59">
        <f>+Tabla_master_rend[[#This Row],[Litros_Leche_Total]]/Tabla_master_rend[[#This Row],[Kg_Queso_Blan]]</f>
        <v>7.1922754344159792</v>
      </c>
      <c r="AK148" s="59">
        <f>+Tabla_master_rend[[#This Row],[Litros_Leche_Total]]/(Tabla_master_rend[[#This Row],[Kg_Queso_Blan]]-Tabla_master_rend[[#This Row],[Merma_TOT]])</f>
        <v>7.4763943094548662</v>
      </c>
      <c r="AL148" s="59">
        <f>VLOOKUP(G148,REND_TARGET[#All],8,FALSE)</f>
        <v>7.5160994999999993</v>
      </c>
      <c r="AM148" s="7">
        <f>(I148*1.03*Tabla_master_rend[[#This Row],[%MG_Leche]])+(I148*1.03*Tabla_master_rend[[#This Row],[%MP_Leche]])</f>
        <v>1989.1362059999999</v>
      </c>
      <c r="AN148" s="38">
        <v>0.316</v>
      </c>
      <c r="AO148" s="38">
        <v>0.2107</v>
      </c>
      <c r="AP148" s="60">
        <v>0.56910000000000005</v>
      </c>
      <c r="AQ148" s="38">
        <f>+Tabla_master_rend[[#This Row],[Kg_Queso_Blan]]*Tabla_master_rend[[#This Row],[ES_QUESO]]/(Tabla_master_rend[[#This Row],[Kg_Solidos_leche]])</f>
        <v>0.94491883227025242</v>
      </c>
      <c r="AR148" s="7">
        <f t="shared" si="38"/>
        <v>0</v>
      </c>
      <c r="AS148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0.93750188696200853</v>
      </c>
      <c r="AT148" s="62">
        <f>+Tabla_master_rend[[#This Row],[Kg_Queso_Blan]]*Tabla_master_rend[[#This Row],[%PT_QUESO]]/(Tabla_master_rend[[#This Row],[Litros_Leche_Total]]*1.03*Tabla_master_rend[[#This Row],[%MP_Leche]])</f>
        <v>0.79447086176912274</v>
      </c>
      <c r="AU148" s="63">
        <f t="shared" si="39"/>
        <v>0</v>
      </c>
      <c r="AV148" s="7">
        <v>8.11</v>
      </c>
      <c r="AW148" s="7">
        <v>29.9</v>
      </c>
      <c r="AX148" s="7">
        <v>15.7</v>
      </c>
      <c r="AY148" s="8">
        <f>SUM(Tabla_master_rend[[#This Row],[Kg_Finos]:[Kg_Desmoldeo]])</f>
        <v>53.709999999999994</v>
      </c>
      <c r="AZ148" s="60">
        <f>+(Tabla_master_rend[[#This Row],[Kg_Finos]]+Tabla_master_rend[[#This Row],[Kg_Llenadora]]+Tabla_master_rend[[#This Row],[Kg_Desmoldeo]])/(Tabla_master_rend[[#This Row],[Kg_Queso_Blan]])</f>
        <v>1.6262402693545602E-2</v>
      </c>
      <c r="BA148" s="7">
        <v>50</v>
      </c>
      <c r="BB148" s="60">
        <f>+Tabla_master_rend[[#This Row],[L_Agua]]/(Tabla_master_rend[[#This Row],[L_Agua]]+Tabla_master_rend[[#This Row],[Kg_SalidaSecadero]])</f>
        <v>1.5389350569405972E-2</v>
      </c>
      <c r="BC148" s="8">
        <v>452</v>
      </c>
      <c r="BD148" s="8">
        <f>210+234</f>
        <v>444</v>
      </c>
      <c r="BE148" s="8">
        <f>1526+1674</f>
        <v>3200</v>
      </c>
      <c r="BF148" s="8">
        <v>0</v>
      </c>
      <c r="BG148" s="8">
        <v>0</v>
      </c>
      <c r="BH148" s="7">
        <v>0</v>
      </c>
      <c r="BI148" s="7">
        <v>0</v>
      </c>
      <c r="BJ148" s="8">
        <f>25+24</f>
        <v>49</v>
      </c>
      <c r="BK148" s="8">
        <v>3199</v>
      </c>
      <c r="BL148" s="8">
        <v>0</v>
      </c>
      <c r="BM148" s="8">
        <v>13.55</v>
      </c>
      <c r="BN148" s="7">
        <v>8.25</v>
      </c>
      <c r="BO148" s="68">
        <f>+SUM(Tabla_master_rend[[#This Row],[B_altas]:[B_lab]])/Tabla_master_rend[[#This Row],[Kg_SalidaSecadero]]</f>
        <v>1.5317286652078774E-2</v>
      </c>
      <c r="BP148" s="68">
        <f>+(Tabla_master_rend[[#This Row],[Kg_mer_env_real]]+Tabla_master_rend[[#This Row],[kg_mer_lab_real]])/Tabla_master_rend[[#This Row],[Kg_SalidaSecadero]]</f>
        <v>6.8146295717411692E-3</v>
      </c>
      <c r="BQ148" s="64">
        <f>+Tabla_master_rend[[#This Row],[Merma_TOT]]/Tabla_master_rend[[#This Row],[Kg_Queso_Blan]]</f>
        <v>3.8002125527218558E-2</v>
      </c>
      <c r="BR148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125.51</v>
      </c>
      <c r="BS148" s="8">
        <v>3191.2</v>
      </c>
      <c r="BT148" s="63">
        <f>IF(+Tabla_master_rend[[#This Row],[Kg_Env_Total]]=0,0,Tabla_master_rend[[#This Row],[Kg_Env_Total]]-Tabla_master_rend[[#This Row],[Kg_SalidaSecadero]])</f>
        <v>-7.8000000000001819</v>
      </c>
      <c r="BU148" s="60">
        <f>+Tabla_master_rend[[#This Row],[Diferencia_Env_vs_Sec_kg]]/Tabla_master_rend[[#This Row],[Kg_SalidaSecadero]]</f>
        <v>-2.4382619568615762E-3</v>
      </c>
      <c r="BV148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48" s="65">
        <f>+(Tabla_master_rend[[#This Row],[Coste_Leche_€]]-Tabla_master_rend[[#This Row],[Kg_MG_Nata]]*$CO$3)/Tabla_master_rend[[#This Row],[Kg_Queso_Blan]]</f>
        <v>0</v>
      </c>
      <c r="BX148" s="8">
        <f>SUM(Tabla_master_rend[[#This Row],[Kg_Finos]:[Kg_Desmoldeo]])+Tabla_master_rend[[#This Row],[L_Agua]]+SUM(Tabla_master_rend[[#This Row],[B_altas]:[B_lab]])</f>
        <v>152.70999999999998</v>
      </c>
      <c r="BY148" s="8">
        <f>+BX148-Tabla_master_rend[[#This Row],[Merma_TOT]]</f>
        <v>27.199999999999974</v>
      </c>
      <c r="BZ148" s="62">
        <f t="shared" si="40"/>
        <v>0.17811538209678462</v>
      </c>
      <c r="CA148" s="8">
        <f>+Tabla_master_rend[[#This Row],[Kg_Queso_Blan]]*$CA$1</f>
        <v>21.467614999999999</v>
      </c>
      <c r="CB148" s="8">
        <f>+Tabla_master_rend[[#This Row],[Kg_Queso_Blan]]*($CB$1-$CA$1)</f>
        <v>11.559485000000002</v>
      </c>
      <c r="CC148" s="8">
        <f>+(Tabla_master_rend[[#This Row],[Kg_Queso_Blan]]-CA148-CB148)*$CC$1</f>
        <v>34.331670449999997</v>
      </c>
      <c r="CD148" s="8">
        <f t="shared" si="41"/>
        <v>67.358770450000009</v>
      </c>
      <c r="CE148" s="80">
        <f>+CD148/Tabla_master_rend[[#This Row],[Kg_Queso_Blan]]</f>
        <v>2.0395000000000003E-2</v>
      </c>
      <c r="CF148" s="62">
        <f>+Tabla_master_rend[[#This Row],[Merma_TOT]]/Tabla_master_rend[[#This Row],[Kg_Queso_Blan]]</f>
        <v>3.8002125527218558E-2</v>
      </c>
      <c r="CG148" s="8">
        <f>CD148-Tabla_master_rend[[#This Row],[Merma_TOT]]</f>
        <v>-58.151229549999996</v>
      </c>
      <c r="CH148" s="81" cm="1">
        <f t="array" ref="CH148">-BR148 * IFERROR(INDEX('Precio Leche_EBITDA_Ventas'!$BD$87:$BD$110,MATCH(1,('Precio Leche_EBITDA_Ventas'!$AZ$87:$AZ$110=YEAR(A148))*('Precio Leche_EBITDA_Ventas'!$BB$87:$BB$110=C148),0)),1.3)</f>
        <v>-439.28500000000003</v>
      </c>
      <c r="CI148" s="81">
        <f t="shared" si="42"/>
        <v>-75.596598415000003</v>
      </c>
    </row>
    <row r="149" spans="1:87" x14ac:dyDescent="0.35">
      <c r="A149" s="9">
        <v>45995</v>
      </c>
      <c r="B149" s="7">
        <v>12</v>
      </c>
      <c r="C149" s="7" t="str">
        <f>+UPPER(TEXT(Tabla_master_rend[[#This Row],[Fecha]],"MMM"))</f>
        <v>DIC</v>
      </c>
      <c r="D149" s="7" t="str">
        <f>+UPPER(TEXT(Tabla_master_rend[[#This Row],[Fecha]],"ddd"))</f>
        <v>JU</v>
      </c>
      <c r="E149" s="3" t="s">
        <v>507</v>
      </c>
      <c r="F149" s="3" t="s">
        <v>244</v>
      </c>
      <c r="G149" s="84" t="s">
        <v>445</v>
      </c>
      <c r="H149">
        <v>5</v>
      </c>
      <c r="I149" s="8">
        <f>+Tabla_master_rend[[#This Row],[L_Leche_ent]]+Tabla_master_rend[[#This Row],[L_desn_ext]]+Tabla_master_rend[[#This Row],[L_cabra]]+Tabla_master_rend[[#This Row],[L_oveja]]</f>
        <v>59925</v>
      </c>
      <c r="J149" s="8">
        <v>59925</v>
      </c>
      <c r="K149" s="5">
        <v>4.1500000000000002E-2</v>
      </c>
      <c r="L149" s="5">
        <v>4.3200000000000002E-2</v>
      </c>
      <c r="M149" s="5">
        <f t="shared" si="37"/>
        <v>0.11856300000000002</v>
      </c>
      <c r="N149" s="35" t="s">
        <v>43</v>
      </c>
      <c r="O149" s="8">
        <v>0</v>
      </c>
      <c r="P149" s="8">
        <v>0</v>
      </c>
      <c r="Q149" s="8">
        <v>0</v>
      </c>
      <c r="R149" s="8">
        <v>1450</v>
      </c>
      <c r="T149" s="8">
        <v>69000</v>
      </c>
      <c r="U149" s="38">
        <f>+Tabla_master_rend[[#This Row],[L_suero Total]]/Tabla_master_rend[[#This Row],[Litros_Leche_Total]]</f>
        <v>1.1514392991239049</v>
      </c>
      <c r="V149" s="5">
        <v>2.3999999999999998E-3</v>
      </c>
      <c r="W149" s="5">
        <v>9.4999999999999998E-3</v>
      </c>
      <c r="X149" s="8">
        <v>0</v>
      </c>
      <c r="Y149" s="57">
        <v>0</v>
      </c>
      <c r="Z149" s="58">
        <f>IF(Tabla_master_rend[[#This Row],[L_suero para con]]=0,0,+Tabla_master_rend[[#This Row],[L_suero para con]]/Tabla_master_rend[[#This Row],[L_suero_con]])</f>
        <v>0</v>
      </c>
      <c r="AA149" s="8">
        <f>+Tabla_master_rend[[#This Row],[L_suero Total]]-Tabla_master_rend[[#This Row],[L_suero para con]]</f>
        <v>69000</v>
      </c>
      <c r="AD149" s="8"/>
      <c r="AE149" s="8"/>
      <c r="AF149" s="8"/>
      <c r="AG149" s="5"/>
      <c r="AI149" s="7">
        <f>+Tabla_master_rend[[#This Row],[Kg_Finos]]+Tabla_master_rend[[#This Row],[Kg_Llenadora]]+Tabla_master_rend[[#This Row],[Kg_Desmoldeo]]+Tabla_master_rend[[#This Row],[L_Agua]]+Tabla_master_rend[[#This Row],[Kg_SalidaSecadero]]</f>
        <v>8527.5078773091664</v>
      </c>
      <c r="AJ149" s="59">
        <f>+Tabla_master_rend[[#This Row],[Litros_Leche_Total]]/Tabla_master_rend[[#This Row],[Kg_Queso_Blan]]</f>
        <v>7.0272582402948398</v>
      </c>
      <c r="AK149" s="59">
        <f>+Tabla_master_rend[[#This Row],[Litros_Leche_Total]]/(Tabla_master_rend[[#This Row],[Kg_Queso_Blan]]-Tabla_master_rend[[#This Row],[Merma_TOT]])</f>
        <v>7.2498309280146538</v>
      </c>
      <c r="AL149" s="59">
        <f>VLOOKUP(G149,REND_TARGET[#All],8,FALSE)</f>
        <v>9.8078500000000002</v>
      </c>
      <c r="AM149" s="7">
        <f>(I149*1.03*Tabla_master_rend[[#This Row],[%MG_Leche]])+(I149*1.03*Tabla_master_rend[[#This Row],[%MP_Leche]])</f>
        <v>5227.9169250000004</v>
      </c>
      <c r="AN149" s="38">
        <v>0.21989999999999998</v>
      </c>
      <c r="AO149" s="38">
        <v>0.23989999999999997</v>
      </c>
      <c r="AP149" s="60">
        <v>0.51970000000000005</v>
      </c>
      <c r="AQ149" s="38">
        <f>+Tabla_master_rend[[#This Row],[Kg_Queso_Blan]]*Tabla_master_rend[[#This Row],[ES_QUESO]]/(Tabla_master_rend[[#This Row],[Kg_Solidos_leche]])</f>
        <v>0.84770777872251168</v>
      </c>
      <c r="AR149" s="7">
        <f t="shared" si="38"/>
        <v>580</v>
      </c>
      <c r="AS149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0.95850267945482237</v>
      </c>
      <c r="AT149" s="62">
        <f>+Tabla_master_rend[[#This Row],[Kg_Queso_Blan]]*Tabla_master_rend[[#This Row],[%PT_QUESO]]/(Tabla_master_rend[[#This Row],[Litros_Leche_Total]]*1.03*Tabla_master_rend[[#This Row],[%MP_Leche]])</f>
        <v>0.76722609023837796</v>
      </c>
      <c r="AU149" s="63">
        <f t="shared" si="39"/>
        <v>4350</v>
      </c>
      <c r="AV149" s="7">
        <v>13.007877309166959</v>
      </c>
      <c r="AW149" s="7">
        <v>19.5</v>
      </c>
      <c r="AX149" s="7">
        <v>0</v>
      </c>
      <c r="AY149" s="8">
        <f>SUM(Tabla_master_rend[[#This Row],[Kg_Finos]:[Kg_Desmoldeo]])</f>
        <v>32.507877309166958</v>
      </c>
      <c r="AZ149" s="60">
        <f>+(Tabla_master_rend[[#This Row],[Kg_Finos]]+Tabla_master_rend[[#This Row],[Kg_Llenadora]]+Tabla_master_rend[[#This Row],[Kg_Desmoldeo]])/(Tabla_master_rend[[#This Row],[Kg_Queso_Blan]])</f>
        <v>3.8121192940398355E-3</v>
      </c>
      <c r="BA149" s="7">
        <v>75</v>
      </c>
      <c r="BB149" s="60">
        <f>+Tabla_master_rend[[#This Row],[L_Agua]]/(Tabla_master_rend[[#This Row],[L_Agua]]+Tabla_master_rend[[#This Row],[Kg_SalidaSecadero]])</f>
        <v>8.828722778104767E-3</v>
      </c>
      <c r="BC149" s="8">
        <v>1181</v>
      </c>
      <c r="BD149" s="8">
        <v>1147</v>
      </c>
      <c r="BE149" s="8">
        <v>8284</v>
      </c>
      <c r="BF149" s="8">
        <f>5*6.2</f>
        <v>31</v>
      </c>
      <c r="BG149" s="8">
        <f>27*6.2</f>
        <v>167.4</v>
      </c>
      <c r="BH149" s="7">
        <v>0</v>
      </c>
      <c r="BI149" s="7">
        <f>1*6.2</f>
        <v>6.2</v>
      </c>
      <c r="BJ149" s="8">
        <v>37</v>
      </c>
      <c r="BK149" s="8">
        <v>8420</v>
      </c>
      <c r="BL149" s="8">
        <v>0</v>
      </c>
      <c r="BM149" s="8">
        <v>147.53</v>
      </c>
      <c r="BN149" s="7">
        <v>6.76</v>
      </c>
      <c r="BO149" s="68">
        <f>+SUM(Tabla_master_rend[[#This Row],[B_altas]:[B_lab]])/Tabla_master_rend[[#This Row],[Kg_SalidaSecadero]]</f>
        <v>2.8693586698337291E-2</v>
      </c>
      <c r="BP149" s="68">
        <f>+(Tabla_master_rend[[#This Row],[Kg_mer_env_real]]+Tabla_master_rend[[#This Row],[kg_mer_lab_real]])/Tabla_master_rend[[#This Row],[Kg_SalidaSecadero]]</f>
        <v>1.8324228028503562E-2</v>
      </c>
      <c r="BQ149" s="64">
        <f>+Tabla_master_rend[[#This Row],[Merma_TOT]]/Tabla_master_rend[[#This Row],[Kg_Queso_Blan]]</f>
        <v>3.0700397006467102E-2</v>
      </c>
      <c r="BR149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261.79787730916695</v>
      </c>
      <c r="BS149" s="8">
        <v>8414.8000000000011</v>
      </c>
      <c r="BT149" s="63">
        <f>IF(+Tabla_master_rend[[#This Row],[Kg_Env_Total]]=0,0,Tabla_master_rend[[#This Row],[Kg_Env_Total]]-Tabla_master_rend[[#This Row],[Kg_SalidaSecadero]])</f>
        <v>-5.1999999999989086</v>
      </c>
      <c r="BU149" s="60">
        <f>+Tabla_master_rend[[#This Row],[Diferencia_Env_vs_Sec_kg]]/Tabla_master_rend[[#This Row],[Kg_SalidaSecadero]]</f>
        <v>-6.1757719714951407E-4</v>
      </c>
      <c r="BV149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49" s="65">
        <f>+(Tabla_master_rend[[#This Row],[Coste_Leche_€]]-Tabla_master_rend[[#This Row],[Kg_MG_Nata]]*$CO$3)/Tabla_master_rend[[#This Row],[Kg_Queso_Blan]]</f>
        <v>-0.51011386475231635</v>
      </c>
      <c r="BX149" s="8">
        <f>SUM(Tabla_master_rend[[#This Row],[Kg_Finos]:[Kg_Desmoldeo]])+Tabla_master_rend[[#This Row],[L_Agua]]+SUM(Tabla_master_rend[[#This Row],[B_altas]:[B_lab]])</f>
        <v>349.10787730916695</v>
      </c>
      <c r="BY149" s="8">
        <f>+BX149-Tabla_master_rend[[#This Row],[Merma_TOT]]</f>
        <v>87.31</v>
      </c>
      <c r="BZ149" s="62">
        <f t="shared" si="40"/>
        <v>0.25009461451561293</v>
      </c>
      <c r="CA149" s="8">
        <f>+Tabla_master_rend[[#This Row],[Kg_Queso_Blan]]*$CA$1</f>
        <v>55.428801202509575</v>
      </c>
      <c r="CB149" s="8">
        <f>+Tabla_master_rend[[#This Row],[Kg_Queso_Blan]]*($CB$1-$CA$1)</f>
        <v>29.846277570582085</v>
      </c>
      <c r="CC149" s="8">
        <f>+(Tabla_master_rend[[#This Row],[Kg_Queso_Blan]]-CA149-CB149)*$CC$1</f>
        <v>88.643444384628779</v>
      </c>
      <c r="CD149" s="8">
        <f t="shared" si="41"/>
        <v>173.91852315772044</v>
      </c>
      <c r="CE149" s="80">
        <f>+CD149/Tabla_master_rend[[#This Row],[Kg_Queso_Blan]]</f>
        <v>2.0395E-2</v>
      </c>
      <c r="CF149" s="62">
        <f>+Tabla_master_rend[[#This Row],[Merma_TOT]]/Tabla_master_rend[[#This Row],[Kg_Queso_Blan]]</f>
        <v>3.0700397006467102E-2</v>
      </c>
      <c r="CG149" s="8">
        <f>CD149-Tabla_master_rend[[#This Row],[Merma_TOT]]</f>
        <v>-87.879354151446506</v>
      </c>
      <c r="CH149" s="81" cm="1">
        <f t="array" ref="CH149">-BR149 * IFERROR(INDEX('Precio Leche_EBITDA_Ventas'!$BD$87:$BD$110,MATCH(1,('Precio Leche_EBITDA_Ventas'!$AZ$87:$AZ$110=YEAR(A149))*('Precio Leche_EBITDA_Ventas'!$BB$87:$BB$110=C149),0)),1.3)</f>
        <v>-916.29257058208429</v>
      </c>
      <c r="CI149" s="81">
        <f t="shared" si="42"/>
        <v>-114.24316039688046</v>
      </c>
    </row>
    <row r="150" spans="1:87" x14ac:dyDescent="0.35">
      <c r="A150" s="9">
        <v>45995</v>
      </c>
      <c r="B150" s="7">
        <v>12</v>
      </c>
      <c r="C150" s="7" t="str">
        <f>+UPPER(TEXT(Tabla_master_rend[[#This Row],[Fecha]],"MMM"))</f>
        <v>DIC</v>
      </c>
      <c r="D150" s="7" t="str">
        <f>+UPPER(TEXT(Tabla_master_rend[[#This Row],[Fecha]],"ddd"))</f>
        <v>JU</v>
      </c>
      <c r="E150" s="3" t="s">
        <v>508</v>
      </c>
      <c r="F150" s="3" t="s">
        <v>244</v>
      </c>
      <c r="G150" s="84" t="s">
        <v>300</v>
      </c>
      <c r="H150">
        <v>1</v>
      </c>
      <c r="I150" s="8">
        <f>+Tabla_master_rend[[#This Row],[L_Leche_ent]]+Tabla_master_rend[[#This Row],[L_desn_ext]]+Tabla_master_rend[[#This Row],[L_cabra]]+Tabla_master_rend[[#This Row],[L_oveja]]</f>
        <v>11987</v>
      </c>
      <c r="J150" s="8">
        <v>11987</v>
      </c>
      <c r="K150" s="5">
        <v>4.1500000000000002E-2</v>
      </c>
      <c r="L150" s="5">
        <v>4.3200000000000002E-2</v>
      </c>
      <c r="M150" s="5">
        <f t="shared" si="37"/>
        <v>0.11856300000000002</v>
      </c>
      <c r="N150" s="35" t="s">
        <v>43</v>
      </c>
      <c r="O150" s="8">
        <v>0</v>
      </c>
      <c r="P150" s="8">
        <v>0</v>
      </c>
      <c r="Q150" s="8">
        <v>0</v>
      </c>
      <c r="R150" s="8">
        <v>290</v>
      </c>
      <c r="T150" s="8">
        <v>13140.450671656912</v>
      </c>
      <c r="U150" s="38">
        <f>+Tabla_master_rend[[#This Row],[L_suero Total]]/Tabla_master_rend[[#This Row],[Litros_Leche_Total]]</f>
        <v>1.0962251331990416</v>
      </c>
      <c r="V150" s="5">
        <v>0</v>
      </c>
      <c r="W150" s="5">
        <v>7.1999999999999998E-3</v>
      </c>
      <c r="X150" s="8">
        <v>0</v>
      </c>
      <c r="Y150" s="57">
        <v>0</v>
      </c>
      <c r="Z150" s="58">
        <f>IF(Tabla_master_rend[[#This Row],[L_suero para con]]=0,0,+Tabla_master_rend[[#This Row],[L_suero para con]]/Tabla_master_rend[[#This Row],[L_suero_con]])</f>
        <v>0</v>
      </c>
      <c r="AA150" s="8">
        <f>+Tabla_master_rend[[#This Row],[L_suero Total]]-Tabla_master_rend[[#This Row],[L_suero para con]]</f>
        <v>13140.450671656912</v>
      </c>
      <c r="AD150" s="8"/>
      <c r="AE150" s="8"/>
      <c r="AF150" s="8"/>
      <c r="AG150" s="5"/>
      <c r="AI150" s="7">
        <f>+Tabla_master_rend[[#This Row],[Kg_Finos]]+Tabla_master_rend[[#This Row],[Kg_Llenadora]]+Tabla_master_rend[[#This Row],[Kg_Desmoldeo]]+Tabla_master_rend[[#This Row],[L_Agua]]+Tabla_master_rend[[#This Row],[Kg_SalidaSecadero]]</f>
        <v>1715.2082761014537</v>
      </c>
      <c r="AJ150" s="59">
        <f>+Tabla_master_rend[[#This Row],[Litros_Leche_Total]]/Tabla_master_rend[[#This Row],[Kg_Queso_Blan]]</f>
        <v>6.9886556443428534</v>
      </c>
      <c r="AK150" s="59">
        <f>+Tabla_master_rend[[#This Row],[Litros_Leche_Total]]/(Tabla_master_rend[[#This Row],[Kg_Queso_Blan]]-Tabla_master_rend[[#This Row],[Merma_TOT]])</f>
        <v>7.5279921219487189</v>
      </c>
      <c r="AL150" s="59">
        <f>VLOOKUP(G150,REND_TARGET[#All],8,FALSE)</f>
        <v>7.7024999999999997</v>
      </c>
      <c r="AM150" s="7">
        <f>(I150*1.03*Tabla_master_rend[[#This Row],[%MG_Leche]])+(I150*1.03*Tabla_master_rend[[#This Row],[%MP_Leche]])</f>
        <v>1045.757867</v>
      </c>
      <c r="AN150" s="38">
        <v>0.218</v>
      </c>
      <c r="AO150" s="38">
        <v>0.2422</v>
      </c>
      <c r="AP150" s="60">
        <v>0.52200000000000002</v>
      </c>
      <c r="AQ150" s="38">
        <f>+Tabla_master_rend[[#This Row],[Kg_Queso_Blan]]*Tabla_master_rend[[#This Row],[ES_QUESO]]/(Tabla_master_rend[[#This Row],[Kg_Solidos_leche]])</f>
        <v>0.85616254811780323</v>
      </c>
      <c r="AR150" s="7">
        <f t="shared" si="38"/>
        <v>116</v>
      </c>
      <c r="AS150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0.95614832431027263</v>
      </c>
      <c r="AT150" s="62">
        <f>+Tabla_master_rend[[#This Row],[Kg_Queso_Blan]]*Tabla_master_rend[[#This Row],[%PT_QUESO]]/(Tabla_master_rend[[#This Row],[Litros_Leche_Total]]*1.03*Tabla_master_rend[[#This Row],[%MP_Leche]])</f>
        <v>0.77886022453504045</v>
      </c>
      <c r="AU150" s="63">
        <f t="shared" si="39"/>
        <v>870</v>
      </c>
      <c r="AV150" s="7">
        <v>2.6985012199372607</v>
      </c>
      <c r="AW150" s="7">
        <v>5.5879739336492893</v>
      </c>
      <c r="AX150" s="7">
        <v>5.9218009478672986</v>
      </c>
      <c r="AY150" s="8">
        <f>SUM(Tabla_master_rend[[#This Row],[Kg_Finos]:[Kg_Desmoldeo]])</f>
        <v>14.208276101453849</v>
      </c>
      <c r="AZ150" s="60">
        <f>+(Tabla_master_rend[[#This Row],[Kg_Finos]]+Tabla_master_rend[[#This Row],[Kg_Llenadora]]+Tabla_master_rend[[#This Row],[Kg_Desmoldeo]])/(Tabla_master_rend[[#This Row],[Kg_Queso_Blan]])</f>
        <v>8.2837030927510741E-3</v>
      </c>
      <c r="BA150" s="7">
        <v>12.5</v>
      </c>
      <c r="BB150" s="60">
        <f>+Tabla_master_rend[[#This Row],[L_Agua]]/(Tabla_master_rend[[#This Row],[L_Agua]]+Tabla_master_rend[[#This Row],[Kg_SalidaSecadero]])</f>
        <v>7.3486184597295707E-3</v>
      </c>
      <c r="BC150" s="8">
        <v>245</v>
      </c>
      <c r="BD150" s="8">
        <v>220</v>
      </c>
      <c r="BE150" s="8">
        <v>1552</v>
      </c>
      <c r="BF150" s="8">
        <v>0</v>
      </c>
      <c r="BG150" s="8">
        <f>21*6</f>
        <v>126</v>
      </c>
      <c r="BH150" s="7">
        <v>6</v>
      </c>
      <c r="BI150" s="7">
        <v>6</v>
      </c>
      <c r="BJ150" s="8">
        <v>12</v>
      </c>
      <c r="BK150" s="8">
        <v>1688.5</v>
      </c>
      <c r="BL150" s="8">
        <v>0</v>
      </c>
      <c r="BM150" s="8">
        <v>93.734797297297291</v>
      </c>
      <c r="BN150" s="7">
        <v>2.4415384615384617</v>
      </c>
      <c r="BO150" s="68">
        <f>+SUM(Tabla_master_rend[[#This Row],[B_altas]:[B_lab]])/Tabla_master_rend[[#This Row],[Kg_SalidaSecadero]]</f>
        <v>8.8836245188036719E-2</v>
      </c>
      <c r="BP150" s="68">
        <f>+(Tabla_master_rend[[#This Row],[Kg_mer_env_real]]+Tabla_master_rend[[#This Row],[kg_mer_lab_real]])/Tabla_master_rend[[#This Row],[Kg_SalidaSecadero]]</f>
        <v>5.6959630298392509E-2</v>
      </c>
      <c r="BQ150" s="64">
        <f>+Tabla_master_rend[[#This Row],[Merma_TOT]]/Tabla_master_rend[[#This Row],[Kg_Queso_Blan]]</f>
        <v>7.1644134168707241E-2</v>
      </c>
      <c r="BR150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122.8846118602896</v>
      </c>
      <c r="BS150" s="8">
        <v>1683.4899999999998</v>
      </c>
      <c r="BT150" s="63">
        <f>IF(+Tabla_master_rend[[#This Row],[Kg_Env_Total]]=0,0,Tabla_master_rend[[#This Row],[Kg_Env_Total]]-Tabla_master_rend[[#This Row],[Kg_SalidaSecadero]])</f>
        <v>-5.0100000000002183</v>
      </c>
      <c r="BU150" s="60">
        <f>+Tabla_master_rend[[#This Row],[Diferencia_Env_vs_Sec_kg]]/Tabla_master_rend[[#This Row],[Kg_SalidaSecadero]]</f>
        <v>-2.9671305892805559E-3</v>
      </c>
      <c r="BV150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50" s="65">
        <f>+(Tabla_master_rend[[#This Row],[Coste_Leche_€]]-Tabla_master_rend[[#This Row],[Kg_MG_Nata]]*$CO$3)/Tabla_master_rend[[#This Row],[Kg_Queso_Blan]]</f>
        <v>-0.50722703016420145</v>
      </c>
      <c r="BX150" s="8">
        <f>SUM(Tabla_master_rend[[#This Row],[Kg_Finos]:[Kg_Desmoldeo]])+Tabla_master_rend[[#This Row],[L_Agua]]+SUM(Tabla_master_rend[[#This Row],[B_altas]:[B_lab]])</f>
        <v>176.70827610145386</v>
      </c>
      <c r="BY150" s="8">
        <f>+BX150-Tabla_master_rend[[#This Row],[Merma_TOT]]</f>
        <v>53.823664241164266</v>
      </c>
      <c r="BZ150" s="62">
        <f t="shared" si="40"/>
        <v>0.30459051171017243</v>
      </c>
      <c r="CA150" s="8">
        <f>+Tabla_master_rend[[#This Row],[Kg_Queso_Blan]]*$CA$1</f>
        <v>11.148853794659448</v>
      </c>
      <c r="CB150" s="8">
        <f>+Tabla_master_rend[[#This Row],[Kg_Queso_Blan]]*($CB$1-$CA$1)</f>
        <v>6.0032289663550893</v>
      </c>
      <c r="CC150" s="8">
        <f>+(Tabla_master_rend[[#This Row],[Kg_Queso_Blan]]-CA150-CB150)*$CC$1</f>
        <v>17.829590030074613</v>
      </c>
      <c r="CD150" s="8">
        <f t="shared" si="41"/>
        <v>34.981672791089153</v>
      </c>
      <c r="CE150" s="80">
        <f>+CD150/Tabla_master_rend[[#This Row],[Kg_Queso_Blan]]</f>
        <v>2.0395000000000003E-2</v>
      </c>
      <c r="CF150" s="62">
        <f>+Tabla_master_rend[[#This Row],[Merma_TOT]]/Tabla_master_rend[[#This Row],[Kg_Queso_Blan]]</f>
        <v>7.1644134168707241E-2</v>
      </c>
      <c r="CG150" s="8">
        <f>CD150-Tabla_master_rend[[#This Row],[Merma_TOT]]</f>
        <v>-87.902939069200443</v>
      </c>
      <c r="CH150" s="81" cm="1">
        <f t="array" ref="CH150">-BR150 * IFERROR(INDEX('Precio Leche_EBITDA_Ventas'!$BD$87:$BD$110,MATCH(1,('Precio Leche_EBITDA_Ventas'!$AZ$87:$AZ$110=YEAR(A150))*('Precio Leche_EBITDA_Ventas'!$BB$87:$BB$110=C150),0)),1.3)</f>
        <v>-430.09614151101357</v>
      </c>
      <c r="CI150" s="81">
        <f t="shared" si="42"/>
        <v>-114.27382078996058</v>
      </c>
    </row>
    <row r="151" spans="1:87" x14ac:dyDescent="0.35">
      <c r="A151" s="9">
        <v>45995</v>
      </c>
      <c r="B151" s="7">
        <v>12</v>
      </c>
      <c r="C151" s="7" t="str">
        <f>+UPPER(TEXT(Tabla_master_rend[[#This Row],[Fecha]],"MMM"))</f>
        <v>DIC</v>
      </c>
      <c r="D151" s="7" t="str">
        <f>+UPPER(TEXT(Tabla_master_rend[[#This Row],[Fecha]],"ddd"))</f>
        <v>JU</v>
      </c>
      <c r="E151" s="3" t="s">
        <v>508</v>
      </c>
      <c r="F151" s="3" t="s">
        <v>244</v>
      </c>
      <c r="G151" s="84" t="s">
        <v>300</v>
      </c>
      <c r="H151">
        <v>2</v>
      </c>
      <c r="I151" s="8">
        <f>+Tabla_master_rend[[#This Row],[L_Leche_ent]]+Tabla_master_rend[[#This Row],[L_desn_ext]]+Tabla_master_rend[[#This Row],[L_cabra]]+Tabla_master_rend[[#This Row],[L_oveja]]</f>
        <v>35955</v>
      </c>
      <c r="J151" s="8">
        <v>35955</v>
      </c>
      <c r="K151" s="5">
        <v>4.1500000000000002E-2</v>
      </c>
      <c r="L151" s="5">
        <v>4.3200000000000002E-2</v>
      </c>
      <c r="M151" s="5">
        <f t="shared" si="37"/>
        <v>0.11856300000000002</v>
      </c>
      <c r="N151" s="35" t="s">
        <v>43</v>
      </c>
      <c r="O151" s="8">
        <v>0</v>
      </c>
      <c r="P151" s="8">
        <v>0</v>
      </c>
      <c r="Q151" s="8">
        <v>0</v>
      </c>
      <c r="R151" s="8">
        <v>870</v>
      </c>
      <c r="T151" s="8">
        <v>39414.774664171542</v>
      </c>
      <c r="U151" s="38">
        <f>+Tabla_master_rend[[#This Row],[L_suero Total]]/Tabla_master_rend[[#This Row],[Litros_Leche_Total]]</f>
        <v>1.0962251331990416</v>
      </c>
      <c r="V151" s="5">
        <v>0</v>
      </c>
      <c r="W151" s="5">
        <v>7.1999999999999998E-3</v>
      </c>
      <c r="X151" s="8">
        <v>0</v>
      </c>
      <c r="Y151" s="57">
        <v>0</v>
      </c>
      <c r="Z151" s="58">
        <f>IF(Tabla_master_rend[[#This Row],[L_suero para con]]=0,0,+Tabla_master_rend[[#This Row],[L_suero para con]]/Tabla_master_rend[[#This Row],[L_suero_con]])</f>
        <v>0</v>
      </c>
      <c r="AA151" s="8">
        <f>+Tabla_master_rend[[#This Row],[L_suero Total]]-Tabla_master_rend[[#This Row],[L_suero para con]]</f>
        <v>39414.774664171542</v>
      </c>
      <c r="AD151" s="8"/>
      <c r="AE151" s="8"/>
      <c r="AF151" s="8"/>
      <c r="AG151" s="5"/>
      <c r="AI151" s="7">
        <f>+Tabla_master_rend[[#This Row],[Kg_Finos]]+Tabla_master_rend[[#This Row],[Kg_Llenadora]]+Tabla_master_rend[[#This Row],[Kg_Desmoldeo]]+Tabla_master_rend[[#This Row],[L_Agua]]+Tabla_master_rend[[#This Row],[Kg_SalidaSecadero]]</f>
        <v>5115.3489831034149</v>
      </c>
      <c r="AJ151" s="59">
        <f>+Tabla_master_rend[[#This Row],[Litros_Leche_Total]]/Tabla_master_rend[[#This Row],[Kg_Queso_Blan]]</f>
        <v>7.0288459533774716</v>
      </c>
      <c r="AK151" s="59">
        <f>+Tabla_master_rend[[#This Row],[Litros_Leche_Total]]/(Tabla_master_rend[[#This Row],[Kg_Queso_Blan]]-Tabla_master_rend[[#This Row],[Merma_TOT]])</f>
        <v>7.2825764533476782</v>
      </c>
      <c r="AL151" s="59">
        <f>VLOOKUP(G151,REND_TARGET[#All],8,FALSE)</f>
        <v>7.7024999999999997</v>
      </c>
      <c r="AM151" s="7">
        <f>(I151*1.03*Tabla_master_rend[[#This Row],[%MG_Leche]])+(I151*1.03*Tabla_master_rend[[#This Row],[%MP_Leche]])</f>
        <v>3136.7501550000006</v>
      </c>
      <c r="AN151" s="38">
        <v>0.22289999999999999</v>
      </c>
      <c r="AO151" s="38">
        <v>0.24480000000000002</v>
      </c>
      <c r="AP151" s="60">
        <v>0.5262</v>
      </c>
      <c r="AQ151" s="38">
        <f>+Tabla_master_rend[[#This Row],[Kg_Queso_Blan]]*Tabla_master_rend[[#This Row],[ES_QUESO]]/(Tabla_master_rend[[#This Row],[Kg_Solidos_leche]])</f>
        <v>0.85811636308312111</v>
      </c>
      <c r="AR151" s="7">
        <f t="shared" si="38"/>
        <v>348</v>
      </c>
      <c r="AS151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0.96832240332501962</v>
      </c>
      <c r="AT151" s="62">
        <f>+Tabla_master_rend[[#This Row],[Kg_Queso_Blan]]*Tabla_master_rend[[#This Row],[%PT_QUESO]]/(Tabla_master_rend[[#This Row],[Litros_Leche_Total]]*1.03*Tabla_master_rend[[#This Row],[%MP_Leche]])</f>
        <v>0.782719974156459</v>
      </c>
      <c r="AU151" s="63">
        <f t="shared" si="39"/>
        <v>2610</v>
      </c>
      <c r="AV151" s="7">
        <v>7.8531892645521095</v>
      </c>
      <c r="AW151" s="7">
        <v>16.262144549763033</v>
      </c>
      <c r="AX151" s="7">
        <v>17.233649289099525</v>
      </c>
      <c r="AY151" s="8">
        <f>SUM(Tabla_master_rend[[#This Row],[Kg_Finos]:[Kg_Desmoldeo]])</f>
        <v>41.348983103414668</v>
      </c>
      <c r="AZ151" s="60">
        <f>+(Tabla_master_rend[[#This Row],[Kg_Finos]]+Tabla_master_rend[[#This Row],[Kg_Llenadora]]+Tabla_master_rend[[#This Row],[Kg_Desmoldeo]])/(Tabla_master_rend[[#This Row],[Kg_Queso_Blan]])</f>
        <v>8.0833161608318618E-3</v>
      </c>
      <c r="BA151" s="7">
        <v>37.5</v>
      </c>
      <c r="BB151" s="60">
        <f>+Tabla_master_rend[[#This Row],[L_Agua]]/(Tabla_master_rend[[#This Row],[L_Agua]]+Tabla_master_rend[[#This Row],[Kg_SalidaSecadero]])</f>
        <v>7.3906188411509656E-3</v>
      </c>
      <c r="BC151" s="8">
        <v>713</v>
      </c>
      <c r="BD151" s="8">
        <v>689</v>
      </c>
      <c r="BE151" s="8">
        <v>4927</v>
      </c>
      <c r="BF151" s="8">
        <v>0</v>
      </c>
      <c r="BG151" s="8">
        <f>16*5.9</f>
        <v>94.4</v>
      </c>
      <c r="BH151" s="7">
        <v>0</v>
      </c>
      <c r="BI151" s="7">
        <f>2*5.9</f>
        <v>11.8</v>
      </c>
      <c r="BJ151" s="8">
        <v>40</v>
      </c>
      <c r="BK151" s="8">
        <v>5036.5</v>
      </c>
      <c r="BL151" s="8">
        <v>0</v>
      </c>
      <c r="BM151" s="8">
        <v>91.235202702702708</v>
      </c>
      <c r="BN151" s="7">
        <v>8.138461538461538</v>
      </c>
      <c r="BO151" s="68">
        <f>+SUM(Tabla_master_rend[[#This Row],[B_altas]:[B_lab]])/Tabla_master_rend[[#This Row],[Kg_SalidaSecadero]]</f>
        <v>2.9028094907177601E-2</v>
      </c>
      <c r="BP151" s="68">
        <f>+(Tabla_master_rend[[#This Row],[Kg_mer_env_real]]+Tabla_master_rend[[#This Row],[kg_mer_lab_real]])/Tabla_master_rend[[#This Row],[Kg_SalidaSecadero]]</f>
        <v>1.9730698747376998E-2</v>
      </c>
      <c r="BQ151" s="64">
        <f>+Tabla_master_rend[[#This Row],[Merma_TOT]]/Tabla_master_rend[[#This Row],[Kg_Queso_Blan]]</f>
        <v>3.4840760216608639E-2</v>
      </c>
      <c r="BR151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178.22264734457892</v>
      </c>
      <c r="BS151" s="8">
        <v>5017.5800000000008</v>
      </c>
      <c r="BT151" s="63">
        <f>IF(+Tabla_master_rend[[#This Row],[Kg_Env_Total]]=0,0,Tabla_master_rend[[#This Row],[Kg_Env_Total]]-Tabla_master_rend[[#This Row],[Kg_SalidaSecadero]])</f>
        <v>-18.919999999999163</v>
      </c>
      <c r="BU151" s="60">
        <f>+Tabla_master_rend[[#This Row],[Diferencia_Env_vs_Sec_kg]]/Tabla_master_rend[[#This Row],[Kg_SalidaSecadero]]</f>
        <v>-3.7565769879875236E-3</v>
      </c>
      <c r="BV151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51" s="65">
        <f>+(Tabla_master_rend[[#This Row],[Coste_Leche_€]]-Tabla_master_rend[[#This Row],[Kg_MG_Nata]]*$CO$3)/Tabla_master_rend[[#This Row],[Kg_Queso_Blan]]</f>
        <v>-0.51022911801738835</v>
      </c>
      <c r="BX151" s="8">
        <f>SUM(Tabla_master_rend[[#This Row],[Kg_Finos]:[Kg_Desmoldeo]])+Tabla_master_rend[[#This Row],[L_Agua]]+SUM(Tabla_master_rend[[#This Row],[B_altas]:[B_lab]])</f>
        <v>225.04898310341466</v>
      </c>
      <c r="BY151" s="8">
        <f>+BX151-Tabla_master_rend[[#This Row],[Merma_TOT]]</f>
        <v>46.826335758835739</v>
      </c>
      <c r="BZ151" s="62">
        <f t="shared" si="40"/>
        <v>0.20807175003904849</v>
      </c>
      <c r="CA151" s="8">
        <f>+Tabla_master_rend[[#This Row],[Kg_Queso_Blan]]*$CA$1</f>
        <v>33.249768390172193</v>
      </c>
      <c r="CB151" s="8">
        <f>+Tabla_master_rend[[#This Row],[Kg_Queso_Blan]]*($CB$1-$CA$1)</f>
        <v>17.903721440861954</v>
      </c>
      <c r="CC151" s="8">
        <f>+(Tabla_master_rend[[#This Row],[Kg_Queso_Blan]]-CA151-CB151)*$CC$1</f>
        <v>53.174052679360003</v>
      </c>
      <c r="CD151" s="8">
        <f t="shared" si="41"/>
        <v>104.32754251039415</v>
      </c>
      <c r="CE151" s="80">
        <f>+CD151/Tabla_master_rend[[#This Row],[Kg_Queso_Blan]]</f>
        <v>2.0395E-2</v>
      </c>
      <c r="CF151" s="62">
        <f>+Tabla_master_rend[[#This Row],[Merma_TOT]]/Tabla_master_rend[[#This Row],[Kg_Queso_Blan]]</f>
        <v>3.4840760216608639E-2</v>
      </c>
      <c r="CG151" s="8">
        <f>CD151-Tabla_master_rend[[#This Row],[Merma_TOT]]</f>
        <v>-73.895104834184764</v>
      </c>
      <c r="CH151" s="81" cm="1">
        <f t="array" ref="CH151">-BR151 * IFERROR(INDEX('Precio Leche_EBITDA_Ventas'!$BD$87:$BD$110,MATCH(1,('Precio Leche_EBITDA_Ventas'!$AZ$87:$AZ$110=YEAR(A151))*('Precio Leche_EBITDA_Ventas'!$BB$87:$BB$110=C151),0)),1.3)</f>
        <v>-623.77926570602619</v>
      </c>
      <c r="CI151" s="81">
        <f t="shared" si="42"/>
        <v>-96.063636284440193</v>
      </c>
    </row>
    <row r="152" spans="1:87" x14ac:dyDescent="0.35">
      <c r="A152" s="9">
        <v>45995</v>
      </c>
      <c r="B152" s="7">
        <v>12</v>
      </c>
      <c r="C152" s="7" t="str">
        <f>+UPPER(TEXT(Tabla_master_rend[[#This Row],[Fecha]],"MMM"))</f>
        <v>DIC</v>
      </c>
      <c r="D152" s="7" t="str">
        <f>+UPPER(TEXT(Tabla_master_rend[[#This Row],[Fecha]],"ddd"))</f>
        <v>JU</v>
      </c>
      <c r="E152" s="3" t="s">
        <v>509</v>
      </c>
      <c r="F152" s="3" t="s">
        <v>244</v>
      </c>
      <c r="G152" s="84" t="s">
        <v>300</v>
      </c>
      <c r="H152">
        <v>3</v>
      </c>
      <c r="I152" s="8">
        <f>+Tabla_master_rend[[#This Row],[L_Leche_ent]]+Tabla_master_rend[[#This Row],[L_desn_ext]]+Tabla_master_rend[[#This Row],[L_cabra]]+Tabla_master_rend[[#This Row],[L_oveja]]</f>
        <v>35955</v>
      </c>
      <c r="J152" s="8">
        <v>35955</v>
      </c>
      <c r="K152" s="5">
        <v>4.1500000000000002E-2</v>
      </c>
      <c r="L152" s="5">
        <v>4.3200000000000002E-2</v>
      </c>
      <c r="M152" s="5">
        <f t="shared" si="37"/>
        <v>0.11856300000000002</v>
      </c>
      <c r="N152" s="35" t="s">
        <v>43</v>
      </c>
      <c r="O152" s="8">
        <v>0</v>
      </c>
      <c r="P152" s="8">
        <v>0</v>
      </c>
      <c r="Q152" s="8">
        <v>0</v>
      </c>
      <c r="R152" s="8">
        <v>870</v>
      </c>
      <c r="T152" s="8">
        <v>39414.774664171542</v>
      </c>
      <c r="U152" s="38">
        <f>+Tabla_master_rend[[#This Row],[L_suero Total]]/Tabla_master_rend[[#This Row],[Litros_Leche_Total]]</f>
        <v>1.0962251331990416</v>
      </c>
      <c r="V152" s="5">
        <v>0</v>
      </c>
      <c r="W152" s="5">
        <v>7.1999999999999998E-3</v>
      </c>
      <c r="X152" s="8">
        <v>0</v>
      </c>
      <c r="Y152" s="57">
        <v>0</v>
      </c>
      <c r="Z152" s="58">
        <f>IF(Tabla_master_rend[[#This Row],[L_suero para con]]=0,0,+Tabla_master_rend[[#This Row],[L_suero para con]]/Tabla_master_rend[[#This Row],[L_suero_con]])</f>
        <v>0</v>
      </c>
      <c r="AA152" s="8">
        <f>+Tabla_master_rend[[#This Row],[L_suero Total]]-Tabla_master_rend[[#This Row],[L_suero para con]]</f>
        <v>39414.774664171542</v>
      </c>
      <c r="AD152" s="8"/>
      <c r="AE152" s="8"/>
      <c r="AF152" s="8"/>
      <c r="AG152" s="5"/>
      <c r="AI152" s="7">
        <f>+Tabla_master_rend[[#This Row],[Kg_Finos]]+Tabla_master_rend[[#This Row],[Kg_Llenadora]]+Tabla_master_rend[[#This Row],[Kg_Desmoldeo]]+Tabla_master_rend[[#This Row],[L_Agua]]+Tabla_master_rend[[#This Row],[Kg_SalidaSecadero]]</f>
        <v>5232.3348634859649</v>
      </c>
      <c r="AJ152" s="59">
        <f>+Tabla_master_rend[[#This Row],[Litros_Leche_Total]]/Tabla_master_rend[[#This Row],[Kg_Queso_Blan]]</f>
        <v>6.8716932188177111</v>
      </c>
      <c r="AK152" s="59">
        <f>+Tabla_master_rend[[#This Row],[Litros_Leche_Total]]/(Tabla_master_rend[[#This Row],[Kg_Queso_Blan]]-Tabla_master_rend[[#This Row],[Merma_TOT]])</f>
        <v>7.2120447465704913</v>
      </c>
      <c r="AL152" s="59">
        <f>VLOOKUP(G152,REND_TARGET[#All],8,FALSE)</f>
        <v>7.7024999999999997</v>
      </c>
      <c r="AM152" s="7">
        <f>(I152*1.03*Tabla_master_rend[[#This Row],[%MG_Leche]])+(I152*1.03*Tabla_master_rend[[#This Row],[%MP_Leche]])</f>
        <v>3136.7501550000006</v>
      </c>
      <c r="AN152" s="38">
        <v>0.2195</v>
      </c>
      <c r="AO152" s="38">
        <v>0.24</v>
      </c>
      <c r="AP152" s="60">
        <v>0.51890000000000003</v>
      </c>
      <c r="AQ152" s="38">
        <f>+Tabla_master_rend[[#This Row],[Kg_Queso_Blan]]*Tabla_master_rend[[#This Row],[ES_QUESO]]/(Tabla_master_rend[[#This Row],[Kg_Solidos_leche]])</f>
        <v>0.86556417518145201</v>
      </c>
      <c r="AR152" s="7">
        <f t="shared" si="38"/>
        <v>348</v>
      </c>
      <c r="AS152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0.97371392730611162</v>
      </c>
      <c r="AT152" s="62">
        <f>+Tabla_master_rend[[#This Row],[Kg_Queso_Blan]]*Tabla_master_rend[[#This Row],[%PT_QUESO]]/(Tabla_master_rend[[#This Row],[Litros_Leche_Total]]*1.03*Tabla_master_rend[[#This Row],[%MP_Leche]])</f>
        <v>0.78492201064076772</v>
      </c>
      <c r="AU152" s="63">
        <f t="shared" si="39"/>
        <v>2610</v>
      </c>
      <c r="AV152" s="7">
        <v>8.0404322063436755</v>
      </c>
      <c r="AW152" s="7">
        <v>16.649881516587676</v>
      </c>
      <c r="AX152" s="7">
        <v>17.644549763033176</v>
      </c>
      <c r="AY152" s="8">
        <f>SUM(Tabla_master_rend[[#This Row],[Kg_Finos]:[Kg_Desmoldeo]])</f>
        <v>42.334863485964526</v>
      </c>
      <c r="AZ152" s="60">
        <f>+(Tabla_master_rend[[#This Row],[Kg_Finos]]+Tabla_master_rend[[#This Row],[Kg_Llenadora]]+Tabla_master_rend[[#This Row],[Kg_Desmoldeo]])/(Tabla_master_rend[[#This Row],[Kg_Queso_Blan]])</f>
        <v>8.0910080471721865E-3</v>
      </c>
      <c r="BA152" s="7">
        <v>45</v>
      </c>
      <c r="BB152" s="60">
        <f>+Tabla_master_rend[[#This Row],[L_Agua]]/(Tabla_master_rend[[#This Row],[L_Agua]]+Tabla_master_rend[[#This Row],[Kg_SalidaSecadero]])</f>
        <v>8.670520231213872E-3</v>
      </c>
      <c r="BC152" s="8">
        <v>730</v>
      </c>
      <c r="BD152" s="8">
        <v>704</v>
      </c>
      <c r="BE152" s="8">
        <v>5026</v>
      </c>
      <c r="BF152" s="8">
        <v>0</v>
      </c>
      <c r="BG152" s="8">
        <f>20*6.3</f>
        <v>126</v>
      </c>
      <c r="BH152" s="7">
        <v>0</v>
      </c>
      <c r="BI152" s="7">
        <f>2*6.3</f>
        <v>12.6</v>
      </c>
      <c r="BJ152" s="8">
        <v>39</v>
      </c>
      <c r="BK152" s="8">
        <v>5145</v>
      </c>
      <c r="BL152" s="8">
        <v>0</v>
      </c>
      <c r="BM152" s="8">
        <v>148.76</v>
      </c>
      <c r="BN152" s="7">
        <v>10.83</v>
      </c>
      <c r="BO152" s="68">
        <f>+SUM(Tabla_master_rend[[#This Row],[B_altas]:[B_lab]])/Tabla_master_rend[[#This Row],[Kg_SalidaSecadero]]</f>
        <v>3.4518950437317786E-2</v>
      </c>
      <c r="BP152" s="68">
        <f>+(Tabla_master_rend[[#This Row],[Kg_mer_env_real]]+Tabla_master_rend[[#This Row],[kg_mer_lab_real]])/Tabla_master_rend[[#This Row],[Kg_SalidaSecadero]]</f>
        <v>3.1018464528668611E-2</v>
      </c>
      <c r="BQ152" s="64">
        <f>+Tabla_master_rend[[#This Row],[Merma_TOT]]/Tabla_master_rend[[#This Row],[Kg_Queso_Blan]]</f>
        <v>4.7192098733805907E-2</v>
      </c>
      <c r="BR152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246.92486348596452</v>
      </c>
      <c r="BS152" s="8">
        <v>5023.6000000000004</v>
      </c>
      <c r="BT152" s="63">
        <f>IF(+Tabla_master_rend[[#This Row],[Kg_Env_Total]]=0,0,Tabla_master_rend[[#This Row],[Kg_Env_Total]]-Tabla_master_rend[[#This Row],[Kg_SalidaSecadero]])</f>
        <v>-121.39999999999964</v>
      </c>
      <c r="BU152" s="60">
        <f>+Tabla_master_rend[[#This Row],[Diferencia_Env_vs_Sec_kg]]/Tabla_master_rend[[#This Row],[Kg_SalidaSecadero]]</f>
        <v>-2.3595724003887198E-2</v>
      </c>
      <c r="BV152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52" s="65">
        <f>+(Tabla_master_rend[[#This Row],[Coste_Leche_€]]-Tabla_master_rend[[#This Row],[Kg_MG_Nata]]*$CO$3)/Tabla_master_rend[[#This Row],[Kg_Queso_Blan]]</f>
        <v>-0.49882128497049721</v>
      </c>
      <c r="BX152" s="8">
        <f>SUM(Tabla_master_rend[[#This Row],[Kg_Finos]:[Kg_Desmoldeo]])+Tabla_master_rend[[#This Row],[L_Agua]]+SUM(Tabla_master_rend[[#This Row],[B_altas]:[B_lab]])</f>
        <v>264.93486348596451</v>
      </c>
      <c r="BY152" s="8">
        <f>+BX152-Tabla_master_rend[[#This Row],[Merma_TOT]]</f>
        <v>18.009999999999991</v>
      </c>
      <c r="BZ152" s="62">
        <f t="shared" si="40"/>
        <v>6.7978973257908387E-2</v>
      </c>
      <c r="CA152" s="8">
        <f>+Tabla_master_rend[[#This Row],[Kg_Queso_Blan]]*$CA$1</f>
        <v>34.010176612658768</v>
      </c>
      <c r="CB152" s="8">
        <f>+Tabla_master_rend[[#This Row],[Kg_Queso_Blan]]*($CB$1-$CA$1)</f>
        <v>18.313172022200881</v>
      </c>
      <c r="CC152" s="8">
        <f>+(Tabla_master_rend[[#This Row],[Kg_Queso_Blan]]-CA152-CB152)*$CC$1</f>
        <v>54.390120905936605</v>
      </c>
      <c r="CD152" s="8">
        <f t="shared" si="41"/>
        <v>106.71346954079625</v>
      </c>
      <c r="CE152" s="80">
        <f>+CD152/Tabla_master_rend[[#This Row],[Kg_Queso_Blan]]</f>
        <v>2.0395E-2</v>
      </c>
      <c r="CF152" s="62">
        <f>+Tabla_master_rend[[#This Row],[Merma_TOT]]/Tabla_master_rend[[#This Row],[Kg_Queso_Blan]]</f>
        <v>4.7192098733805907E-2</v>
      </c>
      <c r="CG152" s="8">
        <f>CD152-Tabla_master_rend[[#This Row],[Merma_TOT]]</f>
        <v>-140.21139394516825</v>
      </c>
      <c r="CH152" s="81" cm="1">
        <f t="array" ref="CH152">-BR152 * IFERROR(INDEX('Precio Leche_EBITDA_Ventas'!$BD$87:$BD$110,MATCH(1,('Precio Leche_EBITDA_Ventas'!$AZ$87:$AZ$110=YEAR(A152))*('Precio Leche_EBITDA_Ventas'!$BB$87:$BB$110=C152),0)),1.3)</f>
        <v>-864.2370222008758</v>
      </c>
      <c r="CI152" s="81">
        <f t="shared" si="42"/>
        <v>-182.27481212871874</v>
      </c>
    </row>
    <row r="153" spans="1:87" x14ac:dyDescent="0.35">
      <c r="A153" s="9">
        <v>46000</v>
      </c>
      <c r="B153" s="7">
        <v>12</v>
      </c>
      <c r="C153" s="7" t="str">
        <f>+UPPER(TEXT(Tabla_master_rend[[#This Row],[Fecha]],"MMM"))</f>
        <v>DIC</v>
      </c>
      <c r="D153" s="7" t="str">
        <f>+UPPER(TEXT(Tabla_master_rend[[#This Row],[Fecha]],"ddd"))</f>
        <v>MA</v>
      </c>
      <c r="E153" s="3" t="s">
        <v>510</v>
      </c>
      <c r="F153" s="3" t="s">
        <v>244</v>
      </c>
      <c r="G153" s="84" t="s">
        <v>40</v>
      </c>
      <c r="H153">
        <v>10</v>
      </c>
      <c r="I153" s="8">
        <f>+Tabla_master_rend[[#This Row],[L_Leche_ent]]+Tabla_master_rend[[#This Row],[L_desn_ext]]+Tabla_master_rend[[#This Row],[L_cabra]]+Tabla_master_rend[[#This Row],[L_oveja]]</f>
        <v>157896</v>
      </c>
      <c r="J153" s="8">
        <v>157896</v>
      </c>
      <c r="K153" s="5">
        <v>4.1500000000000002E-2</v>
      </c>
      <c r="L153" s="5">
        <v>3.4700000000000002E-2</v>
      </c>
      <c r="M153" s="5">
        <f t="shared" si="37"/>
        <v>0.112273</v>
      </c>
      <c r="N153" s="35" t="s">
        <v>43</v>
      </c>
      <c r="O153" s="8">
        <v>0</v>
      </c>
      <c r="P153" s="8">
        <v>0</v>
      </c>
      <c r="Q153" s="8">
        <v>0</v>
      </c>
      <c r="R153" s="8">
        <v>2219</v>
      </c>
      <c r="T153" s="8">
        <v>141320</v>
      </c>
      <c r="U153" s="38">
        <f>+Tabla_master_rend[[#This Row],[L_suero Total]]/Tabla_master_rend[[#This Row],[Litros_Leche_Total]]</f>
        <v>0.89501950651061457</v>
      </c>
      <c r="V153" s="5">
        <v>1.8E-3</v>
      </c>
      <c r="W153" s="5">
        <v>8.3000000000000001E-3</v>
      </c>
      <c r="X153" s="8">
        <v>53871</v>
      </c>
      <c r="Y153" s="57">
        <v>17197</v>
      </c>
      <c r="Z153" s="58">
        <f>IF(Tabla_master_rend[[#This Row],[L_suero para con]]=0,0,+Tabla_master_rend[[#This Row],[L_suero para con]]/Tabla_master_rend[[#This Row],[L_suero_con]])</f>
        <v>3.1325812641739836</v>
      </c>
      <c r="AA153" s="8">
        <f>+Tabla_master_rend[[#This Row],[L_suero Total]]-Tabla_master_rend[[#This Row],[L_suero para con]]</f>
        <v>87449</v>
      </c>
      <c r="AD153" s="8"/>
      <c r="AE153" s="8"/>
      <c r="AF153" s="8"/>
      <c r="AG153" s="5"/>
      <c r="AI153" s="7">
        <f>+Tabla_master_rend[[#This Row],[Kg_Finos]]+Tabla_master_rend[[#This Row],[Kg_Llenadora]]+Tabla_master_rend[[#This Row],[Kg_Desmoldeo]]+Tabla_master_rend[[#This Row],[L_Agua]]+Tabla_master_rend[[#This Row],[Kg_SalidaSecadero]]</f>
        <v>19100.400000000001</v>
      </c>
      <c r="AJ153" s="59">
        <f>+Tabla_master_rend[[#This Row],[Litros_Leche_Total]]/Tabla_master_rend[[#This Row],[Kg_Queso_Blan]]</f>
        <v>8.2666331595149831</v>
      </c>
      <c r="AK153" s="59">
        <f>+Tabla_master_rend[[#This Row],[Litros_Leche_Total]]/(Tabla_master_rend[[#This Row],[Kg_Queso_Blan]]-Tabla_master_rend[[#This Row],[Merma_TOT]])</f>
        <v>8.4880967420257427</v>
      </c>
      <c r="AL153" s="59">
        <f>VLOOKUP(G153,REND_TARGET[#All],8,FALSE)</f>
        <v>8.9338729999999984</v>
      </c>
      <c r="AM153" s="7">
        <f>(I153*1.03*Tabla_master_rend[[#This Row],[%MG_Leche]])+(I153*1.03*Tabla_master_rend[[#This Row],[%MP_Leche]])</f>
        <v>12392.625456000002</v>
      </c>
      <c r="AN153" s="38">
        <v>0.28889999999999999</v>
      </c>
      <c r="AO153" s="38">
        <v>0.21710000000000002</v>
      </c>
      <c r="AP153" s="60">
        <v>0.55489999999999995</v>
      </c>
      <c r="AQ153" s="38">
        <f>+Tabla_master_rend[[#This Row],[Kg_Queso_Blan]]*Tabla_master_rend[[#This Row],[ES_QUESO]]/(Tabla_master_rend[[#This Row],[Kg_Solidos_leche]])</f>
        <v>0.85525153629721684</v>
      </c>
      <c r="AR153" s="7">
        <f t="shared" si="38"/>
        <v>887.6</v>
      </c>
      <c r="AS153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0.94909682988688071</v>
      </c>
      <c r="AT153" s="62">
        <f>+Tabla_master_rend[[#This Row],[Kg_Queso_Blan]]*Tabla_master_rend[[#This Row],[%PT_QUESO]]/(Tabla_master_rend[[#This Row],[Litros_Leche_Total]]*1.03*Tabla_master_rend[[#This Row],[%MP_Leche]])</f>
        <v>0.73479206576128886</v>
      </c>
      <c r="AU153" s="63">
        <f t="shared" si="39"/>
        <v>6657</v>
      </c>
      <c r="AV153" s="7">
        <v>40</v>
      </c>
      <c r="AW153" s="7">
        <v>67.400000000000006</v>
      </c>
      <c r="AX153" s="7">
        <v>0</v>
      </c>
      <c r="AY153" s="8">
        <f>SUM(Tabla_master_rend[[#This Row],[Kg_Finos]:[Kg_Desmoldeo]])</f>
        <v>107.4</v>
      </c>
      <c r="AZ153" s="60">
        <f>+(Tabla_master_rend[[#This Row],[Kg_Finos]]+Tabla_master_rend[[#This Row],[Kg_Llenadora]]+Tabla_master_rend[[#This Row],[Kg_Desmoldeo]])/(Tabla_master_rend[[#This Row],[Kg_Queso_Blan]])</f>
        <v>5.622918891750958E-3</v>
      </c>
      <c r="BA153" s="7">
        <v>220</v>
      </c>
      <c r="BB153" s="60">
        <f>+Tabla_master_rend[[#This Row],[L_Agua]]/(Tabla_master_rend[[#This Row],[L_Agua]]+Tabla_master_rend[[#This Row],[Kg_SalidaSecadero]])</f>
        <v>1.1583214868635814E-2</v>
      </c>
      <c r="BC153" s="8">
        <v>2621</v>
      </c>
      <c r="BD153" s="8">
        <v>2588</v>
      </c>
      <c r="BE153" s="8">
        <v>18775</v>
      </c>
      <c r="BF153" s="8">
        <f>64*7</f>
        <v>448</v>
      </c>
      <c r="BG153" s="8">
        <v>0</v>
      </c>
      <c r="BH153" s="7">
        <f>3*7</f>
        <v>21</v>
      </c>
      <c r="BI153" s="7">
        <f>9*7</f>
        <v>63</v>
      </c>
      <c r="BJ153" s="8">
        <v>134</v>
      </c>
      <c r="BK153" s="8">
        <v>18773</v>
      </c>
      <c r="BL153" s="8">
        <v>0</v>
      </c>
      <c r="BM153" s="8">
        <v>139.22999999999999</v>
      </c>
      <c r="BN153" s="7">
        <v>31.72</v>
      </c>
      <c r="BO153" s="68">
        <f>+SUM(Tabla_master_rend[[#This Row],[B_altas]:[B_lab]])/Tabla_master_rend[[#This Row],[Kg_SalidaSecadero]]</f>
        <v>3.5476482181856922E-2</v>
      </c>
      <c r="BP153" s="68">
        <f>+(Tabla_master_rend[[#This Row],[Kg_mer_env_real]]+Tabla_master_rend[[#This Row],[kg_mer_lab_real]])/Tabla_master_rend[[#This Row],[Kg_SalidaSecadero]]</f>
        <v>9.10616310658925E-3</v>
      </c>
      <c r="BQ153" s="64">
        <f>+Tabla_master_rend[[#This Row],[Merma_TOT]]/Tabla_master_rend[[#This Row],[Kg_Queso_Blan]]</f>
        <v>2.6091076626667504E-2</v>
      </c>
      <c r="BR153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498.35</v>
      </c>
      <c r="BS153" s="8">
        <v>18719.7</v>
      </c>
      <c r="BT153" s="63">
        <f>IF(+Tabla_master_rend[[#This Row],[Kg_Env_Total]]=0,0,Tabla_master_rend[[#This Row],[Kg_Env_Total]]-Tabla_master_rend[[#This Row],[Kg_SalidaSecadero]])</f>
        <v>-53.299999999999272</v>
      </c>
      <c r="BU153" s="60">
        <f>+Tabla_master_rend[[#This Row],[Diferencia_Env_vs_Sec_kg]]/Tabla_master_rend[[#This Row],[Kg_SalidaSecadero]]</f>
        <v>-2.8391839343737961E-3</v>
      </c>
      <c r="BV153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53" s="65">
        <f>+(Tabla_master_rend[[#This Row],[Coste_Leche_€]]-Tabla_master_rend[[#This Row],[Kg_MG_Nata]]*$CO$3)/Tabla_master_rend[[#This Row],[Kg_Queso_Blan]]</f>
        <v>-0.34852673242445181</v>
      </c>
      <c r="BX153" s="8">
        <f>SUM(Tabla_master_rend[[#This Row],[Kg_Finos]:[Kg_Desmoldeo]])+Tabla_master_rend[[#This Row],[L_Agua]]+SUM(Tabla_master_rend[[#This Row],[B_altas]:[B_lab]])</f>
        <v>993.4</v>
      </c>
      <c r="BY153" s="8">
        <f>+BX153-Tabla_master_rend[[#This Row],[Merma_TOT]]</f>
        <v>495.04999999999995</v>
      </c>
      <c r="BZ153" s="62">
        <f t="shared" si="40"/>
        <v>0.49833903764847992</v>
      </c>
      <c r="CA153" s="8">
        <f>+Tabla_master_rend[[#This Row],[Kg_Queso_Blan]]*$CA$1</f>
        <v>124.15260000000001</v>
      </c>
      <c r="CB153" s="8">
        <f>+Tabla_master_rend[[#This Row],[Kg_Queso_Blan]]*($CB$1-$CA$1)</f>
        <v>66.851400000000012</v>
      </c>
      <c r="CC153" s="8">
        <f>+(Tabla_master_rend[[#This Row],[Kg_Queso_Blan]]-CA153-CB153)*$CC$1</f>
        <v>198.54865800000002</v>
      </c>
      <c r="CD153" s="8">
        <f t="shared" si="41"/>
        <v>389.55265800000006</v>
      </c>
      <c r="CE153" s="80">
        <f>+CD153/Tabla_master_rend[[#This Row],[Kg_Queso_Blan]]</f>
        <v>2.0395000000000003E-2</v>
      </c>
      <c r="CF153" s="62">
        <f>+Tabla_master_rend[[#This Row],[Merma_TOT]]/Tabla_master_rend[[#This Row],[Kg_Queso_Blan]]</f>
        <v>2.6091076626667504E-2</v>
      </c>
      <c r="CG153" s="8">
        <f>CD153-Tabla_master_rend[[#This Row],[Merma_TOT]]</f>
        <v>-108.79734199999996</v>
      </c>
      <c r="CH153" s="81" cm="1">
        <f t="array" ref="CH153">-BR153 * IFERROR(INDEX('Precio Leche_EBITDA_Ventas'!$BD$87:$BD$110,MATCH(1,('Precio Leche_EBITDA_Ventas'!$AZ$87:$AZ$110=YEAR(A153))*('Precio Leche_EBITDA_Ventas'!$BB$87:$BB$110=C153),0)),1.3)</f>
        <v>-1744.2250000000001</v>
      </c>
      <c r="CI153" s="81">
        <f t="shared" si="42"/>
        <v>-141.43654459999996</v>
      </c>
    </row>
    <row r="154" spans="1:87" x14ac:dyDescent="0.35">
      <c r="A154" s="9">
        <v>46002</v>
      </c>
      <c r="B154" s="7">
        <v>12</v>
      </c>
      <c r="C154" s="7" t="str">
        <f>+UPPER(TEXT(Tabla_master_rend[[#This Row],[Fecha]],"MMM"))</f>
        <v>DIC</v>
      </c>
      <c r="D154" s="7" t="str">
        <f>+UPPER(TEXT(Tabla_master_rend[[#This Row],[Fecha]],"ddd"))</f>
        <v>JU</v>
      </c>
      <c r="E154" s="3">
        <v>111225026</v>
      </c>
      <c r="F154" s="3" t="s">
        <v>244</v>
      </c>
      <c r="G154" s="84" t="s">
        <v>190</v>
      </c>
      <c r="H154">
        <v>10</v>
      </c>
      <c r="I154" s="8">
        <f>+Tabla_master_rend[[#This Row],[L_Leche_ent]]+Tabla_master_rend[[#This Row],[L_desn_ext]]+Tabla_master_rend[[#This Row],[L_cabra]]+Tabla_master_rend[[#This Row],[L_oveja]]</f>
        <v>141056</v>
      </c>
      <c r="J154" s="8">
        <v>141056</v>
      </c>
      <c r="K154" s="5">
        <v>4.0599999999999997E-2</v>
      </c>
      <c r="L154" s="5">
        <v>3.4200000000000001E-2</v>
      </c>
      <c r="M154" s="5">
        <f t="shared" ref="M154:M161" si="43">0.93*K154+0.74*L154+0.048</f>
        <v>0.111066</v>
      </c>
      <c r="N154" s="35" t="s">
        <v>188</v>
      </c>
      <c r="O154" s="8">
        <v>0</v>
      </c>
      <c r="P154" s="8">
        <v>0</v>
      </c>
      <c r="Q154" s="8">
        <v>0</v>
      </c>
      <c r="R154" s="8">
        <v>2126</v>
      </c>
      <c r="T154" s="8">
        <v>139750</v>
      </c>
      <c r="U154" s="38">
        <f>+Tabla_master_rend[[#This Row],[L_suero Total]]/Tabla_master_rend[[#This Row],[Litros_Leche_Total]]</f>
        <v>0.99074126588021783</v>
      </c>
      <c r="V154" s="5">
        <v>0</v>
      </c>
      <c r="W154" s="5">
        <v>2.5000000000000001E-3</v>
      </c>
      <c r="X154" s="8">
        <v>91759</v>
      </c>
      <c r="Y154" s="57">
        <v>53842</v>
      </c>
      <c r="Z154" s="58">
        <f>IF(Tabla_master_rend[[#This Row],[L_suero para con]]=0,0,+Tabla_master_rend[[#This Row],[L_suero para con]]/Tabla_master_rend[[#This Row],[L_suero_con]])</f>
        <v>1.7042271832398499</v>
      </c>
      <c r="AA154" s="8">
        <f>+Tabla_master_rend[[#This Row],[L_suero Total]]-Tabla_master_rend[[#This Row],[L_suero para con]]</f>
        <v>47991</v>
      </c>
      <c r="AD154" s="8"/>
      <c r="AE154" s="8"/>
      <c r="AF154" s="8"/>
      <c r="AG154" s="5"/>
      <c r="AI154" s="7">
        <f>+Tabla_master_rend[[#This Row],[Kg_Finos]]+Tabla_master_rend[[#This Row],[Kg_Llenadora]]+Tabla_master_rend[[#This Row],[Kg_Desmoldeo]]+Tabla_master_rend[[#This Row],[L_Agua]]+Tabla_master_rend[[#This Row],[Kg_SalidaSecadero]]</f>
        <v>17178.18</v>
      </c>
      <c r="AJ154" s="59">
        <f>+Tabla_master_rend[[#This Row],[Litros_Leche_Total]]/Tabla_master_rend[[#This Row],[Kg_Queso_Blan]]</f>
        <v>8.2113471857903448</v>
      </c>
      <c r="AK154" s="59">
        <f>+Tabla_master_rend[[#This Row],[Litros_Leche_Total]]/(Tabla_master_rend[[#This Row],[Kg_Queso_Blan]]-Tabla_master_rend[[#This Row],[Merma_TOT]])</f>
        <v>8.560407629210836</v>
      </c>
      <c r="AL154" s="59">
        <f>VLOOKUP(G154,REND_TARGET[#All],8,FALSE)</f>
        <v>8.4943170000000006</v>
      </c>
      <c r="AM154" s="7">
        <f>(I154*1.03*Tabla_master_rend[[#This Row],[%MG_Leche]])+(I154*1.03*Tabla_master_rend[[#This Row],[%MP_Leche]])</f>
        <v>10867.518463999999</v>
      </c>
      <c r="AN154" s="38">
        <v>0.28910000000000002</v>
      </c>
      <c r="AO154" s="38">
        <v>0.2324</v>
      </c>
      <c r="AP154" s="60">
        <v>0.5706</v>
      </c>
      <c r="AQ154" s="38">
        <f>+Tabla_master_rend[[#This Row],[Kg_Queso_Blan]]*Tabla_master_rend[[#This Row],[ES_QUESO]]/(Tabla_master_rend[[#This Row],[Kg_Solidos_leche]])</f>
        <v>0.90194183156623164</v>
      </c>
      <c r="AR154" s="7">
        <f t="shared" ref="AR154:AR161" si="44">R154*0.4</f>
        <v>850.40000000000009</v>
      </c>
      <c r="AS154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0.98608706139826496</v>
      </c>
      <c r="AT154" s="62">
        <f>+Tabla_master_rend[[#This Row],[Kg_Queso_Blan]]*Tabla_master_rend[[#This Row],[%PT_QUESO]]/(Tabla_master_rend[[#This Row],[Litros_Leche_Total]]*1.03*Tabla_master_rend[[#This Row],[%MP_Leche]])</f>
        <v>0.80344911726592405</v>
      </c>
      <c r="AU154" s="63">
        <f t="shared" ref="AU154:AU161" si="45">AR154*$CO$3</f>
        <v>6378.0000000000009</v>
      </c>
      <c r="AV154" s="7">
        <v>32.78</v>
      </c>
      <c r="AW154" s="7">
        <v>51.6</v>
      </c>
      <c r="AX154" s="7">
        <v>13.8</v>
      </c>
      <c r="AY154" s="8">
        <f>SUM(Tabla_master_rend[[#This Row],[Kg_Finos]:[Kg_Desmoldeo]])</f>
        <v>98.179999999999993</v>
      </c>
      <c r="AZ154" s="60">
        <f>+(Tabla_master_rend[[#This Row],[Kg_Finos]]+Tabla_master_rend[[#This Row],[Kg_Llenadora]]+Tabla_master_rend[[#This Row],[Kg_Desmoldeo]])/(Tabla_master_rend[[#This Row],[Kg_Queso_Blan]])</f>
        <v>5.7153901053545834E-3</v>
      </c>
      <c r="BA154" s="7">
        <v>250</v>
      </c>
      <c r="BB154" s="60">
        <f>+Tabla_master_rend[[#This Row],[L_Agua]]/(Tabla_master_rend[[#This Row],[L_Agua]]+Tabla_master_rend[[#This Row],[Kg_SalidaSecadero]])</f>
        <v>1.4637002341920375E-2</v>
      </c>
      <c r="BC154" s="8">
        <v>2326</v>
      </c>
      <c r="BD154" s="8">
        <v>2279</v>
      </c>
      <c r="BE154" s="8">
        <v>16748</v>
      </c>
      <c r="BF154" s="8">
        <f>91*7.2</f>
        <v>655.20000000000005</v>
      </c>
      <c r="BG154" s="8">
        <f>12*7.2</f>
        <v>86.4</v>
      </c>
      <c r="BH154" s="7">
        <f>1*7.2</f>
        <v>7.2</v>
      </c>
      <c r="BI154" s="7">
        <f>24*7.2</f>
        <v>172.8</v>
      </c>
      <c r="BJ154" s="8">
        <v>64</v>
      </c>
      <c r="BK154" s="8">
        <v>16830</v>
      </c>
      <c r="BL154" s="8">
        <v>0</v>
      </c>
      <c r="BM154" s="8">
        <v>338.58</v>
      </c>
      <c r="BN154" s="7">
        <v>13.7</v>
      </c>
      <c r="BO154" s="68">
        <f>+SUM(Tabla_master_rend[[#This Row],[B_altas]:[B_lab]])/Tabla_master_rend[[#This Row],[Kg_SalidaSecadero]]</f>
        <v>5.856209150326798E-2</v>
      </c>
      <c r="BP154" s="68">
        <f>+(Tabla_master_rend[[#This Row],[Kg_mer_env_real]]+Tabla_master_rend[[#This Row],[kg_mer_lab_real]])/Tabla_master_rend[[#This Row],[Kg_SalidaSecadero]]</f>
        <v>2.093166963755199E-2</v>
      </c>
      <c r="BQ154" s="64">
        <f>+Tabla_master_rend[[#This Row],[Merma_TOT]]/Tabla_master_rend[[#This Row],[Kg_Queso_Blan]]</f>
        <v>4.0776147414918223E-2</v>
      </c>
      <c r="BR154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700.45999999999992</v>
      </c>
      <c r="BS154" s="8">
        <v>16877.59</v>
      </c>
      <c r="BT154" s="63">
        <f>IF(+Tabla_master_rend[[#This Row],[Kg_Env_Total]]=0,0,Tabla_master_rend[[#This Row],[Kg_Env_Total]]-Tabla_master_rend[[#This Row],[Kg_SalidaSecadero]])</f>
        <v>47.590000000000146</v>
      </c>
      <c r="BU154" s="60">
        <f>+Tabla_master_rend[[#This Row],[Diferencia_Env_vs_Sec_kg]]/Tabla_master_rend[[#This Row],[Kg_SalidaSecadero]]</f>
        <v>2.8276886512180717E-3</v>
      </c>
      <c r="BV154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54" s="65">
        <f>+(Tabla_master_rend[[#This Row],[Coste_Leche_€]]-Tabla_master_rend[[#This Row],[Kg_MG_Nata]]*$CO$3)/Tabla_master_rend[[#This Row],[Kg_Queso_Blan]]</f>
        <v>-0.37128496732482724</v>
      </c>
      <c r="BX154" s="8">
        <f>SUM(Tabla_master_rend[[#This Row],[Kg_Finos]:[Kg_Desmoldeo]])+Tabla_master_rend[[#This Row],[L_Agua]]+SUM(Tabla_master_rend[[#This Row],[B_altas]:[B_lab]])</f>
        <v>1333.7800000000002</v>
      </c>
      <c r="BY154" s="8">
        <f>+BX154-Tabla_master_rend[[#This Row],[Merma_TOT]]</f>
        <v>633.32000000000028</v>
      </c>
      <c r="BZ154" s="62">
        <f t="shared" ref="BZ154:BZ161" si="46">+BY154/BX154</f>
        <v>0.47483093163790147</v>
      </c>
      <c r="CA154" s="8">
        <f>+Tabla_master_rend[[#This Row],[Kg_Queso_Blan]]*$CA$1</f>
        <v>111.65817</v>
      </c>
      <c r="CB154" s="8">
        <f>+Tabla_master_rend[[#This Row],[Kg_Queso_Blan]]*($CB$1-$CA$1)</f>
        <v>60.123630000000013</v>
      </c>
      <c r="CC154" s="8">
        <f>+(Tabla_master_rend[[#This Row],[Kg_Queso_Blan]]-CA154-CB154)*$CC$1</f>
        <v>178.56718110000006</v>
      </c>
      <c r="CD154" s="8">
        <f t="shared" ref="CD154:CD161" si="47">+CA154+CB154+CC154</f>
        <v>350.34898110000006</v>
      </c>
      <c r="CE154" s="80">
        <f>+CD154/Tabla_master_rend[[#This Row],[Kg_Queso_Blan]]</f>
        <v>2.0395000000000003E-2</v>
      </c>
      <c r="CF154" s="62">
        <f>+Tabla_master_rend[[#This Row],[Merma_TOT]]/Tabla_master_rend[[#This Row],[Kg_Queso_Blan]]</f>
        <v>4.0776147414918223E-2</v>
      </c>
      <c r="CG154" s="8">
        <f>CD154-Tabla_master_rend[[#This Row],[Merma_TOT]]</f>
        <v>-350.11101889999986</v>
      </c>
      <c r="CH154" s="81" cm="1">
        <f t="array" ref="CH154">-BR154 * IFERROR(INDEX('Precio Leche_EBITDA_Ventas'!$BD$87:$BD$110,MATCH(1,('Precio Leche_EBITDA_Ventas'!$AZ$87:$AZ$110=YEAR(A154))*('Precio Leche_EBITDA_Ventas'!$BB$87:$BB$110=C154),0)),1.3)</f>
        <v>-2451.6099999999997</v>
      </c>
      <c r="CI154" s="81">
        <f t="shared" ref="CI154:CI161" si="48">+CG154*$CM$2</f>
        <v>-455.14432456999981</v>
      </c>
    </row>
    <row r="155" spans="1:87" x14ac:dyDescent="0.35">
      <c r="A155" s="9">
        <v>46006</v>
      </c>
      <c r="B155" s="7">
        <v>12</v>
      </c>
      <c r="C155" s="7" t="str">
        <f>+UPPER(TEXT(Tabla_master_rend[[#This Row],[Fecha]],"MMM"))</f>
        <v>DIC</v>
      </c>
      <c r="D155" s="7" t="str">
        <f>+UPPER(TEXT(Tabla_master_rend[[#This Row],[Fecha]],"ddd"))</f>
        <v>LU</v>
      </c>
      <c r="E155" s="3">
        <v>151225146</v>
      </c>
      <c r="F155" s="3" t="s">
        <v>244</v>
      </c>
      <c r="G155" s="84" t="s">
        <v>40</v>
      </c>
      <c r="H155">
        <v>10</v>
      </c>
      <c r="I155" s="8">
        <f>+Tabla_master_rend[[#This Row],[L_Leche_ent]]+Tabla_master_rend[[#This Row],[L_desn_ext]]+Tabla_master_rend[[#This Row],[L_cabra]]+Tabla_master_rend[[#This Row],[L_oveja]]</f>
        <v>159840</v>
      </c>
      <c r="J155" s="8">
        <v>159840</v>
      </c>
      <c r="K155" s="5">
        <v>4.1100000000000005E-2</v>
      </c>
      <c r="L155" s="5">
        <v>3.4200000000000001E-2</v>
      </c>
      <c r="M155" s="5">
        <f t="shared" si="43"/>
        <v>0.11153100000000001</v>
      </c>
      <c r="N155" s="35" t="s">
        <v>43</v>
      </c>
      <c r="O155" s="8">
        <v>0</v>
      </c>
      <c r="P155" s="8">
        <v>0</v>
      </c>
      <c r="Q155" s="8">
        <v>0</v>
      </c>
      <c r="R155" s="8">
        <v>2436</v>
      </c>
      <c r="T155" s="8">
        <v>141030</v>
      </c>
      <c r="U155" s="38">
        <f>+Tabla_master_rend[[#This Row],[L_suero Total]]/Tabla_master_rend[[#This Row],[Litros_Leche_Total]]</f>
        <v>0.88231981981981977</v>
      </c>
      <c r="V155" s="5">
        <v>0</v>
      </c>
      <c r="W155" s="5">
        <v>2.5000000000000001E-3</v>
      </c>
      <c r="X155" s="8">
        <v>50833</v>
      </c>
      <c r="Y155" s="57">
        <v>16925</v>
      </c>
      <c r="Z155" s="58">
        <f>IF(Tabla_master_rend[[#This Row],[L_suero para con]]=0,0,+Tabla_master_rend[[#This Row],[L_suero para con]]/Tabla_master_rend[[#This Row],[L_suero_con]])</f>
        <v>3.0034268833087148</v>
      </c>
      <c r="AA155" s="8">
        <f>+Tabla_master_rend[[#This Row],[L_suero Total]]-Tabla_master_rend[[#This Row],[L_suero para con]]</f>
        <v>90197</v>
      </c>
      <c r="AD155" s="8"/>
      <c r="AE155" s="8"/>
      <c r="AF155" s="8"/>
      <c r="AG155" s="5"/>
      <c r="AI155" s="7">
        <f>+Tabla_master_rend[[#This Row],[Kg_Finos]]+Tabla_master_rend[[#This Row],[Kg_Llenadora]]+Tabla_master_rend[[#This Row],[Kg_Desmoldeo]]+Tabla_master_rend[[#This Row],[L_Agua]]+Tabla_master_rend[[#This Row],[Kg_SalidaSecadero]]</f>
        <v>18787.36</v>
      </c>
      <c r="AJ155" s="59">
        <f>+Tabla_master_rend[[#This Row],[Litros_Leche_Total]]/Tabla_master_rend[[#This Row],[Kg_Queso_Blan]]</f>
        <v>8.5078478296045841</v>
      </c>
      <c r="AK155" s="59">
        <f>+Tabla_master_rend[[#This Row],[Litros_Leche_Total]]/(Tabla_master_rend[[#This Row],[Kg_Queso_Blan]]-Tabla_master_rend[[#This Row],[Merma_TOT]])</f>
        <v>8.7560579990238168</v>
      </c>
      <c r="AL155" s="59">
        <f>VLOOKUP(G155,REND_TARGET[#All],8,FALSE)</f>
        <v>8.9338729999999984</v>
      </c>
      <c r="AM155" s="7">
        <f>(I155*1.03*Tabla_master_rend[[#This Row],[%MG_Leche]])+(I155*1.03*Tabla_master_rend[[#This Row],[%MP_Leche]])</f>
        <v>12397.030560000003</v>
      </c>
      <c r="AN155" s="38">
        <v>0.30210000000000004</v>
      </c>
      <c r="AO155" s="38">
        <v>0.23250000000000001</v>
      </c>
      <c r="AP155" s="60">
        <v>0.5776</v>
      </c>
      <c r="AQ155" s="38">
        <f>+Tabla_master_rend[[#This Row],[Kg_Queso_Blan]]*Tabla_master_rend[[#This Row],[ES_QUESO]]/(Tabla_master_rend[[#This Row],[Kg_Solidos_leche]])</f>
        <v>0.87533696746811906</v>
      </c>
      <c r="AR155" s="7">
        <f t="shared" si="44"/>
        <v>974.40000000000009</v>
      </c>
      <c r="AS155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0.98279093351731717</v>
      </c>
      <c r="AT155" s="62">
        <f>+Tabla_master_rend[[#This Row],[Kg_Queso_Blan]]*Tabla_master_rend[[#This Row],[%PT_QUESO]]/(Tabla_master_rend[[#This Row],[Litros_Leche_Total]]*1.03*Tabla_master_rend[[#This Row],[%MP_Leche]])</f>
        <v>0.77578238262108123</v>
      </c>
      <c r="AU155" s="63">
        <f t="shared" si="45"/>
        <v>7308.0000000000009</v>
      </c>
      <c r="AV155" s="7">
        <v>42.06</v>
      </c>
      <c r="AW155" s="7">
        <v>39.1</v>
      </c>
      <c r="AX155" s="7">
        <v>24.2</v>
      </c>
      <c r="AY155" s="8">
        <f>SUM(Tabla_master_rend[[#This Row],[Kg_Finos]:[Kg_Desmoldeo]])</f>
        <v>105.36</v>
      </c>
      <c r="AZ155" s="60">
        <f>+(Tabla_master_rend[[#This Row],[Kg_Finos]]+Tabla_master_rend[[#This Row],[Kg_Llenadora]]+Tabla_master_rend[[#This Row],[Kg_Desmoldeo]])/(Tabla_master_rend[[#This Row],[Kg_Queso_Blan]])</f>
        <v>5.6080258216162351E-3</v>
      </c>
      <c r="BA155" s="7">
        <v>150</v>
      </c>
      <c r="BB155" s="60">
        <f>+Tabla_master_rend[[#This Row],[L_Agua]]/(Tabla_master_rend[[#This Row],[L_Agua]]+Tabla_master_rend[[#This Row],[Kg_SalidaSecadero]])</f>
        <v>8.029118938015202E-3</v>
      </c>
      <c r="BC155" s="8">
        <v>2648</v>
      </c>
      <c r="BD155" s="8">
        <v>2599</v>
      </c>
      <c r="BE155" s="8">
        <v>18376</v>
      </c>
      <c r="BF155" s="8">
        <f>87*6.4</f>
        <v>556.80000000000007</v>
      </c>
      <c r="BG155" s="8">
        <f>16*6.4</f>
        <v>102.4</v>
      </c>
      <c r="BH155" s="7">
        <f>2*6.4</f>
        <v>12.8</v>
      </c>
      <c r="BI155" s="7">
        <f>10*6.4</f>
        <v>64</v>
      </c>
      <c r="BJ155" s="8">
        <v>127</v>
      </c>
      <c r="BK155" s="8">
        <v>18532</v>
      </c>
      <c r="BL155" s="8">
        <v>0</v>
      </c>
      <c r="BM155" s="8">
        <v>254</v>
      </c>
      <c r="BN155" s="7">
        <v>23.21</v>
      </c>
      <c r="BO155" s="68">
        <f>+SUM(Tabla_master_rend[[#This Row],[B_altas]:[B_lab]])/Tabla_master_rend[[#This Row],[Kg_SalidaSecadero]]</f>
        <v>4.6568098424347074E-2</v>
      </c>
      <c r="BP155" s="68">
        <f>+(Tabla_master_rend[[#This Row],[Kg_mer_env_real]]+Tabla_master_rend[[#This Row],[kg_mer_lab_real]])/Tabla_master_rend[[#This Row],[Kg_SalidaSecadero]]</f>
        <v>1.4958450248219296E-2</v>
      </c>
      <c r="BQ155" s="64">
        <f>+Tabla_master_rend[[#This Row],[Merma_TOT]]/Tabla_master_rend[[#This Row],[Kg_Queso_Blan]]</f>
        <v>2.8347250491820027E-2</v>
      </c>
      <c r="BR155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532.56999999999994</v>
      </c>
      <c r="BS155" s="8">
        <v>18381.060000000009</v>
      </c>
      <c r="BT155" s="63">
        <f>IF(+Tabla_master_rend[[#This Row],[Kg_Env_Total]]=0,0,Tabla_master_rend[[#This Row],[Kg_Env_Total]]-Tabla_master_rend[[#This Row],[Kg_SalidaSecadero]])</f>
        <v>-150.93999999999141</v>
      </c>
      <c r="BU155" s="60">
        <f>+Tabla_master_rend[[#This Row],[Diferencia_Env_vs_Sec_kg]]/Tabla_master_rend[[#This Row],[Kg_SalidaSecadero]]</f>
        <v>-8.1448305633494179E-3</v>
      </c>
      <c r="BV155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55" s="65">
        <f>+(Tabla_master_rend[[#This Row],[Coste_Leche_€]]-Tabla_master_rend[[#This Row],[Kg_MG_Nata]]*$CO$3)/Tabla_master_rend[[#This Row],[Kg_Queso_Blan]]</f>
        <v>-0.38898493455174121</v>
      </c>
      <c r="BX155" s="8">
        <f>SUM(Tabla_master_rend[[#This Row],[Kg_Finos]:[Kg_Desmoldeo]])+Tabla_master_rend[[#This Row],[L_Agua]]+SUM(Tabla_master_rend[[#This Row],[B_altas]:[B_lab]])</f>
        <v>1118.3600000000001</v>
      </c>
      <c r="BY155" s="8">
        <f>+BX155-Tabla_master_rend[[#This Row],[Merma_TOT]]</f>
        <v>585.79000000000019</v>
      </c>
      <c r="BZ155" s="62">
        <f t="shared" si="46"/>
        <v>0.52379376944812062</v>
      </c>
      <c r="CA155" s="8">
        <f>+Tabla_master_rend[[#This Row],[Kg_Queso_Blan]]*$CA$1</f>
        <v>122.11784</v>
      </c>
      <c r="CB155" s="8">
        <f>+Tabla_master_rend[[#This Row],[Kg_Queso_Blan]]*($CB$1-$CA$1)</f>
        <v>65.755760000000009</v>
      </c>
      <c r="CC155" s="8">
        <f>+(Tabla_master_rend[[#This Row],[Kg_Queso_Blan]]-CA155-CB155)*$CC$1</f>
        <v>195.29460720000003</v>
      </c>
      <c r="CD155" s="8">
        <f t="shared" si="47"/>
        <v>383.16820720000004</v>
      </c>
      <c r="CE155" s="80">
        <f>+CD155/Tabla_master_rend[[#This Row],[Kg_Queso_Blan]]</f>
        <v>2.0395E-2</v>
      </c>
      <c r="CF155" s="62">
        <f>+Tabla_master_rend[[#This Row],[Merma_TOT]]/Tabla_master_rend[[#This Row],[Kg_Queso_Blan]]</f>
        <v>2.8347250491820027E-2</v>
      </c>
      <c r="CG155" s="8">
        <f>CD155-Tabla_master_rend[[#This Row],[Merma_TOT]]</f>
        <v>-149.4017927999999</v>
      </c>
      <c r="CH155" s="81" cm="1">
        <f t="array" ref="CH155">-BR155 * IFERROR(INDEX('Precio Leche_EBITDA_Ventas'!$BD$87:$BD$110,MATCH(1,('Precio Leche_EBITDA_Ventas'!$AZ$87:$AZ$110=YEAR(A155))*('Precio Leche_EBITDA_Ventas'!$BB$87:$BB$110=C155),0)),1.3)</f>
        <v>-1863.9949999999999</v>
      </c>
      <c r="CI155" s="81">
        <f t="shared" si="48"/>
        <v>-194.22233063999988</v>
      </c>
    </row>
    <row r="156" spans="1:87" x14ac:dyDescent="0.35">
      <c r="A156" s="9">
        <v>46009</v>
      </c>
      <c r="B156" s="7">
        <v>12</v>
      </c>
      <c r="C156" s="7" t="str">
        <f>+UPPER(TEXT(Tabla_master_rend[[#This Row],[Fecha]],"MMM"))</f>
        <v>DIC</v>
      </c>
      <c r="D156" s="7" t="str">
        <f>+UPPER(TEXT(Tabla_master_rend[[#This Row],[Fecha]],"ddd"))</f>
        <v>JU</v>
      </c>
      <c r="E156" s="3">
        <v>181225816</v>
      </c>
      <c r="F156" s="3" t="s">
        <v>244</v>
      </c>
      <c r="G156" s="84" t="s">
        <v>445</v>
      </c>
      <c r="H156">
        <v>6</v>
      </c>
      <c r="I156" s="8">
        <f>+Tabla_master_rend[[#This Row],[L_Leche_ent]]+Tabla_master_rend[[#This Row],[L_desn_ext]]+Tabla_master_rend[[#This Row],[L_cabra]]+Tabla_master_rend[[#This Row],[L_oveja]]</f>
        <v>94890</v>
      </c>
      <c r="J156" s="8">
        <v>94890</v>
      </c>
      <c r="K156" s="5">
        <v>4.1299999999999996E-2</v>
      </c>
      <c r="L156" s="5">
        <v>3.3500000000000002E-2</v>
      </c>
      <c r="M156" s="5">
        <f t="shared" si="43"/>
        <v>0.11119900000000001</v>
      </c>
      <c r="N156" s="35" t="s">
        <v>188</v>
      </c>
      <c r="O156" s="8">
        <v>0</v>
      </c>
      <c r="P156" s="8">
        <v>0</v>
      </c>
      <c r="Q156" s="8">
        <v>0</v>
      </c>
      <c r="R156" s="8">
        <v>4197</v>
      </c>
      <c r="T156" s="8">
        <v>82800</v>
      </c>
      <c r="U156" s="38">
        <f>+Tabla_master_rend[[#This Row],[L_suero Total]]/Tabla_master_rend[[#This Row],[Litros_Leche_Total]]</f>
        <v>0.87258931394245964</v>
      </c>
      <c r="V156" s="5">
        <v>2.2000000000000001E-3</v>
      </c>
      <c r="W156" s="5">
        <v>9.7000000000000003E-3</v>
      </c>
      <c r="X156" s="8">
        <v>0</v>
      </c>
      <c r="Y156" s="57">
        <v>0</v>
      </c>
      <c r="Z156" s="58">
        <f>IF(Tabla_master_rend[[#This Row],[L_suero para con]]=0,0,+Tabla_master_rend[[#This Row],[L_suero para con]]/Tabla_master_rend[[#This Row],[L_suero_con]])</f>
        <v>0</v>
      </c>
      <c r="AA156" s="8">
        <f>+Tabla_master_rend[[#This Row],[L_suero Total]]-Tabla_master_rend[[#This Row],[L_suero para con]]</f>
        <v>82800</v>
      </c>
      <c r="AD156" s="8"/>
      <c r="AE156" s="8"/>
      <c r="AF156" s="8"/>
      <c r="AG156" s="5"/>
      <c r="AI156" s="7">
        <f>+Tabla_master_rend[[#This Row],[Kg_Finos]]+Tabla_master_rend[[#This Row],[Kg_Llenadora]]+Tabla_master_rend[[#This Row],[Kg_Desmoldeo]]+Tabla_master_rend[[#This Row],[L_Agua]]+Tabla_master_rend[[#This Row],[Kg_SalidaSecadero]]</f>
        <v>10233.371146032963</v>
      </c>
      <c r="AJ156" s="59">
        <f>+Tabla_master_rend[[#This Row],[Litros_Leche_Total]]/Tabla_master_rend[[#This Row],[Kg_Queso_Blan]]</f>
        <v>9.2726041737267355</v>
      </c>
      <c r="AK156" s="59">
        <f>+Tabla_master_rend[[#This Row],[Litros_Leche_Total]]/(Tabla_master_rend[[#This Row],[Kg_Queso_Blan]]-Tabla_master_rend[[#This Row],[Merma_TOT]])</f>
        <v>9.5398377956128204</v>
      </c>
      <c r="AL156" s="59">
        <f>VLOOKUP(G156,REND_TARGET[#All],8,FALSE)</f>
        <v>9.8078500000000002</v>
      </c>
      <c r="AM156" s="7">
        <f>(I156*1.03*Tabla_master_rend[[#This Row],[%MG_Leche]])+(I156*1.03*Tabla_master_rend[[#This Row],[%MP_Leche]])</f>
        <v>7310.7051599999995</v>
      </c>
      <c r="AN156" s="38">
        <v>0.2213</v>
      </c>
      <c r="AO156" s="38">
        <v>0.2404</v>
      </c>
      <c r="AP156" s="60">
        <v>0.52049999999999996</v>
      </c>
      <c r="AQ156" s="38">
        <f>+Tabla_master_rend[[#This Row],[Kg_Queso_Blan]]*Tabla_master_rend[[#This Row],[ES_QUESO]]/(Tabla_master_rend[[#This Row],[Kg_Solidos_leche]])</f>
        <v>0.72858494015783248</v>
      </c>
      <c r="AR156" s="7">
        <f t="shared" si="44"/>
        <v>1678.8000000000002</v>
      </c>
      <c r="AS156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0.97694039823596102</v>
      </c>
      <c r="AT156" s="62">
        <f>+Tabla_master_rend[[#This Row],[Kg_Queso_Blan]]*Tabla_master_rend[[#This Row],[%PT_QUESO]]/(Tabla_master_rend[[#This Row],[Litros_Leche_Total]]*1.03*Tabla_master_rend[[#This Row],[%MP_Leche]])</f>
        <v>0.75136456662640305</v>
      </c>
      <c r="AU156" s="63">
        <f t="shared" si="45"/>
        <v>12591.000000000002</v>
      </c>
      <c r="AV156" s="7">
        <v>16.571146032962819</v>
      </c>
      <c r="AW156" s="7">
        <v>10.1</v>
      </c>
      <c r="AX156" s="7">
        <v>1.5</v>
      </c>
      <c r="AY156" s="8">
        <f>SUM(Tabla_master_rend[[#This Row],[Kg_Finos]:[Kg_Desmoldeo]])</f>
        <v>28.171146032962817</v>
      </c>
      <c r="AZ156" s="60">
        <f>+(Tabla_master_rend[[#This Row],[Kg_Finos]]+Tabla_master_rend[[#This Row],[Kg_Llenadora]]+Tabla_master_rend[[#This Row],[Kg_Desmoldeo]])/(Tabla_master_rend[[#This Row],[Kg_Queso_Blan]])</f>
        <v>2.7528705478334532E-3</v>
      </c>
      <c r="BA156" s="7">
        <v>150</v>
      </c>
      <c r="BB156" s="60">
        <f>+Tabla_master_rend[[#This Row],[L_Agua]]/(Tabla_master_rend[[#This Row],[L_Agua]]+Tabla_master_rend[[#This Row],[Kg_SalidaSecadero]])</f>
        <v>1.46983890565594E-2</v>
      </c>
      <c r="BC156" s="8">
        <v>1396</v>
      </c>
      <c r="BD156" s="8">
        <v>1365</v>
      </c>
      <c r="BE156" s="8">
        <v>10008</v>
      </c>
      <c r="BF156" s="8">
        <f>6*6.4</f>
        <v>38.400000000000006</v>
      </c>
      <c r="BG156" s="8">
        <f>17*6.4</f>
        <v>108.80000000000001</v>
      </c>
      <c r="BH156" s="7">
        <f>1*6.4</f>
        <v>6.4</v>
      </c>
      <c r="BI156" s="7">
        <f>6*6.4</f>
        <v>38.400000000000006</v>
      </c>
      <c r="BJ156" s="8">
        <v>44</v>
      </c>
      <c r="BK156" s="8">
        <v>10055.200000000001</v>
      </c>
      <c r="BL156" s="8">
        <v>0</v>
      </c>
      <c r="BM156" s="8">
        <v>91.11</v>
      </c>
      <c r="BN156" s="7">
        <v>17.38</v>
      </c>
      <c r="BO156" s="68">
        <f>+SUM(Tabla_master_rend[[#This Row],[B_altas]:[B_lab]])/Tabla_master_rend[[#This Row],[Kg_SalidaSecadero]]</f>
        <v>2.3470443153791074E-2</v>
      </c>
      <c r="BP156" s="68">
        <f>+(Tabla_master_rend[[#This Row],[Kg_mer_env_real]]+Tabla_master_rend[[#This Row],[kg_mer_lab_real]])/Tabla_master_rend[[#This Row],[Kg_SalidaSecadero]]</f>
        <v>1.0789442278622005E-2</v>
      </c>
      <c r="BQ156" s="64">
        <f>+Tabla_master_rend[[#This Row],[Merma_TOT]]/Tabla_master_rend[[#This Row],[Kg_Queso_Blan]]</f>
        <v>2.8012386333128258E-2</v>
      </c>
      <c r="BR156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286.66114603296285</v>
      </c>
      <c r="BS156" s="8">
        <v>9969.2000000000007</v>
      </c>
      <c r="BT156" s="63">
        <f>IF(+Tabla_master_rend[[#This Row],[Kg_Env_Total]]=0,0,Tabla_master_rend[[#This Row],[Kg_Env_Total]]-Tabla_master_rend[[#This Row],[Kg_SalidaSecadero]])</f>
        <v>-86</v>
      </c>
      <c r="BU156" s="60">
        <f>+Tabla_master_rend[[#This Row],[Diferencia_Env_vs_Sec_kg]]/Tabla_master_rend[[#This Row],[Kg_SalidaSecadero]]</f>
        <v>-8.5527886068899675E-3</v>
      </c>
      <c r="BV156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56" s="65">
        <f>+(Tabla_master_rend[[#This Row],[Coste_Leche_€]]-Tabla_master_rend[[#This Row],[Kg_MG_Nata]]*$CO$3)/Tabla_master_rend[[#This Row],[Kg_Queso_Blan]]</f>
        <v>-1.2303863331372467</v>
      </c>
      <c r="BX156" s="8">
        <f>SUM(Tabla_master_rend[[#This Row],[Kg_Finos]:[Kg_Desmoldeo]])+Tabla_master_rend[[#This Row],[L_Agua]]+SUM(Tabla_master_rend[[#This Row],[B_altas]:[B_lab]])</f>
        <v>414.17114603296284</v>
      </c>
      <c r="BY156" s="8">
        <f>+BX156-Tabla_master_rend[[#This Row],[Merma_TOT]]</f>
        <v>127.50999999999999</v>
      </c>
      <c r="BZ156" s="62">
        <f t="shared" si="46"/>
        <v>0.30786789765854861</v>
      </c>
      <c r="CA156" s="8">
        <f>+Tabla_master_rend[[#This Row],[Kg_Queso_Blan]]*$CA$1</f>
        <v>66.51691244921426</v>
      </c>
      <c r="CB156" s="8">
        <f>+Tabla_master_rend[[#This Row],[Kg_Queso_Blan]]*($CB$1-$CA$1)</f>
        <v>35.816799011115378</v>
      </c>
      <c r="CC156" s="8">
        <f>+(Tabla_master_rend[[#This Row],[Kg_Queso_Blan]]-CA156-CB156)*$CC$1</f>
        <v>106.37589306301264</v>
      </c>
      <c r="CD156" s="8">
        <f t="shared" si="47"/>
        <v>208.70960452334228</v>
      </c>
      <c r="CE156" s="80">
        <f>+CD156/Tabla_master_rend[[#This Row],[Kg_Queso_Blan]]</f>
        <v>2.0395E-2</v>
      </c>
      <c r="CF156" s="62">
        <f>+Tabla_master_rend[[#This Row],[Merma_TOT]]/Tabla_master_rend[[#This Row],[Kg_Queso_Blan]]</f>
        <v>2.8012386333128258E-2</v>
      </c>
      <c r="CG156" s="8">
        <f>CD156-Tabla_master_rend[[#This Row],[Merma_TOT]]</f>
        <v>-77.951541509620569</v>
      </c>
      <c r="CH156" s="81" cm="1">
        <f t="array" ref="CH156">-BR156 * IFERROR(INDEX('Precio Leche_EBITDA_Ventas'!$BD$87:$BD$110,MATCH(1,('Precio Leche_EBITDA_Ventas'!$AZ$87:$AZ$110=YEAR(A156))*('Precio Leche_EBITDA_Ventas'!$BB$87:$BB$110=C156),0)),1.3)</f>
        <v>-1003.31401111537</v>
      </c>
      <c r="CI156" s="81">
        <f t="shared" si="48"/>
        <v>-101.33700396250674</v>
      </c>
    </row>
    <row r="157" spans="1:87" x14ac:dyDescent="0.35">
      <c r="A157" s="9">
        <v>46009</v>
      </c>
      <c r="B157" s="7">
        <v>12</v>
      </c>
      <c r="C157" s="7" t="str">
        <f>+UPPER(TEXT(Tabla_master_rend[[#This Row],[Fecha]],"MMM"))</f>
        <v>DIC</v>
      </c>
      <c r="D157" s="7" t="str">
        <f>+UPPER(TEXT(Tabla_master_rend[[#This Row],[Fecha]],"ddd"))</f>
        <v>JU</v>
      </c>
      <c r="E157" s="3">
        <v>181225826</v>
      </c>
      <c r="F157" s="3" t="s">
        <v>244</v>
      </c>
      <c r="G157" s="84" t="s">
        <v>446</v>
      </c>
      <c r="H157">
        <v>5</v>
      </c>
      <c r="I157" s="8">
        <f>+Tabla_master_rend[[#This Row],[L_Leche_ent]]+Tabla_master_rend[[#This Row],[L_desn_ext]]+Tabla_master_rend[[#This Row],[L_cabra]]+Tabla_master_rend[[#This Row],[L_oveja]]</f>
        <v>74724</v>
      </c>
      <c r="J157" s="8">
        <v>74724</v>
      </c>
      <c r="K157" s="5">
        <v>4.0300000000000002E-2</v>
      </c>
      <c r="L157" s="5">
        <v>3.3500000000000002E-2</v>
      </c>
      <c r="M157" s="5">
        <f t="shared" si="43"/>
        <v>0.11026900000000001</v>
      </c>
      <c r="N157" s="35" t="s">
        <v>188</v>
      </c>
      <c r="O157" s="8">
        <v>0</v>
      </c>
      <c r="P157" s="8">
        <v>0</v>
      </c>
      <c r="Q157" s="8">
        <v>0</v>
      </c>
      <c r="R157" s="8">
        <v>1339</v>
      </c>
      <c r="T157" s="8">
        <v>69490</v>
      </c>
      <c r="U157" s="38">
        <f>+Tabla_master_rend[[#This Row],[L_suero Total]]/Tabla_master_rend[[#This Row],[Litros_Leche_Total]]</f>
        <v>0.92995556983030891</v>
      </c>
      <c r="V157" s="5">
        <v>2.2000000000000001E-3</v>
      </c>
      <c r="W157" s="5">
        <v>9.7000000000000003E-3</v>
      </c>
      <c r="X157" s="8">
        <v>0</v>
      </c>
      <c r="Y157" s="57">
        <v>0</v>
      </c>
      <c r="Z157" s="58">
        <f>IF(Tabla_master_rend[[#This Row],[L_suero para con]]=0,0,+Tabla_master_rend[[#This Row],[L_suero para con]]/Tabla_master_rend[[#This Row],[L_suero_con]])</f>
        <v>0</v>
      </c>
      <c r="AA157" s="8">
        <f>+Tabla_master_rend[[#This Row],[L_suero Total]]-Tabla_master_rend[[#This Row],[L_suero para con]]</f>
        <v>69490</v>
      </c>
      <c r="AD157" s="8"/>
      <c r="AE157" s="8"/>
      <c r="AF157" s="8"/>
      <c r="AG157" s="5"/>
      <c r="AI157" s="7">
        <f>+Tabla_master_rend[[#This Row],[Kg_Finos]]+Tabla_master_rend[[#This Row],[Kg_Llenadora]]+Tabla_master_rend[[#This Row],[Kg_Desmoldeo]]+Tabla_master_rend[[#This Row],[L_Agua]]+Tabla_master_rend[[#This Row],[Kg_SalidaSecadero]]</f>
        <v>8982.4988539670376</v>
      </c>
      <c r="AJ157" s="59">
        <f>+Tabla_master_rend[[#This Row],[Litros_Leche_Total]]/Tabla_master_rend[[#This Row],[Kg_Queso_Blan]]</f>
        <v>8.3188432545136184</v>
      </c>
      <c r="AK157" s="59">
        <f>+Tabla_master_rend[[#This Row],[Litros_Leche_Total]]/(Tabla_master_rend[[#This Row],[Kg_Queso_Blan]]-Tabla_master_rend[[#This Row],[Merma_TOT]])</f>
        <v>8.6448990074863676</v>
      </c>
      <c r="AL157" s="59">
        <f>VLOOKUP(G157,REND_TARGET[#All],8,FALSE)</f>
        <v>9.3549429999999987</v>
      </c>
      <c r="AM157" s="7">
        <f>(I157*1.03*Tabla_master_rend[[#This Row],[%MG_Leche]])+(I157*1.03*Tabla_master_rend[[#This Row],[%MP_Leche]])</f>
        <v>5680.0701360000003</v>
      </c>
      <c r="AN157" s="38">
        <v>0.28800000000000003</v>
      </c>
      <c r="AO157" s="38">
        <v>0.23199999999999998</v>
      </c>
      <c r="AP157" s="60">
        <v>0.56869999999999998</v>
      </c>
      <c r="AQ157" s="38">
        <f>+Tabla_master_rend[[#This Row],[Kg_Queso_Blan]]*Tabla_master_rend[[#This Row],[ES_QUESO]]/(Tabla_master_rend[[#This Row],[Kg_Solidos_leche]])</f>
        <v>0.89934577847456598</v>
      </c>
      <c r="AR157" s="7">
        <f t="shared" si="44"/>
        <v>535.6</v>
      </c>
      <c r="AS157" s="61">
        <f>+(Tabla_master_rend[[#This Row],[Kg_Queso_Blan]]*Tabla_master_rend[[#This Row],[%MG_QUESO]]+(Tabla_master_rend[[#This Row],[Kg_MG_Nata]]))/(Tabla_master_rend[[#This Row],[Litros_Leche_Total]]*1.03*Tabla_master_rend[[#This Row],[%MG_Leche]])</f>
        <v>1.006719228013438</v>
      </c>
      <c r="AT157" s="62">
        <f>+Tabla_master_rend[[#This Row],[Kg_Queso_Blan]]*Tabla_master_rend[[#This Row],[%PT_QUESO]]/(Tabla_master_rend[[#This Row],[Litros_Leche_Total]]*1.03*Tabla_master_rend[[#This Row],[%MP_Leche]])</f>
        <v>0.80824497246824401</v>
      </c>
      <c r="AU157" s="63">
        <f t="shared" si="45"/>
        <v>4017</v>
      </c>
      <c r="AV157" s="7">
        <v>14.398853967037178</v>
      </c>
      <c r="AW157" s="7">
        <v>40.700000000000003</v>
      </c>
      <c r="AX157" s="7">
        <v>12.4</v>
      </c>
      <c r="AY157" s="8">
        <f>SUM(Tabla_master_rend[[#This Row],[Kg_Finos]:[Kg_Desmoldeo]])</f>
        <v>67.498853967037178</v>
      </c>
      <c r="AZ157" s="60">
        <f>+(Tabla_master_rend[[#This Row],[Kg_Finos]]+Tabla_master_rend[[#This Row],[Kg_Llenadora]]+Tabla_master_rend[[#This Row],[Kg_Desmoldeo]])/(Tabla_master_rend[[#This Row],[Kg_Queso_Blan]])</f>
        <v>7.5144851187180428E-3</v>
      </c>
      <c r="BA157" s="7">
        <v>110</v>
      </c>
      <c r="BB157" s="60">
        <f>+Tabla_master_rend[[#This Row],[L_Agua]]/(Tabla_master_rend[[#This Row],[L_Agua]]+Tabla_master_rend[[#This Row],[Kg_SalidaSecadero]])</f>
        <v>1.2338754907459339E-2</v>
      </c>
      <c r="BC157" s="8">
        <v>1213</v>
      </c>
      <c r="BD157" s="8">
        <v>1190</v>
      </c>
      <c r="BE157" s="8">
        <v>8770</v>
      </c>
      <c r="BF157" s="8">
        <f>11*6.3</f>
        <v>69.3</v>
      </c>
      <c r="BG157" s="8">
        <f>10*6.3</f>
        <v>63</v>
      </c>
      <c r="BH157" s="7">
        <f>6*6.3</f>
        <v>37.799999999999997</v>
      </c>
      <c r="BI157" s="7">
        <v>6.3</v>
      </c>
      <c r="BJ157" s="8">
        <v>38</v>
      </c>
      <c r="BK157" s="8">
        <v>8805</v>
      </c>
      <c r="BL157" s="8">
        <v>0</v>
      </c>
      <c r="BM157" s="8">
        <v>143.04</v>
      </c>
      <c r="BN157" s="7">
        <v>18.25</v>
      </c>
      <c r="BO157" s="68">
        <f>+SUM(Tabla_master_rend[[#This Row],[B_altas]:[B_lab]])/Tabla_master_rend[[#This Row],[Kg_SalidaSecadero]]</f>
        <v>2.434980124929018E-2</v>
      </c>
      <c r="BP157" s="68">
        <f>+(Tabla_master_rend[[#This Row],[Kg_mer_env_real]]+Tabla_master_rend[[#This Row],[kg_mer_lab_real]])/Tabla_master_rend[[#This Row],[Kg_SalidaSecadero]]</f>
        <v>1.831800113571834E-2</v>
      </c>
      <c r="BQ157" s="64">
        <f>+Tabla_master_rend[[#This Row],[Merma_TOT]]/Tabla_master_rend[[#This Row],[Kg_Queso_Blan]]</f>
        <v>3.7716548532306701E-2</v>
      </c>
      <c r="BR157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338.78885396703708</v>
      </c>
      <c r="BS157" s="8">
        <v>8683</v>
      </c>
      <c r="BT157" s="63">
        <f>IF(+Tabla_master_rend[[#This Row],[Kg_Env_Total]]=0,0,Tabla_master_rend[[#This Row],[Kg_Env_Total]]-Tabla_master_rend[[#This Row],[Kg_SalidaSecadero]])</f>
        <v>-122</v>
      </c>
      <c r="BU157" s="60">
        <f>+Tabla_master_rend[[#This Row],[Diferencia_Env_vs_Sec_kg]]/Tabla_master_rend[[#This Row],[Kg_SalidaSecadero]]</f>
        <v>-1.3855763770584895E-2</v>
      </c>
      <c r="BV157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57" s="65">
        <f>+(Tabla_master_rend[[#This Row],[Coste_Leche_€]]-Tabla_master_rend[[#This Row],[Kg_MG_Nata]]*$CO$3)/Tabla_master_rend[[#This Row],[Kg_Queso_Blan]]</f>
        <v>-0.44720295157354006</v>
      </c>
      <c r="BX157" s="8">
        <f>SUM(Tabla_master_rend[[#This Row],[Kg_Finos]:[Kg_Desmoldeo]])+Tabla_master_rend[[#This Row],[L_Agua]]+SUM(Tabla_master_rend[[#This Row],[B_altas]:[B_lab]])</f>
        <v>391.89885396703721</v>
      </c>
      <c r="BY157" s="8">
        <f>+BX157-Tabla_master_rend[[#This Row],[Merma_TOT]]</f>
        <v>53.110000000000127</v>
      </c>
      <c r="BZ157" s="62">
        <f t="shared" si="46"/>
        <v>0.13551966141872729</v>
      </c>
      <c r="CA157" s="8">
        <f>+Tabla_master_rend[[#This Row],[Kg_Queso_Blan]]*$CA$1</f>
        <v>58.386242550785738</v>
      </c>
      <c r="CB157" s="8">
        <f>+Tabla_master_rend[[#This Row],[Kg_Queso_Blan]]*($CB$1-$CA$1)</f>
        <v>31.438745988884637</v>
      </c>
      <c r="CC157" s="8">
        <f>+(Tabla_master_rend[[#This Row],[Kg_Queso_Blan]]-CA157-CB157)*$CC$1</f>
        <v>93.373075586987369</v>
      </c>
      <c r="CD157" s="8">
        <f t="shared" si="47"/>
        <v>183.19806412665775</v>
      </c>
      <c r="CE157" s="80">
        <f>+CD157/Tabla_master_rend[[#This Row],[Kg_Queso_Blan]]</f>
        <v>2.0395000000000003E-2</v>
      </c>
      <c r="CF157" s="62">
        <f>+Tabla_master_rend[[#This Row],[Merma_TOT]]/Tabla_master_rend[[#This Row],[Kg_Queso_Blan]]</f>
        <v>3.7716548532306701E-2</v>
      </c>
      <c r="CG157" s="8">
        <f>CD157-Tabla_master_rend[[#This Row],[Merma_TOT]]</f>
        <v>-155.59078984037933</v>
      </c>
      <c r="CH157" s="81" cm="1">
        <f t="array" ref="CH157">-BR157 * IFERROR(INDEX('Precio Leche_EBITDA_Ventas'!$BD$87:$BD$110,MATCH(1,('Precio Leche_EBITDA_Ventas'!$AZ$87:$AZ$110=YEAR(A157))*('Precio Leche_EBITDA_Ventas'!$BB$87:$BB$110=C157),0)),1.3)</f>
        <v>-1185.7609888846298</v>
      </c>
      <c r="CI157" s="81">
        <f t="shared" si="48"/>
        <v>-202.26802679249315</v>
      </c>
    </row>
    <row r="158" spans="1:87" x14ac:dyDescent="0.35">
      <c r="A158" s="9">
        <v>46014</v>
      </c>
      <c r="B158" s="7">
        <v>12</v>
      </c>
      <c r="C158" s="7" t="str">
        <f>+UPPER(TEXT(Tabla_master_rend[[#This Row],[Fecha]],"MMM"))</f>
        <v>DIC</v>
      </c>
      <c r="D158" s="7" t="str">
        <f>+UPPER(TEXT(Tabla_master_rend[[#This Row],[Fecha]],"ddd"))</f>
        <v>MA</v>
      </c>
      <c r="E158" s="3">
        <v>231225026</v>
      </c>
      <c r="F158" s="3" t="s">
        <v>244</v>
      </c>
      <c r="G158" s="84" t="s">
        <v>190</v>
      </c>
      <c r="H158">
        <v>17</v>
      </c>
      <c r="I158" s="8">
        <f>+Tabla_master_rend[[#This Row],[L_Leche_ent]]+Tabla_master_rend[[#This Row],[L_desn_ext]]+Tabla_master_rend[[#This Row],[L_cabra]]+Tabla_master_rend[[#This Row],[L_oveja]]</f>
        <v>241385</v>
      </c>
      <c r="J158" s="8">
        <v>241385</v>
      </c>
      <c r="K158" s="5">
        <v>4.0999999999999995E-2</v>
      </c>
      <c r="L158" s="5">
        <v>3.4000000000000002E-2</v>
      </c>
      <c r="M158" s="5">
        <f t="shared" si="43"/>
        <v>0.11129</v>
      </c>
      <c r="N158" s="35" t="s">
        <v>188</v>
      </c>
      <c r="O158" s="8">
        <v>0</v>
      </c>
      <c r="P158" s="8">
        <v>0</v>
      </c>
      <c r="Q158" s="8">
        <v>0</v>
      </c>
      <c r="R158" s="8">
        <v>3821</v>
      </c>
      <c r="T158" s="8">
        <v>234510</v>
      </c>
      <c r="U158" s="38">
        <f>+Tabla_master_rend[[#This Row],[L_suero Total]]/Tabla_master_rend[[#This Row],[Litros_Leche_Total]]</f>
        <v>0.9715185284918284</v>
      </c>
      <c r="V158" s="5">
        <v>3.0999999999999999E-3</v>
      </c>
      <c r="W158" s="5">
        <v>9.7999999999999997E-3</v>
      </c>
      <c r="X158" s="8">
        <v>131948</v>
      </c>
      <c r="Y158" s="57">
        <v>48704</v>
      </c>
      <c r="Z158" s="58">
        <f>IF(Tabla_master_rend[[#This Row],[L_suero para con]]=0,0,+Tabla_master_rend[[#This Row],[L_suero para con]]/Tabla_master_rend[[#This Row],[L_suero_con]])</f>
        <v>2.7091819973718789</v>
      </c>
      <c r="AA158" s="8">
        <f>+Tabla_master_rend[[#This Row],[L_suero Total]]-Tabla_master_rend[[#This Row],[L_suero para con]]</f>
        <v>102562</v>
      </c>
      <c r="AD158" s="8"/>
      <c r="AE158" s="8"/>
      <c r="AF158" s="8"/>
      <c r="AG158" s="5"/>
      <c r="AI158" s="7">
        <f>+Tabla_master_rend[[#This Row],[Kg_Finos]]+Tabla_master_rend[[#This Row],[Kg_Llenadora]]+Tabla_master_rend[[#This Row],[Kg_Desmoldeo]]+Tabla_master_rend[[#This Row],[L_Agua]]+Tabla_master_rend[[#This Row],[Kg_SalidaSecadero]]</f>
        <v>28892.6</v>
      </c>
      <c r="AJ158" s="59">
        <f>+Tabla_master_rend[[#This Row],[Litros_Leche_Total]]/Tabla_master_rend[[#This Row],[Kg_Queso_Blan]]</f>
        <v>8.3545613755771377</v>
      </c>
      <c r="AK158" s="59">
        <f>+Tabla_master_rend[[#This Row],[Litros_Leche_Total]]/(Tabla_master_rend[[#This Row],[Kg_Queso_Blan]]-Tabla_master_rend[[#This Row],[Merma_TOT]])</f>
        <v>8.5112557244748714</v>
      </c>
      <c r="AL158" s="59">
        <f>VLOOKUP(G158,REND_TARGET[#All],8,FALSE)</f>
        <v>8.4943170000000006</v>
      </c>
      <c r="AM158" s="7">
        <f>(I158*1.03*Tabla_master_rend[[#This Row],[%MG_Leche]])+(I158*1.03*Tabla_master_rend[[#This Row],[%MP_Leche]])</f>
        <v>18646.991249999999</v>
      </c>
      <c r="AN158" s="38">
        <v>0.29339999999999999</v>
      </c>
      <c r="AO158" s="38">
        <v>0.2394</v>
      </c>
      <c r="AP158" s="60">
        <v>0.57750000000000001</v>
      </c>
      <c r="AQ158" s="38">
        <f>+Tabla_master_rend[[#This Row],[Kg_Queso_Blan]]*Tabla_master_rend[[#This Row],[ES_QUESO]]/(Tabla_master_rend[[#This Row],[Kg_Solidos_leche]])</f>
        <v>0.8948079760588723</v>
      </c>
      <c r="AR158" s="7">
        <f t="shared" si="44"/>
        <v>1528.4</v>
      </c>
      <c r="AS158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0.98153762408210909</v>
      </c>
      <c r="AT158" s="62">
        <f>+Tabla_master_rend[[#This Row],[Kg_Queso_Blan]]*Tabla_master_rend[[#This Row],[%PT_QUESO]]/(Tabla_master_rend[[#This Row],[Litros_Leche_Total]]*1.03*Tabla_master_rend[[#This Row],[%MP_Leche]])</f>
        <v>0.81824686580784556</v>
      </c>
      <c r="AU158" s="63">
        <f t="shared" si="45"/>
        <v>11463</v>
      </c>
      <c r="AV158" s="7">
        <v>59.7</v>
      </c>
      <c r="AW158" s="7">
        <v>81.5</v>
      </c>
      <c r="AX158" s="7">
        <v>12.4</v>
      </c>
      <c r="AY158" s="8">
        <f>SUM(Tabla_master_rend[[#This Row],[Kg_Finos]:[Kg_Desmoldeo]])</f>
        <v>153.6</v>
      </c>
      <c r="AZ158" s="60">
        <f>+(Tabla_master_rend[[#This Row],[Kg_Finos]]+Tabla_master_rend[[#This Row],[Kg_Llenadora]]+Tabla_master_rend[[#This Row],[Kg_Desmoldeo]])/(Tabla_master_rend[[#This Row],[Kg_Queso_Blan]])</f>
        <v>5.3162401445352794E-3</v>
      </c>
      <c r="BA158" s="7">
        <v>70</v>
      </c>
      <c r="BB158" s="60">
        <f>+Tabla_master_rend[[#This Row],[L_Agua]]/(Tabla_master_rend[[#This Row],[L_Agua]]+Tabla_master_rend[[#This Row],[Kg_SalidaSecadero]])</f>
        <v>2.435714534256585E-3</v>
      </c>
      <c r="BC158" s="8">
        <v>3846</v>
      </c>
      <c r="BD158" s="8">
        <v>3793</v>
      </c>
      <c r="BE158" s="8">
        <v>28406</v>
      </c>
      <c r="BF158" s="8">
        <v>1413</v>
      </c>
      <c r="BG158" s="8">
        <v>87</v>
      </c>
      <c r="BH158" s="7">
        <v>46</v>
      </c>
      <c r="BI158" s="7">
        <v>90</v>
      </c>
      <c r="BJ158" s="8">
        <v>110</v>
      </c>
      <c r="BK158" s="8">
        <v>28669</v>
      </c>
      <c r="BL158" s="8">
        <v>0</v>
      </c>
      <c r="BM158" s="8">
        <v>281.06</v>
      </c>
      <c r="BN158" s="7">
        <v>27.26</v>
      </c>
      <c r="BO158" s="68">
        <f>+SUM(Tabla_master_rend[[#This Row],[B_altas]:[B_lab]])/Tabla_master_rend[[#This Row],[Kg_SalidaSecadero]]</f>
        <v>6.0902019603055565E-2</v>
      </c>
      <c r="BP158" s="68">
        <f>+(Tabla_master_rend[[#This Row],[Kg_mer_env_real]]+Tabla_master_rend[[#This Row],[kg_mer_lab_real]])/Tabla_master_rend[[#This Row],[Kg_SalidaSecadero]]</f>
        <v>1.07544734730894E-2</v>
      </c>
      <c r="BQ158" s="64">
        <f>+Tabla_master_rend[[#This Row],[Merma_TOT]]/Tabla_master_rend[[#This Row],[Kg_Queso_Blan]]</f>
        <v>1.8410250375528681E-2</v>
      </c>
      <c r="BR158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531.91999999999996</v>
      </c>
      <c r="BS158" s="8">
        <v>28213.099999999995</v>
      </c>
      <c r="BT158" s="63">
        <f>IF(+Tabla_master_rend[[#This Row],[Kg_Env_Total]]=0,0,Tabla_master_rend[[#This Row],[Kg_Env_Total]]-Tabla_master_rend[[#This Row],[Kg_SalidaSecadero]])</f>
        <v>-455.90000000000509</v>
      </c>
      <c r="BU158" s="60">
        <f>+Tabla_master_rend[[#This Row],[Diferencia_Env_vs_Sec_kg]]/Tabla_master_rend[[#This Row],[Kg_SalidaSecadero]]</f>
        <v>-1.5902194007464687E-2</v>
      </c>
      <c r="BV158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58" s="65">
        <f>+(Tabla_master_rend[[#This Row],[Coste_Leche_€]]-Tabla_master_rend[[#This Row],[Kg_MG_Nata]]*$CO$3)/Tabla_master_rend[[#This Row],[Kg_Queso_Blan]]</f>
        <v>-0.39674518734900982</v>
      </c>
      <c r="BX158" s="8">
        <f>SUM(Tabla_master_rend[[#This Row],[Kg_Finos]:[Kg_Desmoldeo]])+Tabla_master_rend[[#This Row],[L_Agua]]+SUM(Tabla_master_rend[[#This Row],[B_altas]:[B_lab]])</f>
        <v>1969.6</v>
      </c>
      <c r="BY158" s="8">
        <f>+BX158-Tabla_master_rend[[#This Row],[Merma_TOT]]</f>
        <v>1437.6799999999998</v>
      </c>
      <c r="BZ158" s="62">
        <f t="shared" si="46"/>
        <v>0.72993501218521517</v>
      </c>
      <c r="CA158" s="8">
        <f>+Tabla_master_rend[[#This Row],[Kg_Queso_Blan]]*$CA$1</f>
        <v>187.80189999999999</v>
      </c>
      <c r="CB158" s="8">
        <f>+Tabla_master_rend[[#This Row],[Kg_Queso_Blan]]*($CB$1-$CA$1)</f>
        <v>101.12410000000001</v>
      </c>
      <c r="CC158" s="8">
        <f>+(Tabla_master_rend[[#This Row],[Kg_Queso_Blan]]-CA158-CB158)*$CC$1</f>
        <v>300.33857699999999</v>
      </c>
      <c r="CD158" s="8">
        <f t="shared" si="47"/>
        <v>589.26457699999992</v>
      </c>
      <c r="CE158" s="80">
        <f>+CD158/Tabla_master_rend[[#This Row],[Kg_Queso_Blan]]</f>
        <v>2.0394999999999996E-2</v>
      </c>
      <c r="CF158" s="62">
        <f>+Tabla_master_rend[[#This Row],[Merma_TOT]]/Tabla_master_rend[[#This Row],[Kg_Queso_Blan]]</f>
        <v>1.8410250375528681E-2</v>
      </c>
      <c r="CG158" s="8">
        <f>CD158-Tabla_master_rend[[#This Row],[Merma_TOT]]</f>
        <v>57.344576999999958</v>
      </c>
      <c r="CH158" s="81" cm="1">
        <f t="array" ref="CH158">-BR158 * IFERROR(INDEX('Precio Leche_EBITDA_Ventas'!$BD$87:$BD$110,MATCH(1,('Precio Leche_EBITDA_Ventas'!$AZ$87:$AZ$110=YEAR(A158))*('Precio Leche_EBITDA_Ventas'!$BB$87:$BB$110=C158),0)),1.3)</f>
        <v>-1861.7199999999998</v>
      </c>
      <c r="CI158" s="81">
        <f t="shared" si="48"/>
        <v>74.547950099999952</v>
      </c>
    </row>
    <row r="159" spans="1:87" x14ac:dyDescent="0.35">
      <c r="A159" s="9">
        <v>46020</v>
      </c>
      <c r="B159" s="7">
        <v>12</v>
      </c>
      <c r="C159" s="7" t="str">
        <f>+UPPER(TEXT(Tabla_master_rend[[#This Row],[Fecha]],"MMM"))</f>
        <v>DIC</v>
      </c>
      <c r="D159" s="7" t="str">
        <f>+UPPER(TEXT(Tabla_master_rend[[#This Row],[Fecha]],"ddd"))</f>
        <v>LU</v>
      </c>
      <c r="E159" s="3">
        <v>291225116</v>
      </c>
      <c r="F159" s="3" t="s">
        <v>244</v>
      </c>
      <c r="G159" s="84" t="s">
        <v>299</v>
      </c>
      <c r="H159">
        <v>14</v>
      </c>
      <c r="I159" s="8">
        <f>+Tabla_master_rend[[#This Row],[L_Leche_ent]]+Tabla_master_rend[[#This Row],[L_desn_ext]]+Tabla_master_rend[[#This Row],[L_cabra]]+Tabla_master_rend[[#This Row],[L_oveja]]</f>
        <v>218055</v>
      </c>
      <c r="J159" s="8">
        <v>218055</v>
      </c>
      <c r="K159" s="5">
        <v>4.0800000000000003E-2</v>
      </c>
      <c r="L159" s="5">
        <v>3.4599999999999999E-2</v>
      </c>
      <c r="M159" s="5">
        <f t="shared" si="43"/>
        <v>0.11154800000000001</v>
      </c>
      <c r="N159" s="35" t="s">
        <v>43</v>
      </c>
      <c r="O159" s="8">
        <v>0</v>
      </c>
      <c r="P159" s="8">
        <v>0</v>
      </c>
      <c r="Q159" s="8">
        <v>0</v>
      </c>
      <c r="R159" s="8">
        <v>8733</v>
      </c>
      <c r="T159" s="8">
        <v>194340</v>
      </c>
      <c r="U159" s="38">
        <f>+Tabla_master_rend[[#This Row],[L_suero Total]]/Tabla_master_rend[[#This Row],[Litros_Leche_Total]]</f>
        <v>0.89124303501410196</v>
      </c>
      <c r="V159" s="5">
        <v>1.5E-3</v>
      </c>
      <c r="W159" s="5">
        <v>9.1999999999999998E-3</v>
      </c>
      <c r="X159" s="8">
        <v>166175</v>
      </c>
      <c r="Y159" s="57">
        <v>54788</v>
      </c>
      <c r="Z159" s="58">
        <f>IF(Tabla_master_rend[[#This Row],[L_suero para con]]=0,0,+Tabla_master_rend[[#This Row],[L_suero para con]]/Tabla_master_rend[[#This Row],[L_suero_con]])</f>
        <v>3.0330546835073373</v>
      </c>
      <c r="AA159" s="8">
        <f>+Tabla_master_rend[[#This Row],[L_suero Total]]-Tabla_master_rend[[#This Row],[L_suero para con]]</f>
        <v>28165</v>
      </c>
      <c r="AD159" s="8"/>
      <c r="AE159" s="8"/>
      <c r="AF159" s="8"/>
      <c r="AG159" s="5"/>
      <c r="AI159" s="7">
        <f>+Tabla_master_rend[[#This Row],[Kg_Finos]]+Tabla_master_rend[[#This Row],[Kg_Llenadora]]+Tabla_master_rend[[#This Row],[Kg_Desmoldeo]]+Tabla_master_rend[[#This Row],[L_Agua]]+Tabla_master_rend[[#This Row],[Kg_SalidaSecadero]]</f>
        <v>24434.63</v>
      </c>
      <c r="AJ159" s="59">
        <f>+Tabla_master_rend[[#This Row],[Litros_Leche_Total]]/Tabla_master_rend[[#This Row],[Kg_Queso_Blan]]</f>
        <v>8.9240148101280834</v>
      </c>
      <c r="AK159" s="59">
        <f>+Tabla_master_rend[[#This Row],[Litros_Leche_Total]]/(Tabla_master_rend[[#This Row],[Kg_Queso_Blan]]-Tabla_master_rend[[#This Row],[Merma_TOT]])</f>
        <v>9.3047280845714457</v>
      </c>
      <c r="AL159" s="59">
        <f>VLOOKUP(G159,REND_TARGET[#All],8,FALSE)</f>
        <v>9.8078500000000002</v>
      </c>
      <c r="AM159" s="7">
        <f>(I159*1.03*Tabla_master_rend[[#This Row],[%MG_Leche]])+(I159*1.03*Tabla_master_rend[[#This Row],[%MP_Leche]])</f>
        <v>16934.58741</v>
      </c>
      <c r="AN159" s="38">
        <v>0.22140000000000001</v>
      </c>
      <c r="AO159" s="38">
        <v>0.24170000000000003</v>
      </c>
      <c r="AP159" s="60">
        <v>0.52149999999999996</v>
      </c>
      <c r="AQ159" s="38">
        <f>+Tabla_master_rend[[#This Row],[Kg_Queso_Blan]]*Tabla_master_rend[[#This Row],[ES_QUESO]]/(Tabla_master_rend[[#This Row],[Kg_Solidos_leche]])</f>
        <v>0.75246353728555349</v>
      </c>
      <c r="AR159" s="7">
        <f t="shared" si="44"/>
        <v>3493.2000000000003</v>
      </c>
      <c r="AS159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0.97157035996857166</v>
      </c>
      <c r="AT159" s="62">
        <f>+Tabla_master_rend[[#This Row],[Kg_Queso_Blan]]*Tabla_master_rend[[#This Row],[%PT_QUESO]]/(Tabla_master_rend[[#This Row],[Litros_Leche_Total]]*1.03*Tabla_master_rend[[#This Row],[%MP_Leche]])</f>
        <v>0.75998154206843538</v>
      </c>
      <c r="AU159" s="63">
        <f t="shared" si="45"/>
        <v>26199.000000000004</v>
      </c>
      <c r="AV159" s="7">
        <v>34.53</v>
      </c>
      <c r="AW159" s="7">
        <v>64.3</v>
      </c>
      <c r="AX159" s="7">
        <v>65.8</v>
      </c>
      <c r="AY159" s="8">
        <f>SUM(Tabla_master_rend[[#This Row],[Kg_Finos]:[Kg_Desmoldeo]])</f>
        <v>164.63</v>
      </c>
      <c r="AZ159" s="60">
        <f>+(Tabla_master_rend[[#This Row],[Kg_Finos]]+Tabla_master_rend[[#This Row],[Kg_Llenadora]]+Tabla_master_rend[[#This Row],[Kg_Desmoldeo]])/(Tabla_master_rend[[#This Row],[Kg_Queso_Blan]])</f>
        <v>6.7375687702248815E-3</v>
      </c>
      <c r="BA159" s="7">
        <v>225</v>
      </c>
      <c r="BB159" s="60">
        <f>+Tabla_master_rend[[#This Row],[L_Agua]]/(Tabla_master_rend[[#This Row],[L_Agua]]+Tabla_master_rend[[#This Row],[Kg_SalidaSecadero]])</f>
        <v>9.270704573547589E-3</v>
      </c>
      <c r="BC159" s="8">
        <v>3303</v>
      </c>
      <c r="BD159" s="8">
        <v>3209</v>
      </c>
      <c r="BE159" s="8">
        <v>23652</v>
      </c>
      <c r="BF159" s="8">
        <v>274</v>
      </c>
      <c r="BG159" s="8">
        <v>292</v>
      </c>
      <c r="BH159" s="7">
        <v>7</v>
      </c>
      <c r="BI159" s="7">
        <v>235</v>
      </c>
      <c r="BJ159" s="8">
        <v>84</v>
      </c>
      <c r="BK159" s="8">
        <v>24045</v>
      </c>
      <c r="BL159" s="8">
        <v>0</v>
      </c>
      <c r="BM159" s="8">
        <v>601.94000000000005</v>
      </c>
      <c r="BN159" s="7">
        <v>8.1999999999999993</v>
      </c>
      <c r="BO159" s="68">
        <f>+SUM(Tabla_master_rend[[#This Row],[B_altas]:[B_lab]])/Tabla_master_rend[[#This Row],[Kg_SalidaSecadero]]</f>
        <v>3.7097109586192556E-2</v>
      </c>
      <c r="BP159" s="68">
        <f>+(Tabla_master_rend[[#This Row],[Kg_mer_env_real]]+Tabla_master_rend[[#This Row],[kg_mer_lab_real]])/Tabla_master_rend[[#This Row],[Kg_SalidaSecadero]]</f>
        <v>2.5374922021210236E-2</v>
      </c>
      <c r="BQ159" s="64">
        <f>+Tabla_master_rend[[#This Row],[Merma_TOT]]/Tabla_master_rend[[#This Row],[Kg_Queso_Blan]]</f>
        <v>4.0916109636200751E-2</v>
      </c>
      <c r="BR159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999.77</v>
      </c>
      <c r="BS159" s="8">
        <v>23651.900000000005</v>
      </c>
      <c r="BT159" s="63">
        <f>IF(+Tabla_master_rend[[#This Row],[Kg_Env_Total]]=0,0,Tabla_master_rend[[#This Row],[Kg_Env_Total]]-Tabla_master_rend[[#This Row],[Kg_SalidaSecadero]])</f>
        <v>-393.09999999999491</v>
      </c>
      <c r="BU159" s="60">
        <f>+Tabla_master_rend[[#This Row],[Diferencia_Env_vs_Sec_kg]]/Tabla_master_rend[[#This Row],[Kg_SalidaSecadero]]</f>
        <v>-1.634851320440819E-2</v>
      </c>
      <c r="BV159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59" s="65">
        <f>+(Tabla_master_rend[[#This Row],[Coste_Leche_€]]-Tabla_master_rend[[#This Row],[Kg_MG_Nata]]*$CO$3)/Tabla_master_rend[[#This Row],[Kg_Queso_Blan]]</f>
        <v>-1.0722077641445769</v>
      </c>
      <c r="BX159" s="8">
        <f>SUM(Tabla_master_rend[[#This Row],[Kg_Finos]:[Kg_Desmoldeo]])+Tabla_master_rend[[#This Row],[L_Agua]]+SUM(Tabla_master_rend[[#This Row],[B_altas]:[B_lab]])</f>
        <v>1281.6300000000001</v>
      </c>
      <c r="BY159" s="8">
        <f>+BX159-Tabla_master_rend[[#This Row],[Merma_TOT]]</f>
        <v>281.86000000000013</v>
      </c>
      <c r="BZ159" s="62">
        <f t="shared" si="46"/>
        <v>0.21992306671972417</v>
      </c>
      <c r="CA159" s="8">
        <f>+Tabla_master_rend[[#This Row],[Kg_Queso_Blan]]*$CA$1</f>
        <v>158.825095</v>
      </c>
      <c r="CB159" s="8">
        <f>+Tabla_master_rend[[#This Row],[Kg_Queso_Blan]]*($CB$1-$CA$1)</f>
        <v>85.521205000000009</v>
      </c>
      <c r="CC159" s="8">
        <f>+(Tabla_master_rend[[#This Row],[Kg_Queso_Blan]]-CA159-CB159)*$CC$1</f>
        <v>253.99797885000001</v>
      </c>
      <c r="CD159" s="8">
        <f t="shared" si="47"/>
        <v>498.34427885000002</v>
      </c>
      <c r="CE159" s="80">
        <f>+CD159/Tabla_master_rend[[#This Row],[Kg_Queso_Blan]]</f>
        <v>2.0395E-2</v>
      </c>
      <c r="CF159" s="62">
        <f>+Tabla_master_rend[[#This Row],[Merma_TOT]]/Tabla_master_rend[[#This Row],[Kg_Queso_Blan]]</f>
        <v>4.0916109636200751E-2</v>
      </c>
      <c r="CG159" s="8">
        <f>CD159-Tabla_master_rend[[#This Row],[Merma_TOT]]</f>
        <v>-501.42572114999996</v>
      </c>
      <c r="CH159" s="81" cm="1">
        <f t="array" ref="CH159">-BR159 * IFERROR(INDEX('Precio Leche_EBITDA_Ventas'!$BD$87:$BD$110,MATCH(1,('Precio Leche_EBITDA_Ventas'!$AZ$87:$AZ$110=YEAR(A159))*('Precio Leche_EBITDA_Ventas'!$BB$87:$BB$110=C159),0)),1.3)</f>
        <v>-3499.1949999999997</v>
      </c>
      <c r="CI159" s="81">
        <f t="shared" si="48"/>
        <v>-651.85343749499998</v>
      </c>
    </row>
    <row r="160" spans="1:87" x14ac:dyDescent="0.35">
      <c r="A160" s="9">
        <v>46021</v>
      </c>
      <c r="B160" s="7">
        <v>12</v>
      </c>
      <c r="C160" s="7" t="str">
        <f>+UPPER(TEXT(Tabla_master_rend[[#This Row],[Fecha]],"MMM"))</f>
        <v>DIC</v>
      </c>
      <c r="D160" s="7" t="str">
        <f>+UPPER(TEXT(Tabla_master_rend[[#This Row],[Fecha]],"ddd"))</f>
        <v>MA</v>
      </c>
      <c r="E160" s="3">
        <v>301225326</v>
      </c>
      <c r="F160" s="3" t="s">
        <v>244</v>
      </c>
      <c r="G160" s="84" t="s">
        <v>301</v>
      </c>
      <c r="H160">
        <v>6</v>
      </c>
      <c r="I160" s="8">
        <f>+Tabla_master_rend[[#This Row],[L_Leche_ent]]+Tabla_master_rend[[#This Row],[L_desn_ext]]+Tabla_master_rend[[#This Row],[L_cabra]]+Tabla_master_rend[[#This Row],[L_oveja]]</f>
        <v>87732</v>
      </c>
      <c r="J160" s="8">
        <v>87732</v>
      </c>
      <c r="K160" s="5">
        <v>4.3400000000000001E-2</v>
      </c>
      <c r="L160" s="5">
        <v>3.5000000000000003E-2</v>
      </c>
      <c r="M160" s="5">
        <f t="shared" si="43"/>
        <v>0.114262</v>
      </c>
      <c r="N160" s="35" t="s">
        <v>43</v>
      </c>
      <c r="O160" s="8">
        <v>0</v>
      </c>
      <c r="P160" s="8">
        <v>0</v>
      </c>
      <c r="Q160" s="8">
        <v>0</v>
      </c>
      <c r="R160" s="8">
        <v>2018</v>
      </c>
      <c r="T160" s="8">
        <v>82800</v>
      </c>
      <c r="U160" s="38">
        <f>+Tabla_master_rend[[#This Row],[L_suero Total]]/Tabla_master_rend[[#This Row],[Litros_Leche_Total]]</f>
        <v>0.943783340172343</v>
      </c>
      <c r="V160" s="5">
        <v>2.8999999999999998E-3</v>
      </c>
      <c r="W160" s="5">
        <v>1.09E-2</v>
      </c>
      <c r="X160" s="8">
        <f>27500/(96754+119356)*97754</f>
        <v>12439.197630836146</v>
      </c>
      <c r="Y160" s="57">
        <f>14400/(12439+15188)*12439</f>
        <v>6483.5704202410679</v>
      </c>
      <c r="Z160" s="58">
        <f>IF(Tabla_master_rend[[#This Row],[L_suero para con]]=0,0,+Tabla_master_rend[[#This Row],[L_suero para con]]/Tabla_master_rend[[#This Row],[L_suero_con]])</f>
        <v>1.9185721484573064</v>
      </c>
      <c r="AA160" s="8">
        <f>+Tabla_master_rend[[#This Row],[L_suero Total]]-Tabla_master_rend[[#This Row],[L_suero para con]]</f>
        <v>70360.802369163852</v>
      </c>
      <c r="AD160" s="8"/>
      <c r="AE160" s="8"/>
      <c r="AF160" s="8"/>
      <c r="AG160" s="5"/>
      <c r="AI160" s="7">
        <f>+Tabla_master_rend[[#This Row],[Kg_Finos]]+Tabla_master_rend[[#This Row],[Kg_Llenadora]]+Tabla_master_rend[[#This Row],[Kg_Desmoldeo]]+Tabla_master_rend[[#This Row],[L_Agua]]+Tabla_master_rend[[#This Row],[Kg_SalidaSecadero]]</f>
        <v>10422.673961185757</v>
      </c>
      <c r="AJ160" s="59">
        <f>+Tabla_master_rend[[#This Row],[Litros_Leche_Total]]/Tabla_master_rend[[#This Row],[Kg_Queso_Blan]]</f>
        <v>8.4174176729230616</v>
      </c>
      <c r="AK160" s="59">
        <f>+Tabla_master_rend[[#This Row],[Litros_Leche_Total]]/(Tabla_master_rend[[#This Row],[Kg_Queso_Blan]]-Tabla_master_rend[[#This Row],[Merma_TOT]])</f>
        <v>8.587755997000766</v>
      </c>
      <c r="AL160" s="59">
        <f>VLOOKUP(G160,REND_TARGET[#All],8,FALSE)</f>
        <v>9.3549429999999987</v>
      </c>
      <c r="AM160" s="7">
        <f>(I160*1.03*Tabla_master_rend[[#This Row],[%MG_Leche]])+(I160*1.03*Tabla_master_rend[[#This Row],[%MP_Leche]])</f>
        <v>7084.5344640000003</v>
      </c>
      <c r="AN160" s="38">
        <v>0.28820000000000001</v>
      </c>
      <c r="AO160" s="38">
        <v>0.23870000000000002</v>
      </c>
      <c r="AP160" s="60">
        <v>0.57330000000000003</v>
      </c>
      <c r="AQ160" s="38">
        <f>+Tabla_master_rend[[#This Row],[Kg_Queso_Blan]]*Tabla_master_rend[[#This Row],[ES_QUESO]]/(Tabla_master_rend[[#This Row],[Kg_Solidos_leche]])</f>
        <v>0.84343142267305293</v>
      </c>
      <c r="AR160" s="7">
        <f t="shared" si="44"/>
        <v>807.2</v>
      </c>
      <c r="AS160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0.9717524235763576</v>
      </c>
      <c r="AT160" s="62">
        <f>+Tabla_master_rend[[#This Row],[Kg_Queso_Blan]]*Tabla_master_rend[[#This Row],[%PT_QUESO]]/(Tabla_master_rend[[#This Row],[Litros_Leche_Total]]*1.03*Tabla_master_rend[[#This Row],[%MP_Leche]])</f>
        <v>0.78662595591524387</v>
      </c>
      <c r="AU160" s="63">
        <f t="shared" si="45"/>
        <v>6054</v>
      </c>
      <c r="AV160" s="7">
        <v>17.473961185758245</v>
      </c>
      <c r="AW160" s="7">
        <v>15.2</v>
      </c>
      <c r="AX160" s="7">
        <v>8</v>
      </c>
      <c r="AY160" s="8">
        <f>SUM(Tabla_master_rend[[#This Row],[Kg_Finos]:[Kg_Desmoldeo]])</f>
        <v>40.673961185758245</v>
      </c>
      <c r="AZ160" s="60">
        <f>+(Tabla_master_rend[[#This Row],[Kg_Finos]]+Tabla_master_rend[[#This Row],[Kg_Llenadora]]+Tabla_master_rend[[#This Row],[Kg_Desmoldeo]])/(Tabla_master_rend[[#This Row],[Kg_Queso_Blan]])</f>
        <v>3.9024497300048791E-3</v>
      </c>
      <c r="BA160" s="7">
        <v>100</v>
      </c>
      <c r="BB160" s="60">
        <f>+Tabla_master_rend[[#This Row],[L_Agua]]/(Tabla_master_rend[[#This Row],[L_Agua]]+Tabla_master_rend[[#This Row],[Kg_SalidaSecadero]])</f>
        <v>9.6320554806395686E-3</v>
      </c>
      <c r="BC160" s="8">
        <v>1386</v>
      </c>
      <c r="BD160" s="8">
        <v>1368</v>
      </c>
      <c r="BE160" s="8">
        <v>10263</v>
      </c>
      <c r="BF160" s="8">
        <v>289</v>
      </c>
      <c r="BG160" s="8">
        <v>61</v>
      </c>
      <c r="BH160" s="7">
        <v>0</v>
      </c>
      <c r="BI160" s="7">
        <v>13</v>
      </c>
      <c r="BJ160" s="8">
        <v>45</v>
      </c>
      <c r="BK160" s="8">
        <v>10282</v>
      </c>
      <c r="BL160" s="8">
        <v>0</v>
      </c>
      <c r="BM160" s="8">
        <v>59.03</v>
      </c>
      <c r="BN160" s="7">
        <v>7.03</v>
      </c>
      <c r="BO160" s="68">
        <f>+SUM(Tabla_master_rend[[#This Row],[B_altas]:[B_lab]])/Tabla_master_rend[[#This Row],[Kg_SalidaSecadero]]</f>
        <v>3.96809959151916E-2</v>
      </c>
      <c r="BP160" s="68">
        <f>+(Tabla_master_rend[[#This Row],[Kg_mer_env_real]]+Tabla_master_rend[[#This Row],[kg_mer_lab_real]])/Tabla_master_rend[[#This Row],[Kg_SalidaSecadero]]</f>
        <v>6.4248200739155806E-3</v>
      </c>
      <c r="BQ160" s="64">
        <f>+Tabla_master_rend[[#This Row],[Merma_TOT]]/Tabla_master_rend[[#This Row],[Kg_Queso_Blan]]</f>
        <v>1.9835021411553268E-2</v>
      </c>
      <c r="BR160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206.73396118575823</v>
      </c>
      <c r="BS160" s="8">
        <v>10137.590000000002</v>
      </c>
      <c r="BT160" s="63">
        <f>IF(+Tabla_master_rend[[#This Row],[Kg_Env_Total]]=0,0,Tabla_master_rend[[#This Row],[Kg_Env_Total]]-Tabla_master_rend[[#This Row],[Kg_SalidaSecadero]])</f>
        <v>-144.40999999999804</v>
      </c>
      <c r="BU160" s="60">
        <f>+Tabla_master_rend[[#This Row],[Diferencia_Env_vs_Sec_kg]]/Tabla_master_rend[[#This Row],[Kg_SalidaSecadero]]</f>
        <v>-1.4044932892433188E-2</v>
      </c>
      <c r="BV160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60" s="65">
        <f>+(Tabla_master_rend[[#This Row],[Coste_Leche_€]]-Tabla_master_rend[[#This Row],[Kg_MG_Nata]]*$CO$3)/Tabla_master_rend[[#This Row],[Kg_Queso_Blan]]</f>
        <v>-0.58084902420868334</v>
      </c>
      <c r="BX160" s="8">
        <f>SUM(Tabla_master_rend[[#This Row],[Kg_Finos]:[Kg_Desmoldeo]])+Tabla_master_rend[[#This Row],[L_Agua]]+SUM(Tabla_master_rend[[#This Row],[B_altas]:[B_lab]])</f>
        <v>548.67396118575823</v>
      </c>
      <c r="BY160" s="8">
        <f>+BX160-Tabla_master_rend[[#This Row],[Merma_TOT]]</f>
        <v>341.94</v>
      </c>
      <c r="BZ160" s="62">
        <f t="shared" si="46"/>
        <v>0.62321164150203456</v>
      </c>
      <c r="CA160" s="8">
        <f>+Tabla_master_rend[[#This Row],[Kg_Queso_Blan]]*$CA$1</f>
        <v>67.747380747707425</v>
      </c>
      <c r="CB160" s="8">
        <f>+Tabla_master_rend[[#This Row],[Kg_Queso_Blan]]*($CB$1-$CA$1)</f>
        <v>36.479358864150157</v>
      </c>
      <c r="CC160" s="8">
        <f>+(Tabla_master_rend[[#This Row],[Kg_Queso_Blan]]-CA160-CB160)*$CC$1</f>
        <v>108.34369582652596</v>
      </c>
      <c r="CD160" s="8">
        <f t="shared" si="47"/>
        <v>212.57043543838353</v>
      </c>
      <c r="CE160" s="80">
        <f>+CD160/Tabla_master_rend[[#This Row],[Kg_Queso_Blan]]</f>
        <v>2.0395E-2</v>
      </c>
      <c r="CF160" s="62">
        <f>+Tabla_master_rend[[#This Row],[Merma_TOT]]/Tabla_master_rend[[#This Row],[Kg_Queso_Blan]]</f>
        <v>1.9835021411553268E-2</v>
      </c>
      <c r="CG160" s="8">
        <f>CD160-Tabla_master_rend[[#This Row],[Merma_TOT]]</f>
        <v>5.836474252625294</v>
      </c>
      <c r="CH160" s="81" cm="1">
        <f t="array" ref="CH160">-BR160 * IFERROR(INDEX('Precio Leche_EBITDA_Ventas'!$BD$87:$BD$110,MATCH(1,('Precio Leche_EBITDA_Ventas'!$AZ$87:$AZ$110=YEAR(A160))*('Precio Leche_EBITDA_Ventas'!$BB$87:$BB$110=C160),0)),1.3)</f>
        <v>-723.56886415015379</v>
      </c>
      <c r="CI160" s="81">
        <f t="shared" si="48"/>
        <v>7.5874165284128825</v>
      </c>
    </row>
    <row r="161" spans="1:87" x14ac:dyDescent="0.35">
      <c r="A161" s="9">
        <v>46021</v>
      </c>
      <c r="B161" s="7">
        <v>12</v>
      </c>
      <c r="C161" s="7" t="str">
        <f>+UPPER(TEXT(Tabla_master_rend[[#This Row],[Fecha]],"MMM"))</f>
        <v>DIC</v>
      </c>
      <c r="D161" s="7" t="str">
        <f>+UPPER(TEXT(Tabla_master_rend[[#This Row],[Fecha]],"ddd"))</f>
        <v>MA</v>
      </c>
      <c r="E161" s="3">
        <v>301225916</v>
      </c>
      <c r="F161" s="3" t="s">
        <v>244</v>
      </c>
      <c r="G161" s="84" t="s">
        <v>445</v>
      </c>
      <c r="H161">
        <v>7</v>
      </c>
      <c r="I161" s="8">
        <f>+Tabla_master_rend[[#This Row],[L_Leche_ent]]+Tabla_master_rend[[#This Row],[L_desn_ext]]+Tabla_master_rend[[#This Row],[L_cabra]]+Tabla_master_rend[[#This Row],[L_oveja]]</f>
        <v>108227</v>
      </c>
      <c r="J161" s="8">
        <v>108227</v>
      </c>
      <c r="K161" s="5">
        <v>4.3899999999999995E-2</v>
      </c>
      <c r="L161" s="5">
        <v>3.5099999999999999E-2</v>
      </c>
      <c r="M161" s="5">
        <f t="shared" si="43"/>
        <v>0.114801</v>
      </c>
      <c r="N161" s="35" t="s">
        <v>43</v>
      </c>
      <c r="O161" s="8">
        <v>0</v>
      </c>
      <c r="P161" s="8">
        <v>0</v>
      </c>
      <c r="Q161" s="8">
        <v>0</v>
      </c>
      <c r="R161" s="8">
        <v>5021</v>
      </c>
      <c r="T161" s="8">
        <v>133310</v>
      </c>
      <c r="U161" s="38">
        <f>+Tabla_master_rend[[#This Row],[L_suero Total]]/Tabla_master_rend[[#This Row],[Litros_Leche_Total]]</f>
        <v>1.2317628687850537</v>
      </c>
      <c r="V161" s="5">
        <v>2.8999999999999998E-3</v>
      </c>
      <c r="W161" s="5">
        <v>1.09E-2</v>
      </c>
      <c r="X161" s="8">
        <f>27500/(96754+119356)*119356</f>
        <v>15188.052380732033</v>
      </c>
      <c r="Y161" s="57">
        <f>14400/(12439+15188)*15188</f>
        <v>7916.4295797589311</v>
      </c>
      <c r="Z161" s="58">
        <f>IF(Tabla_master_rend[[#This Row],[L_suero para con]]=0,0,+Tabla_master_rend[[#This Row],[L_suero para con]]/Tabla_master_rend[[#This Row],[L_suero_con]])</f>
        <v>1.9185482833783429</v>
      </c>
      <c r="AA161" s="8">
        <f>+Tabla_master_rend[[#This Row],[L_suero Total]]-Tabla_master_rend[[#This Row],[L_suero para con]]</f>
        <v>118121.94761926797</v>
      </c>
      <c r="AD161" s="8"/>
      <c r="AE161" s="8"/>
      <c r="AF161" s="8"/>
      <c r="AG161" s="5"/>
      <c r="AI161" s="7">
        <f>+Tabla_master_rend[[#This Row],[Kg_Finos]]+Tabla_master_rend[[#This Row],[Kg_Llenadora]]+Tabla_master_rend[[#This Row],[Kg_Desmoldeo]]+Tabla_master_rend[[#This Row],[L_Agua]]+Tabla_master_rend[[#This Row],[Kg_SalidaSecadero]]</f>
        <v>12269.156038814242</v>
      </c>
      <c r="AJ161" s="59">
        <f>+Tabla_master_rend[[#This Row],[Litros_Leche_Total]]/Tabla_master_rend[[#This Row],[Kg_Queso_Blan]]</f>
        <v>8.8210631324287601</v>
      </c>
      <c r="AK161" s="59">
        <f>+Tabla_master_rend[[#This Row],[Litros_Leche_Total]]/(Tabla_master_rend[[#This Row],[Kg_Queso_Blan]]-Tabla_master_rend[[#This Row],[Merma_TOT]])</f>
        <v>9.6723309864567533</v>
      </c>
      <c r="AL161" s="59">
        <f>VLOOKUP(G161,REND_TARGET[#All],8,FALSE)</f>
        <v>9.8078500000000002</v>
      </c>
      <c r="AM161" s="7">
        <f>(I161*1.03*Tabla_master_rend[[#This Row],[%MG_Leche]])+(I161*1.03*Tabla_master_rend[[#This Row],[%MP_Leche]])</f>
        <v>8806.4309899999989</v>
      </c>
      <c r="AN161" s="38">
        <v>0.20760000000000001</v>
      </c>
      <c r="AO161" s="38">
        <v>0.25159999999999999</v>
      </c>
      <c r="AP161" s="60">
        <v>0.51539999999999997</v>
      </c>
      <c r="AQ161" s="38">
        <f>+Tabla_master_rend[[#This Row],[Kg_Queso_Blan]]*Tabla_master_rend[[#This Row],[ES_QUESO]]/(Tabla_master_rend[[#This Row],[Kg_Solidos_leche]])</f>
        <v>0.71805740936202589</v>
      </c>
      <c r="AR161" s="7">
        <f t="shared" si="44"/>
        <v>2008.4</v>
      </c>
      <c r="AS161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0.9308859457176325</v>
      </c>
      <c r="AT161" s="62">
        <f>+Tabla_master_rend[[#This Row],[Kg_Queso_Blan]]*Tabla_master_rend[[#This Row],[%PT_QUESO]]/(Tabla_master_rend[[#This Row],[Litros_Leche_Total]]*1.03*Tabla_master_rend[[#This Row],[%MP_Leche]])</f>
        <v>0.78894252418354405</v>
      </c>
      <c r="AU161" s="63">
        <f t="shared" si="45"/>
        <v>15063</v>
      </c>
      <c r="AV161" s="7">
        <v>21.556038814241756</v>
      </c>
      <c r="AW161" s="7">
        <v>79.400000000000006</v>
      </c>
      <c r="AX161" s="7">
        <v>55.2</v>
      </c>
      <c r="AY161" s="8">
        <f>SUM(Tabla_master_rend[[#This Row],[Kg_Finos]:[Kg_Desmoldeo]])</f>
        <v>156.15603881424175</v>
      </c>
      <c r="AZ161" s="60">
        <f>+(Tabla_master_rend[[#This Row],[Kg_Finos]]+Tabla_master_rend[[#This Row],[Kg_Llenadora]]+Tabla_master_rend[[#This Row],[Kg_Desmoldeo]])/(Tabla_master_rend[[#This Row],[Kg_Queso_Blan]])</f>
        <v>1.272752896126126E-2</v>
      </c>
      <c r="BA161" s="7">
        <v>160</v>
      </c>
      <c r="BB161" s="60">
        <f>+Tabla_master_rend[[#This Row],[L_Agua]]/(Tabla_master_rend[[#This Row],[L_Agua]]+Tabla_master_rend[[#This Row],[Kg_SalidaSecadero]])</f>
        <v>1.3208949062990177E-2</v>
      </c>
      <c r="BC161" s="8">
        <v>1708</v>
      </c>
      <c r="BD161" s="8">
        <f>1177+396</f>
        <v>1573</v>
      </c>
      <c r="BE161" s="8">
        <f>8466+2776</f>
        <v>11242</v>
      </c>
      <c r="BF161" s="8">
        <f>186+280</f>
        <v>466</v>
      </c>
      <c r="BG161" s="8">
        <f>187+528</f>
        <v>715</v>
      </c>
      <c r="BH161" s="7">
        <v>20</v>
      </c>
      <c r="BI161" s="7">
        <v>77</v>
      </c>
      <c r="BJ161" s="8">
        <f>32+27</f>
        <v>59</v>
      </c>
      <c r="BK161" s="8">
        <v>11953</v>
      </c>
      <c r="BL161" s="8">
        <v>0</v>
      </c>
      <c r="BM161" s="8">
        <v>750.24</v>
      </c>
      <c r="BN161" s="7">
        <v>13.42</v>
      </c>
      <c r="BO161" s="68">
        <f>+SUM(Tabla_master_rend[[#This Row],[B_altas]:[B_lab]])/Tabla_master_rend[[#This Row],[Kg_SalidaSecadero]]</f>
        <v>0.11185476449426922</v>
      </c>
      <c r="BP161" s="68">
        <f>+(Tabla_master_rend[[#This Row],[Kg_mer_env_real]]+Tabla_master_rend[[#This Row],[kg_mer_lab_real]])/Tabla_master_rend[[#This Row],[Kg_SalidaSecadero]]</f>
        <v>6.3888563540533752E-2</v>
      </c>
      <c r="BQ161" s="64">
        <f>+Tabla_master_rend[[#This Row],[Merma_TOT]]/Tabla_master_rend[[#This Row],[Kg_Queso_Blan]]</f>
        <v>8.8010620730405262E-2</v>
      </c>
      <c r="BR161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1079.8160388142417</v>
      </c>
      <c r="BS161" s="8">
        <v>11669.77</v>
      </c>
      <c r="BT161" s="63">
        <f>IF(+Tabla_master_rend[[#This Row],[Kg_Env_Total]]=0,0,Tabla_master_rend[[#This Row],[Kg_Env_Total]]-Tabla_master_rend[[#This Row],[Kg_SalidaSecadero]])</f>
        <v>-283.22999999999956</v>
      </c>
      <c r="BU161" s="60">
        <f>+Tabla_master_rend[[#This Row],[Diferencia_Env_vs_Sec_kg]]/Tabla_master_rend[[#This Row],[Kg_SalidaSecadero]]</f>
        <v>-2.3695306617585506E-2</v>
      </c>
      <c r="BV161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61" s="65">
        <f>+(Tabla_master_rend[[#This Row],[Coste_Leche_€]]-Tabla_master_rend[[#This Row],[Kg_MG_Nata]]*$CO$3)/Tabla_master_rend[[#This Row],[Kg_Queso_Blan]]</f>
        <v>-1.2277128070054091</v>
      </c>
      <c r="BX161" s="8">
        <f>SUM(Tabla_master_rend[[#This Row],[Kg_Finos]:[Kg_Desmoldeo]])+Tabla_master_rend[[#This Row],[L_Agua]]+SUM(Tabla_master_rend[[#This Row],[B_altas]:[B_lab]])</f>
        <v>1653.1560388142418</v>
      </c>
      <c r="BY161" s="8">
        <f>+BX161-Tabla_master_rend[[#This Row],[Merma_TOT]]</f>
        <v>573.34000000000015</v>
      </c>
      <c r="BZ161" s="62">
        <f t="shared" si="46"/>
        <v>0.34681541641479857</v>
      </c>
      <c r="CA161" s="8">
        <f>+Tabla_master_rend[[#This Row],[Kg_Queso_Blan]]*$CA$1</f>
        <v>79.74951425229257</v>
      </c>
      <c r="CB161" s="8">
        <f>+Tabla_master_rend[[#This Row],[Kg_Queso_Blan]]*($CB$1-$CA$1)</f>
        <v>42.942046135849857</v>
      </c>
      <c r="CC161" s="8">
        <f>+(Tabla_master_rend[[#This Row],[Kg_Queso_Blan]]-CA161-CB161)*$CC$1</f>
        <v>127.53787702347405</v>
      </c>
      <c r="CD161" s="8">
        <f t="shared" si="47"/>
        <v>250.22943741161646</v>
      </c>
      <c r="CE161" s="80">
        <f>+CD161/Tabla_master_rend[[#This Row],[Kg_Queso_Blan]]</f>
        <v>2.0395E-2</v>
      </c>
      <c r="CF161" s="62">
        <f>+Tabla_master_rend[[#This Row],[Merma_TOT]]/Tabla_master_rend[[#This Row],[Kg_Queso_Blan]]</f>
        <v>8.8010620730405262E-2</v>
      </c>
      <c r="CG161" s="8">
        <f>CD161-Tabla_master_rend[[#This Row],[Merma_TOT]]</f>
        <v>-829.58660140262521</v>
      </c>
      <c r="CH161" s="81" cm="1">
        <f t="array" ref="CH161">-BR161 * IFERROR(INDEX('Precio Leche_EBITDA_Ventas'!$BD$87:$BD$110,MATCH(1,('Precio Leche_EBITDA_Ventas'!$AZ$87:$AZ$110=YEAR(A161))*('Precio Leche_EBITDA_Ventas'!$BB$87:$BB$110=C161),0)),1.3)</f>
        <v>-3779.3561358498459</v>
      </c>
      <c r="CI161" s="81">
        <f t="shared" si="48"/>
        <v>-1078.4625818234128</v>
      </c>
    </row>
    <row r="162" spans="1:87" x14ac:dyDescent="0.35">
      <c r="A162" s="9">
        <v>46027</v>
      </c>
      <c r="B162" s="7">
        <v>1</v>
      </c>
      <c r="C162" s="7" t="str">
        <f>+UPPER(TEXT(Tabla_master_rend[[#This Row],[Fecha]],"MMM"))</f>
        <v>ENE</v>
      </c>
      <c r="D162" s="7" t="str">
        <f>+UPPER(TEXT(Tabla_master_rend[[#This Row],[Fecha]],"ddd"))</f>
        <v>LU</v>
      </c>
      <c r="E162" s="56" t="s">
        <v>513</v>
      </c>
      <c r="F162" s="3" t="s">
        <v>244</v>
      </c>
      <c r="G162" t="s">
        <v>40</v>
      </c>
      <c r="H162">
        <v>12</v>
      </c>
      <c r="I162" s="8">
        <f>+Tabla_master_rend[[#This Row],[L_Leche_ent]]+Tabla_master_rend[[#This Row],[L_desn_ext]]+Tabla_master_rend[[#This Row],[L_cabra]]+Tabla_master_rend[[#This Row],[L_oveja]]</f>
        <v>199366</v>
      </c>
      <c r="J162" s="8">
        <v>199366</v>
      </c>
      <c r="K162" s="5">
        <v>3.9600000000000003E-2</v>
      </c>
      <c r="L162" s="5">
        <v>3.4599999999999999E-2</v>
      </c>
      <c r="M162" s="5">
        <f t="shared" ref="M162:M192" si="49">0.93*K162+0.74*L162+0.048</f>
        <v>0.110432</v>
      </c>
      <c r="N162" s="3" t="s">
        <v>188</v>
      </c>
      <c r="O162" s="8">
        <v>0</v>
      </c>
      <c r="P162" s="8">
        <v>0</v>
      </c>
      <c r="Q162" s="8">
        <v>0</v>
      </c>
      <c r="R162" s="8">
        <v>1989</v>
      </c>
      <c r="S162" s="8">
        <v>0</v>
      </c>
      <c r="T162" s="8">
        <v>173730</v>
      </c>
      <c r="U162" s="38">
        <f>+Tabla_master_rend[[#This Row],[L_suero Total]]/Tabla_master_rend[[#This Row],[Litros_Leche_Total]]</f>
        <v>0.87141237723583764</v>
      </c>
      <c r="V162" s="66">
        <v>2.8E-3</v>
      </c>
      <c r="W162" s="66">
        <v>9.7999999999999997E-3</v>
      </c>
      <c r="X162" s="8">
        <v>173364</v>
      </c>
      <c r="Y162" s="57">
        <v>55619</v>
      </c>
      <c r="Z162" s="58">
        <f>IF(Tabla_master_rend[[#This Row],[L_suero para con]]=0,0,+Tabla_master_rend[[#This Row],[L_suero para con]]/Tabla_master_rend[[#This Row],[L_suero_con]])</f>
        <v>3.1169923946852696</v>
      </c>
      <c r="AA162" s="8">
        <f>+Tabla_master_rend[[#This Row],[L_suero Total]]-Tabla_master_rend[[#This Row],[L_suero para con]]</f>
        <v>366</v>
      </c>
      <c r="AD162" s="8">
        <v>0</v>
      </c>
      <c r="AE162" s="8">
        <v>0</v>
      </c>
      <c r="AF162" s="8">
        <v>0</v>
      </c>
      <c r="AG162" s="5">
        <v>0</v>
      </c>
      <c r="AH162" s="5">
        <v>0</v>
      </c>
      <c r="AI162" s="7">
        <f>+Tabla_master_rend[[#This Row],[Kg_Finos]]+Tabla_master_rend[[#This Row],[Kg_Llenadora]]+Tabla_master_rend[[#This Row],[Kg_Desmoldeo]]+Tabla_master_rend[[#This Row],[L_Agua]]+Tabla_master_rend[[#This Row],[Kg_SalidaSecadero]]</f>
        <v>23960.080000000002</v>
      </c>
      <c r="AJ162" s="59">
        <f>+Tabla_master_rend[[#This Row],[Litros_Leche_Total]]/Tabla_master_rend[[#This Row],[Kg_Queso_Blan]]</f>
        <v>8.3207568589086502</v>
      </c>
      <c r="AK162" s="59">
        <f>+Tabla_master_rend[[#This Row],[Litros_Leche_Total]]/(Tabla_master_rend[[#This Row],[Kg_Queso_Blan]]-Tabla_master_rend[[#This Row],[Merma_TOT]])</f>
        <v>8.4811873985667994</v>
      </c>
      <c r="AL162" s="59">
        <f>VLOOKUP(G162,REND_TARGET[#All],8,FALSE)</f>
        <v>8.9338729999999984</v>
      </c>
      <c r="AM162" s="7">
        <f>(I162*1.03*Tabla_master_rend[[#This Row],[%MG_Leche]])+(I162*1.03*Tabla_master_rend[[#This Row],[%MP_Leche]])</f>
        <v>15236.745916000002</v>
      </c>
      <c r="AN162" s="38">
        <v>0.30130000000000001</v>
      </c>
      <c r="AO162" s="38">
        <v>0.2301</v>
      </c>
      <c r="AP162" s="60">
        <v>0.57669999999999999</v>
      </c>
      <c r="AQ162" s="38">
        <f>+Tabla_master_rend[[#This Row],[Kg_Queso_Blan]]*Tabla_master_rend[[#This Row],[ES_QUESO]]/(Tabla_master_rend[[#This Row],[Kg_Solidos_leche]])</f>
        <v>0.90687199302116384</v>
      </c>
      <c r="AR162" s="7">
        <f t="shared" ref="AR162:AR192" si="50">R162*0.4</f>
        <v>795.6</v>
      </c>
      <c r="AS162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0.98561583398740493</v>
      </c>
      <c r="AT162" s="62">
        <f>+Tabla_master_rend[[#This Row],[Kg_Queso_Blan]]*Tabla_master_rend[[#This Row],[%PT_QUESO]]/(Tabla_master_rend[[#This Row],[Litros_Leche_Total]]*1.03*Tabla_master_rend[[#This Row],[%MP_Leche]])</f>
        <v>0.77596201745266835</v>
      </c>
      <c r="AU162" s="63">
        <f t="shared" ref="AU162:AU192" si="51">AR162*$CO$3</f>
        <v>5967</v>
      </c>
      <c r="AV162" s="7">
        <v>52.08</v>
      </c>
      <c r="AW162" s="7">
        <v>36.799999999999997</v>
      </c>
      <c r="AX162" s="7">
        <v>9.1999999999999993</v>
      </c>
      <c r="AY162" s="8">
        <f>SUM(Tabla_master_rend[[#This Row],[Kg_Finos]:[Kg_Desmoldeo]])</f>
        <v>98.08</v>
      </c>
      <c r="AZ162" s="60">
        <f>+(Tabla_master_rend[[#This Row],[Kg_Finos]]+Tabla_master_rend[[#This Row],[Kg_Llenadora]]+Tabla_master_rend[[#This Row],[Kg_Desmoldeo]])/(Tabla_master_rend[[#This Row],[Kg_Queso_Blan]])</f>
        <v>4.0934754808832022E-3</v>
      </c>
      <c r="BA162" s="7">
        <v>130</v>
      </c>
      <c r="BB162" s="60">
        <f>+Tabla_master_rend[[#This Row],[L_Agua]]/(Tabla_master_rend[[#This Row],[L_Agua]]+Tabla_master_rend[[#This Row],[Kg_SalidaSecadero]])</f>
        <v>5.4479926242561394E-3</v>
      </c>
      <c r="BC162" s="8">
        <v>3277</v>
      </c>
      <c r="BD162" s="8">
        <v>3238</v>
      </c>
      <c r="BE162" s="8">
        <v>23613</v>
      </c>
      <c r="BF162" s="8">
        <v>618</v>
      </c>
      <c r="BG162" s="8">
        <v>38</v>
      </c>
      <c r="BH162" s="8">
        <v>44</v>
      </c>
      <c r="BI162" s="8">
        <v>28</v>
      </c>
      <c r="BJ162" s="8">
        <v>139</v>
      </c>
      <c r="BK162" s="8">
        <v>23732</v>
      </c>
      <c r="BL162" s="8">
        <v>0</v>
      </c>
      <c r="BM162" s="8">
        <v>198.95</v>
      </c>
      <c r="BN162" s="8">
        <v>26.2</v>
      </c>
      <c r="BO162" s="68">
        <f>+SUM(Tabla_master_rend[[#This Row],[B_altas]:[B_lab]])/Tabla_master_rend[[#This Row],[Kg_SalidaSecadero]]</f>
        <v>3.6532951289398284E-2</v>
      </c>
      <c r="BP162" s="68">
        <f>+(Tabla_master_rend[[#This Row],[Kg_mer_env_real]]+Tabla_master_rend[[#This Row],[kg_mer_lab_real]])/Tabla_master_rend[[#This Row],[Kg_SalidaSecadero]]</f>
        <v>9.4871902915894136E-3</v>
      </c>
      <c r="BQ162" s="64">
        <f>+Tabla_master_rend[[#This Row],[Merma_TOT]]/Tabla_master_rend[[#This Row],[Kg_Queso_Blan]]</f>
        <v>1.8916047024884721E-2</v>
      </c>
      <c r="BR162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453.22999999999996</v>
      </c>
      <c r="BS162" s="138">
        <v>23131.300000000007</v>
      </c>
      <c r="BT162" s="63">
        <f>IF(+Tabla_master_rend[[#This Row],[Kg_Env_Total]]=0,0,Tabla_master_rend[[#This Row],[Kg_Env_Total]]-Tabla_master_rend[[#This Row],[Kg_SalidaSecadero]])</f>
        <v>-600.69999999999345</v>
      </c>
      <c r="BU162" s="60">
        <f>+Tabla_master_rend[[#This Row],[Diferencia_Env_vs_Sec_kg]]/Tabla_master_rend[[#This Row],[Kg_SalidaSecadero]]</f>
        <v>-2.5311815270520541E-2</v>
      </c>
      <c r="BV162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62" s="65">
        <f>+(Tabla_master_rend[[#This Row],[Coste_Leche_€]]-Tabla_master_rend[[#This Row],[Kg_MG_Nata]]*$CO$3)/Tabla_master_rend[[#This Row],[Kg_Queso_Blan]]</f>
        <v>-0.24903923526131796</v>
      </c>
      <c r="BX162" s="8">
        <f>SUM(Tabla_master_rend[[#This Row],[Kg_Finos]:[Kg_Desmoldeo]])+Tabla_master_rend[[#This Row],[L_Agua]]+SUM(Tabla_master_rend[[#This Row],[B_altas]:[B_lab]])</f>
        <v>1095.08</v>
      </c>
      <c r="BY162" s="8">
        <f>+BX162-Tabla_master_rend[[#This Row],[Merma_TOT]]</f>
        <v>641.84999999999991</v>
      </c>
      <c r="BZ162" s="62">
        <f t="shared" ref="BZ162:BZ192" si="52">+BY162/BX162</f>
        <v>0.58612156189502129</v>
      </c>
      <c r="CA162" s="8">
        <f>+Tabla_master_rend[[#This Row],[Kg_Queso_Blan]]*$CA$1</f>
        <v>155.74052</v>
      </c>
      <c r="CB162" s="8">
        <f>+Tabla_master_rend[[#This Row],[Kg_Queso_Blan]]*($CB$1-$CA$1)</f>
        <v>83.860280000000017</v>
      </c>
      <c r="CC162" s="8">
        <f>+(Tabla_master_rend[[#This Row],[Kg_Queso_Blan]]-CA162-CB162)*$CC$1</f>
        <v>249.06503160000003</v>
      </c>
      <c r="CD162" s="8">
        <f t="shared" ref="CD162:CD192" si="53">+CA162+CB162+CC162</f>
        <v>488.66583160000005</v>
      </c>
      <c r="CE162" s="80">
        <f>+CD162/Tabla_master_rend[[#This Row],[Kg_Queso_Blan]]</f>
        <v>2.0395E-2</v>
      </c>
      <c r="CF162" s="62">
        <f>+Tabla_master_rend[[#This Row],[Merma_TOT]]/Tabla_master_rend[[#This Row],[Kg_Queso_Blan]]</f>
        <v>1.8916047024884721E-2</v>
      </c>
      <c r="CG162" s="8">
        <f>CD162-Tabla_master_rend[[#This Row],[Merma_TOT]]</f>
        <v>35.435831600000085</v>
      </c>
      <c r="CH162" s="81" cm="1">
        <f t="array" ref="CH162">-BR162 * IFERROR(INDEX('Precio Leche_EBITDA_Ventas'!$BD$87:$BD$110,MATCH(1,('Precio Leche_EBITDA_Ventas'!$AZ$87:$AZ$110=YEAR(A162))*('Precio Leche_EBITDA_Ventas'!$BB$87:$BB$110=C162),0)),1.3)</f>
        <v>-1676.951</v>
      </c>
      <c r="CI162" s="81">
        <f t="shared" ref="CI162:CI192" si="54">+CG162*$CM$2</f>
        <v>46.066581080000113</v>
      </c>
    </row>
    <row r="163" spans="1:87" x14ac:dyDescent="0.35">
      <c r="A163" s="9">
        <v>46029</v>
      </c>
      <c r="B163" s="7">
        <v>1</v>
      </c>
      <c r="C163" s="7" t="str">
        <f>+UPPER(TEXT(Tabla_master_rend[[#This Row],[Fecha]],"MMM"))</f>
        <v>ENE</v>
      </c>
      <c r="D163" s="7" t="str">
        <f>+UPPER(TEXT(Tabla_master_rend[[#This Row],[Fecha]],"ddd"))</f>
        <v>MI</v>
      </c>
      <c r="E163" s="56" t="s">
        <v>514</v>
      </c>
      <c r="F163" s="3" t="s">
        <v>244</v>
      </c>
      <c r="G163" t="s">
        <v>299</v>
      </c>
      <c r="H163">
        <v>20</v>
      </c>
      <c r="I163" s="8">
        <f>+Tabla_master_rend[[#This Row],[L_Leche_ent]]+Tabla_master_rend[[#This Row],[L_desn_ext]]+Tabla_master_rend[[#This Row],[L_cabra]]+Tabla_master_rend[[#This Row],[L_oveja]]</f>
        <v>315349</v>
      </c>
      <c r="J163" s="8">
        <v>315349</v>
      </c>
      <c r="K163" s="5">
        <v>3.8800000000000001E-2</v>
      </c>
      <c r="L163" s="5">
        <v>3.4299999999999997E-2</v>
      </c>
      <c r="M163" s="5">
        <f t="shared" si="49"/>
        <v>0.10946600000000001</v>
      </c>
      <c r="N163" s="3" t="s">
        <v>188</v>
      </c>
      <c r="O163" s="8">
        <v>0</v>
      </c>
      <c r="P163" s="8">
        <v>0</v>
      </c>
      <c r="Q163" s="8">
        <v>0</v>
      </c>
      <c r="R163" s="8">
        <v>10382</v>
      </c>
      <c r="S163" s="8">
        <v>0</v>
      </c>
      <c r="T163" s="8">
        <v>278520</v>
      </c>
      <c r="U163" s="38">
        <f>+Tabla_master_rend[[#This Row],[L_suero Total]]/Tabla_master_rend[[#This Row],[Litros_Leche_Total]]</f>
        <v>0.88321193344516713</v>
      </c>
      <c r="V163" s="66">
        <v>1.1999999999999999E-3</v>
      </c>
      <c r="W163" s="66">
        <v>8.6E-3</v>
      </c>
      <c r="X163" s="8">
        <v>230293</v>
      </c>
      <c r="Y163" s="57">
        <v>76036</v>
      </c>
      <c r="Z163" s="58">
        <f>IF(Tabla_master_rend[[#This Row],[L_suero para con]]=0,0,+Tabla_master_rend[[#This Row],[L_suero para con]]/Tabla_master_rend[[#This Row],[L_suero_con]])</f>
        <v>3.0287363880267244</v>
      </c>
      <c r="AA163" s="8">
        <f>+Tabla_master_rend[[#This Row],[L_suero Total]]-Tabla_master_rend[[#This Row],[L_suero para con]]</f>
        <v>48227</v>
      </c>
      <c r="AD163" s="8">
        <v>5516</v>
      </c>
      <c r="AE163" s="8">
        <v>0</v>
      </c>
      <c r="AF163" s="8">
        <v>0</v>
      </c>
      <c r="AG163" s="66">
        <v>1.1699999999999999E-2</v>
      </c>
      <c r="AH163" s="66">
        <v>5.7999999999999996E-2</v>
      </c>
      <c r="AI163" s="7">
        <f>+Tabla_master_rend[[#This Row],[Kg_Finos]]+Tabla_master_rend[[#This Row],[Kg_Llenadora]]+Tabla_master_rend[[#This Row],[Kg_Desmoldeo]]+Tabla_master_rend[[#This Row],[L_Agua]]+Tabla_master_rend[[#This Row],[Kg_SalidaSecadero]]</f>
        <v>34862.19</v>
      </c>
      <c r="AJ163" s="59">
        <f>+Tabla_master_rend[[#This Row],[Litros_Leche_Total]]/Tabla_master_rend[[#This Row],[Kg_Queso_Blan]]</f>
        <v>9.0455877843589274</v>
      </c>
      <c r="AK163" s="59">
        <f>+Tabla_master_rend[[#This Row],[Litros_Leche_Total]]/(Tabla_master_rend[[#This Row],[Kg_Queso_Blan]]-Tabla_master_rend[[#This Row],[Merma_TOT]])</f>
        <v>9.3232926656925983</v>
      </c>
      <c r="AL163" s="59">
        <f>VLOOKUP(G163,REND_TARGET[#All],8,FALSE)</f>
        <v>9.8078500000000002</v>
      </c>
      <c r="AM163" s="7">
        <f>(I163*1.03*Tabla_master_rend[[#This Row],[%MG_Leche]])+(I163*1.03*Tabla_master_rend[[#This Row],[%MP_Leche]])</f>
        <v>23743.572257</v>
      </c>
      <c r="AN163" s="38">
        <v>0.22090000000000001</v>
      </c>
      <c r="AO163" s="38">
        <v>0.24640000000000001</v>
      </c>
      <c r="AP163" s="60">
        <v>0.52390000000000003</v>
      </c>
      <c r="AQ163" s="38">
        <f>+Tabla_master_rend[[#This Row],[Kg_Queso_Blan]]*Tabla_master_rend[[#This Row],[ES_QUESO]]/(Tabla_master_rend[[#This Row],[Kg_Solidos_leche]])</f>
        <v>0.7692314005368498</v>
      </c>
      <c r="AR163" s="7">
        <f t="shared" si="50"/>
        <v>4152.8</v>
      </c>
      <c r="AS163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0.9405877181525818</v>
      </c>
      <c r="AT163" s="62">
        <f>+Tabla_master_rend[[#This Row],[Kg_Queso_Blan]]*Tabla_master_rend[[#This Row],[%PT_QUESO]]/(Tabla_master_rend[[#This Row],[Litros_Leche_Total]]*1.03*Tabla_master_rend[[#This Row],[%MP_Leche]])</f>
        <v>0.77103228975360583</v>
      </c>
      <c r="AU163" s="63">
        <f t="shared" si="51"/>
        <v>31146</v>
      </c>
      <c r="AV163" s="7">
        <v>58.19</v>
      </c>
      <c r="AW163" s="7">
        <v>63.7</v>
      </c>
      <c r="AX163" s="7">
        <v>93.3</v>
      </c>
      <c r="AY163" s="8">
        <f>SUM(Tabla_master_rend[[#This Row],[Kg_Finos]:[Kg_Desmoldeo]])</f>
        <v>215.19</v>
      </c>
      <c r="AZ163" s="60">
        <f>+(Tabla_master_rend[[#This Row],[Kg_Finos]]+Tabla_master_rend[[#This Row],[Kg_Llenadora]]+Tabla_master_rend[[#This Row],[Kg_Desmoldeo]])/(Tabla_master_rend[[#This Row],[Kg_Queso_Blan]])</f>
        <v>6.1725898459046892E-3</v>
      </c>
      <c r="BA163" s="7">
        <v>365</v>
      </c>
      <c r="BB163" s="60">
        <f>+Tabla_master_rend[[#This Row],[L_Agua]]/(Tabla_master_rend[[#This Row],[L_Agua]]+Tabla_master_rend[[#This Row],[Kg_SalidaSecadero]])</f>
        <v>1.0534822639766791E-2</v>
      </c>
      <c r="BC163" s="8">
        <v>4747</v>
      </c>
      <c r="BD163" s="8">
        <v>4640</v>
      </c>
      <c r="BE163" s="8">
        <v>33964</v>
      </c>
      <c r="BF163" s="8">
        <v>97</v>
      </c>
      <c r="BG163" s="8">
        <v>156</v>
      </c>
      <c r="BH163" s="8">
        <v>28</v>
      </c>
      <c r="BI163" s="8">
        <v>396</v>
      </c>
      <c r="BJ163" s="8">
        <v>102</v>
      </c>
      <c r="BK163" s="8">
        <v>34282</v>
      </c>
      <c r="BL163" s="8">
        <v>0</v>
      </c>
      <c r="BM163" s="8">
        <v>433.54</v>
      </c>
      <c r="BN163" s="8">
        <v>24.68</v>
      </c>
      <c r="BO163" s="68">
        <f>+SUM(Tabla_master_rend[[#This Row],[B_altas]:[B_lab]])/Tabla_master_rend[[#This Row],[Kg_SalidaSecadero]]</f>
        <v>2.2723295023627559E-2</v>
      </c>
      <c r="BP163" s="68">
        <f>+(Tabla_master_rend[[#This Row],[Kg_mer_env_real]]+Tabla_master_rend[[#This Row],[kg_mer_lab_real]])/Tabla_master_rend[[#This Row],[Kg_SalidaSecadero]]</f>
        <v>1.3366198004783853E-2</v>
      </c>
      <c r="BQ163" s="64">
        <f>+Tabla_master_rend[[#This Row],[Merma_TOT]]/Tabla_master_rend[[#This Row],[Kg_Queso_Blan]]</f>
        <v>2.9786137933388579E-2</v>
      </c>
      <c r="BR163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1038.4100000000001</v>
      </c>
      <c r="BS163" s="138">
        <v>33703.679999999993</v>
      </c>
      <c r="BT163" s="63">
        <f>IF(+Tabla_master_rend[[#This Row],[Kg_Env_Total]]=0,0,Tabla_master_rend[[#This Row],[Kg_Env_Total]]-Tabla_master_rend[[#This Row],[Kg_SalidaSecadero]])</f>
        <v>-578.32000000000698</v>
      </c>
      <c r="BU163" s="60">
        <f>+Tabla_master_rend[[#This Row],[Diferencia_Env_vs_Sec_kg]]/Tabla_master_rend[[#This Row],[Kg_SalidaSecadero]]</f>
        <v>-1.6869494195204685E-2</v>
      </c>
      <c r="BV163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63" s="65">
        <f>+(Tabla_master_rend[[#This Row],[Coste_Leche_€]]-Tabla_master_rend[[#This Row],[Kg_MG_Nata]]*$CO$3)/Tabla_master_rend[[#This Row],[Kg_Queso_Blan]]</f>
        <v>-0.8934034264628814</v>
      </c>
      <c r="BX163" s="8">
        <f>SUM(Tabla_master_rend[[#This Row],[Kg_Finos]:[Kg_Desmoldeo]])+Tabla_master_rend[[#This Row],[L_Agua]]+SUM(Tabla_master_rend[[#This Row],[B_altas]:[B_lab]])</f>
        <v>1359.19</v>
      </c>
      <c r="BY163" s="8">
        <f>+BX163-Tabla_master_rend[[#This Row],[Merma_TOT]]</f>
        <v>320.77999999999997</v>
      </c>
      <c r="BZ163" s="62">
        <f t="shared" si="52"/>
        <v>0.23600821077259246</v>
      </c>
      <c r="CA163" s="8">
        <f>+Tabla_master_rend[[#This Row],[Kg_Queso_Blan]]*$CA$1</f>
        <v>226.60423500000002</v>
      </c>
      <c r="CB163" s="8">
        <f>+Tabla_master_rend[[#This Row],[Kg_Queso_Blan]]*($CB$1-$CA$1)</f>
        <v>122.01766500000002</v>
      </c>
      <c r="CC163" s="8">
        <f>+(Tabla_master_rend[[#This Row],[Kg_Queso_Blan]]-CA163-CB163)*$CC$1</f>
        <v>362.39246505000006</v>
      </c>
      <c r="CD163" s="8">
        <f t="shared" si="53"/>
        <v>711.01436505000015</v>
      </c>
      <c r="CE163" s="80">
        <f>+CD163/Tabla_master_rend[[#This Row],[Kg_Queso_Blan]]</f>
        <v>2.0395000000000003E-2</v>
      </c>
      <c r="CF163" s="62">
        <f>+Tabla_master_rend[[#This Row],[Merma_TOT]]/Tabla_master_rend[[#This Row],[Kg_Queso_Blan]]</f>
        <v>2.9786137933388579E-2</v>
      </c>
      <c r="CG163" s="8">
        <f>CD163-Tabla_master_rend[[#This Row],[Merma_TOT]]</f>
        <v>-327.39563494999993</v>
      </c>
      <c r="CH163" s="81" cm="1">
        <f t="array" ref="CH163">-BR163 * IFERROR(INDEX('Precio Leche_EBITDA_Ventas'!$BD$87:$BD$110,MATCH(1,('Precio Leche_EBITDA_Ventas'!$AZ$87:$AZ$110=YEAR(A163))*('Precio Leche_EBITDA_Ventas'!$BB$87:$BB$110=C163),0)),1.3)</f>
        <v>-3842.1170000000006</v>
      </c>
      <c r="CI163" s="81">
        <f t="shared" si="54"/>
        <v>-425.6143254349999</v>
      </c>
    </row>
    <row r="164" spans="1:87" x14ac:dyDescent="0.35">
      <c r="A164" s="9">
        <v>46031</v>
      </c>
      <c r="B164" s="7">
        <v>1</v>
      </c>
      <c r="C164" s="7" t="str">
        <f>+UPPER(TEXT(Tabla_master_rend[[#This Row],[Fecha]],"MMM"))</f>
        <v>ENE</v>
      </c>
      <c r="D164" s="7" t="str">
        <f>+UPPER(TEXT(Tabla_master_rend[[#This Row],[Fecha]],"ddd"))</f>
        <v>VI</v>
      </c>
      <c r="E164" s="56" t="s">
        <v>515</v>
      </c>
      <c r="F164" s="3" t="s">
        <v>244</v>
      </c>
      <c r="G164" t="s">
        <v>40</v>
      </c>
      <c r="H164">
        <v>12</v>
      </c>
      <c r="I164" s="8">
        <f>+Tabla_master_rend[[#This Row],[L_Leche_ent]]+Tabla_master_rend[[#This Row],[L_desn_ext]]+Tabla_master_rend[[#This Row],[L_cabra]]+Tabla_master_rend[[#This Row],[L_oveja]]</f>
        <v>191874</v>
      </c>
      <c r="J164" s="8">
        <v>191874</v>
      </c>
      <c r="K164" s="5">
        <v>4.1700000000000001E-2</v>
      </c>
      <c r="L164" s="5">
        <v>3.4700000000000002E-2</v>
      </c>
      <c r="M164" s="5">
        <f t="shared" si="49"/>
        <v>0.112459</v>
      </c>
      <c r="N164" s="3" t="s">
        <v>188</v>
      </c>
      <c r="O164" s="8">
        <v>0</v>
      </c>
      <c r="P164" s="8">
        <v>0</v>
      </c>
      <c r="Q164" s="8">
        <v>0</v>
      </c>
      <c r="R164" s="8">
        <v>2758</v>
      </c>
      <c r="S164" s="8">
        <v>0</v>
      </c>
      <c r="T164" s="8">
        <v>167920</v>
      </c>
      <c r="U164" s="38">
        <f>+Tabla_master_rend[[#This Row],[L_suero Total]]/Tabla_master_rend[[#This Row],[Litros_Leche_Total]]</f>
        <v>0.87515765554478464</v>
      </c>
      <c r="V164" s="5">
        <v>2.5000000000000001E-3</v>
      </c>
      <c r="W164" s="5">
        <v>9.4999999999999998E-3</v>
      </c>
      <c r="X164" s="8">
        <v>169127</v>
      </c>
      <c r="Y164" s="57">
        <v>50392</v>
      </c>
      <c r="Z164" s="58">
        <f>IF(Tabla_master_rend[[#This Row],[L_suero para con]]=0,0,+Tabla_master_rend[[#This Row],[L_suero para con]]/Tabla_master_rend[[#This Row],[L_suero_con]])</f>
        <v>3.3562271789172886</v>
      </c>
      <c r="AA164" s="8">
        <f>+Tabla_master_rend[[#This Row],[L_suero Total]]-Tabla_master_rend[[#This Row],[L_suero para con]]</f>
        <v>-1207</v>
      </c>
      <c r="AD164" s="8">
        <v>0</v>
      </c>
      <c r="AE164" s="8">
        <v>0</v>
      </c>
      <c r="AF164" s="8">
        <v>0</v>
      </c>
      <c r="AG164" s="5">
        <v>0</v>
      </c>
      <c r="AH164" s="5">
        <v>0</v>
      </c>
      <c r="AI164" s="7">
        <f>+Tabla_master_rend[[#This Row],[Kg_Finos]]+Tabla_master_rend[[#This Row],[Kg_Llenadora]]+Tabla_master_rend[[#This Row],[Kg_Desmoldeo]]+Tabla_master_rend[[#This Row],[L_Agua]]+Tabla_master_rend[[#This Row],[Kg_SalidaSecadero]]</f>
        <v>23231.79</v>
      </c>
      <c r="AJ164" s="59">
        <f>+Tabla_master_rend[[#This Row],[Litros_Leche_Total]]/Tabla_master_rend[[#This Row],[Kg_Queso_Blan]]</f>
        <v>8.2591139124449722</v>
      </c>
      <c r="AK164" s="59">
        <f>+Tabla_master_rend[[#This Row],[Litros_Leche_Total]]/(Tabla_master_rend[[#This Row],[Kg_Queso_Blan]]-Tabla_master_rend[[#This Row],[Merma_TOT]])</f>
        <v>8.5515179552729315</v>
      </c>
      <c r="AL164" s="59">
        <f>VLOOKUP(G164,REND_TARGET[#All],8,FALSE)</f>
        <v>8.9338729999999984</v>
      </c>
      <c r="AM164" s="7">
        <f>(I164*1.03*Tabla_master_rend[[#This Row],[%MG_Leche]])+(I164*1.03*Tabla_master_rend[[#This Row],[%MP_Leche]])</f>
        <v>15098.948808000001</v>
      </c>
      <c r="AN164" s="38">
        <v>0.29549999999999998</v>
      </c>
      <c r="AO164" s="38">
        <v>0.22689999999999999</v>
      </c>
      <c r="AP164" s="60">
        <v>0.56920000000000004</v>
      </c>
      <c r="AQ164" s="38">
        <f>+Tabla_master_rend[[#This Row],[Kg_Queso_Blan]]*Tabla_master_rend[[#This Row],[ES_QUESO]]/(Tabla_master_rend[[#This Row],[Kg_Solidos_leche]])</f>
        <v>0.875791754522253</v>
      </c>
      <c r="AR164" s="7">
        <f t="shared" si="50"/>
        <v>1103.2</v>
      </c>
      <c r="AS164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0.96687534755504534</v>
      </c>
      <c r="AT164" s="62">
        <f>+Tabla_master_rend[[#This Row],[Kg_Queso_Blan]]*Tabla_master_rend[[#This Row],[%PT_QUESO]]/(Tabla_master_rend[[#This Row],[Litros_Leche_Total]]*1.03*Tabla_master_rend[[#This Row],[%MP_Leche]])</f>
        <v>0.76866010393899209</v>
      </c>
      <c r="AU164" s="63">
        <f t="shared" si="51"/>
        <v>8274</v>
      </c>
      <c r="AV164" s="7">
        <v>51.39</v>
      </c>
      <c r="AW164" s="7">
        <v>49.2</v>
      </c>
      <c r="AX164" s="7">
        <v>137.19999999999999</v>
      </c>
      <c r="AY164" s="8">
        <f>SUM(Tabla_master_rend[[#This Row],[Kg_Finos]:[Kg_Desmoldeo]])</f>
        <v>237.79</v>
      </c>
      <c r="AZ164" s="60">
        <f>+(Tabla_master_rend[[#This Row],[Kg_Finos]]+Tabla_master_rend[[#This Row],[Kg_Llenadora]]+Tabla_master_rend[[#This Row],[Kg_Desmoldeo]])/(Tabla_master_rend[[#This Row],[Kg_Queso_Blan]])</f>
        <v>1.0235543623629518E-2</v>
      </c>
      <c r="BA164" s="7">
        <v>240</v>
      </c>
      <c r="BB164" s="60">
        <f>+Tabla_master_rend[[#This Row],[L_Agua]]/(Tabla_master_rend[[#This Row],[L_Agua]]+Tabla_master_rend[[#This Row],[Kg_SalidaSecadero]])</f>
        <v>1.0437505436200749E-2</v>
      </c>
      <c r="BC164" s="8">
        <v>3162</v>
      </c>
      <c r="BD164" s="8">
        <v>3110</v>
      </c>
      <c r="BE164" s="8">
        <v>22673</v>
      </c>
      <c r="BF164" s="8">
        <v>274</v>
      </c>
      <c r="BG164" s="8">
        <v>62</v>
      </c>
      <c r="BH164" s="8">
        <v>54</v>
      </c>
      <c r="BI164" s="8">
        <v>103</v>
      </c>
      <c r="BJ164" s="8">
        <v>102</v>
      </c>
      <c r="BK164" s="8">
        <v>22754</v>
      </c>
      <c r="BL164" s="8">
        <v>0</v>
      </c>
      <c r="BM164" s="8">
        <v>286.02</v>
      </c>
      <c r="BN164" s="8">
        <v>30.56</v>
      </c>
      <c r="BO164" s="68">
        <f>+SUM(Tabla_master_rend[[#This Row],[B_altas]:[B_lab]])/Tabla_master_rend[[#This Row],[Kg_SalidaSecadero]]</f>
        <v>2.6149248483783073E-2</v>
      </c>
      <c r="BP164" s="68">
        <f>+(Tabla_master_rend[[#This Row],[Kg_mer_env_real]]+Tabla_master_rend[[#This Row],[kg_mer_lab_real]])/Tabla_master_rend[[#This Row],[Kg_SalidaSecadero]]</f>
        <v>1.3913158126043771E-2</v>
      </c>
      <c r="BQ164" s="64">
        <f>+Tabla_master_rend[[#This Row],[Merma_TOT]]/Tabla_master_rend[[#This Row],[Kg_Queso_Blan]]</f>
        <v>3.4193232635109046E-2</v>
      </c>
      <c r="BR164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794.37</v>
      </c>
      <c r="BS164" s="138">
        <v>22389.619999999995</v>
      </c>
      <c r="BT164" s="63">
        <f>IF(+Tabla_master_rend[[#This Row],[Kg_Env_Total]]=0,0,Tabla_master_rend[[#This Row],[Kg_Env_Total]]-Tabla_master_rend[[#This Row],[Kg_SalidaSecadero]])</f>
        <v>-364.38000000000466</v>
      </c>
      <c r="BU164" s="60">
        <f>+Tabla_master_rend[[#This Row],[Diferencia_Env_vs_Sec_kg]]/Tabla_master_rend[[#This Row],[Kg_SalidaSecadero]]</f>
        <v>-1.6013887668102515E-2</v>
      </c>
      <c r="BV164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64" s="65">
        <f>+(Tabla_master_rend[[#This Row],[Coste_Leche_€]]-Tabla_master_rend[[#This Row],[Kg_MG_Nata]]*$CO$3)/Tabla_master_rend[[#This Row],[Kg_Queso_Blan]]</f>
        <v>-0.3561499135451896</v>
      </c>
      <c r="BX164" s="8">
        <f>SUM(Tabla_master_rend[[#This Row],[Kg_Finos]:[Kg_Desmoldeo]])+Tabla_master_rend[[#This Row],[L_Agua]]+SUM(Tabla_master_rend[[#This Row],[B_altas]:[B_lab]])</f>
        <v>1072.79</v>
      </c>
      <c r="BY164" s="8">
        <f>+BX164-Tabla_master_rend[[#This Row],[Merma_TOT]]</f>
        <v>278.41999999999996</v>
      </c>
      <c r="BZ164" s="62">
        <f t="shared" si="52"/>
        <v>0.25952889195462298</v>
      </c>
      <c r="CA164" s="8">
        <f>+Tabla_master_rend[[#This Row],[Kg_Queso_Blan]]*$CA$1</f>
        <v>151.00663499999999</v>
      </c>
      <c r="CB164" s="8">
        <f>+Tabla_master_rend[[#This Row],[Kg_Queso_Blan]]*($CB$1-$CA$1)</f>
        <v>81.31126500000002</v>
      </c>
      <c r="CC164" s="8">
        <f>+(Tabla_master_rend[[#This Row],[Kg_Queso_Blan]]-CA164-CB164)*$CC$1</f>
        <v>241.49445704999999</v>
      </c>
      <c r="CD164" s="8">
        <f t="shared" si="53"/>
        <v>473.81235705</v>
      </c>
      <c r="CE164" s="80">
        <f>+CD164/Tabla_master_rend[[#This Row],[Kg_Queso_Blan]]</f>
        <v>2.0395E-2</v>
      </c>
      <c r="CF164" s="62">
        <f>+Tabla_master_rend[[#This Row],[Merma_TOT]]/Tabla_master_rend[[#This Row],[Kg_Queso_Blan]]</f>
        <v>3.4193232635109046E-2</v>
      </c>
      <c r="CG164" s="8">
        <f>CD164-Tabla_master_rend[[#This Row],[Merma_TOT]]</f>
        <v>-320.55764295</v>
      </c>
      <c r="CH164" s="81" cm="1">
        <f t="array" ref="CH164">-BR164 * IFERROR(INDEX('Precio Leche_EBITDA_Ventas'!$BD$87:$BD$110,MATCH(1,('Precio Leche_EBITDA_Ventas'!$AZ$87:$AZ$110=YEAR(A164))*('Precio Leche_EBITDA_Ventas'!$BB$87:$BB$110=C164),0)),1.3)</f>
        <v>-2939.1690000000003</v>
      </c>
      <c r="CI164" s="81">
        <f t="shared" si="54"/>
        <v>-416.724935835</v>
      </c>
    </row>
    <row r="165" spans="1:87" x14ac:dyDescent="0.35">
      <c r="A165" s="9">
        <v>46034</v>
      </c>
      <c r="B165" s="7">
        <v>1</v>
      </c>
      <c r="C165" s="7" t="str">
        <f>+UPPER(TEXT(Tabla_master_rend[[#This Row],[Fecha]],"MMM"))</f>
        <v>ENE</v>
      </c>
      <c r="D165" s="7" t="str">
        <f>+UPPER(TEXT(Tabla_master_rend[[#This Row],[Fecha]],"ddd"))</f>
        <v>LU</v>
      </c>
      <c r="E165" s="56" t="s">
        <v>516</v>
      </c>
      <c r="F165" s="3" t="s">
        <v>244</v>
      </c>
      <c r="G165" t="s">
        <v>299</v>
      </c>
      <c r="H165">
        <v>17</v>
      </c>
      <c r="I165" s="8">
        <f>+Tabla_master_rend[[#This Row],[L_Leche_ent]]+Tabla_master_rend[[#This Row],[L_desn_ext]]+Tabla_master_rend[[#This Row],[L_cabra]]+Tabla_master_rend[[#This Row],[L_oveja]]</f>
        <v>266080</v>
      </c>
      <c r="J165" s="8">
        <v>266080</v>
      </c>
      <c r="K165" s="5">
        <v>4.2599999999999999E-2</v>
      </c>
      <c r="L165" s="5">
        <v>3.5000000000000003E-2</v>
      </c>
      <c r="M165" s="5">
        <f t="shared" si="49"/>
        <v>0.11351800000000001</v>
      </c>
      <c r="N165" s="3" t="s">
        <v>188</v>
      </c>
      <c r="O165" s="8">
        <v>0</v>
      </c>
      <c r="P165" s="8">
        <v>0</v>
      </c>
      <c r="Q165" s="8">
        <v>0</v>
      </c>
      <c r="R165" s="8">
        <v>11121</v>
      </c>
      <c r="S165" s="8">
        <v>0</v>
      </c>
      <c r="T165" s="8">
        <v>238300</v>
      </c>
      <c r="U165" s="38">
        <f>+Tabla_master_rend[[#This Row],[L_suero Total]]/Tabla_master_rend[[#This Row],[Litros_Leche_Total]]</f>
        <v>0.89559530968129886</v>
      </c>
      <c r="V165" s="5">
        <v>1.1999999999999999E-3</v>
      </c>
      <c r="W165" s="5">
        <v>8.6E-3</v>
      </c>
      <c r="X165" s="8">
        <v>105931</v>
      </c>
      <c r="Y165" s="57">
        <v>33482</v>
      </c>
      <c r="Z165" s="58">
        <f>IF(Tabla_master_rend[[#This Row],[L_suero para con]]=0,0,+Tabla_master_rend[[#This Row],[L_suero para con]]/Tabla_master_rend[[#This Row],[L_suero_con]])</f>
        <v>3.1638193656292932</v>
      </c>
      <c r="AA165" s="8">
        <f>+Tabla_master_rend[[#This Row],[L_suero Total]]-Tabla_master_rend[[#This Row],[L_suero para con]]</f>
        <v>132369</v>
      </c>
      <c r="AD165" s="8">
        <v>8862</v>
      </c>
      <c r="AE165" s="8">
        <v>0</v>
      </c>
      <c r="AF165" s="8">
        <v>0</v>
      </c>
      <c r="AG165" s="140"/>
      <c r="AH165" s="140"/>
      <c r="AI165" s="7">
        <f>+Tabla_master_rend[[#This Row],[Kg_Finos]]+Tabla_master_rend[[#This Row],[Kg_Llenadora]]+Tabla_master_rend[[#This Row],[Kg_Desmoldeo]]+Tabla_master_rend[[#This Row],[L_Agua]]+Tabla_master_rend[[#This Row],[Kg_SalidaSecadero]]</f>
        <v>30451.5</v>
      </c>
      <c r="AJ165" s="59">
        <f>+Tabla_master_rend[[#This Row],[Litros_Leche_Total]]/Tabla_master_rend[[#This Row],[Kg_Queso_Blan]]</f>
        <v>8.7378290067812756</v>
      </c>
      <c r="AK165" s="59">
        <f>+Tabla_master_rend[[#This Row],[Litros_Leche_Total]]/(Tabla_master_rend[[#This Row],[Kg_Queso_Blan]]-Tabla_master_rend[[#This Row],[Merma_TOT]])</f>
        <v>8.9527249823018131</v>
      </c>
      <c r="AL165" s="59">
        <f>VLOOKUP(G165,REND_TARGET[#All],8,FALSE)</f>
        <v>9.8078500000000002</v>
      </c>
      <c r="AM165" s="7">
        <f>(I165*1.03*Tabla_master_rend[[#This Row],[%MG_Leche]])+(I165*1.03*Tabla_master_rend[[#This Row],[%MP_Leche]])</f>
        <v>21267.24224</v>
      </c>
      <c r="AN165" s="38">
        <v>0.22739999999999999</v>
      </c>
      <c r="AO165" s="38">
        <v>0.25090000000000001</v>
      </c>
      <c r="AP165" s="60">
        <v>0.53049999999999997</v>
      </c>
      <c r="AQ165" s="38">
        <f>+Tabla_master_rend[[#This Row],[Kg_Queso_Blan]]*Tabla_master_rend[[#This Row],[ES_QUESO]]/(Tabla_master_rend[[#This Row],[Kg_Solidos_leche]])</f>
        <v>0.75959640501090187</v>
      </c>
      <c r="AR165" s="7">
        <f t="shared" si="50"/>
        <v>4448.4000000000005</v>
      </c>
      <c r="AS165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0.97413399284250601</v>
      </c>
      <c r="AT165" s="62">
        <f>+Tabla_master_rend[[#This Row],[Kg_Queso_Blan]]*Tabla_master_rend[[#This Row],[%PT_QUESO]]/(Tabla_master_rend[[#This Row],[Litros_Leche_Total]]*1.03*Tabla_master_rend[[#This Row],[%MP_Leche]])</f>
        <v>0.79651113343947522</v>
      </c>
      <c r="AU165" s="63">
        <f t="shared" si="51"/>
        <v>33363.000000000007</v>
      </c>
      <c r="AV165" s="7">
        <v>56.7</v>
      </c>
      <c r="AW165" s="7">
        <v>87.4</v>
      </c>
      <c r="AX165" s="7">
        <v>32.4</v>
      </c>
      <c r="AY165" s="8">
        <f>SUM(Tabla_master_rend[[#This Row],[Kg_Finos]:[Kg_Desmoldeo]])</f>
        <v>176.50000000000003</v>
      </c>
      <c r="AZ165" s="60">
        <f>+(Tabla_master_rend[[#This Row],[Kg_Finos]]+Tabla_master_rend[[#This Row],[Kg_Llenadora]]+Tabla_master_rend[[#This Row],[Kg_Desmoldeo]])/(Tabla_master_rend[[#This Row],[Kg_Queso_Blan]])</f>
        <v>5.7961019982595285E-3</v>
      </c>
      <c r="BA165" s="7">
        <v>280</v>
      </c>
      <c r="BB165" s="60">
        <f>+Tabla_master_rend[[#This Row],[L_Agua]]/(Tabla_master_rend[[#This Row],[L_Agua]]+Tabla_master_rend[[#This Row],[Kg_SalidaSecadero]])</f>
        <v>9.2485549132947983E-3</v>
      </c>
      <c r="BC165" s="8">
        <v>4203</v>
      </c>
      <c r="BD165" s="8">
        <v>4128</v>
      </c>
      <c r="BE165" s="8">
        <v>29802</v>
      </c>
      <c r="BF165" s="8">
        <v>59</v>
      </c>
      <c r="BG165" s="8">
        <v>170</v>
      </c>
      <c r="BH165" s="8">
        <v>7</v>
      </c>
      <c r="BI165" s="8">
        <v>188</v>
      </c>
      <c r="BJ165" s="8">
        <v>108</v>
      </c>
      <c r="BK165" s="8">
        <v>29995</v>
      </c>
      <c r="BL165" s="8">
        <v>0</v>
      </c>
      <c r="BM165" s="8">
        <v>250.99</v>
      </c>
      <c r="BN165" s="8">
        <v>23.45</v>
      </c>
      <c r="BO165" s="68">
        <f>+SUM(Tabla_master_rend[[#This Row],[B_altas]:[B_lab]])/Tabla_master_rend[[#This Row],[Kg_SalidaSecadero]]</f>
        <v>1.7736289381563596E-2</v>
      </c>
      <c r="BP165" s="68">
        <f>+(Tabla_master_rend[[#This Row],[Kg_mer_env_real]]+Tabla_master_rend[[#This Row],[kg_mer_lab_real]])/Tabla_master_rend[[#This Row],[Kg_SalidaSecadero]]</f>
        <v>9.1495249208201363E-3</v>
      </c>
      <c r="BQ165" s="64">
        <f>+Tabla_master_rend[[#This Row],[Merma_TOT]]/Tabla_master_rend[[#This Row],[Kg_Queso_Blan]]</f>
        <v>2.4003415266899825E-2</v>
      </c>
      <c r="BR165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730.94</v>
      </c>
      <c r="BS165" s="138">
        <v>29223.399999999994</v>
      </c>
      <c r="BT165" s="63">
        <f>IF(+Tabla_master_rend[[#This Row],[Kg_Env_Total]]=0,0,Tabla_master_rend[[#This Row],[Kg_Env_Total]]-Tabla_master_rend[[#This Row],[Kg_SalidaSecadero]])</f>
        <v>-771.60000000000582</v>
      </c>
      <c r="BU165" s="60">
        <f>+Tabla_master_rend[[#This Row],[Diferencia_Env_vs_Sec_kg]]/Tabla_master_rend[[#This Row],[Kg_SalidaSecadero]]</f>
        <v>-2.57242873812304E-2</v>
      </c>
      <c r="BV165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65" s="65">
        <f>+(Tabla_master_rend[[#This Row],[Coste_Leche_€]]-Tabla_master_rend[[#This Row],[Kg_MG_Nata]]*$CO$3)/Tabla_master_rend[[#This Row],[Kg_Queso_Blan]]</f>
        <v>-1.095611053642678</v>
      </c>
      <c r="BX165" s="8">
        <f>SUM(Tabla_master_rend[[#This Row],[Kg_Finos]:[Kg_Desmoldeo]])+Tabla_master_rend[[#This Row],[L_Agua]]+SUM(Tabla_master_rend[[#This Row],[B_altas]:[B_lab]])</f>
        <v>988.5</v>
      </c>
      <c r="BY165" s="8">
        <f>+BX165-Tabla_master_rend[[#This Row],[Merma_TOT]]</f>
        <v>257.55999999999995</v>
      </c>
      <c r="BZ165" s="62">
        <f t="shared" si="52"/>
        <v>0.26055639858371266</v>
      </c>
      <c r="CA165" s="8">
        <f>+Tabla_master_rend[[#This Row],[Kg_Queso_Blan]]*$CA$1</f>
        <v>197.93474999999998</v>
      </c>
      <c r="CB165" s="8">
        <f>+Tabla_master_rend[[#This Row],[Kg_Queso_Blan]]*($CB$1-$CA$1)</f>
        <v>106.58025000000002</v>
      </c>
      <c r="CC165" s="8">
        <f>+(Tabla_master_rend[[#This Row],[Kg_Queso_Blan]]-CA165-CB165)*$CC$1</f>
        <v>316.54334250000005</v>
      </c>
      <c r="CD165" s="8">
        <f t="shared" si="53"/>
        <v>621.05834249999998</v>
      </c>
      <c r="CE165" s="80">
        <f>+CD165/Tabla_master_rend[[#This Row],[Kg_Queso_Blan]]</f>
        <v>2.0395E-2</v>
      </c>
      <c r="CF165" s="62">
        <f>+Tabla_master_rend[[#This Row],[Merma_TOT]]/Tabla_master_rend[[#This Row],[Kg_Queso_Blan]]</f>
        <v>2.4003415266899825E-2</v>
      </c>
      <c r="CG165" s="8">
        <f>CD165-Tabla_master_rend[[#This Row],[Merma_TOT]]</f>
        <v>-109.88165750000007</v>
      </c>
      <c r="CH165" s="81" cm="1">
        <f t="array" ref="CH165">-BR165 * IFERROR(INDEX('Precio Leche_EBITDA_Ventas'!$BD$87:$BD$110,MATCH(1,('Precio Leche_EBITDA_Ventas'!$AZ$87:$AZ$110=YEAR(A165))*('Precio Leche_EBITDA_Ventas'!$BB$87:$BB$110=C165),0)),1.3)</f>
        <v>-2704.4780000000005</v>
      </c>
      <c r="CI165" s="81">
        <f t="shared" si="54"/>
        <v>-142.8461547500001</v>
      </c>
    </row>
    <row r="166" spans="1:87" x14ac:dyDescent="0.35">
      <c r="A166" s="9">
        <v>46036</v>
      </c>
      <c r="B166" s="7">
        <v>1</v>
      </c>
      <c r="C166" s="7" t="str">
        <f>+UPPER(TEXT(Tabla_master_rend[[#This Row],[Fecha]],"MMM"))</f>
        <v>ENE</v>
      </c>
      <c r="D166" s="7" t="str">
        <f>+UPPER(TEXT(Tabla_master_rend[[#This Row],[Fecha]],"ddd"))</f>
        <v>MI</v>
      </c>
      <c r="E166" s="56" t="s">
        <v>517</v>
      </c>
      <c r="F166" s="3" t="s">
        <v>244</v>
      </c>
      <c r="G166" t="s">
        <v>299</v>
      </c>
      <c r="H166">
        <v>14</v>
      </c>
      <c r="I166" s="8">
        <f>+Tabla_master_rend[[#This Row],[L_Leche_ent]]+Tabla_master_rend[[#This Row],[L_desn_ext]]+Tabla_master_rend[[#This Row],[L_cabra]]+Tabla_master_rend[[#This Row],[L_oveja]]</f>
        <v>220333</v>
      </c>
      <c r="J166" s="8">
        <v>220333</v>
      </c>
      <c r="K166" s="66">
        <v>4.3200000000000002E-2</v>
      </c>
      <c r="L166" s="66">
        <v>3.5000000000000003E-2</v>
      </c>
      <c r="M166" s="5">
        <f t="shared" si="49"/>
        <v>0.11407600000000001</v>
      </c>
      <c r="N166" s="3" t="s">
        <v>188</v>
      </c>
      <c r="O166" s="8">
        <v>0</v>
      </c>
      <c r="P166" s="8">
        <v>0</v>
      </c>
      <c r="Q166" s="8">
        <v>0</v>
      </c>
      <c r="R166" s="8">
        <v>9838</v>
      </c>
      <c r="S166" s="8">
        <v>0</v>
      </c>
      <c r="T166" s="8">
        <v>195510</v>
      </c>
      <c r="U166" s="38">
        <f>+Tabla_master_rend[[#This Row],[L_suero Total]]/Tabla_master_rend[[#This Row],[Litros_Leche_Total]]</f>
        <v>0.88733871004343423</v>
      </c>
      <c r="V166" s="66">
        <v>1E-3</v>
      </c>
      <c r="W166" s="66">
        <v>8.6999999999999994E-3</v>
      </c>
      <c r="X166" s="8">
        <v>198686</v>
      </c>
      <c r="Y166" s="57">
        <v>63337</v>
      </c>
      <c r="Z166" s="58">
        <f>IF(Tabla_master_rend[[#This Row],[L_suero para con]]=0,0,+Tabla_master_rend[[#This Row],[L_suero para con]]/Tabla_master_rend[[#This Row],[L_suero_con]])</f>
        <v>3.1369657546142067</v>
      </c>
      <c r="AA166" s="8">
        <f>+Tabla_master_rend[[#This Row],[L_suero Total]]-Tabla_master_rend[[#This Row],[L_suero para con]]</f>
        <v>-3176</v>
      </c>
      <c r="AD166" s="8">
        <v>0</v>
      </c>
      <c r="AE166" s="8">
        <v>0</v>
      </c>
      <c r="AF166" s="8">
        <v>0</v>
      </c>
      <c r="AG166" s="66">
        <v>0</v>
      </c>
      <c r="AH166" s="66">
        <v>0</v>
      </c>
      <c r="AI166" s="7">
        <f>+Tabla_master_rend[[#This Row],[Kg_Finos]]+Tabla_master_rend[[#This Row],[Kg_Llenadora]]+Tabla_master_rend[[#This Row],[Kg_Desmoldeo]]+Tabla_master_rend[[#This Row],[L_Agua]]+Tabla_master_rend[[#This Row],[Kg_SalidaSecadero]]</f>
        <v>25007.89</v>
      </c>
      <c r="AJ166" s="59">
        <f>+Tabla_master_rend[[#This Row],[Litros_Leche_Total]]/Tabla_master_rend[[#This Row],[Kg_Queso_Blan]]</f>
        <v>8.8105393937673266</v>
      </c>
      <c r="AK166" s="59">
        <f>+Tabla_master_rend[[#This Row],[Litros_Leche_Total]]/(Tabla_master_rend[[#This Row],[Kg_Queso_Blan]]-Tabla_master_rend[[#This Row],[Merma_TOT]])</f>
        <v>9.0810960968263377</v>
      </c>
      <c r="AL166" s="59">
        <f>VLOOKUP(G166,REND_TARGET[#All],8,FALSE)</f>
        <v>9.8078500000000002</v>
      </c>
      <c r="AM166" s="7">
        <f>(I166*1.03*Tabla_master_rend[[#This Row],[%MG_Leche]])+(I166*1.03*Tabla_master_rend[[#This Row],[%MP_Leche]])</f>
        <v>17746.941818000003</v>
      </c>
      <c r="AN166" s="137">
        <v>0.22600000000000001</v>
      </c>
      <c r="AO166" s="137">
        <v>0.24660000000000001</v>
      </c>
      <c r="AP166" s="64">
        <v>0.52410000000000001</v>
      </c>
      <c r="AQ166" s="38">
        <f>+Tabla_master_rend[[#This Row],[Kg_Queso_Blan]]*Tabla_master_rend[[#This Row],[ES_QUESO]]/(Tabla_master_rend[[#This Row],[Kg_Solidos_leche]])</f>
        <v>0.73852922286060985</v>
      </c>
      <c r="AR166" s="7">
        <f t="shared" si="50"/>
        <v>3935.2000000000003</v>
      </c>
      <c r="AS166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0.97787072435468692</v>
      </c>
      <c r="AT166" s="62">
        <f>+Tabla_master_rend[[#This Row],[Kg_Queso_Blan]]*Tabla_master_rend[[#This Row],[%PT_QUESO]]/(Tabla_master_rend[[#This Row],[Litros_Leche_Total]]*1.03*Tabla_master_rend[[#This Row],[%MP_Leche]])</f>
        <v>0.77639960515445494</v>
      </c>
      <c r="AU166" s="63">
        <f t="shared" si="51"/>
        <v>29514.000000000004</v>
      </c>
      <c r="AV166" s="7">
        <v>46.99</v>
      </c>
      <c r="AW166" s="7">
        <v>66.7</v>
      </c>
      <c r="AX166" s="7">
        <v>86.2</v>
      </c>
      <c r="AY166" s="8">
        <f>SUM(Tabla_master_rend[[#This Row],[Kg_Finos]:[Kg_Desmoldeo]])</f>
        <v>199.89</v>
      </c>
      <c r="AZ166" s="60">
        <f>+(Tabla_master_rend[[#This Row],[Kg_Finos]]+Tabla_master_rend[[#This Row],[Kg_Llenadora]]+Tabla_master_rend[[#This Row],[Kg_Desmoldeo]])/(Tabla_master_rend[[#This Row],[Kg_Queso_Blan]])</f>
        <v>7.993077384777364E-3</v>
      </c>
      <c r="BA166" s="7">
        <v>250</v>
      </c>
      <c r="BB166" s="60">
        <f>+Tabla_master_rend[[#This Row],[L_Agua]]/(Tabla_master_rend[[#This Row],[L_Agua]]+Tabla_master_rend[[#This Row],[Kg_SalidaSecadero]])</f>
        <v>1.0077394388906804E-2</v>
      </c>
      <c r="BC166" s="8">
        <v>3419</v>
      </c>
      <c r="BD166" s="8">
        <v>3335</v>
      </c>
      <c r="BE166" s="8">
        <v>24262</v>
      </c>
      <c r="BF166" s="8">
        <v>0</v>
      </c>
      <c r="BG166" s="8">
        <v>263</v>
      </c>
      <c r="BH166" s="8">
        <v>0</v>
      </c>
      <c r="BI166" s="8">
        <v>204</v>
      </c>
      <c r="BJ166" s="8">
        <v>79</v>
      </c>
      <c r="BK166" s="8">
        <v>24558</v>
      </c>
      <c r="BL166" s="8">
        <v>0</v>
      </c>
      <c r="BM166" s="8">
        <v>278.93</v>
      </c>
      <c r="BN166" s="8">
        <v>16.25</v>
      </c>
      <c r="BO166" s="68">
        <f>+SUM(Tabla_master_rend[[#This Row],[B_altas]:[B_lab]])/Tabla_master_rend[[#This Row],[Kg_SalidaSecadero]]</f>
        <v>2.2233080869777669E-2</v>
      </c>
      <c r="BP166" s="68">
        <f>+(Tabla_master_rend[[#This Row],[Kg_mer_env_real]]+Tabla_master_rend[[#This Row],[kg_mer_lab_real]])/Tabla_master_rend[[#This Row],[Kg_SalidaSecadero]]</f>
        <v>1.2019708445313136E-2</v>
      </c>
      <c r="BQ166" s="64">
        <f>+Tabla_master_rend[[#This Row],[Merma_TOT]]/Tabla_master_rend[[#This Row],[Kg_Queso_Blan]]</f>
        <v>2.9793397203842473E-2</v>
      </c>
      <c r="BR166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745.07000000000016</v>
      </c>
      <c r="BS166" s="138">
        <v>23609.8</v>
      </c>
      <c r="BT166" s="63">
        <f>IF(+Tabla_master_rend[[#This Row],[Kg_Env_Total]]=0,0,Tabla_master_rend[[#This Row],[Kg_Env_Total]]-Tabla_master_rend[[#This Row],[Kg_SalidaSecadero]])</f>
        <v>-948.20000000000073</v>
      </c>
      <c r="BU166" s="60">
        <f>+Tabla_master_rend[[#This Row],[Diferencia_Env_vs_Sec_kg]]/Tabla_master_rend[[#This Row],[Kg_SalidaSecadero]]</f>
        <v>-3.8610636045280589E-2</v>
      </c>
      <c r="BV166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66" s="65">
        <f>+(Tabla_master_rend[[#This Row],[Coste_Leche_€]]-Tabla_master_rend[[#This Row],[Kg_MG_Nata]]*$CO$3)/Tabla_master_rend[[#This Row],[Kg_Queso_Blan]]</f>
        <v>-1.1801875328146438</v>
      </c>
      <c r="BX166" s="8">
        <f>SUM(Tabla_master_rend[[#This Row],[Kg_Finos]:[Kg_Desmoldeo]])+Tabla_master_rend[[#This Row],[L_Agua]]+SUM(Tabla_master_rend[[#This Row],[B_altas]:[B_lab]])</f>
        <v>995.89</v>
      </c>
      <c r="BY166" s="8">
        <f>+BX166-Tabla_master_rend[[#This Row],[Merma_TOT]]</f>
        <v>250.81999999999982</v>
      </c>
      <c r="BZ166" s="62">
        <f t="shared" si="52"/>
        <v>0.25185512456194942</v>
      </c>
      <c r="CA166" s="8">
        <f>+Tabla_master_rend[[#This Row],[Kg_Queso_Blan]]*$CA$1</f>
        <v>162.55128499999998</v>
      </c>
      <c r="CB166" s="8">
        <f>+Tabla_master_rend[[#This Row],[Kg_Queso_Blan]]*($CB$1-$CA$1)</f>
        <v>87.527615000000011</v>
      </c>
      <c r="CC166" s="8">
        <f>+(Tabla_master_rend[[#This Row],[Kg_Queso_Blan]]-CA166-CB166)*$CC$1</f>
        <v>259.95701654999999</v>
      </c>
      <c r="CD166" s="8">
        <f t="shared" si="53"/>
        <v>510.03591654999997</v>
      </c>
      <c r="CE166" s="80">
        <f>+CD166/Tabla_master_rend[[#This Row],[Kg_Queso_Blan]]</f>
        <v>2.0395E-2</v>
      </c>
      <c r="CF166" s="62">
        <f>+Tabla_master_rend[[#This Row],[Merma_TOT]]/Tabla_master_rend[[#This Row],[Kg_Queso_Blan]]</f>
        <v>2.9793397203842473E-2</v>
      </c>
      <c r="CG166" s="8">
        <f>CD166-Tabla_master_rend[[#This Row],[Merma_TOT]]</f>
        <v>-235.0340834500002</v>
      </c>
      <c r="CH166" s="81" cm="1">
        <f t="array" ref="CH166">-BR166 * IFERROR(INDEX('Precio Leche_EBITDA_Ventas'!$BD$87:$BD$110,MATCH(1,('Precio Leche_EBITDA_Ventas'!$AZ$87:$AZ$110=YEAR(A166))*('Precio Leche_EBITDA_Ventas'!$BB$87:$BB$110=C166),0)),1.3)</f>
        <v>-2756.7590000000009</v>
      </c>
      <c r="CI166" s="81">
        <f t="shared" si="54"/>
        <v>-305.54430848500027</v>
      </c>
    </row>
    <row r="167" spans="1:87" x14ac:dyDescent="0.35">
      <c r="A167" s="9">
        <v>46037</v>
      </c>
      <c r="B167" s="7">
        <v>1</v>
      </c>
      <c r="C167" s="7" t="str">
        <f>+UPPER(TEXT(Tabla_master_rend[[#This Row],[Fecha]],"MMM"))</f>
        <v>ENE</v>
      </c>
      <c r="D167" s="7" t="str">
        <f>+UPPER(TEXT(Tabla_master_rend[[#This Row],[Fecha]],"ddd"))</f>
        <v>JU</v>
      </c>
      <c r="E167" s="56" t="s">
        <v>518</v>
      </c>
      <c r="F167" s="3" t="s">
        <v>244</v>
      </c>
      <c r="G167" t="s">
        <v>301</v>
      </c>
      <c r="H167">
        <v>10</v>
      </c>
      <c r="I167" s="8">
        <f>+Tabla_master_rend[[#This Row],[L_Leche_ent]]+Tabla_master_rend[[#This Row],[L_desn_ext]]+Tabla_master_rend[[#This Row],[L_cabra]]+Tabla_master_rend[[#This Row],[L_oveja]]</f>
        <v>150046</v>
      </c>
      <c r="J167" s="8">
        <v>150046</v>
      </c>
      <c r="K167" s="66">
        <v>4.2500000000000003E-2</v>
      </c>
      <c r="L167" s="66">
        <v>3.5000000000000003E-2</v>
      </c>
      <c r="M167" s="5">
        <f t="shared" si="49"/>
        <v>0.11342500000000001</v>
      </c>
      <c r="N167" s="3" t="s">
        <v>188</v>
      </c>
      <c r="O167" s="8">
        <v>0</v>
      </c>
      <c r="P167" s="8">
        <v>0</v>
      </c>
      <c r="Q167" s="8">
        <v>0</v>
      </c>
      <c r="R167" s="8">
        <v>2873</v>
      </c>
      <c r="S167" s="8">
        <v>0</v>
      </c>
      <c r="T167" s="8">
        <v>140560</v>
      </c>
      <c r="U167" s="38">
        <f>+Tabla_master_rend[[#This Row],[L_suero Total]]/Tabla_master_rend[[#This Row],[Litros_Leche_Total]]</f>
        <v>0.93677938765445268</v>
      </c>
      <c r="V167" s="66">
        <v>2.3999999999999998E-3</v>
      </c>
      <c r="W167" s="66">
        <v>8.8000000000000005E-3</v>
      </c>
      <c r="X167" s="8">
        <v>140475</v>
      </c>
      <c r="Y167" s="57">
        <v>45818</v>
      </c>
      <c r="Z167" s="58">
        <f>IF(Tabla_master_rend[[#This Row],[L_suero para con]]=0,0,+Tabla_master_rend[[#This Row],[L_suero para con]]/Tabla_master_rend[[#This Row],[L_suero_con]])</f>
        <v>3.0659347854554979</v>
      </c>
      <c r="AA167" s="8">
        <f>+Tabla_master_rend[[#This Row],[L_suero Total]]-Tabla_master_rend[[#This Row],[L_suero para con]]</f>
        <v>85</v>
      </c>
      <c r="AD167" s="8">
        <v>0</v>
      </c>
      <c r="AE167" s="8">
        <v>0</v>
      </c>
      <c r="AF167" s="8">
        <v>0</v>
      </c>
      <c r="AG167" s="66">
        <v>0</v>
      </c>
      <c r="AH167" s="66">
        <v>0</v>
      </c>
      <c r="AI167" s="7">
        <f>+Tabla_master_rend[[#This Row],[Kg_Finos]]+Tabla_master_rend[[#This Row],[Kg_Llenadora]]+Tabla_master_rend[[#This Row],[Kg_Desmoldeo]]+Tabla_master_rend[[#This Row],[L_Agua]]+Tabla_master_rend[[#This Row],[Kg_SalidaSecadero]]</f>
        <v>18193.11</v>
      </c>
      <c r="AJ167" s="59">
        <f>+Tabla_master_rend[[#This Row],[Litros_Leche_Total]]/Tabla_master_rend[[#This Row],[Kg_Queso_Blan]]</f>
        <v>8.2474079472943327</v>
      </c>
      <c r="AK167" s="59">
        <f>+Tabla_master_rend[[#This Row],[Litros_Leche_Total]]/(Tabla_master_rend[[#This Row],[Kg_Queso_Blan]]-Tabla_master_rend[[#This Row],[Merma_TOT]])</f>
        <v>8.4148387762518571</v>
      </c>
      <c r="AL167" s="59">
        <f>VLOOKUP(G167,REND_TARGET[#All],8,FALSE)</f>
        <v>9.3549429999999987</v>
      </c>
      <c r="AM167" s="7">
        <f>(I167*1.03*Tabla_master_rend[[#This Row],[%MG_Leche]])+(I167*1.03*Tabla_master_rend[[#This Row],[%MP_Leche]])</f>
        <v>11977.421950000002</v>
      </c>
      <c r="AN167" s="137">
        <v>0.28820000000000001</v>
      </c>
      <c r="AO167" s="137">
        <v>0.2397</v>
      </c>
      <c r="AP167" s="64">
        <v>0.57089999999999996</v>
      </c>
      <c r="AQ167" s="38">
        <f>+Tabla_master_rend[[#This Row],[Kg_Queso_Blan]]*Tabla_master_rend[[#This Row],[ES_QUESO]]/(Tabla_master_rend[[#This Row],[Kg_Solidos_leche]])</f>
        <v>0.86716878994147806</v>
      </c>
      <c r="AR167" s="7">
        <f t="shared" si="50"/>
        <v>1149.2</v>
      </c>
      <c r="AS167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0.97323351233015731</v>
      </c>
      <c r="AT167" s="62">
        <f>+Tabla_master_rend[[#This Row],[Kg_Queso_Blan]]*Tabla_master_rend[[#This Row],[%PT_QUESO]]/(Tabla_master_rend[[#This Row],[Litros_Leche_Total]]*1.03*Tabla_master_rend[[#This Row],[%MP_Leche]])</f>
        <v>0.80620463021021205</v>
      </c>
      <c r="AU167" s="63">
        <f t="shared" si="51"/>
        <v>8619</v>
      </c>
      <c r="AV167" s="7">
        <v>27.11</v>
      </c>
      <c r="AW167" s="7">
        <v>29.9</v>
      </c>
      <c r="AX167" s="7">
        <v>9.1</v>
      </c>
      <c r="AY167" s="8">
        <f>SUM(Tabla_master_rend[[#This Row],[Kg_Finos]:[Kg_Desmoldeo]])</f>
        <v>66.11</v>
      </c>
      <c r="AZ167" s="60">
        <f>+(Tabla_master_rend[[#This Row],[Kg_Finos]]+Tabla_master_rend[[#This Row],[Kg_Llenadora]]+Tabla_master_rend[[#This Row],[Kg_Desmoldeo]])/(Tabla_master_rend[[#This Row],[Kg_Queso_Blan]])</f>
        <v>3.6337932327128236E-3</v>
      </c>
      <c r="BA167" s="7">
        <v>170</v>
      </c>
      <c r="BB167" s="60">
        <f>+Tabla_master_rend[[#This Row],[L_Agua]]/(Tabla_master_rend[[#This Row],[L_Agua]]+Tabla_master_rend[[#This Row],[Kg_SalidaSecadero]])</f>
        <v>9.3782755006344126E-3</v>
      </c>
      <c r="BC167" s="8">
        <v>2445</v>
      </c>
      <c r="BD167" s="8">
        <v>2412</v>
      </c>
      <c r="BE167" s="8">
        <v>17908</v>
      </c>
      <c r="BF167" s="8">
        <v>218</v>
      </c>
      <c r="BG167" s="8">
        <v>54</v>
      </c>
      <c r="BH167" s="8">
        <v>28</v>
      </c>
      <c r="BI167" s="8">
        <v>68</v>
      </c>
      <c r="BJ167" s="8">
        <v>69</v>
      </c>
      <c r="BK167" s="8">
        <v>17957</v>
      </c>
      <c r="BL167" s="8">
        <v>0</v>
      </c>
      <c r="BM167" s="8">
        <v>114.42</v>
      </c>
      <c r="BN167" s="8">
        <v>11.46</v>
      </c>
      <c r="BO167" s="68">
        <f>+SUM(Tabla_master_rend[[#This Row],[B_altas]:[B_lab]])/Tabla_master_rend[[#This Row],[Kg_SalidaSecadero]]</f>
        <v>2.433591357130924E-2</v>
      </c>
      <c r="BP167" s="68">
        <f>+(Tabla_master_rend[[#This Row],[Kg_mer_env_real]]+Tabla_master_rend[[#This Row],[kg_mer_lab_real]])/Tabla_master_rend[[#This Row],[Kg_SalidaSecadero]]</f>
        <v>7.0100796346828529E-3</v>
      </c>
      <c r="BQ167" s="64">
        <f>+Tabla_master_rend[[#This Row],[Merma_TOT]]/Tabla_master_rend[[#This Row],[Kg_Queso_Blan]]</f>
        <v>1.9897092910447965E-2</v>
      </c>
      <c r="BR167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361.99</v>
      </c>
      <c r="BS167" s="138">
        <v>17490.099999999999</v>
      </c>
      <c r="BT167" s="63">
        <f>IF(+Tabla_master_rend[[#This Row],[Kg_Env_Total]]=0,0,Tabla_master_rend[[#This Row],[Kg_Env_Total]]-Tabla_master_rend[[#This Row],[Kg_SalidaSecadero]])</f>
        <v>-466.90000000000146</v>
      </c>
      <c r="BU167" s="60">
        <f>+Tabla_master_rend[[#This Row],[Diferencia_Env_vs_Sec_kg]]/Tabla_master_rend[[#This Row],[Kg_SalidaSecadero]]</f>
        <v>-2.6001002394609427E-2</v>
      </c>
      <c r="BV167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67" s="65">
        <f>+(Tabla_master_rend[[#This Row],[Coste_Leche_€]]-Tabla_master_rend[[#This Row],[Kg_MG_Nata]]*$CO$3)/Tabla_master_rend[[#This Row],[Kg_Queso_Blan]]</f>
        <v>-0.47375077707989449</v>
      </c>
      <c r="BX167" s="8">
        <f>SUM(Tabla_master_rend[[#This Row],[Kg_Finos]:[Kg_Desmoldeo]])+Tabla_master_rend[[#This Row],[L_Agua]]+SUM(Tabla_master_rend[[#This Row],[B_altas]:[B_lab]])</f>
        <v>673.11</v>
      </c>
      <c r="BY167" s="8">
        <f>+BX167-Tabla_master_rend[[#This Row],[Merma_TOT]]</f>
        <v>311.12</v>
      </c>
      <c r="BZ167" s="62">
        <f t="shared" si="52"/>
        <v>0.46221271411804904</v>
      </c>
      <c r="CA167" s="8">
        <f>+Tabla_master_rend[[#This Row],[Kg_Queso_Blan]]*$CA$1</f>
        <v>118.25521499999999</v>
      </c>
      <c r="CB167" s="8">
        <f>+Tabla_master_rend[[#This Row],[Kg_Queso_Blan]]*($CB$1-$CA$1)</f>
        <v>63.675885000000008</v>
      </c>
      <c r="CC167" s="8">
        <f>+(Tabla_master_rend[[#This Row],[Kg_Queso_Blan]]-CA167-CB167)*$CC$1</f>
        <v>189.11737844999999</v>
      </c>
      <c r="CD167" s="8">
        <f t="shared" si="53"/>
        <v>371.04847845</v>
      </c>
      <c r="CE167" s="80">
        <f>+CD167/Tabla_master_rend[[#This Row],[Kg_Queso_Blan]]</f>
        <v>2.0395E-2</v>
      </c>
      <c r="CF167" s="62">
        <f>+Tabla_master_rend[[#This Row],[Merma_TOT]]/Tabla_master_rend[[#This Row],[Kg_Queso_Blan]]</f>
        <v>1.9897092910447965E-2</v>
      </c>
      <c r="CG167" s="8">
        <f>CD167-Tabla_master_rend[[#This Row],[Merma_TOT]]</f>
        <v>9.0584784499999955</v>
      </c>
      <c r="CH167" s="81" cm="1">
        <f t="array" ref="CH167">-BR167 * IFERROR(INDEX('Precio Leche_EBITDA_Ventas'!$BD$87:$BD$110,MATCH(1,('Precio Leche_EBITDA_Ventas'!$AZ$87:$AZ$110=YEAR(A167))*('Precio Leche_EBITDA_Ventas'!$BB$87:$BB$110=C167),0)),1.3)</f>
        <v>-1339.3630000000001</v>
      </c>
      <c r="CI167" s="81">
        <f t="shared" si="54"/>
        <v>11.776021984999995</v>
      </c>
    </row>
    <row r="168" spans="1:87" x14ac:dyDescent="0.35">
      <c r="A168" s="9">
        <v>46041</v>
      </c>
      <c r="B168" s="7">
        <v>1</v>
      </c>
      <c r="C168" s="7" t="str">
        <f>+UPPER(TEXT(Tabla_master_rend[[#This Row],[Fecha]],"MMM"))</f>
        <v>ENE</v>
      </c>
      <c r="D168" s="7" t="str">
        <f>+UPPER(TEXT(Tabla_master_rend[[#This Row],[Fecha]],"ddd"))</f>
        <v>LU</v>
      </c>
      <c r="E168" s="56" t="s">
        <v>519</v>
      </c>
      <c r="F168" s="3" t="s">
        <v>244</v>
      </c>
      <c r="G168" t="s">
        <v>299</v>
      </c>
      <c r="H168">
        <v>20</v>
      </c>
      <c r="I168" s="8">
        <f>+Tabla_master_rend[[#This Row],[L_Leche_ent]]+Tabla_master_rend[[#This Row],[L_desn_ext]]+Tabla_master_rend[[#This Row],[L_cabra]]+Tabla_master_rend[[#This Row],[L_oveja]]</f>
        <v>313506</v>
      </c>
      <c r="J168" s="8">
        <v>313506</v>
      </c>
      <c r="K168" s="66">
        <v>4.2799999999999998E-2</v>
      </c>
      <c r="L168" s="66">
        <v>3.49E-2</v>
      </c>
      <c r="M168" s="5">
        <f t="shared" si="49"/>
        <v>0.11362999999999999</v>
      </c>
      <c r="N168" s="3" t="s">
        <v>188</v>
      </c>
      <c r="O168" s="8">
        <v>0</v>
      </c>
      <c r="P168" s="8">
        <v>0</v>
      </c>
      <c r="Q168" s="8">
        <v>0</v>
      </c>
      <c r="R168" s="8">
        <v>13880</v>
      </c>
      <c r="S168" s="8">
        <v>0</v>
      </c>
      <c r="T168" s="8">
        <v>276420</v>
      </c>
      <c r="U168" s="38">
        <f>+Tabla_master_rend[[#This Row],[L_suero Total]]/Tabla_master_rend[[#This Row],[Litros_Leche_Total]]</f>
        <v>0.88170561328969776</v>
      </c>
      <c r="V168" s="66">
        <v>1.2999999999999999E-3</v>
      </c>
      <c r="W168" s="66">
        <v>9.1000000000000004E-3</v>
      </c>
      <c r="X168" s="8">
        <v>193074</v>
      </c>
      <c r="Y168" s="57">
        <v>66946</v>
      </c>
      <c r="Z168" s="58">
        <f>IF(Tabla_master_rend[[#This Row],[L_suero para con]]=0,0,+Tabla_master_rend[[#This Row],[L_suero para con]]/Tabla_master_rend[[#This Row],[L_suero_con]])</f>
        <v>2.8840259313476535</v>
      </c>
      <c r="AA168" s="8">
        <f>+Tabla_master_rend[[#This Row],[L_suero Total]]-Tabla_master_rend[[#This Row],[L_suero para con]]</f>
        <v>83346</v>
      </c>
      <c r="AD168" s="8">
        <v>0</v>
      </c>
      <c r="AE168" s="8">
        <v>0</v>
      </c>
      <c r="AF168" s="8">
        <v>0</v>
      </c>
      <c r="AG168" s="66">
        <v>0</v>
      </c>
      <c r="AH168" s="66">
        <v>0</v>
      </c>
      <c r="AI168" s="7">
        <f>+Tabla_master_rend[[#This Row],[Kg_Finos]]+Tabla_master_rend[[#This Row],[Kg_Llenadora]]+Tabla_master_rend[[#This Row],[Kg_Desmoldeo]]+Tabla_master_rend[[#This Row],[L_Agua]]+Tabla_master_rend[[#This Row],[Kg_SalidaSecadero]]</f>
        <v>35151.97</v>
      </c>
      <c r="AJ168" s="59">
        <f>+Tabla_master_rend[[#This Row],[Litros_Leche_Total]]/Tabla_master_rend[[#This Row],[Kg_Queso_Blan]]</f>
        <v>8.9185897689375579</v>
      </c>
      <c r="AK168" s="59">
        <f>+Tabla_master_rend[[#This Row],[Litros_Leche_Total]]/(Tabla_master_rend[[#This Row],[Kg_Queso_Blan]]-Tabla_master_rend[[#This Row],[Merma_TOT]])</f>
        <v>9.1416144569460052</v>
      </c>
      <c r="AL168" s="59">
        <f>VLOOKUP(G168,REND_TARGET[#All],8,FALSE)</f>
        <v>9.8078500000000002</v>
      </c>
      <c r="AM168" s="7">
        <f>(I168*1.03*Tabla_master_rend[[#This Row],[%MG_Leche]])+(I168*1.03*Tabla_master_rend[[#This Row],[%MP_Leche]])</f>
        <v>25090.198686</v>
      </c>
      <c r="AN168" s="137">
        <v>0.22359999999999999</v>
      </c>
      <c r="AO168" s="137">
        <v>0.24890000000000001</v>
      </c>
      <c r="AP168" s="64">
        <v>0.52500000000000002</v>
      </c>
      <c r="AQ168" s="38">
        <f>+Tabla_master_rend[[#This Row],[Kg_Queso_Blan]]*Tabla_master_rend[[#This Row],[ES_QUESO]]/(Tabla_master_rend[[#This Row],[Kg_Solidos_leche]])</f>
        <v>0.73553758903860444</v>
      </c>
      <c r="AR168" s="7">
        <f t="shared" si="50"/>
        <v>5552</v>
      </c>
      <c r="AS168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0.9704341304841656</v>
      </c>
      <c r="AT168" s="62">
        <f>+Tabla_master_rend[[#This Row],[Kg_Queso_Blan]]*Tabla_master_rend[[#This Row],[%PT_QUESO]]/(Tabla_master_rend[[#This Row],[Litros_Leche_Total]]*1.03*Tabla_master_rend[[#This Row],[%MP_Leche]])</f>
        <v>0.77636519412415128</v>
      </c>
      <c r="AU168" s="63">
        <f t="shared" si="51"/>
        <v>41640</v>
      </c>
      <c r="AV168" s="7">
        <v>66.77</v>
      </c>
      <c r="AW168" s="7">
        <v>97.8</v>
      </c>
      <c r="AX168" s="7">
        <v>14.4</v>
      </c>
      <c r="AY168" s="8">
        <f>SUM(Tabla_master_rend[[#This Row],[Kg_Finos]:[Kg_Desmoldeo]])</f>
        <v>178.97</v>
      </c>
      <c r="AZ168" s="60">
        <f>+(Tabla_master_rend[[#This Row],[Kg_Finos]]+Tabla_master_rend[[#This Row],[Kg_Llenadora]]+Tabla_master_rend[[#This Row],[Kg_Desmoldeo]])/(Tabla_master_rend[[#This Row],[Kg_Queso_Blan]])</f>
        <v>5.0913220510827696E-3</v>
      </c>
      <c r="BA168" s="7">
        <v>190</v>
      </c>
      <c r="BB168" s="60">
        <f>+Tabla_master_rend[[#This Row],[L_Agua]]/(Tabla_master_rend[[#This Row],[L_Agua]]+Tabla_master_rend[[#This Row],[Kg_SalidaSecadero]])</f>
        <v>5.4327624167214705E-3</v>
      </c>
      <c r="BC168" s="8">
        <v>4886</v>
      </c>
      <c r="BD168" s="8">
        <v>4730</v>
      </c>
      <c r="BE168" s="8">
        <v>33929</v>
      </c>
      <c r="BF168" s="8">
        <v>26</v>
      </c>
      <c r="BG168" s="8">
        <v>391</v>
      </c>
      <c r="BH168" s="8">
        <v>16</v>
      </c>
      <c r="BI168" s="8">
        <v>517</v>
      </c>
      <c r="BJ168" s="8">
        <v>120</v>
      </c>
      <c r="BK168" s="8">
        <v>34783</v>
      </c>
      <c r="BL168" s="8">
        <v>0</v>
      </c>
      <c r="BM168" s="8">
        <v>453.88</v>
      </c>
      <c r="BN168" s="8">
        <v>34.74</v>
      </c>
      <c r="BO168" s="68">
        <f>+SUM(Tabla_master_rend[[#This Row],[B_altas]:[B_lab]])/Tabla_master_rend[[#This Row],[Kg_SalidaSecadero]]</f>
        <v>3.0762153925768334E-2</v>
      </c>
      <c r="BP168" s="68">
        <f>+(Tabla_master_rend[[#This Row],[Kg_mer_env_real]]+Tabla_master_rend[[#This Row],[kg_mer_lab_real]])/Tabla_master_rend[[#This Row],[Kg_SalidaSecadero]]</f>
        <v>1.4047666963746657E-2</v>
      </c>
      <c r="BQ168" s="64">
        <f>+Tabla_master_rend[[#This Row],[Merma_TOT]]/Tabla_master_rend[[#This Row],[Kg_Queso_Blan]]</f>
        <v>2.4396641212427066E-2</v>
      </c>
      <c r="BR168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857.58999999999992</v>
      </c>
      <c r="BS168" s="138">
        <v>34245.149999999987</v>
      </c>
      <c r="BT168" s="63">
        <f>IF(+Tabla_master_rend[[#This Row],[Kg_Env_Total]]=0,0,Tabla_master_rend[[#This Row],[Kg_Env_Total]]-Tabla_master_rend[[#This Row],[Kg_SalidaSecadero]])</f>
        <v>-537.8500000000131</v>
      </c>
      <c r="BU168" s="60">
        <f>+Tabla_master_rend[[#This Row],[Diferencia_Env_vs_Sec_kg]]/Tabla_master_rend[[#This Row],[Kg_SalidaSecadero]]</f>
        <v>-1.5463013541098039E-2</v>
      </c>
      <c r="BV168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68" s="65">
        <f>+(Tabla_master_rend[[#This Row],[Coste_Leche_€]]-Tabla_master_rend[[#This Row],[Kg_MG_Nata]]*$CO$3)/Tabla_master_rend[[#This Row],[Kg_Queso_Blan]]</f>
        <v>-1.1845708789578506</v>
      </c>
      <c r="BX168" s="8">
        <f>SUM(Tabla_master_rend[[#This Row],[Kg_Finos]:[Kg_Desmoldeo]])+Tabla_master_rend[[#This Row],[L_Agua]]+SUM(Tabla_master_rend[[#This Row],[B_altas]:[B_lab]])</f>
        <v>1438.97</v>
      </c>
      <c r="BY168" s="8">
        <f>+BX168-Tabla_master_rend[[#This Row],[Merma_TOT]]</f>
        <v>581.38000000000011</v>
      </c>
      <c r="BZ168" s="62">
        <f t="shared" si="52"/>
        <v>0.40402510128772673</v>
      </c>
      <c r="CA168" s="8">
        <f>+Tabla_master_rend[[#This Row],[Kg_Queso_Blan]]*$CA$1</f>
        <v>228.48780500000001</v>
      </c>
      <c r="CB168" s="8">
        <f>+Tabla_master_rend[[#This Row],[Kg_Queso_Blan]]*($CB$1-$CA$1)</f>
        <v>123.03189500000002</v>
      </c>
      <c r="CC168" s="8">
        <f>+(Tabla_master_rend[[#This Row],[Kg_Queso_Blan]]-CA168-CB168)*$CC$1</f>
        <v>365.40472815000004</v>
      </c>
      <c r="CD168" s="8">
        <f t="shared" si="53"/>
        <v>716.92442815000004</v>
      </c>
      <c r="CE168" s="80">
        <f>+CD168/Tabla_master_rend[[#This Row],[Kg_Queso_Blan]]</f>
        <v>2.0395E-2</v>
      </c>
      <c r="CF168" s="62">
        <f>+Tabla_master_rend[[#This Row],[Merma_TOT]]/Tabla_master_rend[[#This Row],[Kg_Queso_Blan]]</f>
        <v>2.4396641212427066E-2</v>
      </c>
      <c r="CG168" s="8">
        <f>CD168-Tabla_master_rend[[#This Row],[Merma_TOT]]</f>
        <v>-140.66557184999988</v>
      </c>
      <c r="CH168" s="81" cm="1">
        <f t="array" ref="CH168">-BR168 * IFERROR(INDEX('Precio Leche_EBITDA_Ventas'!$BD$87:$BD$110,MATCH(1,('Precio Leche_EBITDA_Ventas'!$AZ$87:$AZ$110=YEAR(A168))*('Precio Leche_EBITDA_Ventas'!$BB$87:$BB$110=C168),0)),1.3)</f>
        <v>-3173.0829999999996</v>
      </c>
      <c r="CI168" s="81">
        <f t="shared" si="54"/>
        <v>-182.86524340499986</v>
      </c>
    </row>
    <row r="169" spans="1:87" x14ac:dyDescent="0.35">
      <c r="A169" s="9">
        <v>46043</v>
      </c>
      <c r="B169" s="7">
        <v>1</v>
      </c>
      <c r="C169" s="7" t="str">
        <f>+UPPER(TEXT(Tabla_master_rend[[#This Row],[Fecha]],"MMM"))</f>
        <v>ENE</v>
      </c>
      <c r="D169" s="7" t="str">
        <f>+UPPER(TEXT(Tabla_master_rend[[#This Row],[Fecha]],"ddd"))</f>
        <v>MI</v>
      </c>
      <c r="E169" s="56" t="s">
        <v>520</v>
      </c>
      <c r="F169" s="3" t="s">
        <v>244</v>
      </c>
      <c r="G169" t="s">
        <v>301</v>
      </c>
      <c r="H169">
        <v>20</v>
      </c>
      <c r="I169" s="8">
        <f>+Tabla_master_rend[[#This Row],[L_Leche_ent]]+Tabla_master_rend[[#This Row],[L_desn_ext]]+Tabla_master_rend[[#This Row],[L_cabra]]+Tabla_master_rend[[#This Row],[L_oveja]]</f>
        <v>299720</v>
      </c>
      <c r="J169" s="8">
        <v>299720</v>
      </c>
      <c r="K169" s="66">
        <v>4.2700000000000002E-2</v>
      </c>
      <c r="L169" s="66">
        <v>3.4799999999999998E-2</v>
      </c>
      <c r="M169" s="5">
        <f t="shared" si="49"/>
        <v>0.11346299999999999</v>
      </c>
      <c r="N169" s="3" t="s">
        <v>43</v>
      </c>
      <c r="O169" s="8">
        <v>0</v>
      </c>
      <c r="P169" s="8">
        <v>0</v>
      </c>
      <c r="Q169" s="8">
        <v>0</v>
      </c>
      <c r="R169" s="8">
        <v>6793</v>
      </c>
      <c r="S169" s="8">
        <v>0</v>
      </c>
      <c r="T169" s="8">
        <v>277750</v>
      </c>
      <c r="U169" s="38">
        <f>+Tabla_master_rend[[#This Row],[L_suero Total]]/Tabla_master_rend[[#This Row],[Litros_Leche_Total]]</f>
        <v>0.92669825170158815</v>
      </c>
      <c r="V169" s="66">
        <v>1.9E-3</v>
      </c>
      <c r="W169" s="66">
        <v>8.3000000000000001E-3</v>
      </c>
      <c r="X169" s="8">
        <v>201632</v>
      </c>
      <c r="Y169" s="57">
        <v>58840</v>
      </c>
      <c r="Z169" s="58">
        <f>IF(Tabla_master_rend[[#This Row],[L_suero para con]]=0,0,+Tabla_master_rend[[#This Row],[L_suero para con]]/Tabla_master_rend[[#This Row],[L_suero_con]])</f>
        <v>3.4267845003399047</v>
      </c>
      <c r="AA169" s="8">
        <f>+Tabla_master_rend[[#This Row],[L_suero Total]]-Tabla_master_rend[[#This Row],[L_suero para con]]</f>
        <v>76118</v>
      </c>
      <c r="AD169" s="8">
        <v>8210</v>
      </c>
      <c r="AE169" s="8">
        <v>0</v>
      </c>
      <c r="AF169" s="8">
        <v>0</v>
      </c>
      <c r="AG169" s="140"/>
      <c r="AH169" s="140"/>
      <c r="AI169" s="7">
        <f>+Tabla_master_rend[[#This Row],[Kg_Finos]]+Tabla_master_rend[[#This Row],[Kg_Llenadora]]+Tabla_master_rend[[#This Row],[Kg_Desmoldeo]]+Tabla_master_rend[[#This Row],[L_Agua]]+Tabla_master_rend[[#This Row],[Kg_SalidaSecadero]]</f>
        <v>35553.589999999997</v>
      </c>
      <c r="AJ169" s="59">
        <f>+Tabla_master_rend[[#This Row],[Litros_Leche_Total]]/Tabla_master_rend[[#This Row],[Kg_Queso_Blan]]</f>
        <v>8.4300910259695296</v>
      </c>
      <c r="AK169" s="59">
        <f>+Tabla_master_rend[[#This Row],[Litros_Leche_Total]]/(Tabla_master_rend[[#This Row],[Kg_Queso_Blan]]-Tabla_master_rend[[#This Row],[Merma_TOT]])</f>
        <v>8.5555232679290061</v>
      </c>
      <c r="AL169" s="59">
        <f>VLOOKUP(G169,REND_TARGET[#All],8,FALSE)</f>
        <v>9.3549429999999987</v>
      </c>
      <c r="AM169" s="7">
        <f>(I169*1.03*Tabla_master_rend[[#This Row],[%MG_Leche]])+(I169*1.03*Tabla_master_rend[[#This Row],[%MP_Leche]])</f>
        <v>23925.149000000001</v>
      </c>
      <c r="AN169" s="137">
        <v>0.28510000000000002</v>
      </c>
      <c r="AO169" s="137">
        <v>0.24079999999999999</v>
      </c>
      <c r="AP169" s="64">
        <v>0.57369999999999999</v>
      </c>
      <c r="AQ169" s="38">
        <f>+Tabla_master_rend[[#This Row],[Kg_Queso_Blan]]*Tabla_master_rend[[#This Row],[ES_QUESO]]/(Tabla_master_rend[[#This Row],[Kg_Solidos_leche]])</f>
        <v>0.85253782883442009</v>
      </c>
      <c r="AR169" s="7">
        <f t="shared" si="50"/>
        <v>2717.2000000000003</v>
      </c>
      <c r="AS169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0.97508290268677056</v>
      </c>
      <c r="AT169" s="62">
        <f>+Tabla_master_rend[[#This Row],[Kg_Queso_Blan]]*Tabla_master_rend[[#This Row],[%PT_QUESO]]/(Tabla_master_rend[[#This Row],[Litros_Leche_Total]]*1.03*Tabla_master_rend[[#This Row],[%MP_Leche]])</f>
        <v>0.79690719856927639</v>
      </c>
      <c r="AU169" s="63">
        <f t="shared" si="51"/>
        <v>20379.000000000004</v>
      </c>
      <c r="AV169" s="7">
        <v>51.79</v>
      </c>
      <c r="AW169" s="7">
        <v>42.3</v>
      </c>
      <c r="AX169" s="7">
        <v>4.5</v>
      </c>
      <c r="AY169" s="8">
        <f>SUM(Tabla_master_rend[[#This Row],[Kg_Finos]:[Kg_Desmoldeo]])</f>
        <v>98.59</v>
      </c>
      <c r="AZ169" s="60">
        <f>+(Tabla_master_rend[[#This Row],[Kg_Finos]]+Tabla_master_rend[[#This Row],[Kg_Llenadora]]+Tabla_master_rend[[#This Row],[Kg_Desmoldeo]])/(Tabla_master_rend[[#This Row],[Kg_Queso_Blan]])</f>
        <v>2.7729970447428801E-3</v>
      </c>
      <c r="BA169" s="7">
        <v>250</v>
      </c>
      <c r="BB169" s="60">
        <f>+Tabla_master_rend[[#This Row],[L_Agua]]/(Tabla_master_rend[[#This Row],[L_Agua]]+Tabla_master_rend[[#This Row],[Kg_SalidaSecadero]])</f>
        <v>7.0511916513890851E-3</v>
      </c>
      <c r="BC169" s="8">
        <v>4792</v>
      </c>
      <c r="BD169" s="8">
        <v>4755</v>
      </c>
      <c r="BE169" s="8">
        <v>35213</v>
      </c>
      <c r="BF169" s="8">
        <v>158</v>
      </c>
      <c r="BG169" s="8">
        <v>42</v>
      </c>
      <c r="BH169" s="8">
        <v>42</v>
      </c>
      <c r="BI169" s="8">
        <v>40</v>
      </c>
      <c r="BJ169" s="8">
        <v>118</v>
      </c>
      <c r="BK169" s="8">
        <v>35205</v>
      </c>
      <c r="BL169" s="8">
        <v>0</v>
      </c>
      <c r="BM169" s="8">
        <v>143.38</v>
      </c>
      <c r="BN169" s="8">
        <v>29.28</v>
      </c>
      <c r="BO169" s="68">
        <f>+SUM(Tabla_master_rend[[#This Row],[B_altas]:[B_lab]])/Tabla_master_rend[[#This Row],[Kg_SalidaSecadero]]</f>
        <v>1.1362022439994318E-2</v>
      </c>
      <c r="BP169" s="68">
        <f>+(Tabla_master_rend[[#This Row],[Kg_mer_env_real]]+Tabla_master_rend[[#This Row],[kg_mer_lab_real]])/Tabla_master_rend[[#This Row],[Kg_SalidaSecadero]]</f>
        <v>4.9044169862235481E-3</v>
      </c>
      <c r="BQ169" s="64">
        <f>+Tabla_master_rend[[#This Row],[Merma_TOT]]/Tabla_master_rend[[#This Row],[Kg_Queso_Blan]]</f>
        <v>1.4660966726566855E-2</v>
      </c>
      <c r="BR169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521.25</v>
      </c>
      <c r="BS169" s="138">
        <v>34631.249999999993</v>
      </c>
      <c r="BT169" s="63">
        <f>IF(+Tabla_master_rend[[#This Row],[Kg_Env_Total]]=0,0,Tabla_master_rend[[#This Row],[Kg_Env_Total]]-Tabla_master_rend[[#This Row],[Kg_SalidaSecadero]])</f>
        <v>-573.75000000000728</v>
      </c>
      <c r="BU169" s="60">
        <f>+Tabla_master_rend[[#This Row],[Diferencia_Env_vs_Sec_kg]]/Tabla_master_rend[[#This Row],[Kg_SalidaSecadero]]</f>
        <v>-1.6297400937367059E-2</v>
      </c>
      <c r="BV169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69" s="65">
        <f>+(Tabla_master_rend[[#This Row],[Coste_Leche_€]]-Tabla_master_rend[[#This Row],[Kg_MG_Nata]]*$CO$3)/Tabla_master_rend[[#This Row],[Kg_Queso_Blan]]</f>
        <v>-0.57319106171838075</v>
      </c>
      <c r="BX169" s="8">
        <f>SUM(Tabla_master_rend[[#This Row],[Kg_Finos]:[Kg_Desmoldeo]])+Tabla_master_rend[[#This Row],[L_Agua]]+SUM(Tabla_master_rend[[#This Row],[B_altas]:[B_lab]])</f>
        <v>748.59</v>
      </c>
      <c r="BY169" s="8">
        <f>+BX169-Tabla_master_rend[[#This Row],[Merma_TOT]]</f>
        <v>227.34000000000003</v>
      </c>
      <c r="BZ169" s="62">
        <f t="shared" si="52"/>
        <v>0.30369093896525473</v>
      </c>
      <c r="CA169" s="8">
        <f>+Tabla_master_rend[[#This Row],[Kg_Queso_Blan]]*$CA$1</f>
        <v>231.09833499999996</v>
      </c>
      <c r="CB169" s="8">
        <f>+Tabla_master_rend[[#This Row],[Kg_Queso_Blan]]*($CB$1-$CA$1)</f>
        <v>124.43756500000001</v>
      </c>
      <c r="CC169" s="8">
        <f>+(Tabla_master_rend[[#This Row],[Kg_Queso_Blan]]-CA169-CB169)*$CC$1</f>
        <v>369.57956804999998</v>
      </c>
      <c r="CD169" s="8">
        <f t="shared" si="53"/>
        <v>725.11546804999989</v>
      </c>
      <c r="CE169" s="80">
        <f>+CD169/Tabla_master_rend[[#This Row],[Kg_Queso_Blan]]</f>
        <v>2.0395E-2</v>
      </c>
      <c r="CF169" s="62">
        <f>+Tabla_master_rend[[#This Row],[Merma_TOT]]/Tabla_master_rend[[#This Row],[Kg_Queso_Blan]]</f>
        <v>1.4660966726566855E-2</v>
      </c>
      <c r="CG169" s="8">
        <f>CD169-Tabla_master_rend[[#This Row],[Merma_TOT]]</f>
        <v>203.86546804999989</v>
      </c>
      <c r="CH169" s="81" cm="1">
        <f t="array" ref="CH169">-BR169 * IFERROR(INDEX('Precio Leche_EBITDA_Ventas'!$BD$87:$BD$110,MATCH(1,('Precio Leche_EBITDA_Ventas'!$AZ$87:$AZ$110=YEAR(A169))*('Precio Leche_EBITDA_Ventas'!$BB$87:$BB$110=C169),0)),1.3)</f>
        <v>-1928.625</v>
      </c>
      <c r="CI169" s="81">
        <f t="shared" si="54"/>
        <v>265.02510846499985</v>
      </c>
    </row>
    <row r="170" spans="1:87" x14ac:dyDescent="0.35">
      <c r="A170" s="9">
        <v>46044</v>
      </c>
      <c r="B170" s="7">
        <v>1</v>
      </c>
      <c r="C170" s="7" t="str">
        <f>+UPPER(TEXT(Tabla_master_rend[[#This Row],[Fecha]],"MMM"))</f>
        <v>ENE</v>
      </c>
      <c r="D170" s="7" t="str">
        <f>+UPPER(TEXT(Tabla_master_rend[[#This Row],[Fecha]],"ddd"))</f>
        <v>JU</v>
      </c>
      <c r="E170" s="56" t="s">
        <v>521</v>
      </c>
      <c r="F170" s="3" t="s">
        <v>244</v>
      </c>
      <c r="G170" t="s">
        <v>301</v>
      </c>
      <c r="H170">
        <v>20</v>
      </c>
      <c r="I170" s="8">
        <f>+Tabla_master_rend[[#This Row],[L_Leche_ent]]+Tabla_master_rend[[#This Row],[L_desn_ext]]+Tabla_master_rend[[#This Row],[L_cabra]]+Tabla_master_rend[[#This Row],[L_oveja]]</f>
        <v>304487</v>
      </c>
      <c r="J170" s="8">
        <v>304487</v>
      </c>
      <c r="K170" s="66">
        <v>4.1399999999999999E-2</v>
      </c>
      <c r="L170" s="66">
        <v>3.4799999999999998E-2</v>
      </c>
      <c r="M170" s="5">
        <f t="shared" si="49"/>
        <v>0.11225400000000001</v>
      </c>
      <c r="N170" s="3" t="s">
        <v>188</v>
      </c>
      <c r="O170" s="8">
        <v>0</v>
      </c>
      <c r="P170" s="8">
        <v>0</v>
      </c>
      <c r="Q170" s="8">
        <v>0</v>
      </c>
      <c r="R170" s="8">
        <v>5414</v>
      </c>
      <c r="S170" s="8">
        <v>0</v>
      </c>
      <c r="T170" s="8">
        <v>275140</v>
      </c>
      <c r="U170" s="38">
        <f>+Tabla_master_rend[[#This Row],[L_suero Total]]/Tabla_master_rend[[#This Row],[Litros_Leche_Total]]</f>
        <v>0.90361821686968569</v>
      </c>
      <c r="V170" s="66">
        <v>2.2000000000000001E-3</v>
      </c>
      <c r="W170" s="66">
        <v>8.3999999999999995E-3</v>
      </c>
      <c r="X170" s="8">
        <v>123113</v>
      </c>
      <c r="Y170" s="57">
        <v>33330</v>
      </c>
      <c r="Z170" s="58">
        <f>IF(Tabla_master_rend[[#This Row],[L_suero para con]]=0,0,+Tabla_master_rend[[#This Row],[L_suero para con]]/Tabla_master_rend[[#This Row],[L_suero_con]])</f>
        <v>3.693759375937594</v>
      </c>
      <c r="AA170" s="8">
        <f>+Tabla_master_rend[[#This Row],[L_suero Total]]-Tabla_master_rend[[#This Row],[L_suero para con]]</f>
        <v>152027</v>
      </c>
      <c r="AD170" s="8">
        <v>42052</v>
      </c>
      <c r="AE170" s="8">
        <v>0</v>
      </c>
      <c r="AF170" s="8">
        <v>0</v>
      </c>
      <c r="AG170" s="140"/>
      <c r="AH170" s="140"/>
      <c r="AI170" s="7">
        <f>+Tabla_master_rend[[#This Row],[Kg_Finos]]+Tabla_master_rend[[#This Row],[Kg_Llenadora]]+Tabla_master_rend[[#This Row],[Kg_Desmoldeo]]+Tabla_master_rend[[#This Row],[L_Agua]]+Tabla_master_rend[[#This Row],[Kg_SalidaSecadero]]</f>
        <v>36209.699999999997</v>
      </c>
      <c r="AJ170" s="59">
        <f>+Tabla_master_rend[[#This Row],[Litros_Leche_Total]]/Tabla_master_rend[[#This Row],[Kg_Queso_Blan]]</f>
        <v>8.4089898563092209</v>
      </c>
      <c r="AK170" s="59">
        <f>+Tabla_master_rend[[#This Row],[Litros_Leche_Total]]/(Tabla_master_rend[[#This Row],[Kg_Queso_Blan]]-Tabla_master_rend[[#This Row],[Merma_TOT]])</f>
        <v>8.588231843082216</v>
      </c>
      <c r="AL170" s="59">
        <f>VLOOKUP(G170,REND_TARGET[#All],8,FALSE)</f>
        <v>9.3549429999999987</v>
      </c>
      <c r="AM170" s="7">
        <f>(I170*1.03*Tabla_master_rend[[#This Row],[%MG_Leche]])+(I170*1.03*Tabla_master_rend[[#This Row],[%MP_Leche]])</f>
        <v>23897.966681999998</v>
      </c>
      <c r="AN170" s="137">
        <v>0.28749999999999998</v>
      </c>
      <c r="AO170" s="137">
        <v>0.23860000000000001</v>
      </c>
      <c r="AP170" s="64">
        <v>0.57289999999999996</v>
      </c>
      <c r="AQ170" s="38">
        <f>+Tabla_master_rend[[#This Row],[Kg_Queso_Blan]]*Tabla_master_rend[[#This Row],[ES_QUESO]]/(Tabla_master_rend[[#This Row],[Kg_Solidos_leche]])</f>
        <v>0.86804611480293126</v>
      </c>
      <c r="AR170" s="7">
        <f t="shared" si="50"/>
        <v>2165.6</v>
      </c>
      <c r="AS170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0.96857301620242731</v>
      </c>
      <c r="AT170" s="62">
        <f>+Tabla_master_rend[[#This Row],[Kg_Queso_Blan]]*Tabla_master_rend[[#This Row],[%PT_QUESO]]/(Tabla_master_rend[[#This Row],[Litros_Leche_Total]]*1.03*Tabla_master_rend[[#This Row],[%MP_Leche]])</f>
        <v>0.7916079408448663</v>
      </c>
      <c r="AU170" s="63">
        <f t="shared" si="51"/>
        <v>16242</v>
      </c>
      <c r="AV170" s="7">
        <v>49.8</v>
      </c>
      <c r="AW170" s="7">
        <v>57.7</v>
      </c>
      <c r="AX170" s="7">
        <v>12.2</v>
      </c>
      <c r="AY170" s="8">
        <f>SUM(Tabla_master_rend[[#This Row],[Kg_Finos]:[Kg_Desmoldeo]])</f>
        <v>119.7</v>
      </c>
      <c r="AZ170" s="60">
        <f>+(Tabla_master_rend[[#This Row],[Kg_Finos]]+Tabla_master_rend[[#This Row],[Kg_Llenadora]]+Tabla_master_rend[[#This Row],[Kg_Desmoldeo]])/(Tabla_master_rend[[#This Row],[Kg_Queso_Blan]])</f>
        <v>3.3057440409614003E-3</v>
      </c>
      <c r="BA170" s="7">
        <v>410</v>
      </c>
      <c r="BB170" s="60">
        <f>+Tabla_master_rend[[#This Row],[L_Agua]]/(Tabla_master_rend[[#This Row],[L_Agua]]+Tabla_master_rend[[#This Row],[Kg_SalidaSecadero]])</f>
        <v>1.1360487669714602E-2</v>
      </c>
      <c r="BC170" s="8">
        <v>4878</v>
      </c>
      <c r="BD170" s="8">
        <v>4839</v>
      </c>
      <c r="BE170" s="8">
        <v>35831</v>
      </c>
      <c r="BF170" s="8">
        <v>0</v>
      </c>
      <c r="BG170" s="8">
        <v>13</v>
      </c>
      <c r="BH170" s="8">
        <v>33</v>
      </c>
      <c r="BI170" s="8">
        <v>98</v>
      </c>
      <c r="BJ170" s="8">
        <v>115</v>
      </c>
      <c r="BK170" s="8">
        <v>35680</v>
      </c>
      <c r="BL170" s="8">
        <v>0</v>
      </c>
      <c r="BM170" s="8">
        <v>182.14</v>
      </c>
      <c r="BN170" s="8">
        <v>43.88</v>
      </c>
      <c r="BO170" s="68">
        <f>+SUM(Tabla_master_rend[[#This Row],[B_altas]:[B_lab]])/Tabla_master_rend[[#This Row],[Kg_SalidaSecadero]]</f>
        <v>7.2589686098654708E-3</v>
      </c>
      <c r="BP170" s="68">
        <f>+(Tabla_master_rend[[#This Row],[Kg_mer_env_real]]+Tabla_master_rend[[#This Row],[kg_mer_lab_real]])/Tabla_master_rend[[#This Row],[Kg_SalidaSecadero]]</f>
        <v>6.3346412556053808E-3</v>
      </c>
      <c r="BQ170" s="64">
        <f>+Tabla_master_rend[[#This Row],[Merma_TOT]]/Tabla_master_rend[[#This Row],[Kg_Queso_Blan]]</f>
        <v>2.0870650681999576E-2</v>
      </c>
      <c r="BR170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755.72</v>
      </c>
      <c r="BS170" s="138">
        <v>35249.349999999991</v>
      </c>
      <c r="BT170" s="63">
        <f>IF(+Tabla_master_rend[[#This Row],[Kg_Env_Total]]=0,0,Tabla_master_rend[[#This Row],[Kg_Env_Total]]-Tabla_master_rend[[#This Row],[Kg_SalidaSecadero]])</f>
        <v>-430.65000000000873</v>
      </c>
      <c r="BU170" s="60">
        <f>+Tabla_master_rend[[#This Row],[Diferencia_Env_vs_Sec_kg]]/Tabla_master_rend[[#This Row],[Kg_SalidaSecadero]]</f>
        <v>-1.206978699551594E-2</v>
      </c>
      <c r="BV170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70" s="65">
        <f>+(Tabla_master_rend[[#This Row],[Coste_Leche_€]]-Tabla_master_rend[[#This Row],[Kg_MG_Nata]]*$CO$3)/Tabla_master_rend[[#This Row],[Kg_Queso_Blan]]</f>
        <v>-0.44855384054548925</v>
      </c>
      <c r="BX170" s="8">
        <f>SUM(Tabla_master_rend[[#This Row],[Kg_Finos]:[Kg_Desmoldeo]])+Tabla_master_rend[[#This Row],[L_Agua]]+SUM(Tabla_master_rend[[#This Row],[B_altas]:[B_lab]])</f>
        <v>788.7</v>
      </c>
      <c r="BY170" s="8">
        <f>+BX170-Tabla_master_rend[[#This Row],[Merma_TOT]]</f>
        <v>32.980000000000018</v>
      </c>
      <c r="BZ170" s="62">
        <f t="shared" si="52"/>
        <v>4.1815645999746437E-2</v>
      </c>
      <c r="CA170" s="8">
        <f>+Tabla_master_rend[[#This Row],[Kg_Queso_Blan]]*$CA$1</f>
        <v>235.36304999999996</v>
      </c>
      <c r="CB170" s="8">
        <f>+Tabla_master_rend[[#This Row],[Kg_Queso_Blan]]*($CB$1-$CA$1)</f>
        <v>126.73395000000001</v>
      </c>
      <c r="CC170" s="8">
        <f>+(Tabla_master_rend[[#This Row],[Kg_Queso_Blan]]-CA170-CB170)*$CC$1</f>
        <v>376.39983149999995</v>
      </c>
      <c r="CD170" s="8">
        <f t="shared" si="53"/>
        <v>738.49683149999987</v>
      </c>
      <c r="CE170" s="80">
        <f>+CD170/Tabla_master_rend[[#This Row],[Kg_Queso_Blan]]</f>
        <v>2.0394999999999996E-2</v>
      </c>
      <c r="CF170" s="62">
        <f>+Tabla_master_rend[[#This Row],[Merma_TOT]]/Tabla_master_rend[[#This Row],[Kg_Queso_Blan]]</f>
        <v>2.0870650681999576E-2</v>
      </c>
      <c r="CG170" s="8">
        <f>CD170-Tabla_master_rend[[#This Row],[Merma_TOT]]</f>
        <v>-17.223168500000156</v>
      </c>
      <c r="CH170" s="81" cm="1">
        <f t="array" ref="CH170">-BR170 * IFERROR(INDEX('Precio Leche_EBITDA_Ventas'!$BD$87:$BD$110,MATCH(1,('Precio Leche_EBITDA_Ventas'!$AZ$87:$AZ$110=YEAR(A170))*('Precio Leche_EBITDA_Ventas'!$BB$87:$BB$110=C170),0)),1.3)</f>
        <v>-2796.1640000000002</v>
      </c>
      <c r="CI170" s="81">
        <f t="shared" si="54"/>
        <v>-22.390119050000205</v>
      </c>
    </row>
    <row r="171" spans="1:87" x14ac:dyDescent="0.35">
      <c r="A171" s="9">
        <v>46048</v>
      </c>
      <c r="B171" s="7">
        <v>1</v>
      </c>
      <c r="C171" s="7" t="str">
        <f>+UPPER(TEXT(Tabla_master_rend[[#This Row],[Fecha]],"MMM"))</f>
        <v>ENE</v>
      </c>
      <c r="D171" s="7" t="str">
        <f>+UPPER(TEXT(Tabla_master_rend[[#This Row],[Fecha]],"ddd"))</f>
        <v>LU</v>
      </c>
      <c r="E171" s="56" t="s">
        <v>522</v>
      </c>
      <c r="F171" s="3" t="s">
        <v>244</v>
      </c>
      <c r="G171" t="s">
        <v>299</v>
      </c>
      <c r="H171">
        <v>13</v>
      </c>
      <c r="I171" s="8">
        <f>+Tabla_master_rend[[#This Row],[L_Leche_ent]]+Tabla_master_rend[[#This Row],[L_desn_ext]]+Tabla_master_rend[[#This Row],[L_cabra]]+Tabla_master_rend[[#This Row],[L_oveja]]</f>
        <v>199923</v>
      </c>
      <c r="J171" s="8">
        <v>199923</v>
      </c>
      <c r="K171" s="66">
        <v>3.9699999999999999E-2</v>
      </c>
      <c r="L171" s="66">
        <v>3.5000000000000003E-2</v>
      </c>
      <c r="M171" s="5">
        <f t="shared" si="49"/>
        <v>0.110821</v>
      </c>
      <c r="N171" s="3" t="s">
        <v>188</v>
      </c>
      <c r="O171" s="8">
        <v>0</v>
      </c>
      <c r="P171" s="8">
        <v>0</v>
      </c>
      <c r="Q171" s="8">
        <v>0</v>
      </c>
      <c r="R171" s="8">
        <v>7393</v>
      </c>
      <c r="S171" s="8">
        <v>376</v>
      </c>
      <c r="T171" s="8">
        <v>181510</v>
      </c>
      <c r="U171" s="38">
        <f>+Tabla_master_rend[[#This Row],[L_suero Total]]/Tabla_master_rend[[#This Row],[Litros_Leche_Total]]</f>
        <v>0.90789954132340955</v>
      </c>
      <c r="V171" s="66">
        <v>0</v>
      </c>
      <c r="W171" s="66">
        <v>8.6E-3</v>
      </c>
      <c r="X171" s="8">
        <v>180816</v>
      </c>
      <c r="Y171" s="57">
        <v>53935</v>
      </c>
      <c r="Z171" s="58">
        <f>IF(Tabla_master_rend[[#This Row],[L_suero para con]]=0,0,+Tabla_master_rend[[#This Row],[L_suero para con]]/Tabla_master_rend[[#This Row],[L_suero_con]])</f>
        <v>3.3524798368406414</v>
      </c>
      <c r="AA171" s="8">
        <f>+Tabla_master_rend[[#This Row],[L_suero Total]]-Tabla_master_rend[[#This Row],[L_suero para con]]</f>
        <v>694</v>
      </c>
      <c r="AD171" s="8">
        <v>0</v>
      </c>
      <c r="AE171" s="8">
        <v>0</v>
      </c>
      <c r="AF171" s="8">
        <v>0</v>
      </c>
      <c r="AG171" s="66">
        <v>0</v>
      </c>
      <c r="AH171" s="66">
        <v>0</v>
      </c>
      <c r="AI171" s="7">
        <f>+Tabla_master_rend[[#This Row],[Kg_Finos]]+Tabla_master_rend[[#This Row],[Kg_Llenadora]]+Tabla_master_rend[[#This Row],[Kg_Desmoldeo]]+Tabla_master_rend[[#This Row],[L_Agua]]+Tabla_master_rend[[#This Row],[Kg_SalidaSecadero]]</f>
        <v>22568.13</v>
      </c>
      <c r="AJ171" s="59">
        <f>+Tabla_master_rend[[#This Row],[Litros_Leche_Total]]/Tabla_master_rend[[#This Row],[Kg_Queso_Blan]]</f>
        <v>8.858642696581418</v>
      </c>
      <c r="AK171" s="59">
        <f>+Tabla_master_rend[[#This Row],[Litros_Leche_Total]]/(Tabla_master_rend[[#This Row],[Kg_Queso_Blan]]-Tabla_master_rend[[#This Row],[Merma_TOT]])</f>
        <v>9.0972754997010394</v>
      </c>
      <c r="AL171" s="59">
        <f>VLOOKUP(G171,REND_TARGET[#All],8,FALSE)</f>
        <v>9.8078500000000002</v>
      </c>
      <c r="AM171" s="7">
        <f>(I171*1.03*Tabla_master_rend[[#This Row],[%MG_Leche]])+(I171*1.03*Tabla_master_rend[[#This Row],[%MP_Leche]])</f>
        <v>15382.275543</v>
      </c>
      <c r="AN171" s="137">
        <v>0.22209999999999999</v>
      </c>
      <c r="AO171" s="137">
        <v>0.24479999999999999</v>
      </c>
      <c r="AP171" s="64">
        <v>0.52229999999999999</v>
      </c>
      <c r="AQ171" s="38">
        <f>+Tabla_master_rend[[#This Row],[Kg_Queso_Blan]]*Tabla_master_rend[[#This Row],[ES_QUESO]]/(Tabla_master_rend[[#This Row],[Kg_Solidos_leche]])</f>
        <v>0.76629327475310072</v>
      </c>
      <c r="AR171" s="7">
        <f t="shared" si="50"/>
        <v>2957.2000000000003</v>
      </c>
      <c r="AS171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0.97486624730262428</v>
      </c>
      <c r="AT171" s="62">
        <f>+Tabla_master_rend[[#This Row],[Kg_Queso_Blan]]*Tabla_master_rend[[#This Row],[%PT_QUESO]]/(Tabla_master_rend[[#This Row],[Litros_Leche_Total]]*1.03*Tabla_master_rend[[#This Row],[%MP_Leche]])</f>
        <v>0.76654730157102158</v>
      </c>
      <c r="AU171" s="63">
        <f t="shared" si="51"/>
        <v>22179.000000000004</v>
      </c>
      <c r="AV171" s="7">
        <v>34.630000000000003</v>
      </c>
      <c r="AW171" s="7">
        <v>71.8</v>
      </c>
      <c r="AX171" s="7">
        <v>56.7</v>
      </c>
      <c r="AY171" s="8">
        <f>SUM(Tabla_master_rend[[#This Row],[Kg_Finos]:[Kg_Desmoldeo]])</f>
        <v>163.13</v>
      </c>
      <c r="AZ171" s="60">
        <f>+(Tabla_master_rend[[#This Row],[Kg_Finos]]+Tabla_master_rend[[#This Row],[Kg_Llenadora]]+Tabla_master_rend[[#This Row],[Kg_Desmoldeo]])/(Tabla_master_rend[[#This Row],[Kg_Queso_Blan]])</f>
        <v>7.2283348243740173E-3</v>
      </c>
      <c r="BA171" s="7">
        <v>160</v>
      </c>
      <c r="BB171" s="60">
        <f>+Tabla_master_rend[[#This Row],[L_Agua]]/(Tabla_master_rend[[#This Row],[L_Agua]]+Tabla_master_rend[[#This Row],[Kg_SalidaSecadero]])</f>
        <v>7.1412631109127427E-3</v>
      </c>
      <c r="BC171" s="8">
        <v>3116</v>
      </c>
      <c r="BD171" s="8">
        <v>3041</v>
      </c>
      <c r="BE171" s="8">
        <v>21911</v>
      </c>
      <c r="BF171" s="8">
        <v>0</v>
      </c>
      <c r="BG171" s="8">
        <v>162</v>
      </c>
      <c r="BH171" s="8">
        <v>34</v>
      </c>
      <c r="BI171" s="8">
        <v>226</v>
      </c>
      <c r="BJ171" s="8">
        <v>72</v>
      </c>
      <c r="BK171" s="8">
        <v>22245</v>
      </c>
      <c r="BL171" s="8">
        <v>0</v>
      </c>
      <c r="BM171" s="8">
        <v>248.88</v>
      </c>
      <c r="BN171" s="8">
        <v>19.98</v>
      </c>
      <c r="BO171" s="68">
        <f>+SUM(Tabla_master_rend[[#This Row],[B_altas]:[B_lab]])/Tabla_master_rend[[#This Row],[Kg_SalidaSecadero]]</f>
        <v>2.2207237581478984E-2</v>
      </c>
      <c r="BP171" s="68">
        <f>+(Tabla_master_rend[[#This Row],[Kg_mer_env_real]]+Tabla_master_rend[[#This Row],[kg_mer_lab_real]])/Tabla_master_rend[[#This Row],[Kg_SalidaSecadero]]</f>
        <v>1.2086311530681052E-2</v>
      </c>
      <c r="BQ171" s="64">
        <f>+Tabla_master_rend[[#This Row],[Merma_TOT]]/Tabla_master_rend[[#This Row],[Kg_Queso_Blan]]</f>
        <v>2.6231238476559643E-2</v>
      </c>
      <c r="BR171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591.99</v>
      </c>
      <c r="BS171" s="138">
        <v>21882.6</v>
      </c>
      <c r="BT171" s="63">
        <f>IF(+Tabla_master_rend[[#This Row],[Kg_Env_Total]]=0,0,Tabla_master_rend[[#This Row],[Kg_Env_Total]]-Tabla_master_rend[[#This Row],[Kg_SalidaSecadero]])</f>
        <v>-362.40000000000146</v>
      </c>
      <c r="BU171" s="60">
        <f>+Tabla_master_rend[[#This Row],[Diferencia_Env_vs_Sec_kg]]/Tabla_master_rend[[#This Row],[Kg_SalidaSecadero]]</f>
        <v>-1.6291301416048617E-2</v>
      </c>
      <c r="BV171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71" s="65">
        <f>+(Tabla_master_rend[[#This Row],[Coste_Leche_€]]-Tabla_master_rend[[#This Row],[Kg_MG_Nata]]*$CO$3)/Tabla_master_rend[[#This Row],[Kg_Queso_Blan]]</f>
        <v>-0.98275754349164079</v>
      </c>
      <c r="BX171" s="8">
        <f>SUM(Tabla_master_rend[[#This Row],[Kg_Finos]:[Kg_Desmoldeo]])+Tabla_master_rend[[#This Row],[L_Agua]]+SUM(Tabla_master_rend[[#This Row],[B_altas]:[B_lab]])</f>
        <v>817.13</v>
      </c>
      <c r="BY171" s="8">
        <f>+BX171-Tabla_master_rend[[#This Row],[Merma_TOT]]</f>
        <v>225.14</v>
      </c>
      <c r="BZ171" s="62">
        <f t="shared" si="52"/>
        <v>0.27552531420948928</v>
      </c>
      <c r="CA171" s="8">
        <f>+Tabla_master_rend[[#This Row],[Kg_Queso_Blan]]*$CA$1</f>
        <v>146.69284500000001</v>
      </c>
      <c r="CB171" s="8">
        <f>+Tabla_master_rend[[#This Row],[Kg_Queso_Blan]]*($CB$1-$CA$1)</f>
        <v>78.988455000000016</v>
      </c>
      <c r="CC171" s="8">
        <f>+(Tabla_master_rend[[#This Row],[Kg_Queso_Blan]]-CA171-CB171)*$CC$1</f>
        <v>234.59571135000002</v>
      </c>
      <c r="CD171" s="8">
        <f t="shared" si="53"/>
        <v>460.27701135000007</v>
      </c>
      <c r="CE171" s="80">
        <f>+CD171/Tabla_master_rend[[#This Row],[Kg_Queso_Blan]]</f>
        <v>2.0395000000000003E-2</v>
      </c>
      <c r="CF171" s="62">
        <f>+Tabla_master_rend[[#This Row],[Merma_TOT]]/Tabla_master_rend[[#This Row],[Kg_Queso_Blan]]</f>
        <v>2.6231238476559643E-2</v>
      </c>
      <c r="CG171" s="8">
        <f>CD171-Tabla_master_rend[[#This Row],[Merma_TOT]]</f>
        <v>-131.71298864999994</v>
      </c>
      <c r="CH171" s="81" cm="1">
        <f t="array" ref="CH171">-BR171 * IFERROR(INDEX('Precio Leche_EBITDA_Ventas'!$BD$87:$BD$110,MATCH(1,('Precio Leche_EBITDA_Ventas'!$AZ$87:$AZ$110=YEAR(A171))*('Precio Leche_EBITDA_Ventas'!$BB$87:$BB$110=C171),0)),1.3)</f>
        <v>-2190.3630000000003</v>
      </c>
      <c r="CI171" s="81">
        <f t="shared" si="54"/>
        <v>-171.22688524499992</v>
      </c>
    </row>
    <row r="172" spans="1:87" x14ac:dyDescent="0.35">
      <c r="A172" s="9">
        <v>46050</v>
      </c>
      <c r="B172" s="7">
        <v>1</v>
      </c>
      <c r="C172" s="7" t="str">
        <f>+UPPER(TEXT(Tabla_master_rend[[#This Row],[Fecha]],"MMM"))</f>
        <v>ENE</v>
      </c>
      <c r="D172" s="7" t="str">
        <f>+UPPER(TEXT(Tabla_master_rend[[#This Row],[Fecha]],"ddd"))</f>
        <v>MI</v>
      </c>
      <c r="E172" s="56" t="s">
        <v>523</v>
      </c>
      <c r="F172" s="3" t="s">
        <v>244</v>
      </c>
      <c r="G172" s="84" t="s">
        <v>300</v>
      </c>
      <c r="H172">
        <v>10</v>
      </c>
      <c r="I172" s="8">
        <f>+Tabla_master_rend[[#This Row],[L_Leche_ent]]+Tabla_master_rend[[#This Row],[L_desn_ext]]+Tabla_master_rend[[#This Row],[L_cabra]]+Tabla_master_rend[[#This Row],[L_oveja]]</f>
        <v>117473</v>
      </c>
      <c r="J172" s="8">
        <v>117473</v>
      </c>
      <c r="K172" s="66">
        <v>4.07E-2</v>
      </c>
      <c r="L172" s="66">
        <v>3.4500000000000003E-2</v>
      </c>
      <c r="M172" s="5">
        <f t="shared" si="49"/>
        <v>0.11138100000000001</v>
      </c>
      <c r="N172" s="3" t="s">
        <v>43</v>
      </c>
      <c r="O172" s="8">
        <v>0</v>
      </c>
      <c r="P172" s="8">
        <v>0</v>
      </c>
      <c r="Q172" s="8">
        <v>0</v>
      </c>
      <c r="R172" s="8">
        <v>2962</v>
      </c>
      <c r="S172" s="8">
        <v>228</v>
      </c>
      <c r="T172" s="8">
        <v>138690</v>
      </c>
      <c r="U172" s="38">
        <f>+Tabla_master_rend[[#This Row],[L_suero Total]]/Tabla_master_rend[[#This Row],[Litros_Leche_Total]]</f>
        <v>1.1806117150323905</v>
      </c>
      <c r="V172" s="66">
        <v>0</v>
      </c>
      <c r="W172" s="66">
        <v>8.0999999999999996E-3</v>
      </c>
      <c r="X172" s="8">
        <v>136656</v>
      </c>
      <c r="Y172" s="57">
        <v>39117</v>
      </c>
      <c r="Z172" s="58">
        <f>IF(Tabla_master_rend[[#This Row],[L_suero para con]]=0,0,+Tabla_master_rend[[#This Row],[L_suero para con]]/Tabla_master_rend[[#This Row],[L_suero_con]])</f>
        <v>3.4935194416749749</v>
      </c>
      <c r="AA172" s="8">
        <f>+Tabla_master_rend[[#This Row],[L_suero Total]]-Tabla_master_rend[[#This Row],[L_suero para con]]</f>
        <v>2034</v>
      </c>
      <c r="AD172" s="8">
        <v>0</v>
      </c>
      <c r="AE172" s="8">
        <v>0</v>
      </c>
      <c r="AF172" s="8">
        <v>0</v>
      </c>
      <c r="AG172" s="66">
        <v>0</v>
      </c>
      <c r="AH172" s="66">
        <v>0</v>
      </c>
      <c r="AI172" s="7">
        <f>+Tabla_master_rend[[#This Row],[Kg_Finos]]+Tabla_master_rend[[#This Row],[Kg_Llenadora]]+Tabla_master_rend[[#This Row],[Kg_Desmoldeo]]+Tabla_master_rend[[#This Row],[L_Agua]]+Tabla_master_rend[[#This Row],[Kg_SalidaSecadero]]</f>
        <v>15823.62</v>
      </c>
      <c r="AJ172" s="59">
        <f>+Tabla_master_rend[[#This Row],[Litros_Leche_Total]]/Tabla_master_rend[[#This Row],[Kg_Queso_Blan]]</f>
        <v>7.4239017367707261</v>
      </c>
      <c r="AK172" s="59">
        <f>+Tabla_master_rend[[#This Row],[Litros_Leche_Total]]/(Tabla_master_rend[[#This Row],[Kg_Queso_Blan]]-Tabla_master_rend[[#This Row],[Merma_TOT]])</f>
        <v>7.5421171576054853</v>
      </c>
      <c r="AL172" s="59">
        <f>VLOOKUP(G172,REND_TARGET[#All],8,FALSE)</f>
        <v>7.7024999999999997</v>
      </c>
      <c r="AM172" s="7">
        <f>(I172*1.03*Tabla_master_rend[[#This Row],[%MG_Leche]])+(I172*1.03*Tabla_master_rend[[#This Row],[%MP_Leche]])</f>
        <v>9098.9886880000013</v>
      </c>
      <c r="AN172" s="137">
        <v>0.23119999999999999</v>
      </c>
      <c r="AO172" s="137">
        <v>0.25659999999999999</v>
      </c>
      <c r="AP172" s="64">
        <v>0.53879999999999995</v>
      </c>
      <c r="AQ172" s="38">
        <f>+Tabla_master_rend[[#This Row],[Kg_Queso_Blan]]*Tabla_master_rend[[#This Row],[ES_QUESO]]/(Tabla_master_rend[[#This Row],[Kg_Solidos_leche]])</f>
        <v>0.93700154471496555</v>
      </c>
      <c r="AR172" s="7">
        <f t="shared" si="50"/>
        <v>1184.8</v>
      </c>
      <c r="AS172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0.98347786086716227</v>
      </c>
      <c r="AT172" s="62">
        <f>+Tabla_master_rend[[#This Row],[Kg_Queso_Blan]]*Tabla_master_rend[[#This Row],[%PT_QUESO]]/(Tabla_master_rend[[#This Row],[Litros_Leche_Total]]*1.03*Tabla_master_rend[[#This Row],[%MP_Leche]])</f>
        <v>0.97267581460219099</v>
      </c>
      <c r="AU172" s="63">
        <f t="shared" si="51"/>
        <v>8886</v>
      </c>
      <c r="AV172" s="7">
        <v>19.02</v>
      </c>
      <c r="AW172" s="7">
        <v>28.3</v>
      </c>
      <c r="AX172" s="7">
        <v>10.3</v>
      </c>
      <c r="AY172" s="8">
        <f>SUM(Tabla_master_rend[[#This Row],[Kg_Finos]:[Kg_Desmoldeo]])</f>
        <v>57.620000000000005</v>
      </c>
      <c r="AZ172" s="60">
        <f>+(Tabla_master_rend[[#This Row],[Kg_Finos]]+Tabla_master_rend[[#This Row],[Kg_Llenadora]]+Tabla_master_rend[[#This Row],[Kg_Desmoldeo]])/(Tabla_master_rend[[#This Row],[Kg_Queso_Blan]])</f>
        <v>3.6413917927756102E-3</v>
      </c>
      <c r="BA172" s="7">
        <v>40</v>
      </c>
      <c r="BB172" s="60">
        <f>+Tabla_master_rend[[#This Row],[L_Agua]]/(Tabla_master_rend[[#This Row],[L_Agua]]+Tabla_master_rend[[#This Row],[Kg_SalidaSecadero]])</f>
        <v>2.5371051630090069E-3</v>
      </c>
      <c r="BC172" s="8">
        <v>2139</v>
      </c>
      <c r="BD172" s="8">
        <v>2104</v>
      </c>
      <c r="BE172" s="8">
        <v>15538</v>
      </c>
      <c r="BF172" s="8">
        <v>152</v>
      </c>
      <c r="BG172" s="8">
        <v>58</v>
      </c>
      <c r="BH172" s="8">
        <v>0</v>
      </c>
      <c r="BI172" s="8">
        <v>107</v>
      </c>
      <c r="BJ172" s="8">
        <v>63</v>
      </c>
      <c r="BK172" s="8">
        <v>15726</v>
      </c>
      <c r="BL172" s="8">
        <v>0</v>
      </c>
      <c r="BM172" s="8">
        <v>137.26</v>
      </c>
      <c r="BN172" s="8">
        <v>13.14</v>
      </c>
      <c r="BO172" s="68">
        <f>+SUM(Tabla_master_rend[[#This Row],[B_altas]:[B_lab]])/Tabla_master_rend[[#This Row],[Kg_SalidaSecadero]]</f>
        <v>2.4163805163423629E-2</v>
      </c>
      <c r="BP172" s="68">
        <f>+(Tabla_master_rend[[#This Row],[Kg_mer_env_real]]+Tabla_master_rend[[#This Row],[kg_mer_lab_real]])/Tabla_master_rend[[#This Row],[Kg_SalidaSecadero]]</f>
        <v>9.5637797278392452E-3</v>
      </c>
      <c r="BQ172" s="64">
        <f>+Tabla_master_rend[[#This Row],[Merma_TOT]]/Tabla_master_rend[[#This Row],[Kg_Queso_Blan]]</f>
        <v>1.5674036661648853E-2</v>
      </c>
      <c r="BR172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248.02</v>
      </c>
      <c r="BS172" s="138">
        <v>15611.07</v>
      </c>
      <c r="BT172" s="63">
        <f>IF(+Tabla_master_rend[[#This Row],[Kg_Env_Total]]=0,0,Tabla_master_rend[[#This Row],[Kg_Env_Total]]-Tabla_master_rend[[#This Row],[Kg_SalidaSecadero]])</f>
        <v>-114.93000000000029</v>
      </c>
      <c r="BU172" s="60">
        <f>+Tabla_master_rend[[#This Row],[Diferencia_Env_vs_Sec_kg]]/Tabla_master_rend[[#This Row],[Kg_SalidaSecadero]]</f>
        <v>-7.3082792827165385E-3</v>
      </c>
      <c r="BV172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72" s="65">
        <f>+(Tabla_master_rend[[#This Row],[Coste_Leche_€]]-Tabla_master_rend[[#This Row],[Kg_MG_Nata]]*$CO$3)/Tabla_master_rend[[#This Row],[Kg_Queso_Blan]]</f>
        <v>-0.56156555832356947</v>
      </c>
      <c r="BX172" s="8">
        <f>SUM(Tabla_master_rend[[#This Row],[Kg_Finos]:[Kg_Desmoldeo]])+Tabla_master_rend[[#This Row],[L_Agua]]+SUM(Tabla_master_rend[[#This Row],[B_altas]:[B_lab]])</f>
        <v>477.62</v>
      </c>
      <c r="BY172" s="8">
        <f>+BX172-Tabla_master_rend[[#This Row],[Merma_TOT]]</f>
        <v>229.6</v>
      </c>
      <c r="BZ172" s="62">
        <f t="shared" si="52"/>
        <v>0.48071688790251665</v>
      </c>
      <c r="CA172" s="8">
        <f>+Tabla_master_rend[[#This Row],[Kg_Queso_Blan]]*$CA$1</f>
        <v>102.85353000000001</v>
      </c>
      <c r="CB172" s="8">
        <f>+Tabla_master_rend[[#This Row],[Kg_Queso_Blan]]*($CB$1-$CA$1)</f>
        <v>55.382670000000012</v>
      </c>
      <c r="CC172" s="8">
        <f>+(Tabla_master_rend[[#This Row],[Kg_Queso_Blan]]-CA172-CB172)*$CC$1</f>
        <v>164.48652989999999</v>
      </c>
      <c r="CD172" s="8">
        <f t="shared" si="53"/>
        <v>322.72272989999999</v>
      </c>
      <c r="CE172" s="80">
        <f>+CD172/Tabla_master_rend[[#This Row],[Kg_Queso_Blan]]</f>
        <v>2.0395E-2</v>
      </c>
      <c r="CF172" s="62">
        <f>+Tabla_master_rend[[#This Row],[Merma_TOT]]/Tabla_master_rend[[#This Row],[Kg_Queso_Blan]]</f>
        <v>1.5674036661648853E-2</v>
      </c>
      <c r="CG172" s="8">
        <f>CD172-Tabla_master_rend[[#This Row],[Merma_TOT]]</f>
        <v>74.70272989999998</v>
      </c>
      <c r="CH172" s="81" cm="1">
        <f t="array" ref="CH172">-BR172 * IFERROR(INDEX('Precio Leche_EBITDA_Ventas'!$BD$87:$BD$110,MATCH(1,('Precio Leche_EBITDA_Ventas'!$AZ$87:$AZ$110=YEAR(A172))*('Precio Leche_EBITDA_Ventas'!$BB$87:$BB$110=C172),0)),1.3)</f>
        <v>-917.67400000000009</v>
      </c>
      <c r="CI172" s="81">
        <f t="shared" si="54"/>
        <v>97.113548869999974</v>
      </c>
    </row>
    <row r="173" spans="1:87" x14ac:dyDescent="0.35">
      <c r="A173" s="9">
        <v>46051</v>
      </c>
      <c r="B173" s="7">
        <v>1</v>
      </c>
      <c r="C173" s="7" t="str">
        <f>+UPPER(TEXT(Tabla_master_rend[[#This Row],[Fecha]],"MMM"))</f>
        <v>ENE</v>
      </c>
      <c r="D173" s="7" t="str">
        <f>+UPPER(TEXT(Tabla_master_rend[[#This Row],[Fecha]],"ddd"))</f>
        <v>JU</v>
      </c>
      <c r="E173" s="56" t="s">
        <v>524</v>
      </c>
      <c r="F173" s="3" t="s">
        <v>244</v>
      </c>
      <c r="G173" t="s">
        <v>301</v>
      </c>
      <c r="H173">
        <v>14</v>
      </c>
      <c r="I173" s="8">
        <f>+Tabla_master_rend[[#This Row],[L_Leche_ent]]+Tabla_master_rend[[#This Row],[L_desn_ext]]+Tabla_master_rend[[#This Row],[L_cabra]]+Tabla_master_rend[[#This Row],[L_oveja]]</f>
        <v>209860</v>
      </c>
      <c r="J173" s="8">
        <v>209860</v>
      </c>
      <c r="K173" s="66">
        <v>3.9199999999999999E-2</v>
      </c>
      <c r="L173" s="66">
        <v>3.4799999999999998E-2</v>
      </c>
      <c r="M173" s="5">
        <f t="shared" si="49"/>
        <v>0.110208</v>
      </c>
      <c r="N173" s="3" t="s">
        <v>188</v>
      </c>
      <c r="O173" s="8">
        <v>0</v>
      </c>
      <c r="P173" s="8">
        <v>0</v>
      </c>
      <c r="Q173" s="8">
        <v>0</v>
      </c>
      <c r="R173" s="8">
        <v>2737</v>
      </c>
      <c r="S173" s="8">
        <v>364</v>
      </c>
      <c r="T173" s="8">
        <v>194690</v>
      </c>
      <c r="U173" s="38">
        <f>+Tabla_master_rend[[#This Row],[L_suero Total]]/Tabla_master_rend[[#This Row],[Litros_Leche_Total]]</f>
        <v>0.92771371390450774</v>
      </c>
      <c r="V173" s="66">
        <v>0</v>
      </c>
      <c r="W173" s="66">
        <v>8.3999999999999995E-3</v>
      </c>
      <c r="X173" s="8">
        <v>193969</v>
      </c>
      <c r="Y173" s="57">
        <v>57928</v>
      </c>
      <c r="Z173" s="58">
        <f>IF(Tabla_master_rend[[#This Row],[L_suero para con]]=0,0,+Tabla_master_rend[[#This Row],[L_suero para con]]/Tabla_master_rend[[#This Row],[L_suero_con]])</f>
        <v>3.3484497997514158</v>
      </c>
      <c r="AA173" s="8">
        <f>+Tabla_master_rend[[#This Row],[L_suero Total]]-Tabla_master_rend[[#This Row],[L_suero para con]]</f>
        <v>721</v>
      </c>
      <c r="AD173" s="8">
        <v>0</v>
      </c>
      <c r="AE173" s="8">
        <v>0</v>
      </c>
      <c r="AF173" s="8">
        <v>0</v>
      </c>
      <c r="AG173" s="66">
        <v>0</v>
      </c>
      <c r="AH173" s="66">
        <v>0</v>
      </c>
      <c r="AI173" s="7">
        <f>+Tabla_master_rend[[#This Row],[Kg_Finos]]+Tabla_master_rend[[#This Row],[Kg_Llenadora]]+Tabla_master_rend[[#This Row],[Kg_Desmoldeo]]+Tabla_master_rend[[#This Row],[L_Agua]]+Tabla_master_rend[[#This Row],[Kg_SalidaSecadero]]</f>
        <v>24822.61</v>
      </c>
      <c r="AJ173" s="59">
        <f>+Tabla_master_rend[[#This Row],[Litros_Leche_Total]]/Tabla_master_rend[[#This Row],[Kg_Queso_Blan]]</f>
        <v>8.4543889623210458</v>
      </c>
      <c r="AK173" s="59">
        <f>+Tabla_master_rend[[#This Row],[Litros_Leche_Total]]/(Tabla_master_rend[[#This Row],[Kg_Queso_Blan]]-Tabla_master_rend[[#This Row],[Merma_TOT]])</f>
        <v>8.5930753390694203</v>
      </c>
      <c r="AL173" s="59">
        <f>VLOOKUP(G173,REND_TARGET[#All],8,FALSE)</f>
        <v>9.3549429999999987</v>
      </c>
      <c r="AM173" s="7">
        <f>(I173*1.03*Tabla_master_rend[[#This Row],[%MG_Leche]])+(I173*1.03*Tabla_master_rend[[#This Row],[%MP_Leche]])</f>
        <v>15995.529200000001</v>
      </c>
      <c r="AN173" s="137">
        <v>0.28649999999999998</v>
      </c>
      <c r="AO173" s="137">
        <v>0.23499999999999999</v>
      </c>
      <c r="AP173" s="64">
        <v>0.57050000000000001</v>
      </c>
      <c r="AQ173" s="38">
        <f>+Tabla_master_rend[[#This Row],[Kg_Queso_Blan]]*Tabla_master_rend[[#This Row],[ES_QUESO]]/(Tabla_master_rend[[#This Row],[Kg_Solidos_leche]])</f>
        <v>0.88532857074838134</v>
      </c>
      <c r="AR173" s="7">
        <f t="shared" si="50"/>
        <v>1094.8</v>
      </c>
      <c r="AS173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0.96850939265349612</v>
      </c>
      <c r="AT173" s="62">
        <f>+Tabla_master_rend[[#This Row],[Kg_Queso_Blan]]*Tabla_master_rend[[#This Row],[%PT_QUESO]]/(Tabla_master_rend[[#This Row],[Litros_Leche_Total]]*1.03*Tabla_master_rend[[#This Row],[%MP_Leche]])</f>
        <v>0.77547744191495416</v>
      </c>
      <c r="AU173" s="63">
        <f t="shared" si="51"/>
        <v>8211</v>
      </c>
      <c r="AV173" s="7">
        <v>31.61</v>
      </c>
      <c r="AW173" s="7">
        <v>32.299999999999997</v>
      </c>
      <c r="AX173" s="7">
        <v>11.7</v>
      </c>
      <c r="AY173" s="8">
        <f>SUM(Tabla_master_rend[[#This Row],[Kg_Finos]:[Kg_Desmoldeo]])</f>
        <v>75.61</v>
      </c>
      <c r="AZ173" s="60">
        <f>+(Tabla_master_rend[[#This Row],[Kg_Finos]]+Tabla_master_rend[[#This Row],[Kg_Llenadora]]+Tabla_master_rend[[#This Row],[Kg_Desmoldeo]])/(Tabla_master_rend[[#This Row],[Kg_Queso_Blan]])</f>
        <v>3.0460132919141055E-3</v>
      </c>
      <c r="BA173" s="7">
        <v>210</v>
      </c>
      <c r="BB173" s="60">
        <f>+Tabla_master_rend[[#This Row],[L_Agua]]/(Tabla_master_rend[[#This Row],[L_Agua]]+Tabla_master_rend[[#This Row],[Kg_SalidaSecadero]])</f>
        <v>8.4858770760092139E-3</v>
      </c>
      <c r="BC173" s="8">
        <v>3351</v>
      </c>
      <c r="BD173" s="8">
        <v>3326</v>
      </c>
      <c r="BE173" s="8">
        <v>24588</v>
      </c>
      <c r="BF173" s="8">
        <v>392</v>
      </c>
      <c r="BG173" s="8">
        <v>43</v>
      </c>
      <c r="BH173" s="8">
        <v>0</v>
      </c>
      <c r="BI173" s="8">
        <v>32</v>
      </c>
      <c r="BJ173" s="8">
        <v>84</v>
      </c>
      <c r="BK173" s="8">
        <v>24537</v>
      </c>
      <c r="BL173" s="8">
        <v>0</v>
      </c>
      <c r="BM173" s="8">
        <v>97.69</v>
      </c>
      <c r="BN173" s="8">
        <v>17.32</v>
      </c>
      <c r="BO173" s="68">
        <f>+SUM(Tabla_master_rend[[#This Row],[B_altas]:[B_lab]])/Tabla_master_rend[[#This Row],[Kg_SalidaSecadero]]</f>
        <v>2.2455882952276154E-2</v>
      </c>
      <c r="BP173" s="68">
        <f>+(Tabla_master_rend[[#This Row],[Kg_mer_env_real]]+Tabla_master_rend[[#This Row],[kg_mer_lab_real]])/Tabla_master_rend[[#This Row],[Kg_SalidaSecadero]]</f>
        <v>4.6872070750295465E-3</v>
      </c>
      <c r="BQ173" s="64">
        <f>+Tabla_master_rend[[#This Row],[Merma_TOT]]/Tabla_master_rend[[#This Row],[Kg_Queso_Blan]]</f>
        <v>1.613931814583559E-2</v>
      </c>
      <c r="BR173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400.62</v>
      </c>
      <c r="BS173" s="138">
        <v>24357.299999999996</v>
      </c>
      <c r="BT173" s="63">
        <f>IF(+Tabla_master_rend[[#This Row],[Kg_Env_Total]]=0,0,Tabla_master_rend[[#This Row],[Kg_Env_Total]]-Tabla_master_rend[[#This Row],[Kg_SalidaSecadero]])</f>
        <v>-179.70000000000437</v>
      </c>
      <c r="BU173" s="60">
        <f>+Tabla_master_rend[[#This Row],[Diferencia_Env_vs_Sec_kg]]/Tabla_master_rend[[#This Row],[Kg_SalidaSecadero]]</f>
        <v>-7.3236336960510401E-3</v>
      </c>
      <c r="BV173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73" s="65">
        <f>+(Tabla_master_rend[[#This Row],[Coste_Leche_€]]-Tabla_master_rend[[#This Row],[Kg_MG_Nata]]*$CO$3)/Tabla_master_rend[[#This Row],[Kg_Queso_Blan]]</f>
        <v>-0.33078713318220765</v>
      </c>
      <c r="BX173" s="8">
        <f>SUM(Tabla_master_rend[[#This Row],[Kg_Finos]:[Kg_Desmoldeo]])+Tabla_master_rend[[#This Row],[L_Agua]]+SUM(Tabla_master_rend[[#This Row],[B_altas]:[B_lab]])</f>
        <v>836.61</v>
      </c>
      <c r="BY173" s="8">
        <f>+BX173-Tabla_master_rend[[#This Row],[Merma_TOT]]</f>
        <v>435.99</v>
      </c>
      <c r="BZ173" s="62">
        <f t="shared" si="52"/>
        <v>0.52113888191630509</v>
      </c>
      <c r="CA173" s="8">
        <f>+Tabla_master_rend[[#This Row],[Kg_Queso_Blan]]*$CA$1</f>
        <v>161.34696499999998</v>
      </c>
      <c r="CB173" s="8">
        <f>+Tabla_master_rend[[#This Row],[Kg_Queso_Blan]]*($CB$1-$CA$1)</f>
        <v>86.879135000000019</v>
      </c>
      <c r="CC173" s="8">
        <f>+(Tabla_master_rend[[#This Row],[Kg_Queso_Blan]]-CA173-CB173)*$CC$1</f>
        <v>258.03103095</v>
      </c>
      <c r="CD173" s="8">
        <f t="shared" si="53"/>
        <v>506.25713095000003</v>
      </c>
      <c r="CE173" s="80">
        <f>+CD173/Tabla_master_rend[[#This Row],[Kg_Queso_Blan]]</f>
        <v>2.0395E-2</v>
      </c>
      <c r="CF173" s="62">
        <f>+Tabla_master_rend[[#This Row],[Merma_TOT]]/Tabla_master_rend[[#This Row],[Kg_Queso_Blan]]</f>
        <v>1.613931814583559E-2</v>
      </c>
      <c r="CG173" s="8">
        <f>CD173-Tabla_master_rend[[#This Row],[Merma_TOT]]</f>
        <v>105.63713095000003</v>
      </c>
      <c r="CH173" s="81" cm="1">
        <f t="array" ref="CH173">-BR173 * IFERROR(INDEX('Precio Leche_EBITDA_Ventas'!$BD$87:$BD$110,MATCH(1,('Precio Leche_EBITDA_Ventas'!$AZ$87:$AZ$110=YEAR(A173))*('Precio Leche_EBITDA_Ventas'!$BB$87:$BB$110=C173),0)),1.3)</f>
        <v>-1482.2940000000001</v>
      </c>
      <c r="CI173" s="81">
        <f t="shared" si="54"/>
        <v>137.32827023500005</v>
      </c>
    </row>
    <row r="174" spans="1:87" x14ac:dyDescent="0.35">
      <c r="A174" s="9">
        <v>46057</v>
      </c>
      <c r="B174" s="7">
        <v>2</v>
      </c>
      <c r="C174" s="7" t="str">
        <f>+UPPER(TEXT(Tabla_master_rend[[#This Row],[Fecha]],"MMM"))</f>
        <v>FEB</v>
      </c>
      <c r="D174" s="7" t="str">
        <f>+UPPER(TEXT(Tabla_master_rend[[#This Row],[Fecha]],"ddd"))</f>
        <v>MI</v>
      </c>
      <c r="E174" s="56" t="s">
        <v>525</v>
      </c>
      <c r="F174" s="3" t="s">
        <v>244</v>
      </c>
      <c r="G174" t="s">
        <v>299</v>
      </c>
      <c r="H174">
        <v>14</v>
      </c>
      <c r="I174" s="8">
        <f>+Tabla_master_rend[[#This Row],[L_Leche_ent]]+Tabla_master_rend[[#This Row],[L_desn_ext]]+Tabla_master_rend[[#This Row],[L_cabra]]+Tabla_master_rend[[#This Row],[L_oveja]]</f>
        <v>211612</v>
      </c>
      <c r="J174" s="8">
        <v>211612</v>
      </c>
      <c r="K174" s="66">
        <v>4.02E-2</v>
      </c>
      <c r="L174" s="66">
        <v>3.4299999999999997E-2</v>
      </c>
      <c r="M174" s="5">
        <f t="shared" si="49"/>
        <v>0.11076800000000001</v>
      </c>
      <c r="N174" s="3" t="s">
        <v>43</v>
      </c>
      <c r="O174" s="8">
        <v>0</v>
      </c>
      <c r="P174" s="8">
        <v>0</v>
      </c>
      <c r="Q174" s="8">
        <v>0</v>
      </c>
      <c r="R174" s="8">
        <v>8141</v>
      </c>
      <c r="S174" s="8">
        <v>264</v>
      </c>
      <c r="T174" s="8">
        <v>195100</v>
      </c>
      <c r="U174" s="38">
        <f>+Tabla_master_rend[[#This Row],[L_suero Total]]/Tabla_master_rend[[#This Row],[Litros_Leche_Total]]</f>
        <v>0.92197039865414054</v>
      </c>
      <c r="V174" s="66">
        <v>0</v>
      </c>
      <c r="W174" s="66">
        <v>8.0999999999999996E-3</v>
      </c>
      <c r="X174" s="8">
        <v>190889</v>
      </c>
      <c r="Y174" s="57">
        <v>55812</v>
      </c>
      <c r="Z174" s="58">
        <f>IF(Tabla_master_rend[[#This Row],[L_suero para con]]=0,0,+Tabla_master_rend[[#This Row],[L_suero para con]]/Tabla_master_rend[[#This Row],[L_suero_con]])</f>
        <v>3.4202142908335125</v>
      </c>
      <c r="AA174" s="8">
        <f>+Tabla_master_rend[[#This Row],[L_suero Total]]-Tabla_master_rend[[#This Row],[L_suero para con]]</f>
        <v>4211</v>
      </c>
      <c r="AD174" s="8">
        <v>0</v>
      </c>
      <c r="AE174" s="8">
        <v>0</v>
      </c>
      <c r="AF174" s="8">
        <v>0</v>
      </c>
      <c r="AG174" s="66">
        <v>0</v>
      </c>
      <c r="AH174" s="66">
        <v>0</v>
      </c>
      <c r="AI174" s="7">
        <f>+Tabla_master_rend[[#This Row],[Kg_Finos]]+Tabla_master_rend[[#This Row],[Kg_Llenadora]]+Tabla_master_rend[[#This Row],[Kg_Desmoldeo]]+Tabla_master_rend[[#This Row],[L_Agua]]+Tabla_master_rend[[#This Row],[Kg_SalidaSecadero]]</f>
        <v>23208.28</v>
      </c>
      <c r="AJ174" s="59">
        <f>+Tabla_master_rend[[#This Row],[Litros_Leche_Total]]/Tabla_master_rend[[#This Row],[Kg_Queso_Blan]]</f>
        <v>9.117952730663367</v>
      </c>
      <c r="AK174" s="59">
        <f>+Tabla_master_rend[[#This Row],[Litros_Leche_Total]]/(Tabla_master_rend[[#This Row],[Kg_Queso_Blan]]-Tabla_master_rend[[#This Row],[Merma_TOT]])</f>
        <v>9.3135805077286022</v>
      </c>
      <c r="AL174" s="59">
        <f>VLOOKUP(G174,REND_TARGET[#All],8,FALSE)</f>
        <v>9.8078500000000002</v>
      </c>
      <c r="AM174" s="7">
        <f>(I174*1.03*Tabla_master_rend[[#This Row],[%MG_Leche]])+(I174*1.03*Tabla_master_rend[[#This Row],[%MP_Leche]])</f>
        <v>16238.04682</v>
      </c>
      <c r="AN174" s="137">
        <v>0.223</v>
      </c>
      <c r="AO174" s="137">
        <v>0.2442</v>
      </c>
      <c r="AP174" s="64">
        <v>0.52300000000000002</v>
      </c>
      <c r="AQ174" s="38">
        <f>+Tabla_master_rend[[#This Row],[Kg_Queso_Blan]]*Tabla_master_rend[[#This Row],[ES_QUESO]]/(Tabla_master_rend[[#This Row],[Kg_Solidos_leche]])</f>
        <v>0.74749941138548837</v>
      </c>
      <c r="AR174" s="7">
        <f t="shared" si="50"/>
        <v>3256.4</v>
      </c>
      <c r="AS174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0.96231912940773712</v>
      </c>
      <c r="AT174" s="62">
        <f>+Tabla_master_rend[[#This Row],[Kg_Queso_Blan]]*Tabla_master_rend[[#This Row],[%PT_QUESO]]/(Tabla_master_rend[[#This Row],[Litros_Leche_Total]]*1.03*Tabla_master_rend[[#This Row],[%MP_Leche]])</f>
        <v>0.75808338534665165</v>
      </c>
      <c r="AU174" s="63">
        <f t="shared" si="51"/>
        <v>24423</v>
      </c>
      <c r="AV174" s="7">
        <v>27.48</v>
      </c>
      <c r="AW174" s="7">
        <v>51.9</v>
      </c>
      <c r="AX174" s="7">
        <v>22.9</v>
      </c>
      <c r="AY174" s="8">
        <f>SUM(Tabla_master_rend[[#This Row],[Kg_Finos]:[Kg_Desmoldeo]])</f>
        <v>102.28</v>
      </c>
      <c r="AZ174" s="60">
        <f>+(Tabla_master_rend[[#This Row],[Kg_Finos]]+Tabla_master_rend[[#This Row],[Kg_Llenadora]]+Tabla_master_rend[[#This Row],[Kg_Desmoldeo]])/(Tabla_master_rend[[#This Row],[Kg_Queso_Blan]])</f>
        <v>4.4070478294815476E-3</v>
      </c>
      <c r="BA174" s="7">
        <v>180</v>
      </c>
      <c r="BB174" s="60">
        <f>+Tabla_master_rend[[#This Row],[L_Agua]]/(Tabla_master_rend[[#This Row],[L_Agua]]+Tabla_master_rend[[#This Row],[Kg_SalidaSecadero]])</f>
        <v>7.7901843676967024E-3</v>
      </c>
      <c r="BC174" s="8">
        <v>3134</v>
      </c>
      <c r="BD174" s="8">
        <v>3093</v>
      </c>
      <c r="BE174" s="8">
        <v>22839</v>
      </c>
      <c r="BF174" s="8">
        <v>32</v>
      </c>
      <c r="BG174" s="8">
        <v>26</v>
      </c>
      <c r="BH174" s="8">
        <v>21</v>
      </c>
      <c r="BI174" s="8">
        <v>142</v>
      </c>
      <c r="BJ174" s="8">
        <v>78</v>
      </c>
      <c r="BK174" s="8">
        <v>22926</v>
      </c>
      <c r="BL174" s="8">
        <v>0</v>
      </c>
      <c r="BM174" s="8">
        <v>179.4</v>
      </c>
      <c r="BN174" s="8">
        <v>25.8</v>
      </c>
      <c r="BO174" s="68">
        <f>+SUM(Tabla_master_rend[[#This Row],[B_altas]:[B_lab]])/Tabla_master_rend[[#This Row],[Kg_SalidaSecadero]]</f>
        <v>1.3041961092209719E-2</v>
      </c>
      <c r="BP174" s="68">
        <f>+(Tabla_master_rend[[#This Row],[Kg_mer_env_real]]+Tabla_master_rend[[#This Row],[kg_mer_lab_real]])/Tabla_master_rend[[#This Row],[Kg_SalidaSecadero]]</f>
        <v>8.9505365087673393E-3</v>
      </c>
      <c r="BQ174" s="64">
        <f>+Tabla_master_rend[[#This Row],[Merma_TOT]]/Tabla_master_rend[[#This Row],[Kg_Queso_Blan]]</f>
        <v>2.1004572506019406E-2</v>
      </c>
      <c r="BR174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487.48</v>
      </c>
      <c r="BS174" s="138">
        <v>22818.030000000002</v>
      </c>
      <c r="BT174" s="63">
        <f>IF(+Tabla_master_rend[[#This Row],[Kg_Env_Total]]=0,0,Tabla_master_rend[[#This Row],[Kg_Env_Total]]-Tabla_master_rend[[#This Row],[Kg_SalidaSecadero]])</f>
        <v>-107.96999999999753</v>
      </c>
      <c r="BU174" s="60">
        <f>+Tabla_master_rend[[#This Row],[Diferencia_Env_vs_Sec_kg]]/Tabla_master_rend[[#This Row],[Kg_SalidaSecadero]]</f>
        <v>-4.7095001308556893E-3</v>
      </c>
      <c r="BV174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74" s="65">
        <f>+(Tabla_master_rend[[#This Row],[Coste_Leche_€]]-Tabla_master_rend[[#This Row],[Kg_MG_Nata]]*$CO$3)/Tabla_master_rend[[#This Row],[Kg_Queso_Blan]]</f>
        <v>-1.0523399407452858</v>
      </c>
      <c r="BX174" s="8">
        <f>SUM(Tabla_master_rend[[#This Row],[Kg_Finos]:[Kg_Desmoldeo]])+Tabla_master_rend[[#This Row],[L_Agua]]+SUM(Tabla_master_rend[[#This Row],[B_altas]:[B_lab]])</f>
        <v>581.28</v>
      </c>
      <c r="BY174" s="8">
        <f>+BX174-Tabla_master_rend[[#This Row],[Merma_TOT]]</f>
        <v>93.799999999999955</v>
      </c>
      <c r="BZ174" s="62">
        <f t="shared" si="52"/>
        <v>0.16136801541425813</v>
      </c>
      <c r="CA174" s="8">
        <f>+Tabla_master_rend[[#This Row],[Kg_Queso_Blan]]*$CA$1</f>
        <v>150.85381999999998</v>
      </c>
      <c r="CB174" s="8">
        <f>+Tabla_master_rend[[#This Row],[Kg_Queso_Blan]]*($CB$1-$CA$1)</f>
        <v>81.228980000000007</v>
      </c>
      <c r="CC174" s="8">
        <f>+(Tabla_master_rend[[#This Row],[Kg_Queso_Blan]]-CA174-CB174)*$CC$1</f>
        <v>241.25007060000002</v>
      </c>
      <c r="CD174" s="8">
        <f t="shared" si="53"/>
        <v>473.33287059999998</v>
      </c>
      <c r="CE174" s="80">
        <f>+CD174/Tabla_master_rend[[#This Row],[Kg_Queso_Blan]]</f>
        <v>2.0395E-2</v>
      </c>
      <c r="CF174" s="62">
        <f>+Tabla_master_rend[[#This Row],[Merma_TOT]]/Tabla_master_rend[[#This Row],[Kg_Queso_Blan]]</f>
        <v>2.1004572506019406E-2</v>
      </c>
      <c r="CG174" s="8">
        <f>CD174-Tabla_master_rend[[#This Row],[Merma_TOT]]</f>
        <v>-14.14712940000004</v>
      </c>
      <c r="CH174" s="81" cm="1">
        <f t="array" ref="CH174">-BR174 * IFERROR(INDEX('Precio Leche_EBITDA_Ventas'!$BD$87:$BD$110,MATCH(1,('Precio Leche_EBITDA_Ventas'!$AZ$87:$AZ$110=YEAR(A174))*('Precio Leche_EBITDA_Ventas'!$BB$87:$BB$110=C174),0)),1.3)</f>
        <v>-989.58439999999996</v>
      </c>
      <c r="CI174" s="81">
        <f t="shared" si="54"/>
        <v>-18.391268220000054</v>
      </c>
    </row>
    <row r="175" spans="1:87" x14ac:dyDescent="0.35">
      <c r="A175" s="9">
        <v>46064</v>
      </c>
      <c r="B175" s="7">
        <v>2</v>
      </c>
      <c r="C175" s="7" t="str">
        <f>+UPPER(TEXT(Tabla_master_rend[[#This Row],[Fecha]],"MMM"))</f>
        <v>FEB</v>
      </c>
      <c r="D175" s="7" t="str">
        <f>+UPPER(TEXT(Tabla_master_rend[[#This Row],[Fecha]],"ddd"))</f>
        <v>MI</v>
      </c>
      <c r="E175" s="56" t="s">
        <v>526</v>
      </c>
      <c r="F175" s="3" t="s">
        <v>244</v>
      </c>
      <c r="G175" t="s">
        <v>301</v>
      </c>
      <c r="H175">
        <v>9</v>
      </c>
      <c r="I175" s="8">
        <f>+Tabla_master_rend[[#This Row],[L_Leche_ent]]+Tabla_master_rend[[#This Row],[L_desn_ext]]+Tabla_master_rend[[#This Row],[L_cabra]]+Tabla_master_rend[[#This Row],[L_oveja]]</f>
        <v>135066</v>
      </c>
      <c r="J175" s="8">
        <v>135066</v>
      </c>
      <c r="K175" s="66">
        <v>4.1799999999999997E-2</v>
      </c>
      <c r="L175" s="66">
        <v>3.39E-2</v>
      </c>
      <c r="M175" s="5">
        <f t="shared" si="49"/>
        <v>0.11196</v>
      </c>
      <c r="N175" s="3" t="s">
        <v>188</v>
      </c>
      <c r="O175" s="8">
        <v>0</v>
      </c>
      <c r="P175" s="8">
        <v>0</v>
      </c>
      <c r="Q175" s="8">
        <v>0</v>
      </c>
      <c r="R175" s="8">
        <v>2976</v>
      </c>
      <c r="S175" s="8">
        <v>0</v>
      </c>
      <c r="T175" s="8">
        <v>122510</v>
      </c>
      <c r="U175" s="38">
        <f>+Tabla_master_rend[[#This Row],[L_suero Total]]/Tabla_master_rend[[#This Row],[Litros_Leche_Total]]</f>
        <v>0.90703804066160243</v>
      </c>
      <c r="V175" s="66">
        <v>2E-3</v>
      </c>
      <c r="W175" s="66">
        <v>8.8000000000000005E-3</v>
      </c>
      <c r="X175" s="8">
        <v>0</v>
      </c>
      <c r="Y175" s="57">
        <v>0</v>
      </c>
      <c r="Z175" s="58">
        <f>IF(Tabla_master_rend[[#This Row],[L_suero para con]]=0,0,+Tabla_master_rend[[#This Row],[L_suero para con]]/Tabla_master_rend[[#This Row],[L_suero_con]])</f>
        <v>0</v>
      </c>
      <c r="AA175" s="8">
        <f>+Tabla_master_rend[[#This Row],[L_suero Total]]-Tabla_master_rend[[#This Row],[L_suero para con]]</f>
        <v>122510</v>
      </c>
      <c r="AD175" s="8">
        <v>12145</v>
      </c>
      <c r="AE175" s="8">
        <v>0</v>
      </c>
      <c r="AF175" s="8">
        <v>0</v>
      </c>
      <c r="AG175" s="140"/>
      <c r="AH175" s="140"/>
      <c r="AI175" s="7">
        <f>+Tabla_master_rend[[#This Row],[Kg_Finos]]+Tabla_master_rend[[#This Row],[Kg_Llenadora]]+Tabla_master_rend[[#This Row],[Kg_Desmoldeo]]+Tabla_master_rend[[#This Row],[L_Agua]]+Tabla_master_rend[[#This Row],[Kg_SalidaSecadero]]</f>
        <v>15180.79</v>
      </c>
      <c r="AJ175" s="59">
        <f>+Tabla_master_rend[[#This Row],[Litros_Leche_Total]]/Tabla_master_rend[[#This Row],[Kg_Queso_Blan]]</f>
        <v>8.8971654307845629</v>
      </c>
      <c r="AK175" s="59">
        <f>+Tabla_master_rend[[#This Row],[Litros_Leche_Total]]/(Tabla_master_rend[[#This Row],[Kg_Queso_Blan]]-Tabla_master_rend[[#This Row],[Merma_TOT]])</f>
        <v>9.0544530162739623</v>
      </c>
      <c r="AL175" s="59">
        <f>VLOOKUP(G175,REND_TARGET[#All],8,FALSE)</f>
        <v>9.3549429999999987</v>
      </c>
      <c r="AM175" s="7">
        <f>(I175*1.03*Tabla_master_rend[[#This Row],[%MG_Leche]])+(I175*1.03*Tabla_master_rend[[#This Row],[%MP_Leche]])</f>
        <v>10531.231086</v>
      </c>
      <c r="AN175" s="137">
        <v>0.29070000000000001</v>
      </c>
      <c r="AO175" s="137">
        <v>0.23580000000000001</v>
      </c>
      <c r="AP175" s="64">
        <v>0.57269999999999999</v>
      </c>
      <c r="AQ175" s="38">
        <f>+Tabla_master_rend[[#This Row],[Kg_Queso_Blan]]*Tabla_master_rend[[#This Row],[ES_QUESO]]/(Tabla_master_rend[[#This Row],[Kg_Solidos_leche]])</f>
        <v>0.82554815880525823</v>
      </c>
      <c r="AR175" s="7">
        <f t="shared" si="50"/>
        <v>1190.4000000000001</v>
      </c>
      <c r="AS175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0.96359911918237051</v>
      </c>
      <c r="AT175" s="62">
        <f>+Tabla_master_rend[[#This Row],[Kg_Queso_Blan]]*Tabla_master_rend[[#This Row],[%PT_QUESO]]/(Tabla_master_rend[[#This Row],[Litros_Leche_Total]]*1.03*Tabla_master_rend[[#This Row],[%MP_Leche]])</f>
        <v>0.75902348228689487</v>
      </c>
      <c r="AU175" s="63">
        <f t="shared" si="51"/>
        <v>8928</v>
      </c>
      <c r="AV175" s="7">
        <v>18.29</v>
      </c>
      <c r="AW175" s="7">
        <v>31.7</v>
      </c>
      <c r="AX175" s="7">
        <v>17.8</v>
      </c>
      <c r="AY175" s="8">
        <f>SUM(Tabla_master_rend[[#This Row],[Kg_Finos]:[Kg_Desmoldeo]])</f>
        <v>67.789999999999992</v>
      </c>
      <c r="AZ175" s="60">
        <f>+(Tabla_master_rend[[#This Row],[Kg_Finos]]+Tabla_master_rend[[#This Row],[Kg_Llenadora]]+Tabla_master_rend[[#This Row],[Kg_Desmoldeo]])/(Tabla_master_rend[[#This Row],[Kg_Queso_Blan]])</f>
        <v>4.4655120056334343E-3</v>
      </c>
      <c r="BA175" s="7">
        <v>100</v>
      </c>
      <c r="BB175" s="60">
        <f>+Tabla_master_rend[[#This Row],[L_Agua]]/(Tabla_master_rend[[#This Row],[L_Agua]]+Tabla_master_rend[[#This Row],[Kg_SalidaSecadero]])</f>
        <v>6.6168199563289886E-3</v>
      </c>
      <c r="BC175" s="8">
        <v>2028</v>
      </c>
      <c r="BD175" s="8">
        <v>2006</v>
      </c>
      <c r="BE175" s="8">
        <v>14971</v>
      </c>
      <c r="BF175" s="8">
        <v>364</v>
      </c>
      <c r="BG175" s="8">
        <v>70</v>
      </c>
      <c r="BH175" s="8">
        <v>7</v>
      </c>
      <c r="BI175" s="8">
        <v>14</v>
      </c>
      <c r="BJ175" s="8">
        <v>51</v>
      </c>
      <c r="BK175" s="8">
        <v>15013</v>
      </c>
      <c r="BL175" s="8">
        <v>0</v>
      </c>
      <c r="BM175" s="8">
        <v>87.55</v>
      </c>
      <c r="BN175" s="8">
        <v>8.3699999999999992</v>
      </c>
      <c r="BO175" s="68">
        <f>+SUM(Tabla_master_rend[[#This Row],[B_altas]:[B_lab]])/Tabla_master_rend[[#This Row],[Kg_SalidaSecadero]]</f>
        <v>3.3704123093319126E-2</v>
      </c>
      <c r="BP175" s="68">
        <f>+(Tabla_master_rend[[#This Row],[Kg_mer_env_real]]+Tabla_master_rend[[#This Row],[kg_mer_lab_real]])/Tabla_master_rend[[#This Row],[Kg_SalidaSecadero]]</f>
        <v>6.389129421168321E-3</v>
      </c>
      <c r="BQ175" s="64">
        <f>+Tabla_master_rend[[#This Row],[Merma_TOT]]/Tabla_master_rend[[#This Row],[Kg_Queso_Blan]]</f>
        <v>1.7371296223714312E-2</v>
      </c>
      <c r="BR175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263.71000000000004</v>
      </c>
      <c r="BS175" s="138">
        <v>15065.450000000003</v>
      </c>
      <c r="BT175" s="63">
        <f>IF(+Tabla_master_rend[[#This Row],[Kg_Env_Total]]=0,0,Tabla_master_rend[[#This Row],[Kg_Env_Total]]-Tabla_master_rend[[#This Row],[Kg_SalidaSecadero]])</f>
        <v>52.450000000002547</v>
      </c>
      <c r="BU175" s="60">
        <f>+Tabla_master_rend[[#This Row],[Diferencia_Env_vs_Sec_kg]]/Tabla_master_rend[[#This Row],[Kg_SalidaSecadero]]</f>
        <v>3.4936388463333475E-3</v>
      </c>
      <c r="BV175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75" s="65">
        <f>+(Tabla_master_rend[[#This Row],[Coste_Leche_€]]-Tabla_master_rend[[#This Row],[Kg_MG_Nata]]*$CO$3)/Tabla_master_rend[[#This Row],[Kg_Queso_Blan]]</f>
        <v>-0.58811168588722984</v>
      </c>
      <c r="BX175" s="8">
        <f>SUM(Tabla_master_rend[[#This Row],[Kg_Finos]:[Kg_Desmoldeo]])+Tabla_master_rend[[#This Row],[L_Agua]]+SUM(Tabla_master_rend[[#This Row],[B_altas]:[B_lab]])</f>
        <v>673.79</v>
      </c>
      <c r="BY175" s="8">
        <f>+BX175-Tabla_master_rend[[#This Row],[Merma_TOT]]</f>
        <v>410.07999999999993</v>
      </c>
      <c r="BZ175" s="62">
        <f t="shared" si="52"/>
        <v>0.60861692812300561</v>
      </c>
      <c r="CA175" s="8">
        <f>+Tabla_master_rend[[#This Row],[Kg_Queso_Blan]]*$CA$1</f>
        <v>98.675134999999997</v>
      </c>
      <c r="CB175" s="8">
        <f>+Tabla_master_rend[[#This Row],[Kg_Queso_Blan]]*($CB$1-$CA$1)</f>
        <v>53.132765000000013</v>
      </c>
      <c r="CC175" s="8">
        <f>+(Tabla_master_rend[[#This Row],[Kg_Queso_Blan]]-CA175-CB175)*$CC$1</f>
        <v>157.80431205000002</v>
      </c>
      <c r="CD175" s="8">
        <f t="shared" si="53"/>
        <v>309.61221205000004</v>
      </c>
      <c r="CE175" s="80">
        <f>+CD175/Tabla_master_rend[[#This Row],[Kg_Queso_Blan]]</f>
        <v>2.0395E-2</v>
      </c>
      <c r="CF175" s="62">
        <f>+Tabla_master_rend[[#This Row],[Merma_TOT]]/Tabla_master_rend[[#This Row],[Kg_Queso_Blan]]</f>
        <v>1.7371296223714312E-2</v>
      </c>
      <c r="CG175" s="8">
        <f>CD175-Tabla_master_rend[[#This Row],[Merma_TOT]]</f>
        <v>45.902212050000003</v>
      </c>
      <c r="CH175" s="81" cm="1">
        <f t="array" ref="CH175">-BR175 * IFERROR(INDEX('Precio Leche_EBITDA_Ventas'!$BD$87:$BD$110,MATCH(1,('Precio Leche_EBITDA_Ventas'!$AZ$87:$AZ$110=YEAR(A175))*('Precio Leche_EBITDA_Ventas'!$BB$87:$BB$110=C175),0)),1.3)</f>
        <v>-535.33130000000006</v>
      </c>
      <c r="CI175" s="81">
        <f t="shared" si="54"/>
        <v>59.672875665000007</v>
      </c>
    </row>
    <row r="176" spans="1:87" x14ac:dyDescent="0.35">
      <c r="A176" s="9">
        <v>46065</v>
      </c>
      <c r="B176" s="7">
        <v>2</v>
      </c>
      <c r="C176" s="7" t="str">
        <f>+UPPER(TEXT(Tabla_master_rend[[#This Row],[Fecha]],"MMM"))</f>
        <v>FEB</v>
      </c>
      <c r="D176" s="7" t="str">
        <f>+UPPER(TEXT(Tabla_master_rend[[#This Row],[Fecha]],"ddd"))</f>
        <v>JU</v>
      </c>
      <c r="E176" s="122">
        <v>120226126</v>
      </c>
      <c r="F176" s="3" t="s">
        <v>244</v>
      </c>
      <c r="G176" t="s">
        <v>301</v>
      </c>
      <c r="H176">
        <v>2</v>
      </c>
      <c r="I176" s="8">
        <f>+Tabla_master_rend[[#This Row],[L_Leche_ent]]+Tabla_master_rend[[#This Row],[L_desn_ext]]+Tabla_master_rend[[#This Row],[L_cabra]]+Tabla_master_rend[[#This Row],[L_oveja]]</f>
        <v>30701</v>
      </c>
      <c r="J176" s="8">
        <v>30701</v>
      </c>
      <c r="K176" s="66">
        <v>4.2700000000000002E-2</v>
      </c>
      <c r="L176" s="66">
        <v>3.3500000000000002E-2</v>
      </c>
      <c r="M176" s="5">
        <f t="shared" si="49"/>
        <v>0.112501</v>
      </c>
      <c r="N176" s="3" t="s">
        <v>188</v>
      </c>
      <c r="O176" s="8">
        <v>0</v>
      </c>
      <c r="P176" s="8">
        <v>0</v>
      </c>
      <c r="Q176" s="8">
        <v>0</v>
      </c>
      <c r="R176" s="8">
        <v>765</v>
      </c>
      <c r="S176" s="8">
        <v>0</v>
      </c>
      <c r="T176" s="8">
        <v>30540</v>
      </c>
      <c r="U176" s="38">
        <f>+Tabla_master_rend[[#This Row],[L_suero Total]]/Tabla_master_rend[[#This Row],[Litros_Leche_Total]]</f>
        <v>0.99475587114426245</v>
      </c>
      <c r="V176" s="66">
        <v>2E-3</v>
      </c>
      <c r="W176" s="66">
        <v>8.8000000000000005E-3</v>
      </c>
      <c r="X176" s="8">
        <v>0</v>
      </c>
      <c r="Y176" s="57">
        <v>0</v>
      </c>
      <c r="Z176" s="58">
        <f>IF(Tabla_master_rend[[#This Row],[L_suero para con]]=0,0,+Tabla_master_rend[[#This Row],[L_suero para con]]/Tabla_master_rend[[#This Row],[L_suero_con]])</f>
        <v>0</v>
      </c>
      <c r="AA176" s="8">
        <f>+Tabla_master_rend[[#This Row],[L_suero Total]]-Tabla_master_rend[[#This Row],[L_suero para con]]</f>
        <v>30540</v>
      </c>
      <c r="AD176" s="8">
        <v>0</v>
      </c>
      <c r="AE176" s="8">
        <v>0</v>
      </c>
      <c r="AF176" s="8">
        <v>0</v>
      </c>
      <c r="AG176" s="66">
        <v>0</v>
      </c>
      <c r="AH176" s="66">
        <v>0</v>
      </c>
      <c r="AI176" s="7">
        <f>+Tabla_master_rend[[#This Row],[Kg_Finos]]+Tabla_master_rend[[#This Row],[Kg_Llenadora]]+Tabla_master_rend[[#This Row],[Kg_Desmoldeo]]+Tabla_master_rend[[#This Row],[L_Agua]]+Tabla_master_rend[[#This Row],[Kg_SalidaSecadero]]</f>
        <v>3311.26</v>
      </c>
      <c r="AJ176" s="59">
        <f>+Tabla_master_rend[[#This Row],[Litros_Leche_Total]]/Tabla_master_rend[[#This Row],[Kg_Queso_Blan]]</f>
        <v>9.2716971787174671</v>
      </c>
      <c r="AK176" s="59">
        <f>+Tabla_master_rend[[#This Row],[Litros_Leche_Total]]/(Tabla_master_rend[[#This Row],[Kg_Queso_Blan]]-Tabla_master_rend[[#This Row],[Merma_TOT]])</f>
        <v>9.5629232312283126</v>
      </c>
      <c r="AL176" s="59">
        <f>VLOOKUP(G176,REND_TARGET[#All],8,FALSE)</f>
        <v>9.3549429999999987</v>
      </c>
      <c r="AM176" s="7">
        <f>(I176*1.03*Tabla_master_rend[[#This Row],[%MG_Leche]])+(I176*1.03*Tabla_master_rend[[#This Row],[%MP_Leche]])</f>
        <v>2409.5986860000003</v>
      </c>
      <c r="AN176" s="137">
        <v>0.28999999999999998</v>
      </c>
      <c r="AO176" s="137">
        <v>0.2419</v>
      </c>
      <c r="AP176" s="64">
        <v>0.57609999999999995</v>
      </c>
      <c r="AQ176" s="38">
        <f>+Tabla_master_rend[[#This Row],[Kg_Queso_Blan]]*Tabla_master_rend[[#This Row],[ES_QUESO]]/(Tabla_master_rend[[#This Row],[Kg_Solidos_leche]])</f>
        <v>0.79167410618350575</v>
      </c>
      <c r="AR176" s="7">
        <f t="shared" si="50"/>
        <v>306</v>
      </c>
      <c r="AS176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0.93779328526563221</v>
      </c>
      <c r="AT176" s="62">
        <f>+Tabla_master_rend[[#This Row],[Kg_Queso_Blan]]*Tabla_master_rend[[#This Row],[%PT_QUESO]]/(Tabla_master_rend[[#This Row],[Litros_Leche_Total]]*1.03*Tabla_master_rend[[#This Row],[%MP_Leche]])</f>
        <v>0.75612674162483207</v>
      </c>
      <c r="AU176" s="63">
        <f t="shared" si="51"/>
        <v>2295</v>
      </c>
      <c r="AV176" s="7">
        <v>3.06</v>
      </c>
      <c r="AW176" s="7">
        <v>5.3</v>
      </c>
      <c r="AX176" s="7">
        <v>12.9</v>
      </c>
      <c r="AY176" s="8">
        <f>SUM(Tabla_master_rend[[#This Row],[Kg_Finos]:[Kg_Desmoldeo]])</f>
        <v>21.259999999999998</v>
      </c>
      <c r="AZ176" s="60">
        <f>+(Tabla_master_rend[[#This Row],[Kg_Finos]]+Tabla_master_rend[[#This Row],[Kg_Llenadora]]+Tabla_master_rend[[#This Row],[Kg_Desmoldeo]])/(Tabla_master_rend[[#This Row],[Kg_Queso_Blan]])</f>
        <v>6.4205166613313354E-3</v>
      </c>
      <c r="BA176" s="7">
        <v>25</v>
      </c>
      <c r="BB176" s="60">
        <f>+Tabla_master_rend[[#This Row],[L_Agua]]/(Tabla_master_rend[[#This Row],[L_Agua]]+Tabla_master_rend[[#This Row],[Kg_SalidaSecadero]])</f>
        <v>7.5987841945288756E-3</v>
      </c>
      <c r="BC176" s="8">
        <v>447</v>
      </c>
      <c r="BD176" s="8">
        <v>435</v>
      </c>
      <c r="BE176" s="8">
        <v>3209</v>
      </c>
      <c r="BF176" s="8">
        <v>87</v>
      </c>
      <c r="BG176" s="8">
        <v>22</v>
      </c>
      <c r="BH176" s="8">
        <v>21</v>
      </c>
      <c r="BI176" s="8">
        <v>6</v>
      </c>
      <c r="BJ176" s="8">
        <v>32</v>
      </c>
      <c r="BK176" s="8">
        <v>3265</v>
      </c>
      <c r="BL176" s="8">
        <v>0</v>
      </c>
      <c r="BM176" s="8">
        <v>49.07</v>
      </c>
      <c r="BN176" s="8">
        <v>5.51</v>
      </c>
      <c r="BO176" s="68">
        <f>+SUM(Tabla_master_rend[[#This Row],[B_altas]:[B_lab]])/Tabla_master_rend[[#This Row],[Kg_SalidaSecadero]]</f>
        <v>5.1454823889739661E-2</v>
      </c>
      <c r="BP176" s="68">
        <f>+(Tabla_master_rend[[#This Row],[Kg_mer_env_real]]+Tabla_master_rend[[#This Row],[kg_mer_lab_real]])/Tabla_master_rend[[#This Row],[Kg_SalidaSecadero]]</f>
        <v>1.6716692189892801E-2</v>
      </c>
      <c r="BQ176" s="64">
        <f>+Tabla_master_rend[[#This Row],[Merma_TOT]]/Tabla_master_rend[[#This Row],[Kg_Queso_Blan]]</f>
        <v>3.0453664164094632E-2</v>
      </c>
      <c r="BR176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100.84</v>
      </c>
      <c r="BS176" s="138">
        <v>3254.4800000000005</v>
      </c>
      <c r="BT176" s="63">
        <f>IF(+Tabla_master_rend[[#This Row],[Kg_Env_Total]]=0,0,Tabla_master_rend[[#This Row],[Kg_Env_Total]]-Tabla_master_rend[[#This Row],[Kg_SalidaSecadero]])</f>
        <v>-10.519999999999527</v>
      </c>
      <c r="BU176" s="60">
        <f>+Tabla_master_rend[[#This Row],[Diferencia_Env_vs_Sec_kg]]/Tabla_master_rend[[#This Row],[Kg_SalidaSecadero]]</f>
        <v>-3.2220520673811722E-3</v>
      </c>
      <c r="BV176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76" s="65">
        <f>+(Tabla_master_rend[[#This Row],[Coste_Leche_€]]-Tabla_master_rend[[#This Row],[Kg_MG_Nata]]*$CO$3)/Tabla_master_rend[[#This Row],[Kg_Queso_Blan]]</f>
        <v>-0.69308963959338732</v>
      </c>
      <c r="BX176" s="8">
        <f>SUM(Tabla_master_rend[[#This Row],[Kg_Finos]:[Kg_Desmoldeo]])+Tabla_master_rend[[#This Row],[L_Agua]]+SUM(Tabla_master_rend[[#This Row],[B_altas]:[B_lab]])</f>
        <v>214.26</v>
      </c>
      <c r="BY176" s="8">
        <f>+BX176-Tabla_master_rend[[#This Row],[Merma_TOT]]</f>
        <v>113.41999999999999</v>
      </c>
      <c r="BZ176" s="62">
        <f t="shared" si="52"/>
        <v>0.52935685615607198</v>
      </c>
      <c r="CA176" s="8">
        <f>+Tabla_master_rend[[#This Row],[Kg_Queso_Blan]]*$CA$1</f>
        <v>21.52319</v>
      </c>
      <c r="CB176" s="8">
        <f>+Tabla_master_rend[[#This Row],[Kg_Queso_Blan]]*($CB$1-$CA$1)</f>
        <v>11.589410000000003</v>
      </c>
      <c r="CC176" s="8">
        <f>+(Tabla_master_rend[[#This Row],[Kg_Queso_Blan]]-CA176-CB176)*$CC$1</f>
        <v>34.420547700000007</v>
      </c>
      <c r="CD176" s="8">
        <f t="shared" si="53"/>
        <v>67.533147700000001</v>
      </c>
      <c r="CE176" s="80">
        <f>+CD176/Tabla_master_rend[[#This Row],[Kg_Queso_Blan]]</f>
        <v>2.0395E-2</v>
      </c>
      <c r="CF176" s="62">
        <f>+Tabla_master_rend[[#This Row],[Merma_TOT]]/Tabla_master_rend[[#This Row],[Kg_Queso_Blan]]</f>
        <v>3.0453664164094632E-2</v>
      </c>
      <c r="CG176" s="8">
        <f>CD176-Tabla_master_rend[[#This Row],[Merma_TOT]]</f>
        <v>-33.306852300000003</v>
      </c>
      <c r="CH176" s="81" cm="1">
        <f t="array" ref="CH176">-BR176 * IFERROR(INDEX('Precio Leche_EBITDA_Ventas'!$BD$87:$BD$110,MATCH(1,('Precio Leche_EBITDA_Ventas'!$AZ$87:$AZ$110=YEAR(A176))*('Precio Leche_EBITDA_Ventas'!$BB$87:$BB$110=C176),0)),1.3)</f>
        <v>-204.70519999999999</v>
      </c>
      <c r="CI176" s="81">
        <f t="shared" si="54"/>
        <v>-43.298907990000004</v>
      </c>
    </row>
    <row r="177" spans="1:87" x14ac:dyDescent="0.35">
      <c r="A177" s="9">
        <v>46071</v>
      </c>
      <c r="B177" s="7">
        <v>2</v>
      </c>
      <c r="C177" s="7" t="str">
        <f>+UPPER(TEXT(Tabla_master_rend[[#This Row],[Fecha]],"MMM"))</f>
        <v>FEB</v>
      </c>
      <c r="D177" s="7" t="str">
        <f>+UPPER(TEXT(Tabla_master_rend[[#This Row],[Fecha]],"ddd"))</f>
        <v>MI</v>
      </c>
      <c r="E177" s="122">
        <v>180226356</v>
      </c>
      <c r="F177" s="122" t="s">
        <v>145</v>
      </c>
      <c r="G177" t="s">
        <v>145</v>
      </c>
      <c r="H177">
        <v>1</v>
      </c>
      <c r="I177" s="8">
        <f>+Tabla_master_rend[[#This Row],[L_Leche_ent]]+Tabla_master_rend[[#This Row],[L_desn_ext]]+Tabla_master_rend[[#This Row],[L_cabra]]+Tabla_master_rend[[#This Row],[L_oveja]]</f>
        <v>12733</v>
      </c>
      <c r="J177" s="8">
        <v>0</v>
      </c>
      <c r="K177" s="66">
        <v>5.0200000000000002E-2</v>
      </c>
      <c r="L177" s="66">
        <v>3.49E-2</v>
      </c>
      <c r="M177" s="5">
        <f t="shared" si="49"/>
        <v>0.12051200000000001</v>
      </c>
      <c r="N177" s="3" t="s">
        <v>43</v>
      </c>
      <c r="O177" s="8">
        <v>0</v>
      </c>
      <c r="P177" s="8">
        <v>12733</v>
      </c>
      <c r="Q177" s="8">
        <v>0</v>
      </c>
      <c r="R177" s="8">
        <v>0</v>
      </c>
      <c r="S177" s="8">
        <v>0</v>
      </c>
      <c r="T177" s="8">
        <f>90%*12733</f>
        <v>11459.7</v>
      </c>
      <c r="U177" s="38">
        <f>+Tabla_master_rend[[#This Row],[L_suero Total]]/Tabla_master_rend[[#This Row],[Litros_Leche_Total]]</f>
        <v>0.9</v>
      </c>
      <c r="V177" s="66">
        <v>1E-4</v>
      </c>
      <c r="W177" s="66">
        <v>8.6E-3</v>
      </c>
      <c r="X177" s="8">
        <v>11460</v>
      </c>
      <c r="Y177" s="57">
        <f>11460/3.4</f>
        <v>3370.5882352941176</v>
      </c>
      <c r="Z177" s="58">
        <f>IF(Tabla_master_rend[[#This Row],[L_suero para con]]=0,0,+Tabla_master_rend[[#This Row],[L_suero para con]]/Tabla_master_rend[[#This Row],[L_suero_con]])</f>
        <v>3.4</v>
      </c>
      <c r="AA177" s="8">
        <f>+Tabla_master_rend[[#This Row],[L_suero Total]]-Tabla_master_rend[[#This Row],[L_suero para con]]</f>
        <v>-0.2999999999992724</v>
      </c>
      <c r="AD177" s="8">
        <v>0</v>
      </c>
      <c r="AE177" s="8">
        <v>0</v>
      </c>
      <c r="AF177" s="8">
        <v>0</v>
      </c>
      <c r="AG177" s="66">
        <v>0</v>
      </c>
      <c r="AH177" s="66">
        <v>0</v>
      </c>
      <c r="AI177" s="7">
        <f>+Tabla_master_rend[[#This Row],[Kg_Finos]]+Tabla_master_rend[[#This Row],[Kg_Llenadora]]+Tabla_master_rend[[#This Row],[Kg_Desmoldeo]]+Tabla_master_rend[[#This Row],[L_Agua]]+Tabla_master_rend[[#This Row],[Kg_SalidaSecadero]]</f>
        <v>1745.7541931800372</v>
      </c>
      <c r="AJ177" s="59">
        <f>+Tabla_master_rend[[#This Row],[Litros_Leche_Total]]/Tabla_master_rend[[#This Row],[Kg_Queso_Blan]]</f>
        <v>7.2936957847460624</v>
      </c>
      <c r="AK177" s="59">
        <f>+Tabla_master_rend[[#This Row],[Litros_Leche_Total]]/(Tabla_master_rend[[#This Row],[Kg_Queso_Blan]]-Tabla_master_rend[[#This Row],[Merma_TOT]])</f>
        <v>7.9620562652809825</v>
      </c>
      <c r="AL177" s="59">
        <f>VLOOKUP(G177,REND_TARGET[#All],8,FALSE)</f>
        <v>8.2971330000000005</v>
      </c>
      <c r="AM177" s="7">
        <f>(I177*1.03*Tabla_master_rend[[#This Row],[%MG_Leche]])+(I177*1.03*Tabla_master_rend[[#This Row],[%MP_Leche]])</f>
        <v>1116.0856490000001</v>
      </c>
      <c r="AN177" s="137">
        <v>0.3296</v>
      </c>
      <c r="AO177" s="137">
        <v>0.20569999999999999</v>
      </c>
      <c r="AP177" s="64">
        <v>0.57169999999999999</v>
      </c>
      <c r="AQ177" s="38">
        <f>+Tabla_master_rend[[#This Row],[Kg_Queso_Blan]]*Tabla_master_rend[[#This Row],[ES_QUESO]]/(Tabla_master_rend[[#This Row],[Kg_Solidos_leche]])</f>
        <v>0.89423932037408282</v>
      </c>
      <c r="AR177" s="7">
        <f t="shared" si="50"/>
        <v>0</v>
      </c>
      <c r="AS177" s="61">
        <f>+(Tabla_master_rend[[#This Row],[Kg_Queso_Blan]]*Tabla_master_rend[[#This Row],[%MG_QUESO]]+(Tabla_master_rend[[#This Row],[Kg_MG_Nata]]))/(Tabla_master_rend[[#This Row],[Litros_Leche_Total]]*1.03*Tabla_master_rend[[#This Row],[%MG_Leche]])</f>
        <v>0.87397420733716658</v>
      </c>
      <c r="AT177" s="62">
        <f>+Tabla_master_rend[[#This Row],[Kg_Queso_Blan]]*Tabla_master_rend[[#This Row],[%PT_QUESO]]/(Tabla_master_rend[[#This Row],[Litros_Leche_Total]]*1.03*Tabla_master_rend[[#This Row],[%MP_Leche]])</f>
        <v>0.78455608442225777</v>
      </c>
      <c r="AU177" s="63">
        <f t="shared" si="51"/>
        <v>0</v>
      </c>
      <c r="AV177" s="7">
        <v>2.6541931800371676</v>
      </c>
      <c r="AW177" s="7">
        <v>7.5</v>
      </c>
      <c r="AX177" s="7">
        <v>4.5999999999999996</v>
      </c>
      <c r="AY177" s="8">
        <f>SUM(Tabla_master_rend[[#This Row],[Kg_Finos]:[Kg_Desmoldeo]])</f>
        <v>14.754193180037168</v>
      </c>
      <c r="AZ177" s="60">
        <f>+(Tabla_master_rend[[#This Row],[Kg_Finos]]+Tabla_master_rend[[#This Row],[Kg_Llenadora]]+Tabla_master_rend[[#This Row],[Kg_Desmoldeo]])/(Tabla_master_rend[[#This Row],[Kg_Queso_Blan]])</f>
        <v>8.4514722849733919E-3</v>
      </c>
      <c r="BA177" s="7">
        <v>50</v>
      </c>
      <c r="BB177" s="60">
        <f>+Tabla_master_rend[[#This Row],[L_Agua]]/(Tabla_master_rend[[#This Row],[L_Agua]]+Tabla_master_rend[[#This Row],[Kg_SalidaSecadero]])</f>
        <v>2.8885037550548817E-2</v>
      </c>
      <c r="BC177" s="8">
        <v>244</v>
      </c>
      <c r="BD177" s="8">
        <v>227</v>
      </c>
      <c r="BE177" s="8">
        <v>1619</v>
      </c>
      <c r="BF177" s="8">
        <v>81</v>
      </c>
      <c r="BG177" s="8">
        <v>6</v>
      </c>
      <c r="BH177" s="8">
        <v>35</v>
      </c>
      <c r="BI177" s="8">
        <v>14</v>
      </c>
      <c r="BJ177" s="8">
        <v>57</v>
      </c>
      <c r="BK177" s="8">
        <v>1681</v>
      </c>
      <c r="BL177" s="8">
        <v>0</v>
      </c>
      <c r="BM177" s="8">
        <v>70.03</v>
      </c>
      <c r="BN177" s="8">
        <v>11.76</v>
      </c>
      <c r="BO177" s="68">
        <f>+SUM(Tabla_master_rend[[#This Row],[B_altas]:[B_lab]])/Tabla_master_rend[[#This Row],[Kg_SalidaSecadero]]</f>
        <v>0.11481261154074955</v>
      </c>
      <c r="BP177" s="68">
        <f>+(Tabla_master_rend[[#This Row],[Kg_mer_env_real]]+Tabla_master_rend[[#This Row],[kg_mer_lab_real]])/Tabla_master_rend[[#This Row],[Kg_SalidaSecadero]]</f>
        <v>4.8655562165377753E-2</v>
      </c>
      <c r="BQ177" s="64">
        <f>+Tabla_master_rend[[#This Row],[Merma_TOT]]/Tabla_master_rend[[#This Row],[Kg_Queso_Blan]]</f>
        <v>8.3943199880330624E-2</v>
      </c>
      <c r="BR177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146.54419318003718</v>
      </c>
      <c r="BS177" s="138">
        <v>1653.2900000000002</v>
      </c>
      <c r="BT177" s="63">
        <f>IF(+Tabla_master_rend[[#This Row],[Kg_Env_Total]]=0,0,Tabla_master_rend[[#This Row],[Kg_Env_Total]]-Tabla_master_rend[[#This Row],[Kg_SalidaSecadero]])</f>
        <v>-27.709999999999809</v>
      </c>
      <c r="BU177" s="60">
        <f>+Tabla_master_rend[[#This Row],[Diferencia_Env_vs_Sec_kg]]/Tabla_master_rend[[#This Row],[Kg_SalidaSecadero]]</f>
        <v>-1.6484235574062943E-2</v>
      </c>
      <c r="BV177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77" s="65">
        <f>+(Tabla_master_rend[[#This Row],[Coste_Leche_€]]-Tabla_master_rend[[#This Row],[Kg_MG_Nata]]*$CO$3)/Tabla_master_rend[[#This Row],[Kg_Queso_Blan]]</f>
        <v>0</v>
      </c>
      <c r="BX177" s="8">
        <f>SUM(Tabla_master_rend[[#This Row],[Kg_Finos]:[Kg_Desmoldeo]])+Tabla_master_rend[[#This Row],[L_Agua]]+SUM(Tabla_master_rend[[#This Row],[B_altas]:[B_lab]])</f>
        <v>257.75419318003719</v>
      </c>
      <c r="BY177" s="8">
        <f>+BX177-Tabla_master_rend[[#This Row],[Merma_TOT]]</f>
        <v>111.21000000000001</v>
      </c>
      <c r="BZ177" s="62">
        <f t="shared" si="52"/>
        <v>0.43145757835381399</v>
      </c>
      <c r="CA177" s="8">
        <f>+Tabla_master_rend[[#This Row],[Kg_Queso_Blan]]*$CA$1</f>
        <v>11.347402255670241</v>
      </c>
      <c r="CB177" s="8">
        <f>+Tabla_master_rend[[#This Row],[Kg_Queso_Blan]]*($CB$1-$CA$1)</f>
        <v>6.1101396761301308</v>
      </c>
      <c r="CC177" s="8">
        <f>+(Tabla_master_rend[[#This Row],[Kg_Queso_Blan]]-CA177-CB177)*$CC$1</f>
        <v>18.147114838106489</v>
      </c>
      <c r="CD177" s="8">
        <f t="shared" si="53"/>
        <v>35.60465676990686</v>
      </c>
      <c r="CE177" s="80">
        <f>+CD177/Tabla_master_rend[[#This Row],[Kg_Queso_Blan]]</f>
        <v>2.0395E-2</v>
      </c>
      <c r="CF177" s="62">
        <f>+Tabla_master_rend[[#This Row],[Merma_TOT]]/Tabla_master_rend[[#This Row],[Kg_Queso_Blan]]</f>
        <v>8.3943199880330624E-2</v>
      </c>
      <c r="CG177" s="8">
        <f>CD177-Tabla_master_rend[[#This Row],[Merma_TOT]]</f>
        <v>-110.93953641013033</v>
      </c>
      <c r="CH177" s="81" cm="1">
        <f t="array" ref="CH177">-BR177 * IFERROR(INDEX('Precio Leche_EBITDA_Ventas'!$BD$87:$BD$110,MATCH(1,('Precio Leche_EBITDA_Ventas'!$AZ$87:$AZ$110=YEAR(A177))*('Precio Leche_EBITDA_Ventas'!$BB$87:$BB$110=C177),0)),1.3)</f>
        <v>-297.48471215547545</v>
      </c>
      <c r="CI177" s="81">
        <f t="shared" si="54"/>
        <v>-144.22139733316942</v>
      </c>
    </row>
    <row r="178" spans="1:87" x14ac:dyDescent="0.35">
      <c r="A178" s="9">
        <v>46071</v>
      </c>
      <c r="B178" s="7">
        <v>2</v>
      </c>
      <c r="C178" s="7" t="str">
        <f>+UPPER(TEXT(Tabla_master_rend[[#This Row],[Fecha]],"MMM"))</f>
        <v>FEB</v>
      </c>
      <c r="D178" s="7" t="str">
        <f>+UPPER(TEXT(Tabla_master_rend[[#This Row],[Fecha]],"ddd"))</f>
        <v>MI</v>
      </c>
      <c r="E178" s="122">
        <v>180226367</v>
      </c>
      <c r="F178" s="122" t="s">
        <v>144</v>
      </c>
      <c r="G178" t="s">
        <v>144</v>
      </c>
      <c r="H178">
        <v>1</v>
      </c>
      <c r="I178" s="8">
        <f>+Tabla_master_rend[[#This Row],[L_Leche_ent]]+Tabla_master_rend[[#This Row],[L_desn_ext]]+Tabla_master_rend[[#This Row],[L_cabra]]+Tabla_master_rend[[#This Row],[L_oveja]]</f>
        <v>12213</v>
      </c>
      <c r="J178" s="8">
        <v>0</v>
      </c>
      <c r="K178" s="66">
        <v>6.1600000000000002E-2</v>
      </c>
      <c r="L178" s="66">
        <v>4.99E-2</v>
      </c>
      <c r="M178" s="5">
        <f t="shared" si="49"/>
        <v>0.14221400000000001</v>
      </c>
      <c r="N178" s="3" t="s">
        <v>43</v>
      </c>
      <c r="O178" s="8">
        <v>0</v>
      </c>
      <c r="P178" s="8">
        <v>0</v>
      </c>
      <c r="Q178" s="8">
        <v>12213</v>
      </c>
      <c r="R178" s="8">
        <v>0</v>
      </c>
      <c r="S178" s="8">
        <v>0</v>
      </c>
      <c r="T178" s="8">
        <f>95%*12213</f>
        <v>11602.35</v>
      </c>
      <c r="U178" s="38">
        <f>+Tabla_master_rend[[#This Row],[L_suero Total]]/Tabla_master_rend[[#This Row],[Litros_Leche_Total]]</f>
        <v>0.95000000000000007</v>
      </c>
      <c r="V178" s="66">
        <v>1E-4</v>
      </c>
      <c r="W178" s="66">
        <v>8.6E-3</v>
      </c>
      <c r="X178" s="8">
        <v>11602</v>
      </c>
      <c r="Y178" s="57">
        <f>11602/3.4</f>
        <v>3412.3529411764707</v>
      </c>
      <c r="Z178" s="58">
        <f>IF(Tabla_master_rend[[#This Row],[L_suero para con]]=0,0,+Tabla_master_rend[[#This Row],[L_suero para con]]/Tabla_master_rend[[#This Row],[L_suero_con]])</f>
        <v>3.4</v>
      </c>
      <c r="AA178" s="8">
        <f>+Tabla_master_rend[[#This Row],[L_suero Total]]-Tabla_master_rend[[#This Row],[L_suero para con]]</f>
        <v>0.3500000000003638</v>
      </c>
      <c r="AD178" s="8">
        <v>0</v>
      </c>
      <c r="AE178" s="8">
        <v>0</v>
      </c>
      <c r="AF178" s="8">
        <v>0</v>
      </c>
      <c r="AG178" s="66">
        <v>0</v>
      </c>
      <c r="AH178" s="66">
        <v>0</v>
      </c>
      <c r="AI178" s="7">
        <f>+Tabla_master_rend[[#This Row],[Kg_Finos]]+Tabla_master_rend[[#This Row],[Kg_Llenadora]]+Tabla_master_rend[[#This Row],[Kg_Desmoldeo]]+Tabla_master_rend[[#This Row],[L_Agua]]+Tabla_master_rend[[#This Row],[Kg_SalidaSecadero]]</f>
        <v>2244.4457992073976</v>
      </c>
      <c r="AJ178" s="59">
        <f>+Tabla_master_rend[[#This Row],[Litros_Leche_Total]]/Tabla_master_rend[[#This Row],[Kg_Queso_Blan]]</f>
        <v>5.4414323590762992</v>
      </c>
      <c r="AK178" s="59">
        <f>+Tabla_master_rend[[#This Row],[Litros_Leche_Total]]/(Tabla_master_rend[[#This Row],[Kg_Queso_Blan]]-Tabla_master_rend[[#This Row],[Merma_TOT]])</f>
        <v>5.8457503075325121</v>
      </c>
      <c r="AL178" s="59">
        <f>VLOOKUP(G178,REND_TARGET[#All],8,FALSE)</f>
        <v>5.5961229999999995</v>
      </c>
      <c r="AM178" s="7">
        <f>(I178*1.03*Tabla_master_rend[[#This Row],[%MG_Leche]])+(I178*1.03*Tabla_master_rend[[#This Row],[%MP_Leche]])</f>
        <v>1402.6019849999998</v>
      </c>
      <c r="AN178" s="137">
        <v>0.32269999999999999</v>
      </c>
      <c r="AO178" s="137">
        <v>0.23569999999999999</v>
      </c>
      <c r="AP178" s="64">
        <v>0.59389999999999998</v>
      </c>
      <c r="AQ178" s="38">
        <f>+Tabla_master_rend[[#This Row],[Kg_Queso_Blan]]*Tabla_master_rend[[#This Row],[ES_QUESO]]/(Tabla_master_rend[[#This Row],[Kg_Solidos_leche]])</f>
        <v>0.95035967038737201</v>
      </c>
      <c r="AR178" s="7">
        <f t="shared" si="50"/>
        <v>0</v>
      </c>
      <c r="AS178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0.93469042457056772</v>
      </c>
      <c r="AT178" s="62">
        <f>+Tabla_master_rend[[#This Row],[Kg_Queso_Blan]]*Tabla_master_rend[[#This Row],[%PT_QUESO]]/(Tabla_master_rend[[#This Row],[Litros_Leche_Total]]*1.03*Tabla_master_rend[[#This Row],[%MP_Leche]])</f>
        <v>0.84276904830367405</v>
      </c>
      <c r="AU178" s="63">
        <f t="shared" si="51"/>
        <v>0</v>
      </c>
      <c r="AV178" s="7">
        <v>2.5457992073976223</v>
      </c>
      <c r="AW178" s="7">
        <v>10.9</v>
      </c>
      <c r="AX178" s="7">
        <v>0</v>
      </c>
      <c r="AY178" s="8">
        <f>SUM(Tabla_master_rend[[#This Row],[Kg_Finos]:[Kg_Desmoldeo]])</f>
        <v>13.445799207397624</v>
      </c>
      <c r="AZ178" s="60">
        <f>+(Tabla_master_rend[[#This Row],[Kg_Finos]]+Tabla_master_rend[[#This Row],[Kg_Llenadora]]+Tabla_master_rend[[#This Row],[Kg_Desmoldeo]])/(Tabla_master_rend[[#This Row],[Kg_Queso_Blan]])</f>
        <v>5.9906990011279696E-3</v>
      </c>
      <c r="BA178" s="7">
        <v>60</v>
      </c>
      <c r="BB178" s="60">
        <f>+Tabla_master_rend[[#This Row],[L_Agua]]/(Tabla_master_rend[[#This Row],[L_Agua]]+Tabla_master_rend[[#This Row],[Kg_SalidaSecadero]])</f>
        <v>2.6893769610040339E-2</v>
      </c>
      <c r="BC178" s="8">
        <v>314</v>
      </c>
      <c r="BD178" s="8">
        <v>294</v>
      </c>
      <c r="BE178" s="8">
        <v>2108</v>
      </c>
      <c r="BF178" s="8">
        <v>142</v>
      </c>
      <c r="BG178" s="8">
        <v>18</v>
      </c>
      <c r="BH178" s="8">
        <v>13</v>
      </c>
      <c r="BI178" s="8">
        <v>49</v>
      </c>
      <c r="BJ178" s="8">
        <v>43</v>
      </c>
      <c r="BK178" s="8">
        <v>2171</v>
      </c>
      <c r="BL178" s="8">
        <v>0</v>
      </c>
      <c r="BM178" s="8">
        <v>75.14</v>
      </c>
      <c r="BN178" s="8">
        <v>6.65</v>
      </c>
      <c r="BO178" s="68">
        <f>+SUM(Tabla_master_rend[[#This Row],[B_altas]:[B_lab]])/Tabla_master_rend[[#This Row],[Kg_SalidaSecadero]]</f>
        <v>0.12206356517733763</v>
      </c>
      <c r="BP178" s="68">
        <f>+(Tabla_master_rend[[#This Row],[Kg_mer_env_real]]+Tabla_master_rend[[#This Row],[kg_mer_lab_real]])/Tabla_master_rend[[#This Row],[Kg_SalidaSecadero]]</f>
        <v>3.7673883003224322E-2</v>
      </c>
      <c r="BQ178" s="64">
        <f>+Tabla_master_rend[[#This Row],[Merma_TOT]]/Tabla_master_rend[[#This Row],[Kg_Queso_Blan]]</f>
        <v>6.9164423245247242E-2</v>
      </c>
      <c r="BR178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155.23579920739766</v>
      </c>
      <c r="BS178" s="138">
        <v>2138.69</v>
      </c>
      <c r="BT178" s="63">
        <f>IF(+Tabla_master_rend[[#This Row],[Kg_Env_Total]]=0,0,Tabla_master_rend[[#This Row],[Kg_Env_Total]]-Tabla_master_rend[[#This Row],[Kg_SalidaSecadero]])</f>
        <v>-32.309999999999945</v>
      </c>
      <c r="BU178" s="60">
        <f>+Tabla_master_rend[[#This Row],[Diferencia_Env_vs_Sec_kg]]/Tabla_master_rend[[#This Row],[Kg_SalidaSecadero]]</f>
        <v>-1.488254260709348E-2</v>
      </c>
      <c r="BV178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78" s="65">
        <f>+(Tabla_master_rend[[#This Row],[Coste_Leche_€]]-Tabla_master_rend[[#This Row],[Kg_MG_Nata]]*$CO$3)/Tabla_master_rend[[#This Row],[Kg_Queso_Blan]]</f>
        <v>0</v>
      </c>
      <c r="BX178" s="8">
        <f>SUM(Tabla_master_rend[[#This Row],[Kg_Finos]:[Kg_Desmoldeo]])+Tabla_master_rend[[#This Row],[L_Agua]]+SUM(Tabla_master_rend[[#This Row],[B_altas]:[B_lab]])</f>
        <v>338.44579920739761</v>
      </c>
      <c r="BY178" s="8">
        <f>+BX178-Tabla_master_rend[[#This Row],[Merma_TOT]]</f>
        <v>183.20999999999995</v>
      </c>
      <c r="BZ178" s="62">
        <f t="shared" si="52"/>
        <v>0.54132744572116831</v>
      </c>
      <c r="CA178" s="8">
        <f>+Tabla_master_rend[[#This Row],[Kg_Queso_Blan]]*$CA$1</f>
        <v>14.588897694848084</v>
      </c>
      <c r="CB178" s="8">
        <f>+Tabla_master_rend[[#This Row],[Kg_Queso_Blan]]*($CB$1-$CA$1)</f>
        <v>7.8555602972258924</v>
      </c>
      <c r="CC178" s="8">
        <f>+(Tabla_master_rend[[#This Row],[Kg_Queso_Blan]]-CA178-CB178)*$CC$1</f>
        <v>23.331014082760898</v>
      </c>
      <c r="CD178" s="8">
        <f t="shared" si="53"/>
        <v>45.77547207483488</v>
      </c>
      <c r="CE178" s="80">
        <f>+CD178/Tabla_master_rend[[#This Row],[Kg_Queso_Blan]]</f>
        <v>2.0395000000000003E-2</v>
      </c>
      <c r="CF178" s="62">
        <f>+Tabla_master_rend[[#This Row],[Merma_TOT]]/Tabla_master_rend[[#This Row],[Kg_Queso_Blan]]</f>
        <v>6.9164423245247242E-2</v>
      </c>
      <c r="CG178" s="8">
        <f>CD178-Tabla_master_rend[[#This Row],[Merma_TOT]]</f>
        <v>-109.46032713256278</v>
      </c>
      <c r="CH178" s="81" cm="1">
        <f t="array" ref="CH178">-BR178 * IFERROR(INDEX('Precio Leche_EBITDA_Ventas'!$BD$87:$BD$110,MATCH(1,('Precio Leche_EBITDA_Ventas'!$AZ$87:$AZ$110=YEAR(A178))*('Precio Leche_EBITDA_Ventas'!$BB$87:$BB$110=C178),0)),1.3)</f>
        <v>-315.12867239101723</v>
      </c>
      <c r="CI178" s="81">
        <f t="shared" si="54"/>
        <v>-142.29842527233163</v>
      </c>
    </row>
    <row r="179" spans="1:87" x14ac:dyDescent="0.35">
      <c r="A179" s="9">
        <v>46071</v>
      </c>
      <c r="B179" s="7">
        <v>2</v>
      </c>
      <c r="C179" s="7" t="str">
        <f>+UPPER(TEXT(Tabla_master_rend[[#This Row],[Fecha]],"MMM"))</f>
        <v>FEB</v>
      </c>
      <c r="D179" s="7" t="str">
        <f>+UPPER(TEXT(Tabla_master_rend[[#This Row],[Fecha]],"ddd"))</f>
        <v>MI</v>
      </c>
      <c r="E179" s="122">
        <v>180226326</v>
      </c>
      <c r="F179" s="3" t="s">
        <v>244</v>
      </c>
      <c r="G179" t="s">
        <v>301</v>
      </c>
      <c r="H179">
        <v>10</v>
      </c>
      <c r="I179" s="8">
        <f>+Tabla_master_rend[[#This Row],[L_Leche_ent]]+Tabla_master_rend[[#This Row],[L_desn_ext]]+Tabla_master_rend[[#This Row],[L_cabra]]+Tabla_master_rend[[#This Row],[L_oveja]]</f>
        <v>153706</v>
      </c>
      <c r="J179" s="8">
        <v>153706</v>
      </c>
      <c r="K179" s="66">
        <v>4.4600000000000001E-2</v>
      </c>
      <c r="L179" s="66">
        <v>3.3599999999999998E-2</v>
      </c>
      <c r="M179" s="5">
        <f t="shared" si="49"/>
        <v>0.114342</v>
      </c>
      <c r="N179" s="3" t="s">
        <v>43</v>
      </c>
      <c r="O179" s="8">
        <v>0</v>
      </c>
      <c r="P179" s="8">
        <v>0</v>
      </c>
      <c r="Q179" s="8">
        <v>0</v>
      </c>
      <c r="R179" s="8">
        <v>4809</v>
      </c>
      <c r="S179" s="8">
        <v>447</v>
      </c>
      <c r="T179" s="8">
        <v>138000</v>
      </c>
      <c r="U179" s="38">
        <f>+Tabla_master_rend[[#This Row],[L_suero Total]]/Tabla_master_rend[[#This Row],[Litros_Leche_Total]]</f>
        <v>0.89781791211793949</v>
      </c>
      <c r="V179" s="66">
        <v>1E-4</v>
      </c>
      <c r="W179" s="66">
        <v>8.6E-3</v>
      </c>
      <c r="X179" s="8">
        <f>161030-X177-X178</f>
        <v>137968</v>
      </c>
      <c r="Y179" s="57">
        <f>46295-Y177-Y178</f>
        <v>39512.058823529413</v>
      </c>
      <c r="Z179" s="58">
        <f>IF(Tabla_master_rend[[#This Row],[L_suero para con]]=0,0,+Tabla_master_rend[[#This Row],[L_suero para con]]/Tabla_master_rend[[#This Row],[L_suero_con]])</f>
        <v>3.4917947610930393</v>
      </c>
      <c r="AA179" s="8">
        <f>+Tabla_master_rend[[#This Row],[L_suero Total]]-Tabla_master_rend[[#This Row],[L_suero para con]]</f>
        <v>32</v>
      </c>
      <c r="AD179" s="8">
        <v>0</v>
      </c>
      <c r="AE179" s="8">
        <v>0</v>
      </c>
      <c r="AF179" s="8">
        <v>0</v>
      </c>
      <c r="AG179" s="66">
        <v>0</v>
      </c>
      <c r="AH179" s="66">
        <v>0</v>
      </c>
      <c r="AI179" s="7">
        <f>+Tabla_master_rend[[#This Row],[Kg_Finos]]+Tabla_master_rend[[#This Row],[Kg_Llenadora]]+Tabla_master_rend[[#This Row],[Kg_Desmoldeo]]+Tabla_master_rend[[#This Row],[L_Agua]]+Tabla_master_rend[[#This Row],[Kg_SalidaSecadero]]</f>
        <v>17408.840007612565</v>
      </c>
      <c r="AJ179" s="59">
        <f>+Tabla_master_rend[[#This Row],[Litros_Leche_Total]]/Tabla_master_rend[[#This Row],[Kg_Queso_Blan]]</f>
        <v>8.8291925213160205</v>
      </c>
      <c r="AK179" s="59">
        <f>+Tabla_master_rend[[#This Row],[Litros_Leche_Total]]/(Tabla_master_rend[[#This Row],[Kg_Queso_Blan]]-Tabla_master_rend[[#This Row],[Merma_TOT]])</f>
        <v>9.0917802158281891</v>
      </c>
      <c r="AL179" s="59">
        <f>VLOOKUP(G179,REND_TARGET[#All],8,FALSE)</f>
        <v>9.3549429999999987</v>
      </c>
      <c r="AM179" s="7">
        <f>(I179*1.03*Tabla_master_rend[[#This Row],[%MG_Leche]])+(I179*1.03*Tabla_master_rend[[#This Row],[%MP_Leche]])</f>
        <v>12380.403476</v>
      </c>
      <c r="AN179" s="137">
        <v>0.28220000000000001</v>
      </c>
      <c r="AO179" s="137">
        <v>0.23200000000000001</v>
      </c>
      <c r="AP179" s="64">
        <v>0.56779999999999997</v>
      </c>
      <c r="AQ179" s="38">
        <f>+Tabla_master_rend[[#This Row],[Kg_Queso_Blan]]*Tabla_master_rend[[#This Row],[ES_QUESO]]/(Tabla_master_rend[[#This Row],[Kg_Solidos_leche]])</f>
        <v>0.79841819174023299</v>
      </c>
      <c r="AR179" s="7">
        <f t="shared" si="50"/>
        <v>1923.6000000000001</v>
      </c>
      <c r="AS179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0.96819525732100886</v>
      </c>
      <c r="AT179" s="62">
        <f>+Tabla_master_rend[[#This Row],[Kg_Queso_Blan]]*Tabla_master_rend[[#This Row],[%PT_QUESO]]/(Tabla_master_rend[[#This Row],[Litros_Leche_Total]]*1.03*Tabla_master_rend[[#This Row],[%MP_Leche]])</f>
        <v>0.75925995707261973</v>
      </c>
      <c r="AU179" s="63">
        <f t="shared" si="51"/>
        <v>14427.000000000002</v>
      </c>
      <c r="AV179" s="7">
        <v>32.040007612565212</v>
      </c>
      <c r="AW179" s="7">
        <v>23.8</v>
      </c>
      <c r="AX179" s="7">
        <v>6</v>
      </c>
      <c r="AY179" s="8">
        <f>SUM(Tabla_master_rend[[#This Row],[Kg_Finos]:[Kg_Desmoldeo]])</f>
        <v>61.840007612565216</v>
      </c>
      <c r="AZ179" s="60">
        <f>+(Tabla_master_rend[[#This Row],[Kg_Finos]]+Tabla_master_rend[[#This Row],[Kg_Llenadora]]+Tabla_master_rend[[#This Row],[Kg_Desmoldeo]])/(Tabla_master_rend[[#This Row],[Kg_Queso_Blan]])</f>
        <v>3.5522187340181035E-3</v>
      </c>
      <c r="BA179" s="7">
        <v>340</v>
      </c>
      <c r="BB179" s="60">
        <f>+Tabla_master_rend[[#This Row],[L_Agua]]/(Tabla_master_rend[[#This Row],[L_Agua]]+Tabla_master_rend[[#This Row],[Kg_SalidaSecadero]])</f>
        <v>1.9599930823773565E-2</v>
      </c>
      <c r="BC179" s="8">
        <v>2300</v>
      </c>
      <c r="BD179" s="8">
        <v>2273</v>
      </c>
      <c r="BE179" s="8">
        <v>17179</v>
      </c>
      <c r="BF179" s="8">
        <v>515</v>
      </c>
      <c r="BG179" s="8">
        <v>79</v>
      </c>
      <c r="BH179" s="8">
        <v>6</v>
      </c>
      <c r="BI179" s="8">
        <v>13</v>
      </c>
      <c r="BJ179" s="8">
        <v>70</v>
      </c>
      <c r="BK179" s="8">
        <v>17007</v>
      </c>
      <c r="BL179" s="8">
        <v>0</v>
      </c>
      <c r="BM179" s="8">
        <v>74.06</v>
      </c>
      <c r="BN179" s="8">
        <v>26.9</v>
      </c>
      <c r="BO179" s="68">
        <f>+SUM(Tabla_master_rend[[#This Row],[B_altas]:[B_lab]])/Tabla_master_rend[[#This Row],[Kg_SalidaSecadero]]</f>
        <v>4.0159934144763917E-2</v>
      </c>
      <c r="BP179" s="68">
        <f>+(Tabla_master_rend[[#This Row],[Kg_mer_env_real]]+Tabla_master_rend[[#This Row],[kg_mer_lab_real]])/Tabla_master_rend[[#This Row],[Kg_SalidaSecadero]]</f>
        <v>5.9363791380019999E-3</v>
      </c>
      <c r="BQ179" s="64">
        <f>+Tabla_master_rend[[#This Row],[Merma_TOT]]/Tabla_master_rend[[#This Row],[Kg_Queso_Blan]]</f>
        <v>2.8881878826659334E-2</v>
      </c>
      <c r="BR179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502.80000761256525</v>
      </c>
      <c r="BS179" s="138">
        <v>17117.16</v>
      </c>
      <c r="BT179" s="63">
        <f>IF(+Tabla_master_rend[[#This Row],[Kg_Env_Total]]=0,0,Tabla_master_rend[[#This Row],[Kg_Env_Total]]-Tabla_master_rend[[#This Row],[Kg_SalidaSecadero]])</f>
        <v>110.15999999999985</v>
      </c>
      <c r="BU179" s="60">
        <f>+Tabla_master_rend[[#This Row],[Diferencia_Env_vs_Sec_kg]]/Tabla_master_rend[[#This Row],[Kg_SalidaSecadero]]</f>
        <v>6.4773328629387818E-3</v>
      </c>
      <c r="BV179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79" s="65">
        <f>+(Tabla_master_rend[[#This Row],[Coste_Leche_€]]-Tabla_master_rend[[#This Row],[Kg_MG_Nata]]*$CO$3)/Tabla_master_rend[[#This Row],[Kg_Queso_Blan]]</f>
        <v>-0.82871690438256307</v>
      </c>
      <c r="BX179" s="8">
        <f>SUM(Tabla_master_rend[[#This Row],[Kg_Finos]:[Kg_Desmoldeo]])+Tabla_master_rend[[#This Row],[L_Agua]]+SUM(Tabla_master_rend[[#This Row],[B_altas]:[B_lab]])</f>
        <v>1084.8400076125652</v>
      </c>
      <c r="BY179" s="8">
        <f>+BX179-Tabla_master_rend[[#This Row],[Merma_TOT]]</f>
        <v>582.04</v>
      </c>
      <c r="BZ179" s="62">
        <f t="shared" si="52"/>
        <v>0.53652151092851941</v>
      </c>
      <c r="CA179" s="8">
        <f>+Tabla_master_rend[[#This Row],[Kg_Queso_Blan]]*$CA$1</f>
        <v>113.15746004948167</v>
      </c>
      <c r="CB179" s="8">
        <f>+Tabla_master_rend[[#This Row],[Kg_Queso_Blan]]*($CB$1-$CA$1)</f>
        <v>60.930940026643988</v>
      </c>
      <c r="CC179" s="8">
        <f>+(Tabla_master_rend[[#This Row],[Kg_Queso_Blan]]-CA179-CB179)*$CC$1</f>
        <v>180.96489187913264</v>
      </c>
      <c r="CD179" s="8">
        <f t="shared" si="53"/>
        <v>355.05329195525826</v>
      </c>
      <c r="CE179" s="80">
        <f>+CD179/Tabla_master_rend[[#This Row],[Kg_Queso_Blan]]</f>
        <v>2.0395E-2</v>
      </c>
      <c r="CF179" s="62">
        <f>+Tabla_master_rend[[#This Row],[Merma_TOT]]/Tabla_master_rend[[#This Row],[Kg_Queso_Blan]]</f>
        <v>2.8881878826659334E-2</v>
      </c>
      <c r="CG179" s="8">
        <f>CD179-Tabla_master_rend[[#This Row],[Merma_TOT]]</f>
        <v>-147.74671565730699</v>
      </c>
      <c r="CH179" s="81" cm="1">
        <f t="array" ref="CH179">-BR179 * IFERROR(INDEX('Precio Leche_EBITDA_Ventas'!$BD$87:$BD$110,MATCH(1,('Precio Leche_EBITDA_Ventas'!$AZ$87:$AZ$110=YEAR(A179))*('Precio Leche_EBITDA_Ventas'!$BB$87:$BB$110=C179),0)),1.3)</f>
        <v>-1020.6840154535074</v>
      </c>
      <c r="CI179" s="81">
        <f t="shared" si="54"/>
        <v>-192.07073035449909</v>
      </c>
    </row>
    <row r="180" spans="1:87" x14ac:dyDescent="0.35">
      <c r="A180" s="9">
        <v>46078</v>
      </c>
      <c r="B180" s="7">
        <v>2</v>
      </c>
      <c r="C180" s="7" t="str">
        <f>+UPPER(TEXT(Tabla_master_rend[[#This Row],[Fecha]],"MMM"))</f>
        <v>FEB</v>
      </c>
      <c r="D180" s="7" t="str">
        <f>+UPPER(TEXT(Tabla_master_rend[[#This Row],[Fecha]],"ddd"))</f>
        <v>MI</v>
      </c>
      <c r="E180" s="122">
        <v>250226116</v>
      </c>
      <c r="F180" s="3" t="s">
        <v>244</v>
      </c>
      <c r="G180" t="s">
        <v>299</v>
      </c>
      <c r="H180">
        <v>9</v>
      </c>
      <c r="I180" s="8">
        <f>+Tabla_master_rend[[#This Row],[L_Leche_ent]]+Tabla_master_rend[[#This Row],[L_desn_ext]]+Tabla_master_rend[[#This Row],[L_cabra]]+Tabla_master_rend[[#This Row],[L_oveja]]</f>
        <v>134330</v>
      </c>
      <c r="J180" s="8">
        <v>134330</v>
      </c>
      <c r="K180" s="66">
        <v>4.3400000000000001E-2</v>
      </c>
      <c r="L180" s="66">
        <v>3.3799999999999997E-2</v>
      </c>
      <c r="M180" s="5">
        <f t="shared" si="49"/>
        <v>0.113374</v>
      </c>
      <c r="N180" s="3" t="s">
        <v>43</v>
      </c>
      <c r="O180" s="8">
        <v>0</v>
      </c>
      <c r="P180" s="8">
        <v>0</v>
      </c>
      <c r="Q180" s="8">
        <v>0</v>
      </c>
      <c r="R180" s="8">
        <v>6424</v>
      </c>
      <c r="S180" s="8">
        <v>157.5</v>
      </c>
      <c r="T180" s="8">
        <v>124600</v>
      </c>
      <c r="U180" s="38">
        <f>+Tabla_master_rend[[#This Row],[L_suero Total]]/Tabla_master_rend[[#This Row],[Litros_Leche_Total]]</f>
        <v>0.92756644085461182</v>
      </c>
      <c r="V180" s="66">
        <v>0</v>
      </c>
      <c r="W180" s="66">
        <v>8.0999999999999996E-3</v>
      </c>
      <c r="X180" s="8">
        <v>123231</v>
      </c>
      <c r="Y180" s="57">
        <v>34235</v>
      </c>
      <c r="Z180" s="58">
        <f>IF(Tabla_master_rend[[#This Row],[L_suero para con]]=0,0,+Tabla_master_rend[[#This Row],[L_suero para con]]/Tabla_master_rend[[#This Row],[L_suero_con]])</f>
        <v>3.599561851905944</v>
      </c>
      <c r="AA180" s="8">
        <f>+Tabla_master_rend[[#This Row],[L_suero Total]]-Tabla_master_rend[[#This Row],[L_suero para con]]</f>
        <v>1369</v>
      </c>
      <c r="AD180" s="8">
        <v>0</v>
      </c>
      <c r="AE180" s="8">
        <v>0</v>
      </c>
      <c r="AF180" s="8">
        <v>0</v>
      </c>
      <c r="AG180" s="66">
        <v>0</v>
      </c>
      <c r="AH180" s="66">
        <v>0</v>
      </c>
      <c r="AI180" s="7">
        <f>+Tabla_master_rend[[#This Row],[Kg_Finos]]+Tabla_master_rend[[#This Row],[Kg_Llenadora]]+Tabla_master_rend[[#This Row],[Kg_Desmoldeo]]+Tabla_master_rend[[#This Row],[L_Agua]]+Tabla_master_rend[[#This Row],[Kg_SalidaSecadero]]</f>
        <v>14311.41</v>
      </c>
      <c r="AJ180" s="59">
        <f>+Tabla_master_rend[[#This Row],[Litros_Leche_Total]]/Tabla_master_rend[[#This Row],[Kg_Queso_Blan]]</f>
        <v>9.3862170114614845</v>
      </c>
      <c r="AK180" s="59">
        <f>+Tabla_master_rend[[#This Row],[Litros_Leche_Total]]/(Tabla_master_rend[[#This Row],[Kg_Queso_Blan]]-Tabla_master_rend[[#This Row],[Merma_TOT]])</f>
        <v>9.5874122480208523</v>
      </c>
      <c r="AL180" s="59">
        <f>VLOOKUP(G180,REND_TARGET[#All],8,FALSE)</f>
        <v>9.8078500000000002</v>
      </c>
      <c r="AM180" s="7">
        <f>(I180*1.03*Tabla_master_rend[[#This Row],[%MG_Leche]])+(I180*1.03*Tabla_master_rend[[#This Row],[%MP_Leche]])</f>
        <v>10681.384279999998</v>
      </c>
      <c r="AN180" s="137">
        <v>0.22559999999999999</v>
      </c>
      <c r="AO180" s="137">
        <v>0.25480000000000003</v>
      </c>
      <c r="AP180" s="64">
        <v>0.53380000000000005</v>
      </c>
      <c r="AQ180" s="38">
        <f>+Tabla_master_rend[[#This Row],[Kg_Queso_Blan]]*Tabla_master_rend[[#This Row],[ES_QUESO]]/(Tabla_master_rend[[#This Row],[Kg_Solidos_leche]])</f>
        <v>0.71520979469900703</v>
      </c>
      <c r="AR180" s="7">
        <f t="shared" si="50"/>
        <v>2569.6000000000004</v>
      </c>
      <c r="AS180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0.96560003868625766</v>
      </c>
      <c r="AT180" s="62">
        <f>+Tabla_master_rend[[#This Row],[Kg_Queso_Blan]]*Tabla_master_rend[[#This Row],[%PT_QUESO]]/(Tabla_master_rend[[#This Row],[Litros_Leche_Total]]*1.03*Tabla_master_rend[[#This Row],[%MP_Leche]])</f>
        <v>0.77974914585912447</v>
      </c>
      <c r="AU180" s="63">
        <f t="shared" si="51"/>
        <v>19272.000000000004</v>
      </c>
      <c r="AV180" s="7">
        <v>18.010000000000002</v>
      </c>
      <c r="AW180" s="7">
        <v>35.200000000000003</v>
      </c>
      <c r="AX180" s="7">
        <v>3.2</v>
      </c>
      <c r="AY180" s="8">
        <f>SUM(Tabla_master_rend[[#This Row],[Kg_Finos]:[Kg_Desmoldeo]])</f>
        <v>56.410000000000011</v>
      </c>
      <c r="AZ180" s="60">
        <f>+(Tabla_master_rend[[#This Row],[Kg_Finos]]+Tabla_master_rend[[#This Row],[Kg_Llenadora]]+Tabla_master_rend[[#This Row],[Kg_Desmoldeo]])/(Tabla_master_rend[[#This Row],[Kg_Queso_Blan]])</f>
        <v>3.9416102256870575E-3</v>
      </c>
      <c r="BA180" s="7">
        <v>110</v>
      </c>
      <c r="BB180" s="60">
        <f>+Tabla_master_rend[[#This Row],[L_Agua]]/(Tabla_master_rend[[#This Row],[L_Agua]]+Tabla_master_rend[[#This Row],[Kg_SalidaSecadero]])</f>
        <v>7.716590669940372E-3</v>
      </c>
      <c r="BC180" s="8">
        <v>1961</v>
      </c>
      <c r="BD180" s="8">
        <v>1927</v>
      </c>
      <c r="BE180" s="8">
        <v>14036</v>
      </c>
      <c r="BF180" s="8">
        <v>0</v>
      </c>
      <c r="BG180" s="8">
        <v>53</v>
      </c>
      <c r="BH180" s="8">
        <v>0</v>
      </c>
      <c r="BI180" s="8">
        <v>109</v>
      </c>
      <c r="BJ180" s="8">
        <v>57</v>
      </c>
      <c r="BK180" s="8">
        <v>14145</v>
      </c>
      <c r="BL180" s="8">
        <v>0</v>
      </c>
      <c r="BM180" s="8">
        <v>114.09</v>
      </c>
      <c r="BN180" s="8">
        <v>19.829999999999998</v>
      </c>
      <c r="BO180" s="68">
        <f>+SUM(Tabla_master_rend[[#This Row],[B_altas]:[B_lab]])/Tabla_master_rend[[#This Row],[Kg_SalidaSecadero]]</f>
        <v>1.5482502651113467E-2</v>
      </c>
      <c r="BP180" s="68">
        <f>+(Tabla_master_rend[[#This Row],[Kg_mer_env_real]]+Tabla_master_rend[[#This Row],[kg_mer_lab_real]])/Tabla_master_rend[[#This Row],[Kg_SalidaSecadero]]</f>
        <v>9.467656415694593E-3</v>
      </c>
      <c r="BQ180" s="64">
        <f>+Tabla_master_rend[[#This Row],[Merma_TOT]]/Tabla_master_rend[[#This Row],[Kg_Queso_Blan]]</f>
        <v>2.0985353644399816E-2</v>
      </c>
      <c r="BR180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300.33</v>
      </c>
      <c r="BS180" s="138">
        <v>14207.8</v>
      </c>
      <c r="BT180" s="63">
        <f>IF(+Tabla_master_rend[[#This Row],[Kg_Env_Total]]=0,0,Tabla_master_rend[[#This Row],[Kg_Env_Total]]-Tabla_master_rend[[#This Row],[Kg_SalidaSecadero]])</f>
        <v>62.799999999999272</v>
      </c>
      <c r="BU180" s="60">
        <f>+Tabla_master_rend[[#This Row],[Diferencia_Env_vs_Sec_kg]]/Tabla_master_rend[[#This Row],[Kg_SalidaSecadero]]</f>
        <v>4.4397313538352265E-3</v>
      </c>
      <c r="BV180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80" s="65">
        <f>+(Tabla_master_rend[[#This Row],[Coste_Leche_€]]-Tabla_master_rend[[#This Row],[Kg_MG_Nata]]*$CO$3)/Tabla_master_rend[[#This Row],[Kg_Queso_Blan]]</f>
        <v>-1.3466178384939014</v>
      </c>
      <c r="BX180" s="8">
        <f>SUM(Tabla_master_rend[[#This Row],[Kg_Finos]:[Kg_Desmoldeo]])+Tabla_master_rend[[#This Row],[L_Agua]]+SUM(Tabla_master_rend[[#This Row],[B_altas]:[B_lab]])</f>
        <v>385.41</v>
      </c>
      <c r="BY180" s="8">
        <f>+BX180-Tabla_master_rend[[#This Row],[Merma_TOT]]</f>
        <v>85.080000000000041</v>
      </c>
      <c r="BZ180" s="62">
        <f t="shared" si="52"/>
        <v>0.22075192651981015</v>
      </c>
      <c r="CA180" s="8">
        <f>+Tabla_master_rend[[#This Row],[Kg_Queso_Blan]]*$CA$1</f>
        <v>93.024164999999996</v>
      </c>
      <c r="CB180" s="8">
        <f>+Tabla_master_rend[[#This Row],[Kg_Queso_Blan]]*($CB$1-$CA$1)</f>
        <v>50.089935000000004</v>
      </c>
      <c r="CC180" s="8">
        <f>+(Tabla_master_rend[[#This Row],[Kg_Queso_Blan]]-CA180-CB180)*$CC$1</f>
        <v>148.76710695</v>
      </c>
      <c r="CD180" s="8">
        <f t="shared" si="53"/>
        <v>291.88120694999998</v>
      </c>
      <c r="CE180" s="80">
        <f>+CD180/Tabla_master_rend[[#This Row],[Kg_Queso_Blan]]</f>
        <v>2.0395E-2</v>
      </c>
      <c r="CF180" s="62">
        <f>+Tabla_master_rend[[#This Row],[Merma_TOT]]/Tabla_master_rend[[#This Row],[Kg_Queso_Blan]]</f>
        <v>2.0985353644399816E-2</v>
      </c>
      <c r="CG180" s="8">
        <f>CD180-Tabla_master_rend[[#This Row],[Merma_TOT]]</f>
        <v>-8.4487930500000061</v>
      </c>
      <c r="CH180" s="81" cm="1">
        <f t="array" ref="CH180">-BR180 * IFERROR(INDEX('Precio Leche_EBITDA_Ventas'!$BD$87:$BD$110,MATCH(1,('Precio Leche_EBITDA_Ventas'!$AZ$87:$AZ$110=YEAR(A180))*('Precio Leche_EBITDA_Ventas'!$BB$87:$BB$110=C180),0)),1.3)</f>
        <v>-609.66989999999987</v>
      </c>
      <c r="CI180" s="81">
        <f t="shared" si="54"/>
        <v>-10.983430965000009</v>
      </c>
    </row>
    <row r="181" spans="1:87" x14ac:dyDescent="0.35">
      <c r="A181" s="9">
        <v>46084</v>
      </c>
      <c r="B181" s="7">
        <v>3</v>
      </c>
      <c r="C181" s="7" t="str">
        <f>+UPPER(TEXT(Tabla_master_rend[[#This Row],[Fecha]],"MMM"))</f>
        <v>MAR</v>
      </c>
      <c r="D181" s="7" t="str">
        <f>+UPPER(TEXT(Tabla_master_rend[[#This Row],[Fecha]],"ddd"))</f>
        <v>MA</v>
      </c>
      <c r="E181" s="139" t="s">
        <v>527</v>
      </c>
      <c r="F181" s="3" t="s">
        <v>244</v>
      </c>
      <c r="G181" t="s">
        <v>40</v>
      </c>
      <c r="H181">
        <v>10</v>
      </c>
      <c r="I181" s="8">
        <f>+Tabla_master_rend[[#This Row],[L_Leche_ent]]+Tabla_master_rend[[#This Row],[L_desn_ext]]+Tabla_master_rend[[#This Row],[L_cabra]]+Tabla_master_rend[[#This Row],[L_oveja]]</f>
        <v>166512</v>
      </c>
      <c r="J181" s="8">
        <v>166512</v>
      </c>
      <c r="K181" s="66">
        <v>4.0599999999999997E-2</v>
      </c>
      <c r="L181" s="66">
        <v>3.3500000000000002E-2</v>
      </c>
      <c r="M181" s="5">
        <f t="shared" si="49"/>
        <v>0.11054799999999999</v>
      </c>
      <c r="N181" s="3" t="s">
        <v>188</v>
      </c>
      <c r="O181" s="8">
        <v>0</v>
      </c>
      <c r="P181" s="8">
        <v>0</v>
      </c>
      <c r="Q181" s="8">
        <v>0</v>
      </c>
      <c r="R181" s="8">
        <v>2426</v>
      </c>
      <c r="S181" s="8">
        <v>0</v>
      </c>
      <c r="T181" s="8">
        <v>141100</v>
      </c>
      <c r="U181" s="38">
        <f>+Tabla_master_rend[[#This Row],[L_suero Total]]/Tabla_master_rend[[#This Row],[Litros_Leche_Total]]</f>
        <v>0.84738637455558763</v>
      </c>
      <c r="V181" s="66">
        <v>2.8999999999999998E-3</v>
      </c>
      <c r="W181" s="66">
        <v>9.2999999999999992E-3</v>
      </c>
      <c r="X181" s="8">
        <v>54662</v>
      </c>
      <c r="Y181" s="57">
        <v>12171</v>
      </c>
      <c r="Z181" s="58">
        <f>IF(Tabla_master_rend[[#This Row],[L_suero para con]]=0,0,+Tabla_master_rend[[#This Row],[L_suero para con]]/Tabla_master_rend[[#This Row],[L_suero_con]])</f>
        <v>4.4911675293730999</v>
      </c>
      <c r="AA181" s="8">
        <f>+Tabla_master_rend[[#This Row],[L_suero Total]]-Tabla_master_rend[[#This Row],[L_suero para con]]</f>
        <v>86438</v>
      </c>
      <c r="AD181" s="8">
        <v>33754</v>
      </c>
      <c r="AE181" s="8">
        <v>0</v>
      </c>
      <c r="AF181" s="8">
        <v>0</v>
      </c>
      <c r="AG181" s="140"/>
      <c r="AH181" s="140"/>
      <c r="AI181" s="7">
        <f>+Tabla_master_rend[[#This Row],[Kg_Finos]]+Tabla_master_rend[[#This Row],[Kg_Llenadora]]+Tabla_master_rend[[#This Row],[Kg_Desmoldeo]]+Tabla_master_rend[[#This Row],[L_Agua]]+Tabla_master_rend[[#This Row],[Kg_SalidaSecadero]]</f>
        <v>19433.02</v>
      </c>
      <c r="AJ181" s="59">
        <f>+Tabla_master_rend[[#This Row],[Litros_Leche_Total]]/Tabla_master_rend[[#This Row],[Kg_Queso_Blan]]</f>
        <v>8.5685086517689992</v>
      </c>
      <c r="AK181" s="59">
        <f>+Tabla_master_rend[[#This Row],[Litros_Leche_Total]]/(Tabla_master_rend[[#This Row],[Kg_Queso_Blan]]-Tabla_master_rend[[#This Row],[Merma_TOT]])</f>
        <v>8.782102468410443</v>
      </c>
      <c r="AL181" s="59">
        <f>VLOOKUP(G181,REND_TARGET[#All],8,FALSE)</f>
        <v>8.9338729999999984</v>
      </c>
      <c r="AM181" s="7">
        <f>(I181*1.03*Tabla_master_rend[[#This Row],[%MG_Leche]])+(I181*1.03*Tabla_master_rend[[#This Row],[%MP_Leche]])</f>
        <v>12708.695376</v>
      </c>
      <c r="AN181" s="137">
        <v>0.29380000000000001</v>
      </c>
      <c r="AO181" s="137">
        <v>0.2235</v>
      </c>
      <c r="AP181" s="64">
        <v>0.56610000000000005</v>
      </c>
      <c r="AQ181" s="38">
        <f>+Tabla_master_rend[[#This Row],[Kg_Queso_Blan]]*Tabla_master_rend[[#This Row],[ES_QUESO]]/(Tabla_master_rend[[#This Row],[Kg_Solidos_leche]])</f>
        <v>0.86563036539337701</v>
      </c>
      <c r="AR181" s="7">
        <f t="shared" si="50"/>
        <v>970.40000000000009</v>
      </c>
      <c r="AS181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0.95930354029977483</v>
      </c>
      <c r="AT181" s="62">
        <f>+Tabla_master_rend[[#This Row],[Kg_Queso_Blan]]*Tabla_master_rend[[#This Row],[%PT_QUESO]]/(Tabla_master_rend[[#This Row],[Litros_Leche_Total]]*1.03*Tabla_master_rend[[#This Row],[%MP_Leche]])</f>
        <v>0.75594509972172019</v>
      </c>
      <c r="AU181" s="63">
        <f t="shared" si="51"/>
        <v>7278.0000000000009</v>
      </c>
      <c r="AV181" s="7">
        <v>41.52</v>
      </c>
      <c r="AW181" s="7">
        <v>31.3</v>
      </c>
      <c r="AX181" s="7">
        <v>2.2000000000000002</v>
      </c>
      <c r="AY181" s="8">
        <f>SUM(Tabla_master_rend[[#This Row],[Kg_Finos]:[Kg_Desmoldeo]])</f>
        <v>75.02000000000001</v>
      </c>
      <c r="AZ181" s="60">
        <f>+(Tabla_master_rend[[#This Row],[Kg_Finos]]+Tabla_master_rend[[#This Row],[Kg_Llenadora]]+Tabla_master_rend[[#This Row],[Kg_Desmoldeo]])/(Tabla_master_rend[[#This Row],[Kg_Queso_Blan]])</f>
        <v>3.8604396022851829E-3</v>
      </c>
      <c r="BA181" s="7">
        <v>250</v>
      </c>
      <c r="BB181" s="60">
        <f>+Tabla_master_rend[[#This Row],[L_Agua]]/(Tabla_master_rend[[#This Row],[L_Agua]]+Tabla_master_rend[[#This Row],[Kg_SalidaSecadero]])</f>
        <v>1.2914557288976133E-2</v>
      </c>
      <c r="BC181" s="8">
        <v>2703</v>
      </c>
      <c r="BD181" s="8">
        <v>2673</v>
      </c>
      <c r="BE181" s="8">
        <v>19165</v>
      </c>
      <c r="BF181" s="8">
        <v>85</v>
      </c>
      <c r="BG181" s="8">
        <v>5</v>
      </c>
      <c r="BH181" s="8">
        <v>22</v>
      </c>
      <c r="BI181" s="8">
        <v>53</v>
      </c>
      <c r="BJ181" s="8">
        <v>113</v>
      </c>
      <c r="BK181" s="8">
        <v>19108</v>
      </c>
      <c r="BL181" s="8">
        <v>0</v>
      </c>
      <c r="BM181" s="8">
        <v>124.38</v>
      </c>
      <c r="BN181" s="8">
        <v>23.24</v>
      </c>
      <c r="BO181" s="68">
        <f>+SUM(Tabla_master_rend[[#This Row],[B_altas]:[B_lab]])/Tabla_master_rend[[#This Row],[Kg_SalidaSecadero]]</f>
        <v>1.4548880050240737E-2</v>
      </c>
      <c r="BP181" s="68">
        <f>+(Tabla_master_rend[[#This Row],[Kg_mer_env_real]]+Tabla_master_rend[[#This Row],[kg_mer_lab_real]])/Tabla_master_rend[[#This Row],[Kg_SalidaSecadero]]</f>
        <v>7.7255599748796318E-3</v>
      </c>
      <c r="BQ181" s="64">
        <f>+Tabla_master_rend[[#This Row],[Merma_TOT]]/Tabla_master_rend[[#This Row],[Kg_Queso_Blan]]</f>
        <v>2.4321489917676201E-2</v>
      </c>
      <c r="BR181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472.64</v>
      </c>
      <c r="BS181" s="138">
        <v>18603.210000000003</v>
      </c>
      <c r="BT181" s="63">
        <f>IF(+Tabla_master_rend[[#This Row],[Kg_Env_Total]]=0,0,Tabla_master_rend[[#This Row],[Kg_Env_Total]]-Tabla_master_rend[[#This Row],[Kg_SalidaSecadero]])</f>
        <v>-504.78999999999724</v>
      </c>
      <c r="BU181" s="60">
        <f>+Tabla_master_rend[[#This Row],[Diferencia_Env_vs_Sec_kg]]/Tabla_master_rend[[#This Row],[Kg_SalidaSecadero]]</f>
        <v>-2.6417730793384823E-2</v>
      </c>
      <c r="BV181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81" s="65">
        <f>+(Tabla_master_rend[[#This Row],[Coste_Leche_€]]-Tabla_master_rend[[#This Row],[Kg_MG_Nata]]*$CO$3)/Tabla_master_rend[[#This Row],[Kg_Queso_Blan]]</f>
        <v>-0.37451718775568599</v>
      </c>
      <c r="BX181" s="8">
        <f>SUM(Tabla_master_rend[[#This Row],[Kg_Finos]:[Kg_Desmoldeo]])+Tabla_master_rend[[#This Row],[L_Agua]]+SUM(Tabla_master_rend[[#This Row],[B_altas]:[B_lab]])</f>
        <v>603.02</v>
      </c>
      <c r="BY181" s="8">
        <f>+BX181-Tabla_master_rend[[#This Row],[Merma_TOT]]</f>
        <v>130.38</v>
      </c>
      <c r="BZ181" s="62">
        <f t="shared" si="52"/>
        <v>0.21621173427083679</v>
      </c>
      <c r="CA181" s="8">
        <f>+Tabla_master_rend[[#This Row],[Kg_Queso_Blan]]*$CA$1</f>
        <v>126.31462999999999</v>
      </c>
      <c r="CB181" s="8">
        <f>+Tabla_master_rend[[#This Row],[Kg_Queso_Blan]]*($CB$1-$CA$1)</f>
        <v>68.015570000000011</v>
      </c>
      <c r="CC181" s="8">
        <f>+(Tabla_master_rend[[#This Row],[Kg_Queso_Blan]]-CA181-CB181)*$CC$1</f>
        <v>202.00624290000002</v>
      </c>
      <c r="CD181" s="8">
        <f t="shared" si="53"/>
        <v>396.33644290000001</v>
      </c>
      <c r="CE181" s="80">
        <f>+CD181/Tabla_master_rend[[#This Row],[Kg_Queso_Blan]]</f>
        <v>2.0395E-2</v>
      </c>
      <c r="CF181" s="62">
        <f>+Tabla_master_rend[[#This Row],[Merma_TOT]]/Tabla_master_rend[[#This Row],[Kg_Queso_Blan]]</f>
        <v>2.4321489917676201E-2</v>
      </c>
      <c r="CG181" s="8">
        <f>CD181-Tabla_master_rend[[#This Row],[Merma_TOT]]</f>
        <v>-76.303557099999978</v>
      </c>
      <c r="CH181" s="81" cm="1">
        <f t="array" ref="CH181">-BR181 * IFERROR(INDEX('Precio Leche_EBITDA_Ventas'!$BD$87:$BD$110,MATCH(1,('Precio Leche_EBITDA_Ventas'!$AZ$87:$AZ$110=YEAR(A181))*('Precio Leche_EBITDA_Ventas'!$BB$87:$BB$110=C181),0)),1.3)</f>
        <v>0</v>
      </c>
      <c r="CI181" s="81">
        <f t="shared" si="54"/>
        <v>-99.194624229999974</v>
      </c>
    </row>
    <row r="182" spans="1:87" x14ac:dyDescent="0.35">
      <c r="A182" s="9">
        <v>46086</v>
      </c>
      <c r="B182" s="7">
        <v>3</v>
      </c>
      <c r="C182" s="7" t="str">
        <f>+UPPER(TEXT(Tabla_master_rend[[#This Row],[Fecha]],"MMM"))</f>
        <v>MAR</v>
      </c>
      <c r="D182" s="7" t="str">
        <f>+UPPER(TEXT(Tabla_master_rend[[#This Row],[Fecha]],"ddd"))</f>
        <v>JU</v>
      </c>
      <c r="E182" s="139" t="s">
        <v>528</v>
      </c>
      <c r="F182" s="3" t="s">
        <v>244</v>
      </c>
      <c r="G182" t="s">
        <v>40</v>
      </c>
      <c r="H182">
        <v>8</v>
      </c>
      <c r="I182" s="8">
        <f>+Tabla_master_rend[[#This Row],[L_Leche_ent]]+Tabla_master_rend[[#This Row],[L_desn_ext]]+Tabla_master_rend[[#This Row],[L_cabra]]+Tabla_master_rend[[#This Row],[L_oveja]]</f>
        <v>128947</v>
      </c>
      <c r="J182" s="8">
        <v>128947</v>
      </c>
      <c r="K182" s="66">
        <v>4.0300000000000002E-2</v>
      </c>
      <c r="L182" s="66">
        <v>3.4200000000000001E-2</v>
      </c>
      <c r="M182" s="5">
        <f t="shared" si="49"/>
        <v>0.11078700000000001</v>
      </c>
      <c r="N182" s="3" t="s">
        <v>188</v>
      </c>
      <c r="O182" s="8">
        <v>0</v>
      </c>
      <c r="P182" s="8">
        <v>0</v>
      </c>
      <c r="Q182" s="8">
        <v>0</v>
      </c>
      <c r="R182" s="8">
        <v>2121</v>
      </c>
      <c r="S182" s="8">
        <v>394.86</v>
      </c>
      <c r="T182" s="8">
        <v>114170</v>
      </c>
      <c r="U182" s="38">
        <f>+Tabla_master_rend[[#This Row],[L_suero Total]]/Tabla_master_rend[[#This Row],[Litros_Leche_Total]]</f>
        <v>0.88540252972151345</v>
      </c>
      <c r="V182" s="66">
        <v>0</v>
      </c>
      <c r="W182" s="66">
        <v>1.0200000000000001E-2</v>
      </c>
      <c r="X182" s="8">
        <v>113300</v>
      </c>
      <c r="Y182" s="57">
        <v>32700</v>
      </c>
      <c r="Z182" s="58">
        <f>IF(Tabla_master_rend[[#This Row],[L_suero para con]]=0,0,+Tabla_master_rend[[#This Row],[L_suero para con]]/Tabla_master_rend[[#This Row],[L_suero_con]])</f>
        <v>3.4648318042813457</v>
      </c>
      <c r="AA182" s="8">
        <f>+Tabla_master_rend[[#This Row],[L_suero Total]]-Tabla_master_rend[[#This Row],[L_suero para con]]</f>
        <v>870</v>
      </c>
      <c r="AD182" s="8">
        <v>0</v>
      </c>
      <c r="AE182" s="8">
        <v>0</v>
      </c>
      <c r="AF182" s="8">
        <v>0</v>
      </c>
      <c r="AG182" s="66">
        <v>0</v>
      </c>
      <c r="AH182" s="66">
        <v>0</v>
      </c>
      <c r="AI182" s="7">
        <f>+Tabla_master_rend[[#This Row],[Kg_Finos]]+Tabla_master_rend[[#This Row],[Kg_Llenadora]]+Tabla_master_rend[[#This Row],[Kg_Desmoldeo]]+Tabla_master_rend[[#This Row],[L_Agua]]+Tabla_master_rend[[#This Row],[Kg_SalidaSecadero]]</f>
        <v>15611.64</v>
      </c>
      <c r="AJ182" s="59">
        <f>+Tabla_master_rend[[#This Row],[Litros_Leche_Total]]/Tabla_master_rend[[#This Row],[Kg_Queso_Blan]]</f>
        <v>8.2596703485348115</v>
      </c>
      <c r="AK182" s="59">
        <f>+Tabla_master_rend[[#This Row],[Litros_Leche_Total]]/(Tabla_master_rend[[#This Row],[Kg_Queso_Blan]]-Tabla_master_rend[[#This Row],[Merma_TOT]])</f>
        <v>8.4606562131334488</v>
      </c>
      <c r="AL182" s="59">
        <f>VLOOKUP(G182,REND_TARGET[#All],8,FALSE)</f>
        <v>8.9338729999999984</v>
      </c>
      <c r="AM182" s="7">
        <f>(I182*1.03*Tabla_master_rend[[#This Row],[%MG_Leche]])+(I182*1.03*Tabla_master_rend[[#This Row],[%MP_Leche]])</f>
        <v>9894.7480450000003</v>
      </c>
      <c r="AN182" s="137">
        <v>0.28560000000000002</v>
      </c>
      <c r="AO182" s="137">
        <v>0.2218</v>
      </c>
      <c r="AP182" s="64">
        <v>0.55659999999999998</v>
      </c>
      <c r="AQ182" s="38">
        <f>+Tabla_master_rend[[#This Row],[Kg_Queso_Blan]]*Tabla_master_rend[[#This Row],[ES_QUESO]]/(Tabla_master_rend[[#This Row],[Kg_Solidos_leche]])</f>
        <v>0.87818697196548967</v>
      </c>
      <c r="AR182" s="7">
        <f t="shared" si="50"/>
        <v>848.40000000000009</v>
      </c>
      <c r="AS182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0.99152228501898221</v>
      </c>
      <c r="AT182" s="62">
        <f>+Tabla_master_rend[[#This Row],[Kg_Queso_Blan]]*Tabla_master_rend[[#This Row],[%PT_QUESO]]/(Tabla_master_rend[[#This Row],[Litros_Leche_Total]]*1.03*Tabla_master_rend[[#This Row],[%MP_Leche]])</f>
        <v>0.76231680984249339</v>
      </c>
      <c r="AU182" s="63">
        <f t="shared" si="51"/>
        <v>6363.0000000000009</v>
      </c>
      <c r="AV182" s="7">
        <v>41.04</v>
      </c>
      <c r="AW182" s="7">
        <v>10.4</v>
      </c>
      <c r="AX182" s="7">
        <v>2.2000000000000002</v>
      </c>
      <c r="AY182" s="8">
        <f>SUM(Tabla_master_rend[[#This Row],[Kg_Finos]:[Kg_Desmoldeo]])</f>
        <v>53.64</v>
      </c>
      <c r="AZ182" s="60">
        <f>+(Tabla_master_rend[[#This Row],[Kg_Finos]]+Tabla_master_rend[[#This Row],[Kg_Llenadora]]+Tabla_master_rend[[#This Row],[Kg_Desmoldeo]])/(Tabla_master_rend[[#This Row],[Kg_Queso_Blan]])</f>
        <v>3.4358978300806321E-3</v>
      </c>
      <c r="BA182" s="7">
        <v>190</v>
      </c>
      <c r="BB182" s="60">
        <f>+Tabla_master_rend[[#This Row],[L_Agua]]/(Tabla_master_rend[[#This Row],[L_Agua]]+Tabla_master_rend[[#This Row],[Kg_SalidaSecadero]])</f>
        <v>1.2212366628101299E-2</v>
      </c>
      <c r="BC182" s="8">
        <v>2178</v>
      </c>
      <c r="BD182" s="8">
        <v>2135</v>
      </c>
      <c r="BE182" s="8">
        <v>15282</v>
      </c>
      <c r="BF182" s="8">
        <v>303</v>
      </c>
      <c r="BG182" s="8">
        <v>78</v>
      </c>
      <c r="BH182" s="8">
        <v>0</v>
      </c>
      <c r="BI182" s="8">
        <v>88</v>
      </c>
      <c r="BJ182" s="8">
        <v>110</v>
      </c>
      <c r="BK182" s="8">
        <v>15368</v>
      </c>
      <c r="BL182" s="8">
        <v>0</v>
      </c>
      <c r="BM182" s="8">
        <v>106.99</v>
      </c>
      <c r="BN182" s="8">
        <v>20.23</v>
      </c>
      <c r="BO182" s="68">
        <f>+SUM(Tabla_master_rend[[#This Row],[B_altas]:[B_lab]])/Tabla_master_rend[[#This Row],[Kg_SalidaSecadero]]</f>
        <v>3.7675689744924516E-2</v>
      </c>
      <c r="BP182" s="68">
        <f>+(Tabla_master_rend[[#This Row],[Kg_mer_env_real]]+Tabla_master_rend[[#This Row],[kg_mer_lab_real]])/Tabla_master_rend[[#This Row],[Kg_SalidaSecadero]]</f>
        <v>8.2782404997397193E-3</v>
      </c>
      <c r="BQ182" s="64">
        <f>+Tabla_master_rend[[#This Row],[Merma_TOT]]/Tabla_master_rend[[#This Row],[Kg_Queso_Blan]]</f>
        <v>2.375535177598254E-2</v>
      </c>
      <c r="BR182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370.86</v>
      </c>
      <c r="BS182" s="138">
        <v>15221.19</v>
      </c>
      <c r="BT182" s="63">
        <f>IF(+Tabla_master_rend[[#This Row],[Kg_Env_Total]]=0,0,Tabla_master_rend[[#This Row],[Kg_Env_Total]]-Tabla_master_rend[[#This Row],[Kg_SalidaSecadero]])</f>
        <v>-146.80999999999949</v>
      </c>
      <c r="BU182" s="60">
        <f>+Tabla_master_rend[[#This Row],[Diferencia_Env_vs_Sec_kg]]/Tabla_master_rend[[#This Row],[Kg_SalidaSecadero]]</f>
        <v>-9.5529672045809137E-3</v>
      </c>
      <c r="BV182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82" s="65">
        <f>+(Tabla_master_rend[[#This Row],[Coste_Leche_€]]-Tabla_master_rend[[#This Row],[Kg_MG_Nata]]*$CO$3)/Tabla_master_rend[[#This Row],[Kg_Queso_Blan]]</f>
        <v>-0.40758049762869253</v>
      </c>
      <c r="BX182" s="8">
        <f>SUM(Tabla_master_rend[[#This Row],[Kg_Finos]:[Kg_Desmoldeo]])+Tabla_master_rend[[#This Row],[L_Agua]]+SUM(Tabla_master_rend[[#This Row],[B_altas]:[B_lab]])</f>
        <v>822.64</v>
      </c>
      <c r="BY182" s="8">
        <f>+BX182-Tabla_master_rend[[#This Row],[Merma_TOT]]</f>
        <v>451.78</v>
      </c>
      <c r="BZ182" s="62">
        <f t="shared" si="52"/>
        <v>0.54918311776718853</v>
      </c>
      <c r="CA182" s="8">
        <f>+Tabla_master_rend[[#This Row],[Kg_Queso_Blan]]*$CA$1</f>
        <v>101.47565999999999</v>
      </c>
      <c r="CB182" s="8">
        <f>+Tabla_master_rend[[#This Row],[Kg_Queso_Blan]]*($CB$1-$CA$1)</f>
        <v>54.640740000000008</v>
      </c>
      <c r="CC182" s="8">
        <f>+(Tabla_master_rend[[#This Row],[Kg_Queso_Blan]]-CA182-CB182)*$CC$1</f>
        <v>162.2829978</v>
      </c>
      <c r="CD182" s="8">
        <f t="shared" si="53"/>
        <v>318.39939779999997</v>
      </c>
      <c r="CE182" s="80">
        <f>+CD182/Tabla_master_rend[[#This Row],[Kg_Queso_Blan]]</f>
        <v>2.0395E-2</v>
      </c>
      <c r="CF182" s="62">
        <f>+Tabla_master_rend[[#This Row],[Merma_TOT]]/Tabla_master_rend[[#This Row],[Kg_Queso_Blan]]</f>
        <v>2.375535177598254E-2</v>
      </c>
      <c r="CG182" s="8">
        <f>CD182-Tabla_master_rend[[#This Row],[Merma_TOT]]</f>
        <v>-52.460602200000039</v>
      </c>
      <c r="CH182" s="81" cm="1">
        <f t="array" ref="CH182">-BR182 * IFERROR(INDEX('Precio Leche_EBITDA_Ventas'!$BD$87:$BD$110,MATCH(1,('Precio Leche_EBITDA_Ventas'!$AZ$87:$AZ$110=YEAR(A182))*('Precio Leche_EBITDA_Ventas'!$BB$87:$BB$110=C182),0)),1.3)</f>
        <v>0</v>
      </c>
      <c r="CI182" s="81">
        <f t="shared" si="54"/>
        <v>-68.198782860000051</v>
      </c>
    </row>
    <row r="183" spans="1:87" x14ac:dyDescent="0.35">
      <c r="A183" s="9">
        <v>46091</v>
      </c>
      <c r="B183" s="7">
        <v>3</v>
      </c>
      <c r="C183" s="7" t="str">
        <f>+UPPER(TEXT(Tabla_master_rend[[#This Row],[Fecha]],"MMM"))</f>
        <v>MAR</v>
      </c>
      <c r="D183" s="7" t="str">
        <f>+UPPER(TEXT(Tabla_master_rend[[#This Row],[Fecha]],"ddd"))</f>
        <v>MA</v>
      </c>
      <c r="E183" s="122">
        <v>100326326</v>
      </c>
      <c r="F183" s="3" t="s">
        <v>244</v>
      </c>
      <c r="G183" t="s">
        <v>301</v>
      </c>
      <c r="H183">
        <v>14</v>
      </c>
      <c r="I183" s="8">
        <f>+Tabla_master_rend[[#This Row],[L_Leche_ent]]+Tabla_master_rend[[#This Row],[L_desn_ext]]+Tabla_master_rend[[#This Row],[L_cabra]]+Tabla_master_rend[[#This Row],[L_oveja]]</f>
        <v>221858</v>
      </c>
      <c r="J183" s="8">
        <v>221858</v>
      </c>
      <c r="K183" s="66">
        <v>4.2500000000000003E-2</v>
      </c>
      <c r="L183" s="66">
        <v>3.3700000000000001E-2</v>
      </c>
      <c r="M183" s="5">
        <f t="shared" si="49"/>
        <v>0.11246300000000001</v>
      </c>
      <c r="N183" s="3" t="s">
        <v>188</v>
      </c>
      <c r="O183" s="8">
        <v>0</v>
      </c>
      <c r="P183" s="8">
        <v>0</v>
      </c>
      <c r="Q183" s="8">
        <v>0</v>
      </c>
      <c r="R183" s="8">
        <v>5350</v>
      </c>
      <c r="S183" s="8">
        <v>0</v>
      </c>
      <c r="T183" s="8">
        <v>195640</v>
      </c>
      <c r="U183" s="38">
        <f>+Tabla_master_rend[[#This Row],[L_suero Total]]/Tabla_master_rend[[#This Row],[Litros_Leche_Total]]</f>
        <v>0.8818253116858531</v>
      </c>
      <c r="V183" s="66">
        <v>2.5999999999999999E-3</v>
      </c>
      <c r="W183" s="66">
        <v>8.8000000000000005E-3</v>
      </c>
      <c r="X183" s="8">
        <v>132629</v>
      </c>
      <c r="Y183" s="57">
        <v>36192</v>
      </c>
      <c r="Z183" s="58">
        <f>IF(Tabla_master_rend[[#This Row],[L_suero para con]]=0,0,+Tabla_master_rend[[#This Row],[L_suero para con]]/Tabla_master_rend[[#This Row],[L_suero_con]])</f>
        <v>3.6645943854995577</v>
      </c>
      <c r="AA183" s="8">
        <f>+Tabla_master_rend[[#This Row],[L_suero Total]]-Tabla_master_rend[[#This Row],[L_suero para con]]</f>
        <v>63011</v>
      </c>
      <c r="AD183" s="8">
        <v>7266</v>
      </c>
      <c r="AE183" s="8">
        <v>0</v>
      </c>
      <c r="AF183" s="8">
        <v>0</v>
      </c>
      <c r="AG183" s="140"/>
      <c r="AH183" s="140"/>
      <c r="AI183" s="7">
        <f>+Tabla_master_rend[[#This Row],[Kg_Finos]]+Tabla_master_rend[[#This Row],[Kg_Llenadora]]+Tabla_master_rend[[#This Row],[Kg_Desmoldeo]]+Tabla_master_rend[[#This Row],[L_Agua]]+Tabla_master_rend[[#This Row],[Kg_SalidaSecadero]]</f>
        <v>25037.599999999999</v>
      </c>
      <c r="AJ183" s="59">
        <f>+Tabla_master_rend[[#This Row],[Litros_Leche_Total]]/Tabla_master_rend[[#This Row],[Kg_Queso_Blan]]</f>
        <v>8.860993066428092</v>
      </c>
      <c r="AK183" s="59">
        <f>+Tabla_master_rend[[#This Row],[Litros_Leche_Total]]/(Tabla_master_rend[[#This Row],[Kg_Queso_Blan]]-Tabla_master_rend[[#This Row],[Merma_TOT]])</f>
        <v>9.0382374748437666</v>
      </c>
      <c r="AL183" s="59">
        <f>VLOOKUP(G183,REND_TARGET[#All],8,FALSE)</f>
        <v>9.3549429999999987</v>
      </c>
      <c r="AM183" s="7">
        <f>(I183*1.03*Tabla_master_rend[[#This Row],[%MG_Leche]])+(I183*1.03*Tabla_master_rend[[#This Row],[%MP_Leche]])</f>
        <v>17412.746988000003</v>
      </c>
      <c r="AN183" s="137">
        <v>0.28660000000000002</v>
      </c>
      <c r="AO183" s="137">
        <v>0.2407</v>
      </c>
      <c r="AP183" s="64">
        <v>0.5736</v>
      </c>
      <c r="AQ183" s="38">
        <f>+Tabla_master_rend[[#This Row],[Kg_Queso_Blan]]*Tabla_master_rend[[#This Row],[ES_QUESO]]/(Tabla_master_rend[[#This Row],[Kg_Solidos_leche]])</f>
        <v>0.82477321756855915</v>
      </c>
      <c r="AR183" s="7">
        <f t="shared" si="50"/>
        <v>2140</v>
      </c>
      <c r="AS183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0.95921905254568318</v>
      </c>
      <c r="AT183" s="62">
        <f>+Tabla_master_rend[[#This Row],[Kg_Queso_Blan]]*Tabla_master_rend[[#This Row],[%PT_QUESO]]/(Tabla_master_rend[[#This Row],[Litros_Leche_Total]]*1.03*Tabla_master_rend[[#This Row],[%MP_Leche]])</f>
        <v>0.78257607770170989</v>
      </c>
      <c r="AU183" s="63">
        <f t="shared" si="51"/>
        <v>16050</v>
      </c>
      <c r="AV183" s="7">
        <v>36.1</v>
      </c>
      <c r="AW183" s="7">
        <v>58.8</v>
      </c>
      <c r="AX183" s="7">
        <v>1.7</v>
      </c>
      <c r="AY183" s="8">
        <f>SUM(Tabla_master_rend[[#This Row],[Kg_Finos]:[Kg_Desmoldeo]])</f>
        <v>96.600000000000009</v>
      </c>
      <c r="AZ183" s="60">
        <f>+(Tabla_master_rend[[#This Row],[Kg_Finos]]+Tabla_master_rend[[#This Row],[Kg_Llenadora]]+Tabla_master_rend[[#This Row],[Kg_Desmoldeo]])/(Tabla_master_rend[[#This Row],[Kg_Queso_Blan]])</f>
        <v>3.8581972713039596E-3</v>
      </c>
      <c r="BA183" s="7">
        <v>235</v>
      </c>
      <c r="BB183" s="60">
        <f>+Tabla_master_rend[[#This Row],[L_Agua]]/(Tabla_master_rend[[#This Row],[L_Agua]]+Tabla_master_rend[[#This Row],[Kg_SalidaSecadero]])</f>
        <v>9.4222364780882882E-3</v>
      </c>
      <c r="BC183" s="8">
        <v>3365</v>
      </c>
      <c r="BD183" s="8">
        <v>3338</v>
      </c>
      <c r="BE183" s="8">
        <v>24774</v>
      </c>
      <c r="BF183" s="8">
        <v>825</v>
      </c>
      <c r="BG183" s="8">
        <v>36</v>
      </c>
      <c r="BH183" s="8">
        <v>6</v>
      </c>
      <c r="BI183" s="8">
        <v>36</v>
      </c>
      <c r="BJ183" s="8">
        <v>89</v>
      </c>
      <c r="BK183" s="8">
        <v>24706</v>
      </c>
      <c r="BL183" s="8">
        <v>0</v>
      </c>
      <c r="BM183" s="8">
        <v>132.84</v>
      </c>
      <c r="BN183" s="8">
        <v>26.56</v>
      </c>
      <c r="BO183" s="68">
        <f>+SUM(Tabla_master_rend[[#This Row],[B_altas]:[B_lab]])/Tabla_master_rend[[#This Row],[Kg_SalidaSecadero]]</f>
        <v>4.0152189751477371E-2</v>
      </c>
      <c r="BP183" s="68">
        <f>+(Tabla_master_rend[[#This Row],[Kg_mer_env_real]]+Tabla_master_rend[[#This Row],[kg_mer_lab_real]])/Tabla_master_rend[[#This Row],[Kg_SalidaSecadero]]</f>
        <v>6.4518740386950539E-3</v>
      </c>
      <c r="BQ183" s="64">
        <f>+Tabla_master_rend[[#This Row],[Merma_TOT]]/Tabla_master_rend[[#This Row],[Kg_Queso_Blan]]</f>
        <v>1.9610505799277887E-2</v>
      </c>
      <c r="BR183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491</v>
      </c>
      <c r="BS183" s="138">
        <v>24833.18</v>
      </c>
      <c r="BT183" s="63">
        <f>IF(+Tabla_master_rend[[#This Row],[Kg_Env_Total]]=0,0,Tabla_master_rend[[#This Row],[Kg_Env_Total]]-Tabla_master_rend[[#This Row],[Kg_SalidaSecadero]])</f>
        <v>127.18000000000029</v>
      </c>
      <c r="BU183" s="60">
        <f>+Tabla_master_rend[[#This Row],[Diferencia_Env_vs_Sec_kg]]/Tabla_master_rend[[#This Row],[Kg_SalidaSecadero]]</f>
        <v>5.1477373917267182E-3</v>
      </c>
      <c r="BV183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83" s="65">
        <f>+(Tabla_master_rend[[#This Row],[Coste_Leche_€]]-Tabla_master_rend[[#This Row],[Kg_MG_Nata]]*$CO$3)/Tabla_master_rend[[#This Row],[Kg_Queso_Blan]]</f>
        <v>-0.64103588203342177</v>
      </c>
      <c r="BX183" s="8">
        <f>SUM(Tabla_master_rend[[#This Row],[Kg_Finos]:[Kg_Desmoldeo]])+Tabla_master_rend[[#This Row],[L_Agua]]+SUM(Tabla_master_rend[[#This Row],[B_altas]:[B_lab]])</f>
        <v>1323.6</v>
      </c>
      <c r="BY183" s="8">
        <f>+BX183-Tabla_master_rend[[#This Row],[Merma_TOT]]</f>
        <v>832.59999999999991</v>
      </c>
      <c r="BZ183" s="62">
        <f t="shared" si="52"/>
        <v>0.62904200664853427</v>
      </c>
      <c r="CA183" s="8">
        <f>+Tabla_master_rend[[#This Row],[Kg_Queso_Blan]]*$CA$1</f>
        <v>162.74439999999998</v>
      </c>
      <c r="CB183" s="8">
        <f>+Tabla_master_rend[[#This Row],[Kg_Queso_Blan]]*($CB$1-$CA$1)</f>
        <v>87.631600000000006</v>
      </c>
      <c r="CC183" s="8">
        <f>+(Tabla_master_rend[[#This Row],[Kg_Queso_Blan]]-CA183-CB183)*$CC$1</f>
        <v>260.265852</v>
      </c>
      <c r="CD183" s="8">
        <f t="shared" si="53"/>
        <v>510.64185199999997</v>
      </c>
      <c r="CE183" s="80">
        <f>+CD183/Tabla_master_rend[[#This Row],[Kg_Queso_Blan]]</f>
        <v>2.0395E-2</v>
      </c>
      <c r="CF183" s="62">
        <f>+Tabla_master_rend[[#This Row],[Merma_TOT]]/Tabla_master_rend[[#This Row],[Kg_Queso_Blan]]</f>
        <v>1.9610505799277887E-2</v>
      </c>
      <c r="CG183" s="8">
        <f>CD183-Tabla_master_rend[[#This Row],[Merma_TOT]]</f>
        <v>19.641851999999972</v>
      </c>
      <c r="CH183" s="81" cm="1">
        <f t="array" ref="CH183">-BR183 * IFERROR(INDEX('Precio Leche_EBITDA_Ventas'!$BD$87:$BD$110,MATCH(1,('Precio Leche_EBITDA_Ventas'!$AZ$87:$AZ$110=YEAR(A183))*('Precio Leche_EBITDA_Ventas'!$BB$87:$BB$110=C183),0)),1.3)</f>
        <v>0</v>
      </c>
      <c r="CI183" s="81">
        <f t="shared" si="54"/>
        <v>25.534407599999962</v>
      </c>
    </row>
    <row r="184" spans="1:87" x14ac:dyDescent="0.35">
      <c r="A184" s="9">
        <v>46093</v>
      </c>
      <c r="B184" s="7">
        <v>3</v>
      </c>
      <c r="C184" s="7" t="str">
        <f>+UPPER(TEXT(Tabla_master_rend[[#This Row],[Fecha]],"MMM"))</f>
        <v>MAR</v>
      </c>
      <c r="D184" s="7" t="str">
        <f>+UPPER(TEXT(Tabla_master_rend[[#This Row],[Fecha]],"ddd"))</f>
        <v>JU</v>
      </c>
      <c r="E184" s="122">
        <v>120326326</v>
      </c>
      <c r="F184" s="3" t="s">
        <v>244</v>
      </c>
      <c r="G184" t="s">
        <v>301</v>
      </c>
      <c r="H184">
        <v>18</v>
      </c>
      <c r="I184" s="8">
        <f>+Tabla_master_rend[[#This Row],[L_Leche_ent]]+Tabla_master_rend[[#This Row],[L_desn_ext]]+Tabla_master_rend[[#This Row],[L_cabra]]+Tabla_master_rend[[#This Row],[L_oveja]]</f>
        <v>275665</v>
      </c>
      <c r="J184" s="8">
        <v>275665</v>
      </c>
      <c r="K184" s="66">
        <v>4.19E-2</v>
      </c>
      <c r="L184" s="66">
        <v>3.4000000000000002E-2</v>
      </c>
      <c r="M184" s="5">
        <f t="shared" si="49"/>
        <v>0.112127</v>
      </c>
      <c r="N184" s="3" t="s">
        <v>188</v>
      </c>
      <c r="O184" s="8">
        <v>0</v>
      </c>
      <c r="P184" s="8">
        <v>0</v>
      </c>
      <c r="Q184" s="8">
        <v>0</v>
      </c>
      <c r="R184" s="8">
        <v>5909</v>
      </c>
      <c r="S184" s="8">
        <v>431</v>
      </c>
      <c r="T184" s="8">
        <v>250120</v>
      </c>
      <c r="U184" s="38">
        <f>+Tabla_master_rend[[#This Row],[L_suero Total]]/Tabla_master_rend[[#This Row],[Litros_Leche_Total]]</f>
        <v>0.90733317613770337</v>
      </c>
      <c r="V184" s="66">
        <v>1E-4</v>
      </c>
      <c r="W184" s="66">
        <v>8.8999999999999999E-3</v>
      </c>
      <c r="X184" s="8">
        <v>247642</v>
      </c>
      <c r="Y184" s="57">
        <v>71875</v>
      </c>
      <c r="Z184" s="58">
        <f>IF(Tabla_master_rend[[#This Row],[L_suero para con]]=0,0,+Tabla_master_rend[[#This Row],[L_suero para con]]/Tabla_master_rend[[#This Row],[L_suero_con]])</f>
        <v>3.4454539130434783</v>
      </c>
      <c r="AA184" s="8">
        <f>+Tabla_master_rend[[#This Row],[L_suero Total]]-Tabla_master_rend[[#This Row],[L_suero para con]]</f>
        <v>2478</v>
      </c>
      <c r="AD184" s="8">
        <v>0</v>
      </c>
      <c r="AE184" s="8">
        <v>0</v>
      </c>
      <c r="AF184" s="8">
        <v>0</v>
      </c>
      <c r="AG184" s="66">
        <v>0</v>
      </c>
      <c r="AH184" s="66">
        <v>0</v>
      </c>
      <c r="AI184" s="7">
        <f>+Tabla_master_rend[[#This Row],[Kg_Finos]]+Tabla_master_rend[[#This Row],[Kg_Llenadora]]+Tabla_master_rend[[#This Row],[Kg_Desmoldeo]]+Tabla_master_rend[[#This Row],[L_Agua]]+Tabla_master_rend[[#This Row],[Kg_SalidaSecadero]]</f>
        <v>31744.75</v>
      </c>
      <c r="AJ184" s="59">
        <f>+Tabla_master_rend[[#This Row],[Litros_Leche_Total]]/Tabla_master_rend[[#This Row],[Kg_Queso_Blan]]</f>
        <v>8.6837981083486238</v>
      </c>
      <c r="AK184" s="59">
        <f>+Tabla_master_rend[[#This Row],[Litros_Leche_Total]]/(Tabla_master_rend[[#This Row],[Kg_Queso_Blan]]-Tabla_master_rend[[#This Row],[Merma_TOT]])</f>
        <v>8.8634815172785881</v>
      </c>
      <c r="AL184" s="59">
        <f>VLOOKUP(G184,REND_TARGET[#All],8,FALSE)</f>
        <v>9.3549429999999987</v>
      </c>
      <c r="AM184" s="7">
        <f>(I184*1.03*Tabla_master_rend[[#This Row],[%MG_Leche]])+(I184*1.03*Tabla_master_rend[[#This Row],[%MP_Leche]])</f>
        <v>21550.662705000002</v>
      </c>
      <c r="AN184" s="137">
        <v>0.2873</v>
      </c>
      <c r="AO184" s="137">
        <v>0.2407</v>
      </c>
      <c r="AP184" s="64">
        <v>0.57350000000000001</v>
      </c>
      <c r="AQ184" s="38">
        <f>+Tabla_master_rend[[#This Row],[Kg_Queso_Blan]]*Tabla_master_rend[[#This Row],[ES_QUESO]]/(Tabla_master_rend[[#This Row],[Kg_Solidos_leche]])</f>
        <v>0.84478210133074416</v>
      </c>
      <c r="AR184" s="7">
        <f t="shared" si="50"/>
        <v>2363.6</v>
      </c>
      <c r="AS184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0.96528434982667199</v>
      </c>
      <c r="AT184" s="62">
        <f>+Tabla_master_rend[[#This Row],[Kg_Queso_Blan]]*Tabla_master_rend[[#This Row],[%PT_QUESO]]/(Tabla_master_rend[[#This Row],[Litros_Leche_Total]]*1.03*Tabla_master_rend[[#This Row],[%MP_Leche]])</f>
        <v>0.79149874510921259</v>
      </c>
      <c r="AU184" s="63">
        <f t="shared" si="51"/>
        <v>17727</v>
      </c>
      <c r="AV184" s="7">
        <v>42.75</v>
      </c>
      <c r="AW184" s="7">
        <v>72</v>
      </c>
      <c r="AX184" s="7">
        <v>21</v>
      </c>
      <c r="AY184" s="8">
        <f>SUM(Tabla_master_rend[[#This Row],[Kg_Finos]:[Kg_Desmoldeo]])</f>
        <v>135.75</v>
      </c>
      <c r="AZ184" s="60">
        <f>+(Tabla_master_rend[[#This Row],[Kg_Finos]]+Tabla_master_rend[[#This Row],[Kg_Llenadora]]+Tabla_master_rend[[#This Row],[Kg_Desmoldeo]])/(Tabla_master_rend[[#This Row],[Kg_Queso_Blan]])</f>
        <v>4.2762976555178415E-3</v>
      </c>
      <c r="BA184" s="7">
        <v>300</v>
      </c>
      <c r="BB184" s="60">
        <f>+Tabla_master_rend[[#This Row],[L_Agua]]/(Tabla_master_rend[[#This Row],[L_Agua]]+Tabla_master_rend[[#This Row],[Kg_SalidaSecadero]])</f>
        <v>9.4909677623461666E-3</v>
      </c>
      <c r="BC184" s="8">
        <v>4259</v>
      </c>
      <c r="BD184" s="8">
        <v>4225</v>
      </c>
      <c r="BE184" s="8">
        <v>31386</v>
      </c>
      <c r="BF184" s="8">
        <v>146</v>
      </c>
      <c r="BG184" s="8">
        <v>43</v>
      </c>
      <c r="BH184" s="8">
        <v>30</v>
      </c>
      <c r="BI184" s="8">
        <v>49</v>
      </c>
      <c r="BJ184" s="8">
        <v>101</v>
      </c>
      <c r="BK184" s="8">
        <v>31309</v>
      </c>
      <c r="BL184" s="8">
        <v>0</v>
      </c>
      <c r="BM184" s="8">
        <v>187.73</v>
      </c>
      <c r="BN184" s="8">
        <v>20.059999999999999</v>
      </c>
      <c r="BO184" s="68">
        <f>+SUM(Tabla_master_rend[[#This Row],[B_altas]:[B_lab]])/Tabla_master_rend[[#This Row],[Kg_SalidaSecadero]]</f>
        <v>1.1785748506819125E-2</v>
      </c>
      <c r="BP184" s="68">
        <f>+(Tabla_master_rend[[#This Row],[Kg_mer_env_real]]+Tabla_master_rend[[#This Row],[kg_mer_lab_real]])/Tabla_master_rend[[#This Row],[Kg_SalidaSecadero]]</f>
        <v>6.6367498163467367E-3</v>
      </c>
      <c r="BQ184" s="64">
        <f>+Tabla_master_rend[[#This Row],[Merma_TOT]]/Tabla_master_rend[[#This Row],[Kg_Queso_Blan]]</f>
        <v>2.0272328495262996E-2</v>
      </c>
      <c r="BR184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643.54</v>
      </c>
      <c r="BS184" s="138">
        <v>31507.89</v>
      </c>
      <c r="BT184" s="63">
        <f>IF(+Tabla_master_rend[[#This Row],[Kg_Env_Total]]=0,0,Tabla_master_rend[[#This Row],[Kg_Env_Total]]-Tabla_master_rend[[#This Row],[Kg_SalidaSecadero]])</f>
        <v>198.88999999999942</v>
      </c>
      <c r="BU184" s="60">
        <f>+Tabla_master_rend[[#This Row],[Diferencia_Env_vs_Sec_kg]]/Tabla_master_rend[[#This Row],[Kg_SalidaSecadero]]</f>
        <v>6.3524865054776398E-3</v>
      </c>
      <c r="BV184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84" s="65">
        <f>+(Tabla_master_rend[[#This Row],[Coste_Leche_€]]-Tabla_master_rend[[#This Row],[Kg_MG_Nata]]*$CO$3)/Tabla_master_rend[[#This Row],[Kg_Queso_Blan]]</f>
        <v>-0.55842304633049555</v>
      </c>
      <c r="BX184" s="8">
        <f>SUM(Tabla_master_rend[[#This Row],[Kg_Finos]:[Kg_Desmoldeo]])+Tabla_master_rend[[#This Row],[L_Agua]]+SUM(Tabla_master_rend[[#This Row],[B_altas]:[B_lab]])</f>
        <v>804.75</v>
      </c>
      <c r="BY184" s="8">
        <f>+BX184-Tabla_master_rend[[#This Row],[Merma_TOT]]</f>
        <v>161.21000000000004</v>
      </c>
      <c r="BZ184" s="62">
        <f t="shared" si="52"/>
        <v>0.2003230817023921</v>
      </c>
      <c r="CA184" s="8">
        <f>+Tabla_master_rend[[#This Row],[Kg_Queso_Blan]]*$CA$1</f>
        <v>206.34087499999998</v>
      </c>
      <c r="CB184" s="8">
        <f>+Tabla_master_rend[[#This Row],[Kg_Queso_Blan]]*($CB$1-$CA$1)</f>
        <v>111.10662500000002</v>
      </c>
      <c r="CC184" s="8">
        <f>+(Tabla_master_rend[[#This Row],[Kg_Queso_Blan]]-CA184-CB184)*$CC$1</f>
        <v>329.98667625000002</v>
      </c>
      <c r="CD184" s="8">
        <f t="shared" si="53"/>
        <v>647.43417625000006</v>
      </c>
      <c r="CE184" s="80">
        <f>+CD184/Tabla_master_rend[[#This Row],[Kg_Queso_Blan]]</f>
        <v>2.0395000000000003E-2</v>
      </c>
      <c r="CF184" s="62">
        <f>+Tabla_master_rend[[#This Row],[Merma_TOT]]/Tabla_master_rend[[#This Row],[Kg_Queso_Blan]]</f>
        <v>2.0272328495262996E-2</v>
      </c>
      <c r="CG184" s="8">
        <f>CD184-Tabla_master_rend[[#This Row],[Merma_TOT]]</f>
        <v>3.8941762500001005</v>
      </c>
      <c r="CH184" s="81" cm="1">
        <f t="array" ref="CH184">-BR184 * IFERROR(INDEX('Precio Leche_EBITDA_Ventas'!$BD$87:$BD$110,MATCH(1,('Precio Leche_EBITDA_Ventas'!$AZ$87:$AZ$110=YEAR(A184))*('Precio Leche_EBITDA_Ventas'!$BB$87:$BB$110=C184),0)),1.3)</f>
        <v>0</v>
      </c>
      <c r="CI184" s="81">
        <f t="shared" si="54"/>
        <v>5.062429125000131</v>
      </c>
    </row>
    <row r="185" spans="1:87" x14ac:dyDescent="0.35">
      <c r="A185" s="9">
        <v>46098</v>
      </c>
      <c r="B185" s="7">
        <v>3</v>
      </c>
      <c r="C185" s="7" t="str">
        <f>+UPPER(TEXT(Tabla_master_rend[[#This Row],[Fecha]],"MMM"))</f>
        <v>MAR</v>
      </c>
      <c r="D185" s="7" t="str">
        <f>+UPPER(TEXT(Tabla_master_rend[[#This Row],[Fecha]],"ddd"))</f>
        <v>MA</v>
      </c>
      <c r="E185" s="122">
        <v>170326316</v>
      </c>
      <c r="F185" s="3" t="s">
        <v>244</v>
      </c>
      <c r="G185" t="s">
        <v>299</v>
      </c>
      <c r="H185">
        <v>16</v>
      </c>
      <c r="I185" s="8">
        <f>+Tabla_master_rend[[#This Row],[L_Leche_ent]]+Tabla_master_rend[[#This Row],[L_desn_ext]]+Tabla_master_rend[[#This Row],[L_cabra]]+Tabla_master_rend[[#This Row],[L_oveja]]</f>
        <v>247921</v>
      </c>
      <c r="J185" s="8">
        <v>247921</v>
      </c>
      <c r="K185" s="66">
        <v>4.1799999999999997E-2</v>
      </c>
      <c r="L185" s="66">
        <v>3.3700000000000001E-2</v>
      </c>
      <c r="M185" s="5">
        <f t="shared" si="49"/>
        <v>0.11181200000000001</v>
      </c>
      <c r="N185" s="3" t="s">
        <v>43</v>
      </c>
      <c r="O185" s="8">
        <v>0</v>
      </c>
      <c r="P185" s="8">
        <v>0</v>
      </c>
      <c r="Q185" s="8">
        <v>0</v>
      </c>
      <c r="R185" s="8">
        <v>10980</v>
      </c>
      <c r="S185" s="8">
        <v>0</v>
      </c>
      <c r="T185" s="8">
        <v>217130</v>
      </c>
      <c r="U185" s="38">
        <f>+Tabla_master_rend[[#This Row],[L_suero Total]]/Tabla_master_rend[[#This Row],[Litros_Leche_Total]]</f>
        <v>0.87580317923854778</v>
      </c>
      <c r="V185" s="66">
        <v>1.2999999999999999E-3</v>
      </c>
      <c r="W185" s="66">
        <v>8.2000000000000007E-3</v>
      </c>
      <c r="X185" s="8">
        <v>55942</v>
      </c>
      <c r="Y185" s="57">
        <v>37291</v>
      </c>
      <c r="Z185" s="58">
        <f>IF(Tabla_master_rend[[#This Row],[L_suero para con]]=0,0,+Tabla_master_rend[[#This Row],[L_suero para con]]/Tabla_master_rend[[#This Row],[L_suero_con]])</f>
        <v>1.5001474886701884</v>
      </c>
      <c r="AA185" s="8">
        <f>+Tabla_master_rend[[#This Row],[L_suero Total]]-Tabla_master_rend[[#This Row],[L_suero para con]]</f>
        <v>161188</v>
      </c>
      <c r="AD185" s="8">
        <v>37768</v>
      </c>
      <c r="AE185" s="8">
        <v>0</v>
      </c>
      <c r="AF185" s="8">
        <v>0</v>
      </c>
      <c r="AG185" s="140"/>
      <c r="AH185" s="140"/>
      <c r="AI185" s="7">
        <f>+Tabla_master_rend[[#This Row],[Kg_Finos]]+Tabla_master_rend[[#This Row],[Kg_Llenadora]]+Tabla_master_rend[[#This Row],[Kg_Desmoldeo]]+Tabla_master_rend[[#This Row],[L_Agua]]+Tabla_master_rend[[#This Row],[Kg_SalidaSecadero]]</f>
        <v>26562.05</v>
      </c>
      <c r="AJ185" s="59">
        <f>+Tabla_master_rend[[#This Row],[Litros_Leche_Total]]/Tabla_master_rend[[#This Row],[Kg_Queso_Blan]]</f>
        <v>9.3336545936778226</v>
      </c>
      <c r="AK185" s="59">
        <f>+Tabla_master_rend[[#This Row],[Litros_Leche_Total]]/(Tabla_master_rend[[#This Row],[Kg_Queso_Blan]]-Tabla_master_rend[[#This Row],[Merma_TOT]])</f>
        <v>9.4969021806166225</v>
      </c>
      <c r="AL185" s="59">
        <f>VLOOKUP(G185,REND_TARGET[#All],8,FALSE)</f>
        <v>9.8078500000000002</v>
      </c>
      <c r="AM185" s="7">
        <f>(I185*1.03*Tabla_master_rend[[#This Row],[%MG_Leche]])+(I185*1.03*Tabla_master_rend[[#This Row],[%MP_Leche]])</f>
        <v>19279.576564999999</v>
      </c>
      <c r="AN185" s="137">
        <v>0.2208</v>
      </c>
      <c r="AO185" s="137">
        <v>0.24829999999999999</v>
      </c>
      <c r="AP185" s="64">
        <v>0.52249999999999996</v>
      </c>
      <c r="AQ185" s="38">
        <f>+Tabla_master_rend[[#This Row],[Kg_Queso_Blan]]*Tabla_master_rend[[#This Row],[ES_QUESO]]/(Tabla_master_rend[[#This Row],[Kg_Solidos_leche]])</f>
        <v>0.71986389733243605</v>
      </c>
      <c r="AR185" s="7">
        <f t="shared" si="50"/>
        <v>4392</v>
      </c>
      <c r="AS185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0.96092463405730377</v>
      </c>
      <c r="AT185" s="62">
        <f>+Tabla_master_rend[[#This Row],[Kg_Queso_Blan]]*Tabla_master_rend[[#This Row],[%PT_QUESO]]/(Tabla_master_rend[[#This Row],[Litros_Leche_Total]]*1.03*Tabla_master_rend[[#This Row],[%MP_Leche]])</f>
        <v>0.76640418729442794</v>
      </c>
      <c r="AU185" s="63">
        <f t="shared" si="51"/>
        <v>32940</v>
      </c>
      <c r="AV185" s="7">
        <v>41.95</v>
      </c>
      <c r="AW185" s="7">
        <v>39.200000000000003</v>
      </c>
      <c r="AX185" s="7">
        <v>19.899999999999999</v>
      </c>
      <c r="AY185" s="8">
        <f>SUM(Tabla_master_rend[[#This Row],[Kg_Finos]:[Kg_Desmoldeo]])</f>
        <v>101.05000000000001</v>
      </c>
      <c r="AZ185" s="60">
        <f>+(Tabla_master_rend[[#This Row],[Kg_Finos]]+Tabla_master_rend[[#This Row],[Kg_Llenadora]]+Tabla_master_rend[[#This Row],[Kg_Desmoldeo]])/(Tabla_master_rend[[#This Row],[Kg_Queso_Blan]])</f>
        <v>3.804299743430948E-3</v>
      </c>
      <c r="BA185" s="7">
        <v>190</v>
      </c>
      <c r="BB185" s="60">
        <f>+Tabla_master_rend[[#This Row],[L_Agua]]/(Tabla_master_rend[[#This Row],[L_Agua]]+Tabla_master_rend[[#This Row],[Kg_SalidaSecadero]])</f>
        <v>7.1803786704962022E-3</v>
      </c>
      <c r="BC185" s="8">
        <v>3630</v>
      </c>
      <c r="BD185" s="8">
        <v>3583</v>
      </c>
      <c r="BE185" s="8">
        <v>26176</v>
      </c>
      <c r="BF185" s="8">
        <v>0</v>
      </c>
      <c r="BG185" s="8">
        <v>120</v>
      </c>
      <c r="BH185" s="8">
        <v>0</v>
      </c>
      <c r="BI185" s="8">
        <v>78</v>
      </c>
      <c r="BJ185" s="8">
        <v>87</v>
      </c>
      <c r="BK185" s="8">
        <v>26271</v>
      </c>
      <c r="BL185" s="8">
        <v>0</v>
      </c>
      <c r="BM185" s="8">
        <v>135.22</v>
      </c>
      <c r="BN185" s="8">
        <v>30.32</v>
      </c>
      <c r="BO185" s="68">
        <f>+SUM(Tabla_master_rend[[#This Row],[B_altas]:[B_lab]])/Tabla_master_rend[[#This Row],[Kg_SalidaSecadero]]</f>
        <v>1.0848464085874157E-2</v>
      </c>
      <c r="BP185" s="68">
        <f>+(Tabla_master_rend[[#This Row],[Kg_mer_env_real]]+Tabla_master_rend[[#This Row],[kg_mer_lab_real]])/Tabla_master_rend[[#This Row],[Kg_SalidaSecadero]]</f>
        <v>6.3012447185109054E-3</v>
      </c>
      <c r="BQ185" s="64">
        <f>+Tabla_master_rend[[#This Row],[Merma_TOT]]/Tabla_master_rend[[#This Row],[Kg_Queso_Blan]]</f>
        <v>1.718956179963519E-2</v>
      </c>
      <c r="BR185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456.58999999999992</v>
      </c>
      <c r="BS185" s="138">
        <v>25840.84</v>
      </c>
      <c r="BT185" s="63">
        <f>IF(+Tabla_master_rend[[#This Row],[Kg_Env_Total]]=0,0,Tabla_master_rend[[#This Row],[Kg_Env_Total]]-Tabla_master_rend[[#This Row],[Kg_SalidaSecadero]])</f>
        <v>-430.15999999999985</v>
      </c>
      <c r="BU185" s="60">
        <f>+Tabla_master_rend[[#This Row],[Diferencia_Env_vs_Sec_kg]]/Tabla_master_rend[[#This Row],[Kg_SalidaSecadero]]</f>
        <v>-1.637394846027939E-2</v>
      </c>
      <c r="BV185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85" s="65">
        <f>+(Tabla_master_rend[[#This Row],[Coste_Leche_€]]-Tabla_master_rend[[#This Row],[Kg_MG_Nata]]*$CO$3)/Tabla_master_rend[[#This Row],[Kg_Queso_Blan]]</f>
        <v>-1.2401151266562633</v>
      </c>
      <c r="BX185" s="8">
        <f>SUM(Tabla_master_rend[[#This Row],[Kg_Finos]:[Kg_Desmoldeo]])+Tabla_master_rend[[#This Row],[L_Agua]]+SUM(Tabla_master_rend[[#This Row],[B_altas]:[B_lab]])</f>
        <v>576.04999999999995</v>
      </c>
      <c r="BY185" s="8">
        <f>+BX185-Tabla_master_rend[[#This Row],[Merma_TOT]]</f>
        <v>119.46000000000004</v>
      </c>
      <c r="BZ185" s="62">
        <f t="shared" si="52"/>
        <v>0.20737783178543537</v>
      </c>
      <c r="CA185" s="8">
        <f>+Tabla_master_rend[[#This Row],[Kg_Queso_Blan]]*$CA$1</f>
        <v>172.653325</v>
      </c>
      <c r="CB185" s="8">
        <f>+Tabla_master_rend[[#This Row],[Kg_Queso_Blan]]*($CB$1-$CA$1)</f>
        <v>92.967175000000012</v>
      </c>
      <c r="CC185" s="8">
        <f>+(Tabla_master_rend[[#This Row],[Kg_Queso_Blan]]-CA185-CB185)*$CC$1</f>
        <v>276.11250975000002</v>
      </c>
      <c r="CD185" s="8">
        <f t="shared" si="53"/>
        <v>541.73300975000006</v>
      </c>
      <c r="CE185" s="80">
        <f>+CD185/Tabla_master_rend[[#This Row],[Kg_Queso_Blan]]</f>
        <v>2.0395000000000003E-2</v>
      </c>
      <c r="CF185" s="62">
        <f>+Tabla_master_rend[[#This Row],[Merma_TOT]]/Tabla_master_rend[[#This Row],[Kg_Queso_Blan]]</f>
        <v>1.718956179963519E-2</v>
      </c>
      <c r="CG185" s="8">
        <f>CD185-Tabla_master_rend[[#This Row],[Merma_TOT]]</f>
        <v>85.143009750000147</v>
      </c>
      <c r="CH185" s="81" cm="1">
        <f t="array" ref="CH185">-BR185 * IFERROR(INDEX('Precio Leche_EBITDA_Ventas'!$BD$87:$BD$110,MATCH(1,('Precio Leche_EBITDA_Ventas'!$AZ$87:$AZ$110=YEAR(A185))*('Precio Leche_EBITDA_Ventas'!$BB$87:$BB$110=C185),0)),1.3)</f>
        <v>0</v>
      </c>
      <c r="CI185" s="81">
        <f t="shared" si="54"/>
        <v>110.6859126750002</v>
      </c>
    </row>
    <row r="186" spans="1:87" x14ac:dyDescent="0.35">
      <c r="A186" s="9">
        <v>46100</v>
      </c>
      <c r="B186" s="7">
        <v>3</v>
      </c>
      <c r="C186" s="7" t="str">
        <f>+UPPER(TEXT(Tabla_master_rend[[#This Row],[Fecha]],"MMM"))</f>
        <v>MAR</v>
      </c>
      <c r="D186" s="7" t="str">
        <f>+UPPER(TEXT(Tabla_master_rend[[#This Row],[Fecha]],"ddd"))</f>
        <v>JU</v>
      </c>
      <c r="E186" s="122">
        <v>190326326</v>
      </c>
      <c r="F186" s="3" t="s">
        <v>244</v>
      </c>
      <c r="G186" t="s">
        <v>301</v>
      </c>
      <c r="H186">
        <v>18</v>
      </c>
      <c r="I186" s="8">
        <f>+Tabla_master_rend[[#This Row],[L_Leche_ent]]+Tabla_master_rend[[#This Row],[L_desn_ext]]+Tabla_master_rend[[#This Row],[L_cabra]]+Tabla_master_rend[[#This Row],[L_oveja]]</f>
        <v>277986</v>
      </c>
      <c r="J186" s="8">
        <v>277986</v>
      </c>
      <c r="K186" s="66">
        <v>4.2000000000000003E-2</v>
      </c>
      <c r="L186" s="66">
        <v>3.4299999999999997E-2</v>
      </c>
      <c r="M186" s="5">
        <f t="shared" si="49"/>
        <v>0.112442</v>
      </c>
      <c r="N186" s="3" t="s">
        <v>188</v>
      </c>
      <c r="O186" s="8">
        <v>0</v>
      </c>
      <c r="P186" s="8">
        <v>0</v>
      </c>
      <c r="Q186" s="8">
        <v>0</v>
      </c>
      <c r="R186" s="8">
        <v>5968</v>
      </c>
      <c r="S186" s="8">
        <v>449</v>
      </c>
      <c r="T186" s="8">
        <v>246840</v>
      </c>
      <c r="U186" s="38">
        <f>+Tabla_master_rend[[#This Row],[L_suero Total]]/Tabla_master_rend[[#This Row],[Litros_Leche_Total]]</f>
        <v>0.8879583863935594</v>
      </c>
      <c r="V186" s="66">
        <v>2.0000000000000001E-4</v>
      </c>
      <c r="W186" s="66">
        <v>8.6999999999999994E-3</v>
      </c>
      <c r="X186" s="8">
        <v>244207</v>
      </c>
      <c r="Y186" s="57">
        <v>72352</v>
      </c>
      <c r="Z186" s="58">
        <f>IF(Tabla_master_rend[[#This Row],[L_suero para con]]=0,0,+Tabla_master_rend[[#This Row],[L_suero para con]]/Tabla_master_rend[[#This Row],[L_suero_con]])</f>
        <v>3.3752626050420167</v>
      </c>
      <c r="AA186" s="8">
        <f>+Tabla_master_rend[[#This Row],[L_suero Total]]-Tabla_master_rend[[#This Row],[L_suero para con]]</f>
        <v>2633</v>
      </c>
      <c r="AD186" s="8">
        <v>0</v>
      </c>
      <c r="AE186" s="8">
        <v>0</v>
      </c>
      <c r="AF186" s="8">
        <v>0</v>
      </c>
      <c r="AG186" s="66">
        <v>0</v>
      </c>
      <c r="AH186" s="66">
        <v>0</v>
      </c>
      <c r="AI186" s="7">
        <f>+Tabla_master_rend[[#This Row],[Kg_Finos]]+Tabla_master_rend[[#This Row],[Kg_Llenadora]]+Tabla_master_rend[[#This Row],[Kg_Desmoldeo]]+Tabla_master_rend[[#This Row],[L_Agua]]+Tabla_master_rend[[#This Row],[Kg_SalidaSecadero]]</f>
        <v>31882.6</v>
      </c>
      <c r="AJ186" s="59">
        <f>+Tabla_master_rend[[#This Row],[Litros_Leche_Total]]/Tabla_master_rend[[#This Row],[Kg_Queso_Blan]]</f>
        <v>8.7190505165827137</v>
      </c>
      <c r="AK186" s="59">
        <f>+Tabla_master_rend[[#This Row],[Litros_Leche_Total]]/(Tabla_master_rend[[#This Row],[Kg_Queso_Blan]]-Tabla_master_rend[[#This Row],[Merma_TOT]])</f>
        <v>8.8515689081581197</v>
      </c>
      <c r="AL186" s="59">
        <f>VLOOKUP(G186,REND_TARGET[#All],8,FALSE)</f>
        <v>9.3549429999999987</v>
      </c>
      <c r="AM186" s="7">
        <f>(I186*1.03*Tabla_master_rend[[#This Row],[%MG_Leche]])+(I186*1.03*Tabla_master_rend[[#This Row],[%MP_Leche]])</f>
        <v>21846.641754</v>
      </c>
      <c r="AN186" s="137">
        <v>0.28799999999999998</v>
      </c>
      <c r="AO186" s="137">
        <v>0.24210000000000001</v>
      </c>
      <c r="AP186" s="64">
        <v>0.57640000000000002</v>
      </c>
      <c r="AQ186" s="38">
        <f>+Tabla_master_rend[[#This Row],[Kg_Queso_Blan]]*Tabla_master_rend[[#This Row],[ES_QUESO]]/(Tabla_master_rend[[#This Row],[Kg_Solidos_leche]])</f>
        <v>0.84118789729479804</v>
      </c>
      <c r="AR186" s="7">
        <f t="shared" si="50"/>
        <v>2387.2000000000003</v>
      </c>
      <c r="AS186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0.96205738270132224</v>
      </c>
      <c r="AT186" s="62">
        <f>+Tabla_master_rend[[#This Row],[Kg_Queso_Blan]]*Tabla_master_rend[[#This Row],[%PT_QUESO]]/(Tabla_master_rend[[#This Row],[Litros_Leche_Total]]*1.03*Tabla_master_rend[[#This Row],[%MP_Leche]])</f>
        <v>0.78594879204218659</v>
      </c>
      <c r="AU186" s="63">
        <f t="shared" si="51"/>
        <v>17904.000000000004</v>
      </c>
      <c r="AV186" s="7">
        <v>40</v>
      </c>
      <c r="AW186" s="7">
        <v>72.400000000000006</v>
      </c>
      <c r="AX186" s="7">
        <v>2.2000000000000002</v>
      </c>
      <c r="AY186" s="8">
        <f>SUM(Tabla_master_rend[[#This Row],[Kg_Finos]:[Kg_Desmoldeo]])</f>
        <v>114.60000000000001</v>
      </c>
      <c r="AZ186" s="60">
        <f>+(Tabla_master_rend[[#This Row],[Kg_Finos]]+Tabla_master_rend[[#This Row],[Kg_Llenadora]]+Tabla_master_rend[[#This Row],[Kg_Desmoldeo]])/(Tabla_master_rend[[#This Row],[Kg_Queso_Blan]])</f>
        <v>3.5944370910778924E-3</v>
      </c>
      <c r="BA186" s="7">
        <v>250</v>
      </c>
      <c r="BB186" s="60">
        <f>+Tabla_master_rend[[#This Row],[L_Agua]]/(Tabla_master_rend[[#This Row],[L_Agua]]+Tabla_master_rend[[#This Row],[Kg_SalidaSecadero]])</f>
        <v>7.8695542684462348E-3</v>
      </c>
      <c r="BC186" s="8">
        <f>3312+983</f>
        <v>4295</v>
      </c>
      <c r="BD186" s="8">
        <f>3291+978</f>
        <v>4269</v>
      </c>
      <c r="BE186" s="8">
        <f>24453+7153</f>
        <v>31606</v>
      </c>
      <c r="BF186" s="8">
        <v>238</v>
      </c>
      <c r="BG186" s="8">
        <v>48</v>
      </c>
      <c r="BH186" s="8">
        <v>0</v>
      </c>
      <c r="BI186" s="8">
        <v>7</v>
      </c>
      <c r="BJ186" s="8">
        <f>75+32</f>
        <v>107</v>
      </c>
      <c r="BK186" s="8">
        <f>24373+7145</f>
        <v>31518</v>
      </c>
      <c r="BL186" s="8">
        <v>0</v>
      </c>
      <c r="BM186" s="8">
        <v>91.9</v>
      </c>
      <c r="BN186" s="8">
        <v>20.82</v>
      </c>
      <c r="BO186" s="68">
        <f>+SUM(Tabla_master_rend[[#This Row],[B_altas]:[B_lab]])/Tabla_master_rend[[#This Row],[Kg_SalidaSecadero]]</f>
        <v>1.2691160606637476E-2</v>
      </c>
      <c r="BP186" s="68">
        <f>+(Tabla_master_rend[[#This Row],[Kg_mer_env_real]]+Tabla_master_rend[[#This Row],[kg_mer_lab_real]])/Tabla_master_rend[[#This Row],[Kg_SalidaSecadero]]</f>
        <v>3.5763690589504411E-3</v>
      </c>
      <c r="BQ186" s="64">
        <f>+Tabla_master_rend[[#This Row],[Merma_TOT]]/Tabla_master_rend[[#This Row],[Kg_Queso_Blan]]</f>
        <v>1.4971175500116052E-2</v>
      </c>
      <c r="BR186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477.32000000000005</v>
      </c>
      <c r="BS186" s="138">
        <f>24532.16+7168.7</f>
        <v>31700.86</v>
      </c>
      <c r="BT186" s="63">
        <f>IF(+Tabla_master_rend[[#This Row],[Kg_Env_Total]]=0,0,Tabla_master_rend[[#This Row],[Kg_Env_Total]]-Tabla_master_rend[[#This Row],[Kg_SalidaSecadero]])</f>
        <v>182.86000000000058</v>
      </c>
      <c r="BU186" s="60">
        <f>+Tabla_master_rend[[#This Row],[Diferencia_Env_vs_Sec_kg]]/Tabla_master_rend[[#This Row],[Kg_SalidaSecadero]]</f>
        <v>5.8017640713243415E-3</v>
      </c>
      <c r="BV186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86" s="65">
        <f>+(Tabla_master_rend[[#This Row],[Coste_Leche_€]]-Tabla_master_rend[[#This Row],[Kg_MG_Nata]]*$CO$3)/Tabla_master_rend[[#This Row],[Kg_Queso_Blan]]</f>
        <v>-0.56156022407206452</v>
      </c>
      <c r="BX186" s="8">
        <f>SUM(Tabla_master_rend[[#This Row],[Kg_Finos]:[Kg_Desmoldeo]])+Tabla_master_rend[[#This Row],[L_Agua]]+SUM(Tabla_master_rend[[#This Row],[B_altas]:[B_lab]])</f>
        <v>764.6</v>
      </c>
      <c r="BY186" s="8">
        <f>+BX186-Tabla_master_rend[[#This Row],[Merma_TOT]]</f>
        <v>287.27999999999997</v>
      </c>
      <c r="BZ186" s="62">
        <f t="shared" si="52"/>
        <v>0.37572586973580951</v>
      </c>
      <c r="CA186" s="8">
        <f>+Tabla_master_rend[[#This Row],[Kg_Queso_Blan]]*$CA$1</f>
        <v>207.23689999999999</v>
      </c>
      <c r="CB186" s="8">
        <f>+Tabla_master_rend[[#This Row],[Kg_Queso_Blan]]*($CB$1-$CA$1)</f>
        <v>111.58910000000002</v>
      </c>
      <c r="CC186" s="8">
        <f>+(Tabla_master_rend[[#This Row],[Kg_Queso_Blan]]-CA186-CB186)*$CC$1</f>
        <v>331.41962699999999</v>
      </c>
      <c r="CD186" s="8">
        <f t="shared" si="53"/>
        <v>650.24562700000001</v>
      </c>
      <c r="CE186" s="80">
        <f>+CD186/Tabla_master_rend[[#This Row],[Kg_Queso_Blan]]</f>
        <v>2.0395E-2</v>
      </c>
      <c r="CF186" s="62">
        <f>+Tabla_master_rend[[#This Row],[Merma_TOT]]/Tabla_master_rend[[#This Row],[Kg_Queso_Blan]]</f>
        <v>1.4971175500116052E-2</v>
      </c>
      <c r="CG186" s="8">
        <f>CD186-Tabla_master_rend[[#This Row],[Merma_TOT]]</f>
        <v>172.92562699999996</v>
      </c>
      <c r="CH186" s="81" cm="1">
        <f t="array" ref="CH186">-BR186 * IFERROR(INDEX('Precio Leche_EBITDA_Ventas'!$BD$87:$BD$110,MATCH(1,('Precio Leche_EBITDA_Ventas'!$AZ$87:$AZ$110=YEAR(A186))*('Precio Leche_EBITDA_Ventas'!$BB$87:$BB$110=C186),0)),1.3)</f>
        <v>0</v>
      </c>
      <c r="CI186" s="81">
        <f t="shared" si="54"/>
        <v>224.80331509999996</v>
      </c>
    </row>
    <row r="187" spans="1:87" x14ac:dyDescent="0.35">
      <c r="A187" s="9">
        <v>46104</v>
      </c>
      <c r="B187" s="7">
        <v>3</v>
      </c>
      <c r="C187" s="7" t="str">
        <f>+UPPER(TEXT(Tabla_master_rend[[#This Row],[Fecha]],"MMM"))</f>
        <v>MAR</v>
      </c>
      <c r="D187" s="7" t="str">
        <f>+UPPER(TEXT(Tabla_master_rend[[#This Row],[Fecha]],"ddd"))</f>
        <v>LU</v>
      </c>
      <c r="E187" s="122">
        <v>230326346</v>
      </c>
      <c r="F187" s="3" t="s">
        <v>244</v>
      </c>
      <c r="G187" t="s">
        <v>40</v>
      </c>
      <c r="H187">
        <v>10</v>
      </c>
      <c r="I187" s="8">
        <f>+Tabla_master_rend[[#This Row],[L_Leche_ent]]+Tabla_master_rend[[#This Row],[L_desn_ext]]+Tabla_master_rend[[#This Row],[L_cabra]]+Tabla_master_rend[[#This Row],[L_oveja]]</f>
        <v>161451</v>
      </c>
      <c r="J187" s="8">
        <v>161451</v>
      </c>
      <c r="K187" s="66">
        <v>4.0899999999999999E-2</v>
      </c>
      <c r="L187" s="66">
        <v>3.4000000000000002E-2</v>
      </c>
      <c r="M187" s="5">
        <f t="shared" si="49"/>
        <v>0.111197</v>
      </c>
      <c r="N187" s="3" t="s">
        <v>188</v>
      </c>
      <c r="O187" s="8">
        <v>0</v>
      </c>
      <c r="P187" s="8">
        <v>0</v>
      </c>
      <c r="Q187" s="8">
        <v>0</v>
      </c>
      <c r="R187" s="8">
        <v>2410</v>
      </c>
      <c r="S187" s="8">
        <v>314</v>
      </c>
      <c r="T187" s="8">
        <v>143210</v>
      </c>
      <c r="U187" s="38">
        <f>+Tabla_master_rend[[#This Row],[L_suero Total]]/Tabla_master_rend[[#This Row],[Litros_Leche_Total]]</f>
        <v>0.88701835231742143</v>
      </c>
      <c r="V187" s="66">
        <v>1E-4</v>
      </c>
      <c r="W187" s="66">
        <v>9.7000000000000003E-3</v>
      </c>
      <c r="X187" s="8">
        <v>114558</v>
      </c>
      <c r="Y187" s="57">
        <v>33477</v>
      </c>
      <c r="Z187" s="58">
        <f>IF(Tabla_master_rend[[#This Row],[L_suero para con]]=0,0,+Tabla_master_rend[[#This Row],[L_suero para con]]/Tabla_master_rend[[#This Row],[L_suero_con]])</f>
        <v>3.4219912178510619</v>
      </c>
      <c r="AA187" s="8">
        <f>+Tabla_master_rend[[#This Row],[L_suero Total]]-Tabla_master_rend[[#This Row],[L_suero para con]]</f>
        <v>28652</v>
      </c>
      <c r="AD187" s="8">
        <v>0</v>
      </c>
      <c r="AE187" s="8">
        <v>0</v>
      </c>
      <c r="AF187" s="8">
        <v>0</v>
      </c>
      <c r="AG187" s="66">
        <v>0</v>
      </c>
      <c r="AH187" s="66">
        <v>0</v>
      </c>
      <c r="AI187" s="7">
        <f>+Tabla_master_rend[[#This Row],[Kg_Finos]]+Tabla_master_rend[[#This Row],[Kg_Llenadora]]+Tabla_master_rend[[#This Row],[Kg_Desmoldeo]]+Tabla_master_rend[[#This Row],[L_Agua]]+Tabla_master_rend[[#This Row],[Kg_SalidaSecadero]]</f>
        <v>19106.740000000002</v>
      </c>
      <c r="AJ187" s="59">
        <f>+Tabla_master_rend[[#This Row],[Litros_Leche_Total]]/Tabla_master_rend[[#This Row],[Kg_Queso_Blan]]</f>
        <v>8.4499501223128579</v>
      </c>
      <c r="AK187" s="59">
        <f>+Tabla_master_rend[[#This Row],[Litros_Leche_Total]]/(Tabla_master_rend[[#This Row],[Kg_Queso_Blan]]-Tabla_master_rend[[#This Row],[Merma_TOT]])</f>
        <v>8.6547878719002824</v>
      </c>
      <c r="AL187" s="59">
        <f>VLOOKUP(G187,REND_TARGET[#All],8,FALSE)</f>
        <v>8.9338729999999984</v>
      </c>
      <c r="AM187" s="7">
        <f>(I187*1.03*Tabla_master_rend[[#This Row],[%MG_Leche]])+(I187*1.03*Tabla_master_rend[[#This Row],[%MP_Leche]])</f>
        <v>12455.460297000001</v>
      </c>
      <c r="AN187" s="137">
        <v>0.29270000000000002</v>
      </c>
      <c r="AO187" s="137">
        <v>0.22969999999999999</v>
      </c>
      <c r="AP187" s="64">
        <v>0.56540000000000001</v>
      </c>
      <c r="AQ187" s="38">
        <f>+Tabla_master_rend[[#This Row],[Kg_Queso_Blan]]*Tabla_master_rend[[#This Row],[ES_QUESO]]/(Tabla_master_rend[[#This Row],[Kg_Solidos_leche]])</f>
        <v>0.86732650086018737</v>
      </c>
      <c r="AR187" s="7">
        <f t="shared" si="50"/>
        <v>964</v>
      </c>
      <c r="AS187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0.96399244086832336</v>
      </c>
      <c r="AT187" s="62">
        <f>+Tabla_master_rend[[#This Row],[Kg_Queso_Blan]]*Tabla_master_rend[[#This Row],[%PT_QUESO]]/(Tabla_master_rend[[#This Row],[Litros_Leche_Total]]*1.03*Tabla_master_rend[[#This Row],[%MP_Leche]])</f>
        <v>0.77623050853347553</v>
      </c>
      <c r="AU187" s="63">
        <f t="shared" si="51"/>
        <v>7230</v>
      </c>
      <c r="AV187" s="7">
        <v>28.34</v>
      </c>
      <c r="AW187" s="7">
        <v>36</v>
      </c>
      <c r="AX187" s="7">
        <v>14.4</v>
      </c>
      <c r="AY187" s="8">
        <f>SUM(Tabla_master_rend[[#This Row],[Kg_Finos]:[Kg_Desmoldeo]])</f>
        <v>78.740000000000009</v>
      </c>
      <c r="AZ187" s="60">
        <f>+(Tabla_master_rend[[#This Row],[Kg_Finos]]+Tabla_master_rend[[#This Row],[Kg_Llenadora]]+Tabla_master_rend[[#This Row],[Kg_Desmoldeo]])/(Tabla_master_rend[[#This Row],[Kg_Queso_Blan]])</f>
        <v>4.1210588514838222E-3</v>
      </c>
      <c r="BA187" s="7">
        <v>220</v>
      </c>
      <c r="BB187" s="60">
        <f>+Tabla_master_rend[[#This Row],[L_Agua]]/(Tabla_master_rend[[#This Row],[L_Agua]]+Tabla_master_rend[[#This Row],[Kg_SalidaSecadero]])</f>
        <v>1.156190876602901E-2</v>
      </c>
      <c r="BC187" s="8">
        <v>2720</v>
      </c>
      <c r="BD187" s="8">
        <v>2694</v>
      </c>
      <c r="BE187" s="8">
        <v>18865</v>
      </c>
      <c r="BF187" s="8">
        <v>113</v>
      </c>
      <c r="BG187" s="8">
        <v>0</v>
      </c>
      <c r="BH187" s="8">
        <v>0</v>
      </c>
      <c r="BI187" s="8">
        <v>66</v>
      </c>
      <c r="BJ187" s="8">
        <v>97</v>
      </c>
      <c r="BK187" s="8">
        <v>18808</v>
      </c>
      <c r="BL187" s="8">
        <v>0</v>
      </c>
      <c r="BM187" s="8">
        <v>126.47</v>
      </c>
      <c r="BN187" s="8">
        <v>27</v>
      </c>
      <c r="BO187" s="68">
        <f>+SUM(Tabla_master_rend[[#This Row],[B_altas]:[B_lab]])/Tabla_master_rend[[#This Row],[Kg_SalidaSecadero]]</f>
        <v>1.4674606550404083E-2</v>
      </c>
      <c r="BP187" s="68">
        <f>+(Tabla_master_rend[[#This Row],[Kg_mer_env_real]]+Tabla_master_rend[[#This Row],[kg_mer_lab_real]])/Tabla_master_rend[[#This Row],[Kg_SalidaSecadero]]</f>
        <v>8.1598256061250537E-3</v>
      </c>
      <c r="BQ187" s="64">
        <f>+Tabla_master_rend[[#This Row],[Merma_TOT]]/Tabla_master_rend[[#This Row],[Kg_Queso_Blan]]</f>
        <v>2.3667564430143496E-2</v>
      </c>
      <c r="BR187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452.21</v>
      </c>
      <c r="BS187" s="138">
        <v>18702.330000000002</v>
      </c>
      <c r="BT187" s="63">
        <f>IF(+Tabla_master_rend[[#This Row],[Kg_Env_Total]]=0,0,Tabla_master_rend[[#This Row],[Kg_Env_Total]]-Tabla_master_rend[[#This Row],[Kg_SalidaSecadero]])</f>
        <v>-105.66999999999825</v>
      </c>
      <c r="BU187" s="60">
        <f>+Tabla_master_rend[[#This Row],[Diferencia_Env_vs_Sec_kg]]/Tabla_master_rend[[#This Row],[Kg_SalidaSecadero]]</f>
        <v>-5.6183538919607747E-3</v>
      </c>
      <c r="BV187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87" s="65">
        <f>+(Tabla_master_rend[[#This Row],[Coste_Leche_€]]-Tabla_master_rend[[#This Row],[Kg_MG_Nata]]*$CO$3)/Tabla_master_rend[[#This Row],[Kg_Queso_Blan]]</f>
        <v>-0.37840050160309918</v>
      </c>
      <c r="BX187" s="8">
        <f>SUM(Tabla_master_rend[[#This Row],[Kg_Finos]:[Kg_Desmoldeo]])+Tabla_master_rend[[#This Row],[L_Agua]]+SUM(Tabla_master_rend[[#This Row],[B_altas]:[B_lab]])</f>
        <v>574.74</v>
      </c>
      <c r="BY187" s="8">
        <f>+BX187-Tabla_master_rend[[#This Row],[Merma_TOT]]</f>
        <v>122.53000000000003</v>
      </c>
      <c r="BZ187" s="62">
        <f t="shared" si="52"/>
        <v>0.21319205205832206</v>
      </c>
      <c r="CA187" s="8">
        <f>+Tabla_master_rend[[#This Row],[Kg_Queso_Blan]]*$CA$1</f>
        <v>124.19381</v>
      </c>
      <c r="CB187" s="8">
        <f>+Tabla_master_rend[[#This Row],[Kg_Queso_Blan]]*($CB$1-$CA$1)</f>
        <v>66.873590000000021</v>
      </c>
      <c r="CC187" s="8">
        <f>+(Tabla_master_rend[[#This Row],[Kg_Queso_Blan]]-CA187-CB187)*$CC$1</f>
        <v>198.61456230000002</v>
      </c>
      <c r="CD187" s="8">
        <f t="shared" si="53"/>
        <v>389.68196230000001</v>
      </c>
      <c r="CE187" s="80">
        <f>+CD187/Tabla_master_rend[[#This Row],[Kg_Queso_Blan]]</f>
        <v>2.0395E-2</v>
      </c>
      <c r="CF187" s="62">
        <f>+Tabla_master_rend[[#This Row],[Merma_TOT]]/Tabla_master_rend[[#This Row],[Kg_Queso_Blan]]</f>
        <v>2.3667564430143496E-2</v>
      </c>
      <c r="CG187" s="8">
        <f>CD187-Tabla_master_rend[[#This Row],[Merma_TOT]]</f>
        <v>-62.52803769999997</v>
      </c>
      <c r="CH187" s="81" cm="1">
        <f t="array" ref="CH187">-BR187 * IFERROR(INDEX('Precio Leche_EBITDA_Ventas'!$BD$87:$BD$110,MATCH(1,('Precio Leche_EBITDA_Ventas'!$AZ$87:$AZ$110=YEAR(A187))*('Precio Leche_EBITDA_Ventas'!$BB$87:$BB$110=C187),0)),1.3)</f>
        <v>0</v>
      </c>
      <c r="CI187" s="81">
        <f t="shared" si="54"/>
        <v>-81.28644900999997</v>
      </c>
    </row>
    <row r="188" spans="1:87" x14ac:dyDescent="0.35">
      <c r="A188" s="9">
        <v>46105</v>
      </c>
      <c r="B188" s="7">
        <v>3</v>
      </c>
      <c r="C188" s="7" t="str">
        <f>+UPPER(TEXT(Tabla_master_rend[[#This Row],[Fecha]],"MMM"))</f>
        <v>MAR</v>
      </c>
      <c r="D188" s="7" t="str">
        <f>+UPPER(TEXT(Tabla_master_rend[[#This Row],[Fecha]],"ddd"))</f>
        <v>MA</v>
      </c>
      <c r="E188" s="122">
        <v>240326316</v>
      </c>
      <c r="F188" s="3" t="s">
        <v>244</v>
      </c>
      <c r="G188" t="s">
        <v>299</v>
      </c>
      <c r="H188">
        <v>13</v>
      </c>
      <c r="I188" s="8">
        <f>+Tabla_master_rend[[#This Row],[L_Leche_ent]]+Tabla_master_rend[[#This Row],[L_desn_ext]]+Tabla_master_rend[[#This Row],[L_cabra]]+Tabla_master_rend[[#This Row],[L_oveja]]</f>
        <v>207542</v>
      </c>
      <c r="J188" s="8">
        <v>207542</v>
      </c>
      <c r="K188" s="66">
        <v>4.1599999999999998E-2</v>
      </c>
      <c r="L188" s="66">
        <v>3.4299999999999997E-2</v>
      </c>
      <c r="M188" s="5">
        <f t="shared" si="49"/>
        <v>0.11207</v>
      </c>
      <c r="N188" s="3" t="s">
        <v>188</v>
      </c>
      <c r="O188" s="8">
        <v>0</v>
      </c>
      <c r="P188" s="8">
        <v>0</v>
      </c>
      <c r="Q188" s="8">
        <v>0</v>
      </c>
      <c r="R188" s="8">
        <v>8740</v>
      </c>
      <c r="S188" s="8">
        <v>0</v>
      </c>
      <c r="T188" s="8">
        <v>181350</v>
      </c>
      <c r="U188" s="38">
        <f>+Tabla_master_rend[[#This Row],[L_suero Total]]/Tabla_master_rend[[#This Row],[Litros_Leche_Total]]</f>
        <v>0.87379903826695315</v>
      </c>
      <c r="V188" s="66">
        <v>1.1999999999999999E-3</v>
      </c>
      <c r="W188" s="66">
        <v>8.5000000000000006E-3</v>
      </c>
      <c r="X188" s="8">
        <v>113000</v>
      </c>
      <c r="Y188" s="57">
        <v>28800</v>
      </c>
      <c r="Z188" s="58">
        <f>IF(Tabla_master_rend[[#This Row],[L_suero para con]]=0,0,+Tabla_master_rend[[#This Row],[L_suero para con]]/Tabla_master_rend[[#This Row],[L_suero_con]])</f>
        <v>3.9236111111111112</v>
      </c>
      <c r="AA188" s="8">
        <f>+Tabla_master_rend[[#This Row],[L_suero Total]]-Tabla_master_rend[[#This Row],[L_suero para con]]</f>
        <v>68350</v>
      </c>
      <c r="AD188" s="8">
        <v>57559</v>
      </c>
      <c r="AE188" s="8">
        <v>0</v>
      </c>
      <c r="AF188" s="8">
        <v>0</v>
      </c>
      <c r="AG188" s="140"/>
      <c r="AH188" s="140"/>
      <c r="AI188" s="7">
        <f>+Tabla_master_rend[[#This Row],[Kg_Finos]]+Tabla_master_rend[[#This Row],[Kg_Llenadora]]+Tabla_master_rend[[#This Row],[Kg_Desmoldeo]]+Tabla_master_rend[[#This Row],[L_Agua]]+Tabla_master_rend[[#This Row],[Kg_SalidaSecadero]]</f>
        <v>22136.65</v>
      </c>
      <c r="AJ188" s="59">
        <f>+Tabla_master_rend[[#This Row],[Litros_Leche_Total]]/Tabla_master_rend[[#This Row],[Kg_Queso_Blan]]</f>
        <v>9.3754926784314687</v>
      </c>
      <c r="AK188" s="59">
        <f>+Tabla_master_rend[[#This Row],[Litros_Leche_Total]]/(Tabla_master_rend[[#This Row],[Kg_Queso_Blan]]-Tabla_master_rend[[#This Row],[Merma_TOT]])</f>
        <v>9.5684819436638797</v>
      </c>
      <c r="AL188" s="59">
        <f>VLOOKUP(G188,REND_TARGET[#All],8,FALSE)</f>
        <v>9.8078500000000002</v>
      </c>
      <c r="AM188" s="7">
        <f>(I188*1.03*Tabla_master_rend[[#This Row],[%MG_Leche]])+(I188*1.03*Tabla_master_rend[[#This Row],[%MP_Leche]])</f>
        <v>16225.010933999998</v>
      </c>
      <c r="AN188" s="137">
        <v>0.22409999999999999</v>
      </c>
      <c r="AO188" s="137">
        <v>0.25540000000000002</v>
      </c>
      <c r="AP188" s="64">
        <v>0.53110000000000002</v>
      </c>
      <c r="AQ188" s="38">
        <f>+Tabla_master_rend[[#This Row],[Kg_Queso_Blan]]*Tabla_master_rend[[#This Row],[ES_QUESO]]/(Tabla_master_rend[[#This Row],[Kg_Solidos_leche]])</f>
        <v>0.72460812894512916</v>
      </c>
      <c r="AR188" s="7">
        <f t="shared" si="50"/>
        <v>3496</v>
      </c>
      <c r="AS188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0.95097850725486199</v>
      </c>
      <c r="AT188" s="62">
        <f>+Tabla_master_rend[[#This Row],[Kg_Queso_Blan]]*Tabla_master_rend[[#This Row],[%PT_QUESO]]/(Tabla_master_rend[[#This Row],[Litros_Leche_Total]]*1.03*Tabla_master_rend[[#This Row],[%MP_Leche]])</f>
        <v>0.77107291673441258</v>
      </c>
      <c r="AU188" s="63">
        <f t="shared" si="51"/>
        <v>26220</v>
      </c>
      <c r="AV188" s="7">
        <v>38.85</v>
      </c>
      <c r="AW188" s="7">
        <v>23.5</v>
      </c>
      <c r="AX188" s="7">
        <v>11.3</v>
      </c>
      <c r="AY188" s="8">
        <f>SUM(Tabla_master_rend[[#This Row],[Kg_Finos]:[Kg_Desmoldeo]])</f>
        <v>73.650000000000006</v>
      </c>
      <c r="AZ188" s="60">
        <f>+(Tabla_master_rend[[#This Row],[Kg_Finos]]+Tabla_master_rend[[#This Row],[Kg_Llenadora]]+Tabla_master_rend[[#This Row],[Kg_Desmoldeo]])/(Tabla_master_rend[[#This Row],[Kg_Queso_Blan]])</f>
        <v>3.3270616827749456E-3</v>
      </c>
      <c r="BA188" s="7">
        <v>170</v>
      </c>
      <c r="BB188" s="60">
        <f>+Tabla_master_rend[[#This Row],[L_Agua]]/(Tabla_master_rend[[#This Row],[L_Agua]]+Tabla_master_rend[[#This Row],[Kg_SalidaSecadero]])</f>
        <v>7.7052078139872183E-3</v>
      </c>
      <c r="BC188" s="8">
        <v>3031</v>
      </c>
      <c r="BD188" s="8">
        <v>2976</v>
      </c>
      <c r="BE188" s="8">
        <v>21730</v>
      </c>
      <c r="BF188" s="8">
        <v>159</v>
      </c>
      <c r="BG188" s="8">
        <v>78</v>
      </c>
      <c r="BH188" s="8">
        <v>30</v>
      </c>
      <c r="BI188" s="8">
        <v>156</v>
      </c>
      <c r="BJ188" s="8">
        <v>69</v>
      </c>
      <c r="BK188" s="8">
        <v>21893</v>
      </c>
      <c r="BL188" s="8">
        <v>0</v>
      </c>
      <c r="BM188" s="8">
        <v>190.82</v>
      </c>
      <c r="BN188" s="8">
        <v>12.01</v>
      </c>
      <c r="BO188" s="68">
        <f>+SUM(Tabla_master_rend[[#This Row],[B_altas]:[B_lab]])/Tabla_master_rend[[#This Row],[Kg_SalidaSecadero]]</f>
        <v>2.2472936555063262E-2</v>
      </c>
      <c r="BP188" s="68">
        <f>+(Tabla_master_rend[[#This Row],[Kg_mer_env_real]]+Tabla_master_rend[[#This Row],[kg_mer_lab_real]])/Tabla_master_rend[[#This Row],[Kg_SalidaSecadero]]</f>
        <v>9.264605124925775E-3</v>
      </c>
      <c r="BQ188" s="64">
        <f>+Tabla_master_rend[[#This Row],[Merma_TOT]]/Tabla_master_rend[[#This Row],[Kg_Queso_Blan]]</f>
        <v>2.0169266804146064E-2</v>
      </c>
      <c r="BR188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446.48</v>
      </c>
      <c r="BS188" s="138">
        <v>22009.15</v>
      </c>
      <c r="BT188" s="63">
        <f>IF(+Tabla_master_rend[[#This Row],[Kg_Env_Total]]=0,0,Tabla_master_rend[[#This Row],[Kg_Env_Total]]-Tabla_master_rend[[#This Row],[Kg_SalidaSecadero]])</f>
        <v>116.15000000000146</v>
      </c>
      <c r="BU188" s="60">
        <f>+Tabla_master_rend[[#This Row],[Diferencia_Env_vs_Sec_kg]]/Tabla_master_rend[[#This Row],[Kg_SalidaSecadero]]</f>
        <v>5.3053487416069725E-3</v>
      </c>
      <c r="BV188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88" s="65">
        <f>+(Tabla_master_rend[[#This Row],[Coste_Leche_€]]-Tabla_master_rend[[#This Row],[Kg_MG_Nata]]*$CO$3)/Tabla_master_rend[[#This Row],[Kg_Queso_Blan]]</f>
        <v>-1.1844610634400417</v>
      </c>
      <c r="BX188" s="8">
        <f>SUM(Tabla_master_rend[[#This Row],[Kg_Finos]:[Kg_Desmoldeo]])+Tabla_master_rend[[#This Row],[L_Agua]]+SUM(Tabla_master_rend[[#This Row],[B_altas]:[B_lab]])</f>
        <v>735.65</v>
      </c>
      <c r="BY188" s="8">
        <f>+BX188-Tabla_master_rend[[#This Row],[Merma_TOT]]</f>
        <v>289.16999999999996</v>
      </c>
      <c r="BZ188" s="62">
        <f t="shared" si="52"/>
        <v>0.39308094882077071</v>
      </c>
      <c r="CA188" s="8">
        <f>+Tabla_master_rend[[#This Row],[Kg_Queso_Blan]]*$CA$1</f>
        <v>143.88822500000001</v>
      </c>
      <c r="CB188" s="8">
        <f>+Tabla_master_rend[[#This Row],[Kg_Queso_Blan]]*($CB$1-$CA$1)</f>
        <v>77.478275000000011</v>
      </c>
      <c r="CC188" s="8">
        <f>+(Tabla_master_rend[[#This Row],[Kg_Queso_Blan]]-CA188-CB188)*$CC$1</f>
        <v>230.11047675000003</v>
      </c>
      <c r="CD188" s="8">
        <f t="shared" si="53"/>
        <v>451.47697675000006</v>
      </c>
      <c r="CE188" s="80">
        <f>+CD188/Tabla_master_rend[[#This Row],[Kg_Queso_Blan]]</f>
        <v>2.0395E-2</v>
      </c>
      <c r="CF188" s="62">
        <f>+Tabla_master_rend[[#This Row],[Merma_TOT]]/Tabla_master_rend[[#This Row],[Kg_Queso_Blan]]</f>
        <v>2.0169266804146064E-2</v>
      </c>
      <c r="CG188" s="8">
        <f>CD188-Tabla_master_rend[[#This Row],[Merma_TOT]]</f>
        <v>4.9969767500000444</v>
      </c>
      <c r="CH188" s="81" cm="1">
        <f t="array" ref="CH188">-BR188 * IFERROR(INDEX('Precio Leche_EBITDA_Ventas'!$BD$87:$BD$110,MATCH(1,('Precio Leche_EBITDA_Ventas'!$AZ$87:$AZ$110=YEAR(A188))*('Precio Leche_EBITDA_Ventas'!$BB$87:$BB$110=C188),0)),1.3)</f>
        <v>0</v>
      </c>
      <c r="CI188" s="81">
        <f t="shared" si="54"/>
        <v>6.4960697750000582</v>
      </c>
    </row>
    <row r="189" spans="1:87" x14ac:dyDescent="0.35">
      <c r="A189" s="9">
        <v>46107</v>
      </c>
      <c r="B189" s="7">
        <v>3</v>
      </c>
      <c r="C189" s="7" t="str">
        <f>+UPPER(TEXT(Tabla_master_rend[[#This Row],[Fecha]],"MMM"))</f>
        <v>MAR</v>
      </c>
      <c r="D189" s="7" t="str">
        <f>+UPPER(TEXT(Tabla_master_rend[[#This Row],[Fecha]],"ddd"))</f>
        <v>JU</v>
      </c>
      <c r="E189" s="122">
        <v>260326346</v>
      </c>
      <c r="F189" s="3" t="s">
        <v>244</v>
      </c>
      <c r="G189" t="s">
        <v>40</v>
      </c>
      <c r="H189">
        <v>10</v>
      </c>
      <c r="I189" s="8">
        <f>+Tabla_master_rend[[#This Row],[L_Leche_ent]]+Tabla_master_rend[[#This Row],[L_desn_ext]]+Tabla_master_rend[[#This Row],[L_cabra]]+Tabla_master_rend[[#This Row],[L_oveja]]</f>
        <v>159315</v>
      </c>
      <c r="J189" s="8">
        <v>159315</v>
      </c>
      <c r="K189" s="66">
        <v>4.1300000000000003E-2</v>
      </c>
      <c r="L189" s="66">
        <v>3.4700000000000002E-2</v>
      </c>
      <c r="M189" s="5">
        <f t="shared" si="49"/>
        <v>0.11208700000000001</v>
      </c>
      <c r="N189" s="3" t="s">
        <v>188</v>
      </c>
      <c r="O189" s="8">
        <v>0</v>
      </c>
      <c r="P189" s="8">
        <v>0</v>
      </c>
      <c r="Q189" s="8">
        <v>0</v>
      </c>
      <c r="R189" s="8">
        <v>2243</v>
      </c>
      <c r="S189" s="8">
        <f>511.5/(138000+150600)*138000</f>
        <v>244.58419958419958</v>
      </c>
      <c r="T189" s="8">
        <v>138000</v>
      </c>
      <c r="U189" s="38">
        <f>+Tabla_master_rend[[#This Row],[L_suero Total]]/Tabla_master_rend[[#This Row],[Litros_Leche_Total]]</f>
        <v>0.86620845494774501</v>
      </c>
      <c r="V189" s="66">
        <v>2.0000000000000001E-4</v>
      </c>
      <c r="W189" s="66">
        <v>9.4999999999999998E-3</v>
      </c>
      <c r="X189" s="8">
        <f>285076/(138000+150600)*138000</f>
        <v>136314.92723492725</v>
      </c>
      <c r="Y189" s="57">
        <f>84617/(136315+148761)*136315</f>
        <v>40461.37294966956</v>
      </c>
      <c r="Z189" s="58">
        <f>IF(Tabla_master_rend[[#This Row],[L_suero para con]]=0,0,+Tabla_master_rend[[#This Row],[L_suero para con]]/Tabla_master_rend[[#This Row],[L_suero_con]])</f>
        <v>3.3690138840442021</v>
      </c>
      <c r="AA189" s="8">
        <f>+Tabla_master_rend[[#This Row],[L_suero Total]]-Tabla_master_rend[[#This Row],[L_suero para con]]</f>
        <v>1685.0727650727495</v>
      </c>
      <c r="AD189" s="8">
        <v>0</v>
      </c>
      <c r="AE189" s="8">
        <v>0</v>
      </c>
      <c r="AF189" s="8">
        <v>0</v>
      </c>
      <c r="AG189" s="66">
        <v>0</v>
      </c>
      <c r="AH189" s="66">
        <v>0</v>
      </c>
      <c r="AI189" s="7">
        <f>+Tabla_master_rend[[#This Row],[Kg_Finos]]+Tabla_master_rend[[#This Row],[Kg_Llenadora]]+Tabla_master_rend[[#This Row],[Kg_Desmoldeo]]+Tabla_master_rend[[#This Row],[L_Agua]]+Tabla_master_rend[[#This Row],[Kg_SalidaSecadero]]</f>
        <v>19507.698830107867</v>
      </c>
      <c r="AJ189" s="59">
        <f>+Tabla_master_rend[[#This Row],[Litros_Leche_Total]]/Tabla_master_rend[[#This Row],[Kg_Queso_Blan]]</f>
        <v>8.1667756605979491</v>
      </c>
      <c r="AK189" s="59">
        <f>+Tabla_master_rend[[#This Row],[Litros_Leche_Total]]/(Tabla_master_rend[[#This Row],[Kg_Queso_Blan]]-Tabla_master_rend[[#This Row],[Merma_TOT]])</f>
        <v>8.3259688806362888</v>
      </c>
      <c r="AL189" s="59">
        <f>VLOOKUP(G189,REND_TARGET[#All],8,FALSE)</f>
        <v>8.9338729999999984</v>
      </c>
      <c r="AM189" s="7">
        <f>(I189*1.03*Tabla_master_rend[[#This Row],[%MG_Leche]])+(I189*1.03*Tabla_master_rend[[#This Row],[%MP_Leche]])</f>
        <v>12471.178200000002</v>
      </c>
      <c r="AN189" s="137">
        <v>0.2893</v>
      </c>
      <c r="AO189" s="137">
        <v>0.22550000000000001</v>
      </c>
      <c r="AP189" s="64">
        <v>0.56100000000000005</v>
      </c>
      <c r="AQ189" s="38">
        <f>+Tabla_master_rend[[#This Row],[Kg_Queso_Blan]]*Tabla_master_rend[[#This Row],[ES_QUESO]]/(Tabla_master_rend[[#This Row],[Kg_Solidos_leche]])</f>
        <v>0.87752888044615651</v>
      </c>
      <c r="AR189" s="7">
        <f t="shared" si="50"/>
        <v>897.2</v>
      </c>
      <c r="AS189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0.965129113326327</v>
      </c>
      <c r="AT189" s="62">
        <f>+Tabla_master_rend[[#This Row],[Kg_Queso_Blan]]*Tabla_master_rend[[#This Row],[%PT_QUESO]]/(Tabla_master_rend[[#This Row],[Litros_Leche_Total]]*1.03*Tabla_master_rend[[#This Row],[%MP_Leche]])</f>
        <v>0.77255466787314897</v>
      </c>
      <c r="AU189" s="63">
        <f t="shared" si="51"/>
        <v>6729</v>
      </c>
      <c r="AV189" s="7">
        <v>35.798830107868021</v>
      </c>
      <c r="AW189" s="7">
        <v>29.5</v>
      </c>
      <c r="AX189" s="7">
        <v>1.4</v>
      </c>
      <c r="AY189" s="8">
        <f>SUM(Tabla_master_rend[[#This Row],[Kg_Finos]:[Kg_Desmoldeo]])</f>
        <v>66.698830107868019</v>
      </c>
      <c r="AZ189" s="60">
        <f>+(Tabla_master_rend[[#This Row],[Kg_Finos]]+Tabla_master_rend[[#This Row],[Kg_Llenadora]]+Tabla_master_rend[[#This Row],[Kg_Desmoldeo]])/(Tabla_master_rend[[#This Row],[Kg_Queso_Blan]])</f>
        <v>3.4191029238633784E-3</v>
      </c>
      <c r="BA189" s="7">
        <v>180</v>
      </c>
      <c r="BB189" s="60">
        <f>+Tabla_master_rend[[#This Row],[L_Agua]]/(Tabla_master_rend[[#This Row],[L_Agua]]+Tabla_master_rend[[#This Row],[Kg_SalidaSecadero]])</f>
        <v>9.2587829844143817E-3</v>
      </c>
      <c r="BC189" s="8">
        <v>2821</v>
      </c>
      <c r="BD189" s="8">
        <v>2789</v>
      </c>
      <c r="BE189" s="8">
        <v>19247</v>
      </c>
      <c r="BF189" s="8">
        <v>71</v>
      </c>
      <c r="BG189" s="8">
        <v>48</v>
      </c>
      <c r="BH189" s="8">
        <v>14</v>
      </c>
      <c r="BI189" s="8">
        <v>31</v>
      </c>
      <c r="BJ189" s="8">
        <v>101</v>
      </c>
      <c r="BK189" s="8">
        <v>19261</v>
      </c>
      <c r="BL189" s="8">
        <v>0</v>
      </c>
      <c r="BM189" s="8">
        <v>105.2</v>
      </c>
      <c r="BN189" s="8">
        <v>21.09</v>
      </c>
      <c r="BO189" s="68">
        <f>+SUM(Tabla_master_rend[[#This Row],[B_altas]:[B_lab]])/Tabla_master_rend[[#This Row],[Kg_SalidaSecadero]]</f>
        <v>1.3758371839468356E-2</v>
      </c>
      <c r="BP189" s="68">
        <f>+(Tabla_master_rend[[#This Row],[Kg_mer_env_real]]+Tabla_master_rend[[#This Row],[kg_mer_lab_real]])/Tabla_master_rend[[#This Row],[Kg_SalidaSecadero]]</f>
        <v>6.5567727532319193E-3</v>
      </c>
      <c r="BQ189" s="64">
        <f>+Tabla_master_rend[[#This Row],[Merma_TOT]]/Tabla_master_rend[[#This Row],[Kg_Queso_Blan]]</f>
        <v>1.9120083478641935E-2</v>
      </c>
      <c r="BR189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372.98883010786801</v>
      </c>
      <c r="BS189" s="138">
        <v>18865.7</v>
      </c>
      <c r="BT189" s="63">
        <f>IF(+Tabla_master_rend[[#This Row],[Kg_Env_Total]]=0,0,Tabla_master_rend[[#This Row],[Kg_Env_Total]]-Tabla_master_rend[[#This Row],[Kg_SalidaSecadero]])</f>
        <v>-395.29999999999927</v>
      </c>
      <c r="BU189" s="60">
        <f>+Tabla_master_rend[[#This Row],[Diferencia_Env_vs_Sec_kg]]/Tabla_master_rend[[#This Row],[Kg_SalidaSecadero]]</f>
        <v>-2.052333731374276E-2</v>
      </c>
      <c r="BV189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89" s="65">
        <f>+(Tabla_master_rend[[#This Row],[Coste_Leche_€]]-Tabla_master_rend[[#This Row],[Kg_MG_Nata]]*$CO$3)/Tabla_master_rend[[#This Row],[Kg_Queso_Blan]]</f>
        <v>-0.344940736403751</v>
      </c>
      <c r="BX189" s="8">
        <f>SUM(Tabla_master_rend[[#This Row],[Kg_Finos]:[Kg_Desmoldeo]])+Tabla_master_rend[[#This Row],[L_Agua]]+SUM(Tabla_master_rend[[#This Row],[B_altas]:[B_lab]])</f>
        <v>511.69883010786805</v>
      </c>
      <c r="BY189" s="8">
        <f>+BX189-Tabla_master_rend[[#This Row],[Merma_TOT]]</f>
        <v>138.71000000000004</v>
      </c>
      <c r="BZ189" s="62">
        <f t="shared" si="52"/>
        <v>0.27107742257444567</v>
      </c>
      <c r="CA189" s="8">
        <f>+Tabla_master_rend[[#This Row],[Kg_Queso_Blan]]*$CA$1</f>
        <v>126.80004239570113</v>
      </c>
      <c r="CB189" s="8">
        <f>+Tabla_master_rend[[#This Row],[Kg_Queso_Blan]]*($CB$1-$CA$1)</f>
        <v>68.276945905377545</v>
      </c>
      <c r="CC189" s="8">
        <f>+(Tabla_master_rend[[#This Row],[Kg_Queso_Blan]]-CA189-CB189)*$CC$1</f>
        <v>202.78252933897127</v>
      </c>
      <c r="CD189" s="8">
        <f t="shared" si="53"/>
        <v>397.85951764004994</v>
      </c>
      <c r="CE189" s="80">
        <f>+CD189/Tabla_master_rend[[#This Row],[Kg_Queso_Blan]]</f>
        <v>2.0395E-2</v>
      </c>
      <c r="CF189" s="62">
        <f>+Tabla_master_rend[[#This Row],[Merma_TOT]]/Tabla_master_rend[[#This Row],[Kg_Queso_Blan]]</f>
        <v>1.9120083478641935E-2</v>
      </c>
      <c r="CG189" s="8">
        <f>CD189-Tabla_master_rend[[#This Row],[Merma_TOT]]</f>
        <v>24.870687532181933</v>
      </c>
      <c r="CH189" s="81" cm="1">
        <f t="array" ref="CH189">-BR189 * IFERROR(INDEX('Precio Leche_EBITDA_Ventas'!$BD$87:$BD$110,MATCH(1,('Precio Leche_EBITDA_Ventas'!$AZ$87:$AZ$110=YEAR(A189))*('Precio Leche_EBITDA_Ventas'!$BB$87:$BB$110=C189),0)),1.3)</f>
        <v>0</v>
      </c>
      <c r="CI189" s="81">
        <f t="shared" si="54"/>
        <v>32.331893791836514</v>
      </c>
    </row>
    <row r="190" spans="1:87" x14ac:dyDescent="0.35">
      <c r="A190" s="9">
        <v>46107</v>
      </c>
      <c r="B190" s="7">
        <v>3</v>
      </c>
      <c r="C190" s="7" t="str">
        <f>+UPPER(TEXT(Tabla_master_rend[[#This Row],[Fecha]],"MMM"))</f>
        <v>MAR</v>
      </c>
      <c r="D190" s="7" t="str">
        <f>+UPPER(TEXT(Tabla_master_rend[[#This Row],[Fecha]],"ddd"))</f>
        <v>JU</v>
      </c>
      <c r="E190" s="122">
        <v>260326326</v>
      </c>
      <c r="F190" s="3" t="s">
        <v>244</v>
      </c>
      <c r="G190" t="s">
        <v>301</v>
      </c>
      <c r="H190">
        <v>11</v>
      </c>
      <c r="I190" s="8">
        <f>+Tabla_master_rend[[#This Row],[L_Leche_ent]]+Tabla_master_rend[[#This Row],[L_desn_ext]]+Tabla_master_rend[[#This Row],[L_cabra]]+Tabla_master_rend[[#This Row],[L_oveja]]</f>
        <v>168493</v>
      </c>
      <c r="J190" s="8">
        <v>168493</v>
      </c>
      <c r="K190" s="66">
        <v>4.19E-2</v>
      </c>
      <c r="L190" s="66">
        <v>3.49E-2</v>
      </c>
      <c r="M190" s="5">
        <f t="shared" si="49"/>
        <v>0.112793</v>
      </c>
      <c r="N190" s="3" t="s">
        <v>188</v>
      </c>
      <c r="O190" s="8">
        <v>0</v>
      </c>
      <c r="P190" s="8">
        <v>0</v>
      </c>
      <c r="Q190" s="8">
        <v>0</v>
      </c>
      <c r="R190" s="8">
        <v>3291</v>
      </c>
      <c r="S190" s="8">
        <f>511.5/(138000+150600)*150600</f>
        <v>266.91580041580039</v>
      </c>
      <c r="T190" s="8">
        <v>150600</v>
      </c>
      <c r="U190" s="38">
        <f>+Tabla_master_rend[[#This Row],[L_suero Total]]/Tabla_master_rend[[#This Row],[Litros_Leche_Total]]</f>
        <v>0.89380567738719119</v>
      </c>
      <c r="V190" s="66">
        <v>2.0000000000000001E-4</v>
      </c>
      <c r="W190" s="66">
        <v>9.4999999999999998E-3</v>
      </c>
      <c r="X190" s="8">
        <f>285076/(138000+150600)*150600</f>
        <v>148761.07276507278</v>
      </c>
      <c r="Y190" s="57">
        <f>84617/(136315+148761)*148761</f>
        <v>44155.62705033044</v>
      </c>
      <c r="Z190" s="58">
        <f>IF(Tabla_master_rend[[#This Row],[L_suero para con]]=0,0,+Tabla_master_rend[[#This Row],[L_suero para con]]/Tabla_master_rend[[#This Row],[L_suero_con]])</f>
        <v>3.3690173303508666</v>
      </c>
      <c r="AA190" s="8">
        <f>+Tabla_master_rend[[#This Row],[L_suero Total]]-Tabla_master_rend[[#This Row],[L_suero para con]]</f>
        <v>1838.9272349272214</v>
      </c>
      <c r="AD190" s="8">
        <v>0</v>
      </c>
      <c r="AE190" s="8">
        <v>0</v>
      </c>
      <c r="AF190" s="8">
        <v>0</v>
      </c>
      <c r="AG190" s="66">
        <v>0</v>
      </c>
      <c r="AH190" s="66">
        <v>0</v>
      </c>
      <c r="AI190" s="7">
        <f>+Tabla_master_rend[[#This Row],[Kg_Finos]]+Tabla_master_rend[[#This Row],[Kg_Llenadora]]+Tabla_master_rend[[#This Row],[Kg_Desmoldeo]]+Tabla_master_rend[[#This Row],[L_Agua]]+Tabla_master_rend[[#This Row],[Kg_SalidaSecadero]]</f>
        <v>19600.161169892133</v>
      </c>
      <c r="AJ190" s="59">
        <f>+Tabla_master_rend[[#This Row],[Litros_Leche_Total]]/Tabla_master_rend[[#This Row],[Kg_Queso_Blan]]</f>
        <v>8.5965109439417571</v>
      </c>
      <c r="AK190" s="59">
        <f>+Tabla_master_rend[[#This Row],[Litros_Leche_Total]]/(Tabla_master_rend[[#This Row],[Kg_Queso_Blan]]-Tabla_master_rend[[#This Row],[Merma_TOT]])</f>
        <v>8.7690318014213169</v>
      </c>
      <c r="AL190" s="59">
        <f>VLOOKUP(G190,REND_TARGET[#All],8,FALSE)</f>
        <v>9.3549429999999987</v>
      </c>
      <c r="AM190" s="7">
        <f>(I190*1.03*Tabla_master_rend[[#This Row],[%MG_Leche]])+(I190*1.03*Tabla_master_rend[[#This Row],[%MP_Leche]])</f>
        <v>13328.470272</v>
      </c>
      <c r="AN190" s="137">
        <v>0.28810000000000002</v>
      </c>
      <c r="AO190" s="137">
        <v>0.24529999999999999</v>
      </c>
      <c r="AP190" s="64">
        <v>0.57609999999999995</v>
      </c>
      <c r="AQ190" s="38">
        <f>+Tabla_master_rend[[#This Row],[Kg_Queso_Blan]]*Tabla_master_rend[[#This Row],[ES_QUESO]]/(Tabla_master_rend[[#This Row],[Kg_Solidos_leche]])</f>
        <v>0.8471829564489467</v>
      </c>
      <c r="AR190" s="7">
        <f t="shared" si="50"/>
        <v>1316.4</v>
      </c>
      <c r="AS190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0.95758241030447777</v>
      </c>
      <c r="AT190" s="62">
        <f>+Tabla_master_rend[[#This Row],[Kg_Queso_Blan]]*Tabla_master_rend[[#This Row],[%PT_QUESO]]/(Tabla_master_rend[[#This Row],[Litros_Leche_Total]]*1.03*Tabla_master_rend[[#This Row],[%MP_Leche]])</f>
        <v>0.7938028907877227</v>
      </c>
      <c r="AU190" s="63">
        <f t="shared" si="51"/>
        <v>9873</v>
      </c>
      <c r="AV190" s="7">
        <v>37.861169892131976</v>
      </c>
      <c r="AW190" s="7">
        <v>50.8</v>
      </c>
      <c r="AX190" s="7">
        <v>2.5</v>
      </c>
      <c r="AY190" s="8">
        <f>SUM(Tabla_master_rend[[#This Row],[Kg_Finos]:[Kg_Desmoldeo]])</f>
        <v>91.161169892131966</v>
      </c>
      <c r="AZ190" s="60">
        <f>+(Tabla_master_rend[[#This Row],[Kg_Finos]]+Tabla_master_rend[[#This Row],[Kg_Llenadora]]+Tabla_master_rend[[#This Row],[Kg_Desmoldeo]])/(Tabla_master_rend[[#This Row],[Kg_Queso_Blan]])</f>
        <v>4.6510418512356374E-3</v>
      </c>
      <c r="BA190" s="7">
        <v>230</v>
      </c>
      <c r="BB190" s="60">
        <f>+Tabla_master_rend[[#This Row],[L_Agua]]/(Tabla_master_rend[[#This Row],[L_Agua]]+Tabla_master_rend[[#This Row],[Kg_SalidaSecadero]])</f>
        <v>1.1789430519247527E-2</v>
      </c>
      <c r="BC190" s="8">
        <v>2647</v>
      </c>
      <c r="BD190" s="8">
        <v>2631</v>
      </c>
      <c r="BE190" s="8">
        <v>19405</v>
      </c>
      <c r="BF190" s="8">
        <v>0</v>
      </c>
      <c r="BG190" s="8">
        <v>0</v>
      </c>
      <c r="BH190" s="8">
        <v>28</v>
      </c>
      <c r="BI190" s="8">
        <v>7</v>
      </c>
      <c r="BJ190" s="8">
        <v>69</v>
      </c>
      <c r="BK190" s="8">
        <v>19279</v>
      </c>
      <c r="BL190" s="8">
        <v>0</v>
      </c>
      <c r="BM190" s="8">
        <v>51.25</v>
      </c>
      <c r="BN190" s="8">
        <v>13.2</v>
      </c>
      <c r="BO190" s="68">
        <f>+SUM(Tabla_master_rend[[#This Row],[B_altas]:[B_lab]])/Tabla_master_rend[[#This Row],[Kg_SalidaSecadero]]</f>
        <v>5.394470667565745E-3</v>
      </c>
      <c r="BP190" s="68">
        <f>+(Tabla_master_rend[[#This Row],[Kg_mer_env_real]]+Tabla_master_rend[[#This Row],[kg_mer_lab_real]])/Tabla_master_rend[[#This Row],[Kg_SalidaSecadero]]</f>
        <v>3.3430157165828104E-3</v>
      </c>
      <c r="BQ190" s="64">
        <f>+Tabla_master_rend[[#This Row],[Merma_TOT]]/Tabla_master_rend[[#This Row],[Kg_Queso_Blan]]</f>
        <v>1.9673877502827397E-2</v>
      </c>
      <c r="BR190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385.61116989213195</v>
      </c>
      <c r="BS190" s="138">
        <v>19285.099999999999</v>
      </c>
      <c r="BT190" s="63">
        <f>IF(+Tabla_master_rend[[#This Row],[Kg_Env_Total]]=0,0,Tabla_master_rend[[#This Row],[Kg_Env_Total]]-Tabla_master_rend[[#This Row],[Kg_SalidaSecadero]])</f>
        <v>6.0999999999985448</v>
      </c>
      <c r="BU190" s="60">
        <f>+Tabla_master_rend[[#This Row],[Diferencia_Env_vs_Sec_kg]]/Tabla_master_rend[[#This Row],[Kg_SalidaSecadero]]</f>
        <v>3.1640645261676149E-4</v>
      </c>
      <c r="BV190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90" s="65">
        <f>+(Tabla_master_rend[[#This Row],[Coste_Leche_€]]-Tabla_master_rend[[#This Row],[Kg_MG_Nata]]*$CO$3)/Tabla_master_rend[[#This Row],[Kg_Queso_Blan]]</f>
        <v>-0.50372034772683116</v>
      </c>
      <c r="BX190" s="8">
        <f>SUM(Tabla_master_rend[[#This Row],[Kg_Finos]:[Kg_Desmoldeo]])+Tabla_master_rend[[#This Row],[L_Agua]]+SUM(Tabla_master_rend[[#This Row],[B_altas]:[B_lab]])</f>
        <v>425.16116989213197</v>
      </c>
      <c r="BY190" s="8">
        <f>+BX190-Tabla_master_rend[[#This Row],[Merma_TOT]]</f>
        <v>39.550000000000011</v>
      </c>
      <c r="BZ190" s="62">
        <f t="shared" si="52"/>
        <v>9.3023546835272558E-2</v>
      </c>
      <c r="CA190" s="8">
        <f>+Tabla_master_rend[[#This Row],[Kg_Queso_Blan]]*$CA$1</f>
        <v>127.40104760429887</v>
      </c>
      <c r="CB190" s="8">
        <f>+Tabla_master_rend[[#This Row],[Kg_Queso_Blan]]*($CB$1-$CA$1)</f>
        <v>68.60056409462247</v>
      </c>
      <c r="CC190" s="8">
        <f>+(Tabla_master_rend[[#This Row],[Kg_Queso_Blan]]-CA190-CB190)*$CC$1</f>
        <v>203.74367536102869</v>
      </c>
      <c r="CD190" s="8">
        <f t="shared" si="53"/>
        <v>399.74528705995004</v>
      </c>
      <c r="CE190" s="80">
        <f>+CD190/Tabla_master_rend[[#This Row],[Kg_Queso_Blan]]</f>
        <v>2.0395E-2</v>
      </c>
      <c r="CF190" s="62">
        <f>+Tabla_master_rend[[#This Row],[Merma_TOT]]/Tabla_master_rend[[#This Row],[Kg_Queso_Blan]]</f>
        <v>1.9673877502827397E-2</v>
      </c>
      <c r="CG190" s="8">
        <f>CD190-Tabla_master_rend[[#This Row],[Merma_TOT]]</f>
        <v>14.13411716781809</v>
      </c>
      <c r="CH190" s="81" cm="1">
        <f t="array" ref="CH190">-BR190 * IFERROR(INDEX('Precio Leche_EBITDA_Ventas'!$BD$87:$BD$110,MATCH(1,('Precio Leche_EBITDA_Ventas'!$AZ$87:$AZ$110=YEAR(A190))*('Precio Leche_EBITDA_Ventas'!$BB$87:$BB$110=C190),0)),1.3)</f>
        <v>0</v>
      </c>
      <c r="CI190" s="81">
        <f t="shared" si="54"/>
        <v>18.374352318163517</v>
      </c>
    </row>
    <row r="191" spans="1:87" x14ac:dyDescent="0.35">
      <c r="A191" s="9">
        <v>46111</v>
      </c>
      <c r="B191" s="7">
        <v>3</v>
      </c>
      <c r="C191" s="7" t="str">
        <f>+UPPER(TEXT(Tabla_master_rend[[#This Row],[Fecha]],"MMM"))</f>
        <v>MAR</v>
      </c>
      <c r="D191" s="7" t="str">
        <f>+UPPER(TEXT(Tabla_master_rend[[#This Row],[Fecha]],"ddd"))</f>
        <v>LU</v>
      </c>
      <c r="E191" s="122">
        <v>300326326</v>
      </c>
      <c r="F191" s="3" t="s">
        <v>244</v>
      </c>
      <c r="G191" t="s">
        <v>301</v>
      </c>
      <c r="H191">
        <v>10</v>
      </c>
      <c r="I191" s="8">
        <f>+Tabla_master_rend[[#This Row],[L_Leche_ent]]+Tabla_master_rend[[#This Row],[L_desn_ext]]+Tabla_master_rend[[#This Row],[L_cabra]]+Tabla_master_rend[[#This Row],[L_oveja]]</f>
        <v>150356</v>
      </c>
      <c r="J191" s="8">
        <v>150356</v>
      </c>
      <c r="K191" s="66">
        <v>3.9300000000000002E-2</v>
      </c>
      <c r="L191" s="66">
        <v>3.3799999999999997E-2</v>
      </c>
      <c r="M191" s="5">
        <f t="shared" si="49"/>
        <v>0.10956100000000001</v>
      </c>
      <c r="N191" s="3" t="s">
        <v>188</v>
      </c>
      <c r="O191" s="8">
        <v>0</v>
      </c>
      <c r="P191" s="8">
        <v>0</v>
      </c>
      <c r="Q191" s="8">
        <v>0</v>
      </c>
      <c r="R191" s="8">
        <v>2391</v>
      </c>
      <c r="S191" s="8">
        <f>469/(133210+138000)*133210</f>
        <v>230.35835699273625</v>
      </c>
      <c r="T191" s="8">
        <v>133210</v>
      </c>
      <c r="U191" s="38">
        <f>+Tabla_master_rend[[#This Row],[L_suero Total]]/Tabla_master_rend[[#This Row],[Litros_Leche_Total]]</f>
        <v>0.88596397882359201</v>
      </c>
      <c r="V191" s="66">
        <v>8.9999999999999998E-4</v>
      </c>
      <c r="W191" s="66">
        <v>8.8000000000000005E-3</v>
      </c>
      <c r="X191" s="8">
        <f>267875/(133210+138000)*133210</f>
        <v>131571.95070240772</v>
      </c>
      <c r="Y191" s="57">
        <f>79553/(131572+136303)*131572</f>
        <v>39073.998379841345</v>
      </c>
      <c r="Z191" s="58">
        <f>IF(Tabla_master_rend[[#This Row],[L_suero para con]]=0,0,+Tabla_master_rend[[#This Row],[L_suero para con]]/Tabla_master_rend[[#This Row],[L_suero_con]])</f>
        <v>3.3672507590184821</v>
      </c>
      <c r="AA191" s="8">
        <f>+Tabla_master_rend[[#This Row],[L_suero Total]]-Tabla_master_rend[[#This Row],[L_suero para con]]</f>
        <v>1638.0492975922825</v>
      </c>
      <c r="AD191" s="8">
        <v>0</v>
      </c>
      <c r="AE191" s="8">
        <v>0</v>
      </c>
      <c r="AF191" s="8">
        <v>0</v>
      </c>
      <c r="AG191" s="66">
        <v>0</v>
      </c>
      <c r="AH191" s="66">
        <v>0</v>
      </c>
      <c r="AI191" s="7">
        <f>+Tabla_master_rend[[#This Row],[Kg_Finos]]+Tabla_master_rend[[#This Row],[Kg_Llenadora]]+Tabla_master_rend[[#This Row],[Kg_Desmoldeo]]+Tabla_master_rend[[#This Row],[L_Agua]]+Tabla_master_rend[[#This Row],[Kg_SalidaSecadero]]</f>
        <v>17557.060684959928</v>
      </c>
      <c r="AJ191" s="59">
        <f>+Tabla_master_rend[[#This Row],[Litros_Leche_Total]]/Tabla_master_rend[[#This Row],[Kg_Queso_Blan]]</f>
        <v>8.563848055090503</v>
      </c>
      <c r="AK191" s="59">
        <f>+Tabla_master_rend[[#This Row],[Litros_Leche_Total]]/(Tabla_master_rend[[#This Row],[Kg_Queso_Blan]]-Tabla_master_rend[[#This Row],[Merma_TOT]])</f>
        <v>8.7627502106822615</v>
      </c>
      <c r="AL191" s="59">
        <f>VLOOKUP(G191,REND_TARGET[#All],8,FALSE)</f>
        <v>9.3549429999999987</v>
      </c>
      <c r="AM191" s="7">
        <f>(I191*1.03*Tabla_master_rend[[#This Row],[%MG_Leche]])+(I191*1.03*Tabla_master_rend[[#This Row],[%MP_Leche]])</f>
        <v>11320.754308</v>
      </c>
      <c r="AN191" s="137">
        <v>0.28770000000000001</v>
      </c>
      <c r="AO191" s="137">
        <v>0.23469999999999999</v>
      </c>
      <c r="AP191" s="64">
        <v>0.57099999999999995</v>
      </c>
      <c r="AQ191" s="38">
        <f>+Tabla_master_rend[[#This Row],[Kg_Queso_Blan]]*Tabla_master_rend[[#This Row],[ES_QUESO]]/(Tabla_master_rend[[#This Row],[Kg_Solidos_leche]])</f>
        <v>0.88554891117350076</v>
      </c>
      <c r="AR191" s="7">
        <f t="shared" si="50"/>
        <v>956.40000000000009</v>
      </c>
      <c r="AS191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0.98707019447709921</v>
      </c>
      <c r="AT191" s="62">
        <f>+Tabla_master_rend[[#This Row],[Kg_Queso_Blan]]*Tabla_master_rend[[#This Row],[%PT_QUESO]]/(Tabla_master_rend[[#This Row],[Litros_Leche_Total]]*1.03*Tabla_master_rend[[#This Row],[%MP_Leche]])</f>
        <v>0.78720929144198137</v>
      </c>
      <c r="AU191" s="63">
        <f t="shared" si="51"/>
        <v>7173.0000000000009</v>
      </c>
      <c r="AV191" s="7">
        <v>23.660684959929455</v>
      </c>
      <c r="AW191" s="7">
        <v>54.8</v>
      </c>
      <c r="AX191" s="7">
        <v>2.6</v>
      </c>
      <c r="AY191" s="8">
        <f>SUM(Tabla_master_rend[[#This Row],[Kg_Finos]:[Kg_Desmoldeo]])</f>
        <v>81.060684959929446</v>
      </c>
      <c r="AZ191" s="60">
        <f>+(Tabla_master_rend[[#This Row],[Kg_Finos]]+Tabla_master_rend[[#This Row],[Kg_Llenadora]]+Tabla_master_rend[[#This Row],[Kg_Desmoldeo]])/(Tabla_master_rend[[#This Row],[Kg_Queso_Blan]])</f>
        <v>4.6169849506397867E-3</v>
      </c>
      <c r="BA191" s="7">
        <v>250</v>
      </c>
      <c r="BB191" s="60">
        <f>+Tabla_master_rend[[#This Row],[L_Agua]]/(Tabla_master_rend[[#This Row],[L_Agua]]+Tabla_master_rend[[#This Row],[Kg_SalidaSecadero]])</f>
        <v>1.4305333028152895E-2</v>
      </c>
      <c r="BC191" s="8">
        <v>2340</v>
      </c>
      <c r="BD191" s="8">
        <v>2327</v>
      </c>
      <c r="BE191" s="8">
        <v>17378</v>
      </c>
      <c r="BF191" s="8">
        <v>0</v>
      </c>
      <c r="BG191" s="8">
        <v>0</v>
      </c>
      <c r="BH191" s="8">
        <v>21</v>
      </c>
      <c r="BI191" s="8">
        <v>0</v>
      </c>
      <c r="BJ191" s="8">
        <v>77</v>
      </c>
      <c r="BK191" s="8">
        <v>17226</v>
      </c>
      <c r="BL191" s="8">
        <v>0</v>
      </c>
      <c r="BM191" s="8">
        <v>54.75</v>
      </c>
      <c r="BN191" s="8">
        <v>12.71</v>
      </c>
      <c r="BO191" s="68">
        <f>+SUM(Tabla_master_rend[[#This Row],[B_altas]:[B_lab]])/Tabla_master_rend[[#This Row],[Kg_SalidaSecadero]]</f>
        <v>5.689074654591896E-3</v>
      </c>
      <c r="BP191" s="68">
        <f>+(Tabla_master_rend[[#This Row],[Kg_mer_env_real]]+Tabla_master_rend[[#This Row],[kg_mer_lab_real]])/Tabla_master_rend[[#This Row],[Kg_SalidaSecadero]]</f>
        <v>3.9161732265180545E-3</v>
      </c>
      <c r="BQ191" s="64">
        <f>+Tabla_master_rend[[#This Row],[Merma_TOT]]/Tabla_master_rend[[#This Row],[Kg_Queso_Blan]]</f>
        <v>2.2698599276433449E-2</v>
      </c>
      <c r="BR191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398.52068495992955</v>
      </c>
      <c r="BS191" s="138">
        <v>17121.200000000004</v>
      </c>
      <c r="BT191" s="63">
        <f>IF(+Tabla_master_rend[[#This Row],[Kg_Env_Total]]=0,0,Tabla_master_rend[[#This Row],[Kg_Env_Total]]-Tabla_master_rend[[#This Row],[Kg_SalidaSecadero]])</f>
        <v>-104.79999999999563</v>
      </c>
      <c r="BU191" s="60">
        <f>+Tabla_master_rend[[#This Row],[Diferencia_Env_vs_Sec_kg]]/Tabla_master_rend[[#This Row],[Kg_SalidaSecadero]]</f>
        <v>-6.0838267734816924E-3</v>
      </c>
      <c r="BV191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91" s="65">
        <f>+(Tabla_master_rend[[#This Row],[Coste_Leche_€]]-Tabla_master_rend[[#This Row],[Kg_MG_Nata]]*$CO$3)/Tabla_master_rend[[#This Row],[Kg_Queso_Blan]]</f>
        <v>-0.40855358016417159</v>
      </c>
      <c r="BX191" s="8">
        <f>SUM(Tabla_master_rend[[#This Row],[Kg_Finos]:[Kg_Desmoldeo]])+Tabla_master_rend[[#This Row],[L_Agua]]+SUM(Tabla_master_rend[[#This Row],[B_altas]:[B_lab]])</f>
        <v>429.06068495992946</v>
      </c>
      <c r="BY191" s="8">
        <f>+BX191-Tabla_master_rend[[#This Row],[Merma_TOT]]</f>
        <v>30.539999999999907</v>
      </c>
      <c r="BZ191" s="62">
        <f t="shared" si="52"/>
        <v>7.1178742472879045E-2</v>
      </c>
      <c r="CA191" s="8">
        <f>+Tabla_master_rend[[#This Row],[Kg_Queso_Blan]]*$CA$1</f>
        <v>114.12089445223953</v>
      </c>
      <c r="CB191" s="8">
        <f>+Tabla_master_rend[[#This Row],[Kg_Queso_Blan]]*($CB$1-$CA$1)</f>
        <v>61.449712397359754</v>
      </c>
      <c r="CC191" s="8">
        <f>+(Tabla_master_rend[[#This Row],[Kg_Queso_Blan]]-CA191-CB191)*$CC$1</f>
        <v>182.50564582015846</v>
      </c>
      <c r="CD191" s="8">
        <f t="shared" si="53"/>
        <v>358.07625266975776</v>
      </c>
      <c r="CE191" s="80">
        <f>+CD191/Tabla_master_rend[[#This Row],[Kg_Queso_Blan]]</f>
        <v>2.0395000000000003E-2</v>
      </c>
      <c r="CF191" s="62">
        <f>+Tabla_master_rend[[#This Row],[Merma_TOT]]/Tabla_master_rend[[#This Row],[Kg_Queso_Blan]]</f>
        <v>2.2698599276433449E-2</v>
      </c>
      <c r="CG191" s="8">
        <f>CD191-Tabla_master_rend[[#This Row],[Merma_TOT]]</f>
        <v>-40.44443229017179</v>
      </c>
      <c r="CH191" s="81" cm="1">
        <f t="array" ref="CH191">-BR191 * IFERROR(INDEX('Precio Leche_EBITDA_Ventas'!$BD$87:$BD$110,MATCH(1,('Precio Leche_EBITDA_Ventas'!$AZ$87:$AZ$110=YEAR(A191))*('Precio Leche_EBITDA_Ventas'!$BB$87:$BB$110=C191),0)),1.3)</f>
        <v>0</v>
      </c>
      <c r="CI191" s="81">
        <f t="shared" si="54"/>
        <v>-52.577761977223325</v>
      </c>
    </row>
    <row r="192" spans="1:87" x14ac:dyDescent="0.35">
      <c r="A192" s="9">
        <v>46111</v>
      </c>
      <c r="B192" s="7">
        <v>3</v>
      </c>
      <c r="C192" s="7" t="str">
        <f>+UPPER(TEXT(Tabla_master_rend[[#This Row],[Fecha]],"MMM"))</f>
        <v>MAR</v>
      </c>
      <c r="D192" s="7" t="str">
        <f>+UPPER(TEXT(Tabla_master_rend[[#This Row],[Fecha]],"ddd"))</f>
        <v>LU</v>
      </c>
      <c r="E192" s="122">
        <v>300326316</v>
      </c>
      <c r="F192" s="3" t="s">
        <v>244</v>
      </c>
      <c r="G192" s="84" t="s">
        <v>299</v>
      </c>
      <c r="H192">
        <v>10</v>
      </c>
      <c r="I192" s="8">
        <f>+Tabla_master_rend[[#This Row],[L_Leche_ent]]+Tabla_master_rend[[#This Row],[L_desn_ext]]+Tabla_master_rend[[#This Row],[L_cabra]]+Tabla_master_rend[[#This Row],[L_oveja]]</f>
        <v>158100</v>
      </c>
      <c r="J192" s="8">
        <v>158100</v>
      </c>
      <c r="K192" s="66">
        <v>4.1200000000000001E-2</v>
      </c>
      <c r="L192" s="66">
        <v>3.4200000000000001E-2</v>
      </c>
      <c r="M192" s="5">
        <f t="shared" si="49"/>
        <v>0.111624</v>
      </c>
      <c r="N192" s="3" t="s">
        <v>188</v>
      </c>
      <c r="O192" s="8">
        <v>0</v>
      </c>
      <c r="P192" s="8">
        <v>0</v>
      </c>
      <c r="Q192" s="8">
        <v>0</v>
      </c>
      <c r="R192" s="8">
        <v>6485</v>
      </c>
      <c r="S192" s="8">
        <f>469/(133210+138000)*138000</f>
        <v>238.64164300726372</v>
      </c>
      <c r="T192" s="8">
        <v>138000</v>
      </c>
      <c r="U192" s="38">
        <f>+Tabla_master_rend[[#This Row],[L_suero Total]]/Tabla_master_rend[[#This Row],[Litros_Leche_Total]]</f>
        <v>0.87286527514231504</v>
      </c>
      <c r="V192" s="66">
        <v>8.9999999999999998E-4</v>
      </c>
      <c r="W192" s="66">
        <v>8.8000000000000005E-3</v>
      </c>
      <c r="X192" s="8">
        <f>267875/(133210+138000)*138000</f>
        <v>136303.04929759228</v>
      </c>
      <c r="Y192" s="57">
        <f>79553/(131572+136303)*136303</f>
        <v>40479.001620158655</v>
      </c>
      <c r="Z192" s="58">
        <f>IF(Tabla_master_rend[[#This Row],[L_suero para con]]=0,0,+Tabla_master_rend[[#This Row],[L_suero para con]]/Tabla_master_rend[[#This Row],[L_suero_con]])</f>
        <v>3.3672532385214011</v>
      </c>
      <c r="AA192" s="8">
        <f>+Tabla_master_rend[[#This Row],[L_suero Total]]-Tabla_master_rend[[#This Row],[L_suero para con]]</f>
        <v>1696.9507024077175</v>
      </c>
      <c r="AD192" s="8">
        <v>0</v>
      </c>
      <c r="AE192" s="8">
        <v>0</v>
      </c>
      <c r="AF192" s="8">
        <v>0</v>
      </c>
      <c r="AG192" s="66">
        <v>0</v>
      </c>
      <c r="AH192" s="66">
        <v>0</v>
      </c>
      <c r="AI192" s="7">
        <f>+Tabla_master_rend[[#This Row],[Kg_Finos]]+Tabla_master_rend[[#This Row],[Kg_Llenadora]]+Tabla_master_rend[[#This Row],[Kg_Desmoldeo]]+Tabla_master_rend[[#This Row],[L_Agua]]+Tabla_master_rend[[#This Row],[Kg_SalidaSecadero]]</f>
        <v>17483.979315040069</v>
      </c>
      <c r="AJ192" s="59">
        <f>+Tabla_master_rend[[#This Row],[Litros_Leche_Total]]/Tabla_master_rend[[#This Row],[Kg_Queso_Blan]]</f>
        <v>9.0425638895602685</v>
      </c>
      <c r="AK192" s="59">
        <f>+Tabla_master_rend[[#This Row],[Litros_Leche_Total]]/(Tabla_master_rend[[#This Row],[Kg_Queso_Blan]]-Tabla_master_rend[[#This Row],[Merma_TOT]])</f>
        <v>9.3131699179310043</v>
      </c>
      <c r="AL192" s="59">
        <f>VLOOKUP(G192,REND_TARGET[#All],8,FALSE)</f>
        <v>9.8078500000000002</v>
      </c>
      <c r="AM192" s="7">
        <f>(I192*1.03*Tabla_master_rend[[#This Row],[%MG_Leche]])+(I192*1.03*Tabla_master_rend[[#This Row],[%MP_Leche]])</f>
        <v>12278.3622</v>
      </c>
      <c r="AN192" s="137">
        <v>0.2175</v>
      </c>
      <c r="AO192" s="137">
        <v>0.24979999999999999</v>
      </c>
      <c r="AP192" s="64">
        <v>0.52500000000000002</v>
      </c>
      <c r="AQ192" s="38">
        <f>+Tabla_master_rend[[#This Row],[Kg_Queso_Blan]]*Tabla_master_rend[[#This Row],[ES_QUESO]]/(Tabla_master_rend[[#This Row],[Kg_Solidos_leche]])</f>
        <v>0.74758253510358541</v>
      </c>
      <c r="AR192" s="7">
        <f t="shared" si="50"/>
        <v>2594</v>
      </c>
      <c r="AS192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0.95344164973917267</v>
      </c>
      <c r="AT192" s="62">
        <f>+Tabla_master_rend[[#This Row],[Kg_Queso_Blan]]*Tabla_master_rend[[#This Row],[%PT_QUESO]]/(Tabla_master_rend[[#This Row],[Litros_Leche_Total]]*1.03*Tabla_master_rend[[#This Row],[%MP_Leche]])</f>
        <v>0.78421928388043582</v>
      </c>
      <c r="AU192" s="63">
        <f t="shared" si="51"/>
        <v>19455</v>
      </c>
      <c r="AV192" s="7">
        <v>24.879315040070544</v>
      </c>
      <c r="AW192" s="7">
        <v>26.5</v>
      </c>
      <c r="AX192" s="7">
        <v>5.6</v>
      </c>
      <c r="AY192" s="8">
        <f>SUM(Tabla_master_rend[[#This Row],[Kg_Finos]:[Kg_Desmoldeo]])</f>
        <v>56.979315040070546</v>
      </c>
      <c r="AZ192" s="60">
        <f>+(Tabla_master_rend[[#This Row],[Kg_Finos]]+Tabla_master_rend[[#This Row],[Kg_Llenadora]]+Tabla_master_rend[[#This Row],[Kg_Desmoldeo]])/(Tabla_master_rend[[#This Row],[Kg_Queso_Blan]])</f>
        <v>3.2589443177306779E-3</v>
      </c>
      <c r="BA192" s="7">
        <v>290</v>
      </c>
      <c r="BB192" s="60">
        <f>+Tabla_master_rend[[#This Row],[L_Agua]]/(Tabla_master_rend[[#This Row],[L_Agua]]+Tabla_master_rend[[#This Row],[Kg_SalidaSecadero]])</f>
        <v>1.6640844666322374E-2</v>
      </c>
      <c r="BC192" s="8">
        <v>2394</v>
      </c>
      <c r="BD192" s="8">
        <v>2346</v>
      </c>
      <c r="BE192" s="8">
        <v>17136</v>
      </c>
      <c r="BF192" s="8">
        <v>0</v>
      </c>
      <c r="BG192" s="8">
        <v>168</v>
      </c>
      <c r="BH192" s="8">
        <v>30</v>
      </c>
      <c r="BI192" s="8">
        <v>30</v>
      </c>
      <c r="BJ192" s="8">
        <v>63</v>
      </c>
      <c r="BK192" s="8">
        <v>17137</v>
      </c>
      <c r="BL192" s="8">
        <v>0</v>
      </c>
      <c r="BM192" s="8">
        <v>132.68</v>
      </c>
      <c r="BN192" s="8">
        <v>28.36</v>
      </c>
      <c r="BO192" s="68">
        <f>+SUM(Tabla_master_rend[[#This Row],[B_altas]:[B_lab]])/Tabla_master_rend[[#This Row],[Kg_SalidaSecadero]]</f>
        <v>1.698080177393943E-2</v>
      </c>
      <c r="BP192" s="68">
        <f>+(Tabla_master_rend[[#This Row],[Kg_mer_env_real]]+Tabla_master_rend[[#This Row],[kg_mer_lab_real]])/Tabla_master_rend[[#This Row],[Kg_SalidaSecadero]]</f>
        <v>9.3972107136605018E-3</v>
      </c>
      <c r="BQ192" s="64">
        <f>+Tabla_master_rend[[#This Row],[Merma_TOT]]/Tabla_master_rend[[#This Row],[Kg_Queso_Blan]]</f>
        <v>2.9056275226948033E-2</v>
      </c>
      <c r="BR192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508.01931504007058</v>
      </c>
      <c r="BS192" s="138">
        <v>17106.400000000001</v>
      </c>
      <c r="BT192" s="63">
        <f>IF(+Tabla_master_rend[[#This Row],[Kg_Env_Total]]=0,0,Tabla_master_rend[[#This Row],[Kg_Env_Total]]-Tabla_master_rend[[#This Row],[Kg_SalidaSecadero]])</f>
        <v>-30.599999999998545</v>
      </c>
      <c r="BU192" s="60">
        <f>+Tabla_master_rend[[#This Row],[Diferencia_Env_vs_Sec_kg]]/Tabla_master_rend[[#This Row],[Kg_SalidaSecadero]]</f>
        <v>-1.7856100834450922E-3</v>
      </c>
      <c r="BV192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92" s="65">
        <f>+(Tabla_master_rend[[#This Row],[Coste_Leche_€]]-Tabla_master_rend[[#This Row],[Kg_MG_Nata]]*$CO$3)/Tabla_master_rend[[#This Row],[Kg_Queso_Blan]]</f>
        <v>-1.1127329568083175</v>
      </c>
      <c r="BX192" s="8">
        <f>SUM(Tabla_master_rend[[#This Row],[Kg_Finos]:[Kg_Desmoldeo]])+Tabla_master_rend[[#This Row],[L_Agua]]+SUM(Tabla_master_rend[[#This Row],[B_altas]:[B_lab]])</f>
        <v>637.97931504007056</v>
      </c>
      <c r="BY192" s="8">
        <f>+BX192-Tabla_master_rend[[#This Row],[Merma_TOT]]</f>
        <v>129.95999999999998</v>
      </c>
      <c r="BZ192" s="62">
        <f t="shared" si="52"/>
        <v>0.20370566401802132</v>
      </c>
      <c r="CA192" s="8">
        <f>+Tabla_master_rend[[#This Row],[Kg_Queso_Blan]]*$CA$1</f>
        <v>113.64586554776045</v>
      </c>
      <c r="CB192" s="8">
        <f>+Tabla_master_rend[[#This Row],[Kg_Queso_Blan]]*($CB$1-$CA$1)</f>
        <v>61.193927602640251</v>
      </c>
      <c r="CC192" s="8">
        <f>+(Tabla_master_rend[[#This Row],[Kg_Queso_Blan]]-CA192-CB192)*$CC$1</f>
        <v>181.74596497984155</v>
      </c>
      <c r="CD192" s="8">
        <f t="shared" si="53"/>
        <v>356.58575813024225</v>
      </c>
      <c r="CE192" s="80">
        <f>+CD192/Tabla_master_rend[[#This Row],[Kg_Queso_Blan]]</f>
        <v>2.0395000000000003E-2</v>
      </c>
      <c r="CF192" s="62">
        <f>+Tabla_master_rend[[#This Row],[Merma_TOT]]/Tabla_master_rend[[#This Row],[Kg_Queso_Blan]]</f>
        <v>2.9056275226948033E-2</v>
      </c>
      <c r="CG192" s="8">
        <f>CD192-Tabla_master_rend[[#This Row],[Merma_TOT]]</f>
        <v>-151.43355690982833</v>
      </c>
      <c r="CH192" s="81" cm="1">
        <f t="array" ref="CH192">-BR192 * IFERROR(INDEX('Precio Leche_EBITDA_Ventas'!$BD$87:$BD$110,MATCH(1,('Precio Leche_EBITDA_Ventas'!$AZ$87:$AZ$110=YEAR(A192))*('Precio Leche_EBITDA_Ventas'!$BB$87:$BB$110=C192),0)),1.3)</f>
        <v>0</v>
      </c>
      <c r="CI192" s="81">
        <f t="shared" si="54"/>
        <v>-196.86362398277683</v>
      </c>
    </row>
    <row r="193" spans="1:87" x14ac:dyDescent="0.35">
      <c r="A193" s="9">
        <v>46113</v>
      </c>
      <c r="B193" s="7">
        <v>4</v>
      </c>
      <c r="C193" s="7" t="str">
        <f>+UPPER(TEXT(Tabla_master_rend[[#This Row],[Fecha]],"MMM"))</f>
        <v>ABR</v>
      </c>
      <c r="D193" s="7" t="str">
        <f>+UPPER(TEXT(Tabla_master_rend[[#This Row],[Fecha]],"ddd"))</f>
        <v>MI</v>
      </c>
      <c r="E193" s="56" t="s">
        <v>580</v>
      </c>
      <c r="F193" s="3" t="s">
        <v>244</v>
      </c>
      <c r="G193" t="s">
        <v>40</v>
      </c>
      <c r="H193">
        <v>11</v>
      </c>
      <c r="I193" s="8">
        <f>+Tabla_master_rend[[#This Row],[L_Leche_ent]]+Tabla_master_rend[[#This Row],[L_desn_ext]]+Tabla_master_rend[[#This Row],[L_cabra]]+Tabla_master_rend[[#This Row],[L_oveja]]</f>
        <v>168385</v>
      </c>
      <c r="J193" s="8">
        <v>168385</v>
      </c>
      <c r="K193" s="66">
        <v>4.41E-2</v>
      </c>
      <c r="L193" s="66">
        <v>3.5799999999999998E-2</v>
      </c>
      <c r="M193" s="5">
        <f t="shared" ref="M193:M209" si="55">0.93*K193+0.74*L193+0.048</f>
        <v>0.115505</v>
      </c>
      <c r="N193" s="3" t="s">
        <v>188</v>
      </c>
      <c r="O193" s="8">
        <v>0</v>
      </c>
      <c r="P193" s="8">
        <v>0</v>
      </c>
      <c r="Q193" s="8">
        <v>0</v>
      </c>
      <c r="R193" s="8">
        <v>2967</v>
      </c>
      <c r="S193" s="8">
        <v>340</v>
      </c>
      <c r="T193" s="8">
        <v>152760</v>
      </c>
      <c r="U193" s="38">
        <f>+Tabla_master_rend[[#This Row],[L_suero Total]]/Tabla_master_rend[[#This Row],[Litros_Leche_Total]]</f>
        <v>0.90720669893399053</v>
      </c>
      <c r="V193" s="66">
        <v>8.9999999999999998E-4</v>
      </c>
      <c r="W193" s="66">
        <v>8.6E-3</v>
      </c>
      <c r="X193" s="8">
        <v>151144</v>
      </c>
      <c r="Y193" s="57">
        <v>44200</v>
      </c>
      <c r="Z193" s="58">
        <f>IF(Tabla_master_rend[[#This Row],[L_suero para con]]=0,0,+Tabla_master_rend[[#This Row],[L_suero para con]]/Tabla_master_rend[[#This Row],[L_suero_con]])</f>
        <v>3.4195475113122171</v>
      </c>
      <c r="AA193" s="8">
        <f>+Tabla_master_rend[[#This Row],[L_suero Total]]-Tabla_master_rend[[#This Row],[L_suero para con]]</f>
        <v>1616</v>
      </c>
      <c r="AD193" s="8">
        <v>0</v>
      </c>
      <c r="AE193" s="8">
        <v>0</v>
      </c>
      <c r="AF193" s="8">
        <v>0</v>
      </c>
      <c r="AG193" s="66">
        <v>0</v>
      </c>
      <c r="AH193" s="66">
        <v>0</v>
      </c>
      <c r="AI193" s="7">
        <f>+Tabla_master_rend[[#This Row],[Kg_Finos]]+Tabla_master_rend[[#This Row],[Kg_Llenadora]]+Tabla_master_rend[[#This Row],[Kg_Desmoldeo]]+Tabla_master_rend[[#This Row],[L_Agua]]+Tabla_master_rend[[#This Row],[Kg_SalidaSecadero]]</f>
        <v>21449.279999999999</v>
      </c>
      <c r="AJ193" s="59">
        <f>+Tabla_master_rend[[#This Row],[Litros_Leche_Total]]/Tabla_master_rend[[#This Row],[Kg_Queso_Blan]]</f>
        <v>7.8503800593772848</v>
      </c>
      <c r="AK193" s="59">
        <f>+Tabla_master_rend[[#This Row],[Litros_Leche_Total]]/(Tabla_master_rend[[#This Row],[Kg_Queso_Blan]]-Tabla_master_rend[[#This Row],[Merma_TOT]])</f>
        <v>8.0147762992805092</v>
      </c>
      <c r="AL193" s="59">
        <f>VLOOKUP(G193,REND_TARGET[#All],8,FALSE)</f>
        <v>8.9338729999999984</v>
      </c>
      <c r="AM193" s="7">
        <f>(I193*1.03*Tabla_master_rend[[#This Row],[%MG_Leche]])+(I193*1.03*Tabla_master_rend[[#This Row],[%MP_Leche]])</f>
        <v>13857.580345000002</v>
      </c>
      <c r="AN193" s="137">
        <v>0.29609999999999997</v>
      </c>
      <c r="AO193" s="137">
        <v>0.2316</v>
      </c>
      <c r="AP193" s="64">
        <v>0.56889999999999996</v>
      </c>
      <c r="AQ193" s="38">
        <f>+Tabla_master_rend[[#This Row],[Kg_Queso_Blan]]*Tabla_master_rend[[#This Row],[ES_QUESO]]/(Tabla_master_rend[[#This Row],[Kg_Solidos_leche]])</f>
        <v>0.88056465040831033</v>
      </c>
      <c r="AR193" s="7">
        <f t="shared" ref="AR193:AR209" si="56">R193*0.4</f>
        <v>1186.8</v>
      </c>
      <c r="AS193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0.98553712531507687</v>
      </c>
      <c r="AT193" s="62">
        <f>+Tabla_master_rend[[#This Row],[Kg_Queso_Blan]]*Tabla_master_rend[[#This Row],[%PT_QUESO]]/(Tabla_master_rend[[#This Row],[Litros_Leche_Total]]*1.03*Tabla_master_rend[[#This Row],[%MP_Leche]])</f>
        <v>0.80006932743193115</v>
      </c>
      <c r="AU193" s="7">
        <f t="shared" ref="AU193:AU209" si="57">AR193*$CO$3</f>
        <v>8901</v>
      </c>
      <c r="AV193" s="8">
        <v>41.28</v>
      </c>
      <c r="AW193" s="8">
        <v>38.299999999999997</v>
      </c>
      <c r="AX193" s="8">
        <v>9.6999999999999993</v>
      </c>
      <c r="AY193" s="8">
        <f>SUM(Tabla_master_rend[[#This Row],[Kg_Finos]:[Kg_Desmoldeo]])</f>
        <v>89.28</v>
      </c>
      <c r="AZ193" s="60">
        <f>+(Tabla_master_rend[[#This Row],[Kg_Finos]]+Tabla_master_rend[[#This Row],[Kg_Llenadora]]+Tabla_master_rend[[#This Row],[Kg_Desmoldeo]])/(Tabla_master_rend[[#This Row],[Kg_Queso_Blan]])</f>
        <v>4.1623774784048696E-3</v>
      </c>
      <c r="BA193" s="8">
        <v>200</v>
      </c>
      <c r="BB193" s="60">
        <f>+Tabla_master_rend[[#This Row],[L_Agua]]/(Tabla_master_rend[[#This Row],[L_Agua]]+Tabla_master_rend[[#This Row],[Kg_SalidaSecadero]])</f>
        <v>9.3632958801498131E-3</v>
      </c>
      <c r="BC193" s="8">
        <v>3012</v>
      </c>
      <c r="BD193" s="8">
        <v>2981</v>
      </c>
      <c r="BE193" s="8">
        <v>21169</v>
      </c>
      <c r="BF193" s="8">
        <v>78</v>
      </c>
      <c r="BG193" s="8">
        <v>5</v>
      </c>
      <c r="BH193" s="8">
        <v>6</v>
      </c>
      <c r="BI193" s="8">
        <v>54</v>
      </c>
      <c r="BJ193" s="8">
        <v>116</v>
      </c>
      <c r="BK193" s="8">
        <v>21160</v>
      </c>
      <c r="BL193" s="8">
        <v>0</v>
      </c>
      <c r="BM193" s="8">
        <v>121.08</v>
      </c>
      <c r="BN193" s="8">
        <v>29.6</v>
      </c>
      <c r="BO193" s="68">
        <f>+SUM(Tabla_master_rend[[#This Row],[B_altas]:[B_lab]])/Tabla_master_rend[[#This Row],[Kg_SalidaSecadero]]</f>
        <v>1.2240075614366729E-2</v>
      </c>
      <c r="BP193" s="68">
        <f>+(Tabla_master_rend[[#This Row],[Kg_mer_env_real]]+Tabla_master_rend[[#This Row],[kg_mer_lab_real]])/Tabla_master_rend[[#This Row],[Kg_SalidaSecadero]]</f>
        <v>7.120982986767486E-3</v>
      </c>
      <c r="BQ193" s="64">
        <f>+Tabla_master_rend[[#This Row],[Merma_TOT]]/Tabla_master_rend[[#This Row],[Kg_Queso_Blan]]</f>
        <v>2.0511644213698551E-2</v>
      </c>
      <c r="BR193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439.96000000000004</v>
      </c>
      <c r="BS193" s="138">
        <v>21203.15</v>
      </c>
      <c r="BT193" s="63">
        <f>IF(+Tabla_master_rend[[#This Row],[Kg_Env_Total]]=0,0,Tabla_master_rend[[#This Row],[Kg_Env_Total]]-Tabla_master_rend[[#This Row],[Kg_SalidaSecadero]])</f>
        <v>43.150000000001455</v>
      </c>
      <c r="BU193" s="60">
        <f>+Tabla_master_rend[[#This Row],[Diferencia_Env_vs_Sec_kg]]/Tabla_master_rend[[#This Row],[Kg_SalidaSecadero]]</f>
        <v>2.0392249527410897E-3</v>
      </c>
      <c r="BV193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93" s="65">
        <f>+(Tabla_master_rend[[#This Row],[Coste_Leche_€]]-Tabla_master_rend[[#This Row],[Kg_MG_Nata]]*$CO$3)/Tabla_master_rend[[#This Row],[Kg_Queso_Blan]]</f>
        <v>-0.4149789643288726</v>
      </c>
      <c r="BX193" s="8">
        <f>SUM(Tabla_master_rend[[#This Row],[Kg_Finos]:[Kg_Desmoldeo]])+Tabla_master_rend[[#This Row],[L_Agua]]+SUM(Tabla_master_rend[[#This Row],[B_altas]:[B_lab]])</f>
        <v>548.28</v>
      </c>
      <c r="BY193" s="8">
        <f>+BX193-Tabla_master_rend[[#This Row],[Merma_TOT]]</f>
        <v>108.31999999999994</v>
      </c>
      <c r="BZ193" s="62">
        <f t="shared" ref="BZ193:BZ209" si="58">+BY193/BX193</f>
        <v>0.19756328883052443</v>
      </c>
      <c r="CA193" s="8">
        <f>+Tabla_master_rend[[#This Row],[Kg_Queso_Blan]]*$CA$1</f>
        <v>139.42031999999998</v>
      </c>
      <c r="CB193" s="8">
        <f>+Tabla_master_rend[[#This Row],[Kg_Queso_Blan]]*($CB$1-$CA$1)</f>
        <v>75.072480000000013</v>
      </c>
      <c r="CC193" s="8">
        <f>+(Tabla_master_rend[[#This Row],[Kg_Queso_Blan]]-CA193-CB193)*$CC$1</f>
        <v>222.96526560000001</v>
      </c>
      <c r="CD193" s="8">
        <f t="shared" ref="CD193:CD209" si="59">+CA193+CB193+CC193</f>
        <v>437.4580656</v>
      </c>
      <c r="CE193" s="80">
        <f>+CD193/Tabla_master_rend[[#This Row],[Kg_Queso_Blan]]</f>
        <v>2.0395E-2</v>
      </c>
      <c r="CF193" s="62">
        <f>+Tabla_master_rend[[#This Row],[Merma_TOT]]/Tabla_master_rend[[#This Row],[Kg_Queso_Blan]]</f>
        <v>2.0511644213698551E-2</v>
      </c>
      <c r="CG193" s="8">
        <f>CD193-Tabla_master_rend[[#This Row],[Merma_TOT]]</f>
        <v>-2.5019344000000387</v>
      </c>
      <c r="CH193" s="81" cm="1">
        <f t="array" ref="CH193">-BR193 * IFERROR(INDEX('Precio Leche_EBITDA_Ventas'!$BD$87:$BD$110,MATCH(1,('Precio Leche_EBITDA_Ventas'!$AZ$87:$AZ$110=YEAR(A193))*('Precio Leche_EBITDA_Ventas'!$BB$87:$BB$110=C193),0)),1.3)</f>
        <v>0</v>
      </c>
      <c r="CI193" s="81">
        <f t="shared" ref="CI193:CI209" si="60">+CG193*$CM$2</f>
        <v>-3.2525147200000504</v>
      </c>
    </row>
    <row r="194" spans="1:87" x14ac:dyDescent="0.35">
      <c r="A194" s="9">
        <v>46118</v>
      </c>
      <c r="B194" s="7">
        <v>4</v>
      </c>
      <c r="C194" s="7" t="str">
        <f>+UPPER(TEXT(Tabla_master_rend[[#This Row],[Fecha]],"MMM"))</f>
        <v>ABR</v>
      </c>
      <c r="D194" s="7" t="str">
        <f>+UPPER(TEXT(Tabla_master_rend[[#This Row],[Fecha]],"ddd"))</f>
        <v>LU</v>
      </c>
      <c r="E194" s="56" t="s">
        <v>581</v>
      </c>
      <c r="F194" s="3" t="s">
        <v>244</v>
      </c>
      <c r="G194" s="84" t="s">
        <v>299</v>
      </c>
      <c r="H194">
        <v>16</v>
      </c>
      <c r="I194" s="8">
        <f>+Tabla_master_rend[[#This Row],[L_Leche_ent]]+Tabla_master_rend[[#This Row],[L_desn_ext]]+Tabla_master_rend[[#This Row],[L_cabra]]+Tabla_master_rend[[#This Row],[L_oveja]]</f>
        <v>250046</v>
      </c>
      <c r="J194" s="8">
        <v>250046</v>
      </c>
      <c r="K194" s="66">
        <v>4.0899999999999999E-2</v>
      </c>
      <c r="L194" s="66">
        <v>3.4700000000000002E-2</v>
      </c>
      <c r="M194" s="5">
        <f t="shared" si="55"/>
        <v>0.11171499999999999</v>
      </c>
      <c r="N194" s="3" t="s">
        <v>188</v>
      </c>
      <c r="O194" s="8">
        <v>0</v>
      </c>
      <c r="P194" s="8">
        <v>0</v>
      </c>
      <c r="Q194" s="8">
        <v>0</v>
      </c>
      <c r="R194" s="8">
        <v>9757</v>
      </c>
      <c r="S194" s="8">
        <v>279.2</v>
      </c>
      <c r="T194" s="8">
        <v>222930</v>
      </c>
      <c r="U194" s="38">
        <f>+Tabla_master_rend[[#This Row],[L_suero Total]]/Tabla_master_rend[[#This Row],[Litros_Leche_Total]]</f>
        <v>0.89155595370451834</v>
      </c>
      <c r="V194" s="66">
        <v>0</v>
      </c>
      <c r="W194" s="66">
        <v>9.1000000000000004E-3</v>
      </c>
      <c r="X194" s="8">
        <v>140666</v>
      </c>
      <c r="Y194" s="57">
        <v>42345</v>
      </c>
      <c r="Z194" s="58">
        <f>IF(Tabla_master_rend[[#This Row],[L_suero para con]]=0,0,+Tabla_master_rend[[#This Row],[L_suero para con]]/Tabla_master_rend[[#This Row],[L_suero_con]])</f>
        <v>3.3219034124453892</v>
      </c>
      <c r="AA194" s="8">
        <f>+Tabla_master_rend[[#This Row],[L_suero Total]]-Tabla_master_rend[[#This Row],[L_suero para con]]</f>
        <v>82264</v>
      </c>
      <c r="AD194" s="8">
        <v>0</v>
      </c>
      <c r="AE194" s="8">
        <v>0</v>
      </c>
      <c r="AF194" s="8">
        <v>0</v>
      </c>
      <c r="AG194" s="66">
        <v>0</v>
      </c>
      <c r="AH194" s="66">
        <v>0</v>
      </c>
      <c r="AI194" s="7">
        <f>+Tabla_master_rend[[#This Row],[Kg_Finos]]+Tabla_master_rend[[#This Row],[Kg_Llenadora]]+Tabla_master_rend[[#This Row],[Kg_Desmoldeo]]+Tabla_master_rend[[#This Row],[L_Agua]]+Tabla_master_rend[[#This Row],[Kg_SalidaSecadero]]</f>
        <v>27593.45</v>
      </c>
      <c r="AJ194" s="59">
        <f>+Tabla_master_rend[[#This Row],[Litros_Leche_Total]]/Tabla_master_rend[[#This Row],[Kg_Queso_Blan]]</f>
        <v>9.061788214232001</v>
      </c>
      <c r="AK194" s="59">
        <f>+Tabla_master_rend[[#This Row],[Litros_Leche_Total]]/(Tabla_master_rend[[#This Row],[Kg_Queso_Blan]]-Tabla_master_rend[[#This Row],[Merma_TOT]])</f>
        <v>9.4563414850910377</v>
      </c>
      <c r="AL194" s="59">
        <f>VLOOKUP(G194,REND_TARGET[#All],8,FALSE)</f>
        <v>9.8078500000000002</v>
      </c>
      <c r="AM194" s="7">
        <f>(I194*1.03*Tabla_master_rend[[#This Row],[%MG_Leche]])+(I194*1.03*Tabla_master_rend[[#This Row],[%MP_Leche]])</f>
        <v>19470.581928</v>
      </c>
      <c r="AN194" s="137">
        <v>0.22</v>
      </c>
      <c r="AO194" s="137">
        <v>0.25009999999999999</v>
      </c>
      <c r="AP194" s="64">
        <v>0.52410000000000001</v>
      </c>
      <c r="AQ194" s="38">
        <f>+Tabla_master_rend[[#This Row],[Kg_Queso_Blan]]*Tabla_master_rend[[#This Row],[ES_QUESO]]/(Tabla_master_rend[[#This Row],[Kg_Solidos_leche]])</f>
        <v>0.7427475562095589</v>
      </c>
      <c r="AR194" s="7">
        <f t="shared" si="56"/>
        <v>3902.8</v>
      </c>
      <c r="AS194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0.94680601415148724</v>
      </c>
      <c r="AT194" s="62">
        <f>+Tabla_master_rend[[#This Row],[Kg_Queso_Blan]]*Tabla_master_rend[[#This Row],[%PT_QUESO]]/(Tabla_master_rend[[#This Row],[Litros_Leche_Total]]*1.03*Tabla_master_rend[[#This Row],[%MP_Leche]])</f>
        <v>0.77220584451267937</v>
      </c>
      <c r="AU194" s="7">
        <f t="shared" si="57"/>
        <v>29271</v>
      </c>
      <c r="AV194" s="8">
        <v>22.45</v>
      </c>
      <c r="AW194" s="8">
        <v>325</v>
      </c>
      <c r="AX194" s="8">
        <v>36</v>
      </c>
      <c r="AY194" s="8">
        <f>SUM(Tabla_master_rend[[#This Row],[Kg_Finos]:[Kg_Desmoldeo]])</f>
        <v>383.45</v>
      </c>
      <c r="AZ194" s="60">
        <f>+(Tabla_master_rend[[#This Row],[Kg_Finos]]+Tabla_master_rend[[#This Row],[Kg_Llenadora]]+Tabla_master_rend[[#This Row],[Kg_Desmoldeo]])/(Tabla_master_rend[[#This Row],[Kg_Queso_Blan]])</f>
        <v>1.3896413822845639E-2</v>
      </c>
      <c r="BA194" s="8">
        <v>240</v>
      </c>
      <c r="BB194" s="60">
        <f>+Tabla_master_rend[[#This Row],[L_Agua]]/(Tabla_master_rend[[#This Row],[L_Agua]]+Tabla_master_rend[[#This Row],[Kg_SalidaSecadero]])</f>
        <v>8.8202866593164279E-3</v>
      </c>
      <c r="BC194" s="8">
        <v>3740</v>
      </c>
      <c r="BD194" s="8">
        <v>3664</v>
      </c>
      <c r="BE194" s="8">
        <v>26721</v>
      </c>
      <c r="BF194" s="8">
        <v>67</v>
      </c>
      <c r="BG194" s="8">
        <v>192</v>
      </c>
      <c r="BH194" s="8">
        <v>84</v>
      </c>
      <c r="BI194" s="8">
        <v>126</v>
      </c>
      <c r="BJ194" s="8">
        <v>87</v>
      </c>
      <c r="BK194" s="8">
        <v>26970</v>
      </c>
      <c r="BL194" s="8">
        <v>0</v>
      </c>
      <c r="BM194" s="8">
        <v>504.05</v>
      </c>
      <c r="BN194" s="8">
        <v>23.8</v>
      </c>
      <c r="BO194" s="68">
        <f>+SUM(Tabla_master_rend[[#This Row],[B_altas]:[B_lab]])/Tabla_master_rend[[#This Row],[Kg_SalidaSecadero]]</f>
        <v>2.0615498702261773E-2</v>
      </c>
      <c r="BP194" s="68">
        <f>+(Tabla_master_rend[[#This Row],[Kg_mer_env_real]]+Tabla_master_rend[[#This Row],[kg_mer_lab_real]])/Tabla_master_rend[[#This Row],[Kg_SalidaSecadero]]</f>
        <v>1.957174638487208E-2</v>
      </c>
      <c r="BQ194" s="64">
        <f>+Tabla_master_rend[[#This Row],[Merma_TOT]]/Tabla_master_rend[[#This Row],[Kg_Queso_Blan]]</f>
        <v>4.1723669928914284E-2</v>
      </c>
      <c r="BR194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1151.3</v>
      </c>
      <c r="BS194" s="138">
        <v>26764.7</v>
      </c>
      <c r="BT194" s="63">
        <f>IF(+Tabla_master_rend[[#This Row],[Kg_Env_Total]]=0,0,Tabla_master_rend[[#This Row],[Kg_Env_Total]]-Tabla_master_rend[[#This Row],[Kg_SalidaSecadero]])</f>
        <v>-205.29999999999927</v>
      </c>
      <c r="BU194" s="60">
        <f>+Tabla_master_rend[[#This Row],[Diferencia_Env_vs_Sec_kg]]/Tabla_master_rend[[#This Row],[Kg_SalidaSecadero]]</f>
        <v>-7.6121616611049044E-3</v>
      </c>
      <c r="BV194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94" s="65">
        <f>+(Tabla_master_rend[[#This Row],[Coste_Leche_€]]-Tabla_master_rend[[#This Row],[Kg_MG_Nata]]*$CO$3)/Tabla_master_rend[[#This Row],[Kg_Queso_Blan]]</f>
        <v>-1.060795224953748</v>
      </c>
      <c r="BX194" s="8">
        <f>SUM(Tabla_master_rend[[#This Row],[Kg_Finos]:[Kg_Desmoldeo]])+Tabla_master_rend[[#This Row],[L_Agua]]+SUM(Tabla_master_rend[[#This Row],[B_altas]:[B_lab]])</f>
        <v>1179.45</v>
      </c>
      <c r="BY194" s="8">
        <f>+BX194-Tabla_master_rend[[#This Row],[Merma_TOT]]</f>
        <v>28.150000000000091</v>
      </c>
      <c r="BZ194" s="62">
        <f t="shared" si="58"/>
        <v>2.3867056678960608E-2</v>
      </c>
      <c r="CA194" s="8">
        <f>+Tabla_master_rend[[#This Row],[Kg_Queso_Blan]]*$CA$1</f>
        <v>179.35742500000001</v>
      </c>
      <c r="CB194" s="8">
        <f>+Tabla_master_rend[[#This Row],[Kg_Queso_Blan]]*($CB$1-$CA$1)</f>
        <v>96.577075000000022</v>
      </c>
      <c r="CC194" s="8">
        <f>+(Tabla_master_rend[[#This Row],[Kg_Queso_Blan]]-CA194-CB194)*$CC$1</f>
        <v>286.83391275000002</v>
      </c>
      <c r="CD194" s="8">
        <f t="shared" si="59"/>
        <v>562.76841275000004</v>
      </c>
      <c r="CE194" s="80">
        <f>+CD194/Tabla_master_rend[[#This Row],[Kg_Queso_Blan]]</f>
        <v>2.0395E-2</v>
      </c>
      <c r="CF194" s="62">
        <f>+Tabla_master_rend[[#This Row],[Merma_TOT]]/Tabla_master_rend[[#This Row],[Kg_Queso_Blan]]</f>
        <v>4.1723669928914284E-2</v>
      </c>
      <c r="CG194" s="8">
        <f>CD194-Tabla_master_rend[[#This Row],[Merma_TOT]]</f>
        <v>-588.53158724999992</v>
      </c>
      <c r="CH194" s="81" cm="1">
        <f t="array" ref="CH194">-BR194 * IFERROR(INDEX('Precio Leche_EBITDA_Ventas'!$BD$87:$BD$110,MATCH(1,('Precio Leche_EBITDA_Ventas'!$AZ$87:$AZ$110=YEAR(A194))*('Precio Leche_EBITDA_Ventas'!$BB$87:$BB$110=C194),0)),1.3)</f>
        <v>0</v>
      </c>
      <c r="CI194" s="81">
        <f t="shared" si="60"/>
        <v>-765.0910634249999</v>
      </c>
    </row>
    <row r="195" spans="1:87" x14ac:dyDescent="0.35">
      <c r="A195" s="9">
        <v>46119</v>
      </c>
      <c r="B195" s="7">
        <v>4</v>
      </c>
      <c r="C195" s="7" t="str">
        <f>+UPPER(TEXT(Tabla_master_rend[[#This Row],[Fecha]],"MMM"))</f>
        <v>ABR</v>
      </c>
      <c r="D195" s="7" t="str">
        <f>+UPPER(TEXT(Tabla_master_rend[[#This Row],[Fecha]],"ddd"))</f>
        <v>MA</v>
      </c>
      <c r="E195" s="56" t="s">
        <v>582</v>
      </c>
      <c r="F195" s="3" t="s">
        <v>244</v>
      </c>
      <c r="G195" s="84" t="s">
        <v>299</v>
      </c>
      <c r="H195">
        <v>13</v>
      </c>
      <c r="I195" s="8">
        <f>+Tabla_master_rend[[#This Row],[L_Leche_ent]]+Tabla_master_rend[[#This Row],[L_desn_ext]]+Tabla_master_rend[[#This Row],[L_cabra]]+Tabla_master_rend[[#This Row],[L_oveja]]</f>
        <v>206411</v>
      </c>
      <c r="J195" s="8">
        <v>206411</v>
      </c>
      <c r="K195" s="66">
        <v>0.04</v>
      </c>
      <c r="L195" s="66">
        <v>3.4200000000000001E-2</v>
      </c>
      <c r="M195" s="5">
        <f t="shared" si="55"/>
        <v>0.11050800000000001</v>
      </c>
      <c r="N195" s="3" t="s">
        <v>188</v>
      </c>
      <c r="O195" s="8">
        <v>0</v>
      </c>
      <c r="P195" s="8">
        <v>0</v>
      </c>
      <c r="Q195" s="8">
        <v>0</v>
      </c>
      <c r="R195" s="8">
        <v>7940</v>
      </c>
      <c r="S195" s="8">
        <v>0</v>
      </c>
      <c r="T195" s="8">
        <v>182420</v>
      </c>
      <c r="U195" s="38">
        <f>+Tabla_master_rend[[#This Row],[L_suero Total]]/Tabla_master_rend[[#This Row],[Litros_Leche_Total]]</f>
        <v>0.88377072927314915</v>
      </c>
      <c r="V195" s="66">
        <v>1.4E-3</v>
      </c>
      <c r="W195" s="66">
        <v>8.3999999999999995E-3</v>
      </c>
      <c r="X195" s="8">
        <v>150099</v>
      </c>
      <c r="Y195" s="57">
        <v>42251</v>
      </c>
      <c r="Z195" s="58">
        <f>IF(Tabla_master_rend[[#This Row],[L_suero para con]]=0,0,+Tabla_master_rend[[#This Row],[L_suero para con]]/Tabla_master_rend[[#This Row],[L_suero_con]])</f>
        <v>3.552554969113157</v>
      </c>
      <c r="AA195" s="8">
        <f>+Tabla_master_rend[[#This Row],[L_suero Total]]-Tabla_master_rend[[#This Row],[L_suero para con]]</f>
        <v>32321</v>
      </c>
      <c r="AD195" s="8">
        <v>40325</v>
      </c>
      <c r="AE195" s="8">
        <v>0</v>
      </c>
      <c r="AF195" s="8">
        <v>0</v>
      </c>
      <c r="AG195" s="140"/>
      <c r="AH195" s="140"/>
      <c r="AI195" s="7">
        <f>+Tabla_master_rend[[#This Row],[Kg_Finos]]+Tabla_master_rend[[#This Row],[Kg_Llenadora]]+Tabla_master_rend[[#This Row],[Kg_Desmoldeo]]+Tabla_master_rend[[#This Row],[L_Agua]]+Tabla_master_rend[[#This Row],[Kg_SalidaSecadero]]</f>
        <v>22613.18</v>
      </c>
      <c r="AJ195" s="59">
        <f>+Tabla_master_rend[[#This Row],[Litros_Leche_Total]]/Tabla_master_rend[[#This Row],[Kg_Queso_Blan]]</f>
        <v>9.1279068224814015</v>
      </c>
      <c r="AK195" s="59">
        <f>+Tabla_master_rend[[#This Row],[Litros_Leche_Total]]/(Tabla_master_rend[[#This Row],[Kg_Queso_Blan]]-Tabla_master_rend[[#This Row],[Merma_TOT]])</f>
        <v>9.3262757430350351</v>
      </c>
      <c r="AL195" s="59">
        <f>VLOOKUP(G195,REND_TARGET[#All],8,FALSE)</f>
        <v>9.8078500000000002</v>
      </c>
      <c r="AM195" s="7">
        <f>(I195*1.03*Tabla_master_rend[[#This Row],[%MG_Leche]])+(I195*1.03*Tabla_master_rend[[#This Row],[%MP_Leche]])</f>
        <v>15775.167086000001</v>
      </c>
      <c r="AN195" s="137">
        <v>0.22620000000000001</v>
      </c>
      <c r="AO195" s="137">
        <v>0.25569999999999998</v>
      </c>
      <c r="AP195" s="64">
        <v>0.53610000000000002</v>
      </c>
      <c r="AQ195" s="38">
        <f>+Tabla_master_rend[[#This Row],[Kg_Queso_Blan]]*Tabla_master_rend[[#This Row],[ES_QUESO]]/(Tabla_master_rend[[#This Row],[Kg_Solidos_leche]])</f>
        <v>0.76848160985621139</v>
      </c>
      <c r="AR195" s="7">
        <f t="shared" si="56"/>
        <v>3176</v>
      </c>
      <c r="AS195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0.97494960638669204</v>
      </c>
      <c r="AT195" s="62">
        <f>+Tabla_master_rend[[#This Row],[Kg_Queso_Blan]]*Tabla_master_rend[[#This Row],[%PT_QUESO]]/(Tabla_master_rend[[#This Row],[Litros_Leche_Total]]*1.03*Tabla_master_rend[[#This Row],[%MP_Leche]])</f>
        <v>0.79523630568319958</v>
      </c>
      <c r="AU195" s="7">
        <f t="shared" si="57"/>
        <v>23820</v>
      </c>
      <c r="AV195" s="8">
        <v>34.18</v>
      </c>
      <c r="AW195" s="8">
        <v>38</v>
      </c>
      <c r="AX195" s="8">
        <v>14</v>
      </c>
      <c r="AY195" s="8">
        <f>SUM(Tabla_master_rend[[#This Row],[Kg_Finos]:[Kg_Desmoldeo]])</f>
        <v>86.18</v>
      </c>
      <c r="AZ195" s="60">
        <f>+(Tabla_master_rend[[#This Row],[Kg_Finos]]+Tabla_master_rend[[#This Row],[Kg_Llenadora]]+Tabla_master_rend[[#This Row],[Kg_Desmoldeo]])/(Tabla_master_rend[[#This Row],[Kg_Queso_Blan]])</f>
        <v>3.8110517848440602E-3</v>
      </c>
      <c r="BA195" s="8">
        <v>265</v>
      </c>
      <c r="BB195" s="60">
        <f>+Tabla_master_rend[[#This Row],[L_Agua]]/(Tabla_master_rend[[#This Row],[L_Agua]]+Tabla_master_rend[[#This Row],[Kg_SalidaSecadero]])</f>
        <v>1.1763661384116837E-2</v>
      </c>
      <c r="BC195" s="8">
        <v>3030</v>
      </c>
      <c r="BD195" s="8">
        <v>2995</v>
      </c>
      <c r="BE195" s="8">
        <v>22310</v>
      </c>
      <c r="BF195" s="8">
        <v>0</v>
      </c>
      <c r="BG195" s="8">
        <v>78</v>
      </c>
      <c r="BH195" s="8">
        <v>7</v>
      </c>
      <c r="BI195" s="8">
        <v>61</v>
      </c>
      <c r="BJ195" s="8">
        <v>71</v>
      </c>
      <c r="BK195" s="8">
        <v>22262</v>
      </c>
      <c r="BL195" s="8">
        <v>0</v>
      </c>
      <c r="BM195" s="8">
        <v>114.15</v>
      </c>
      <c r="BN195" s="8">
        <v>15.65</v>
      </c>
      <c r="BO195" s="68">
        <f>+SUM(Tabla_master_rend[[#This Row],[B_altas]:[B_lab]])/Tabla_master_rend[[#This Row],[Kg_SalidaSecadero]]</f>
        <v>9.7475518821309847E-3</v>
      </c>
      <c r="BP195" s="68">
        <f>+(Tabla_master_rend[[#This Row],[Kg_mer_env_real]]+Tabla_master_rend[[#This Row],[kg_mer_lab_real]])/Tabla_master_rend[[#This Row],[Kg_SalidaSecadero]]</f>
        <v>5.8305632917078432E-3</v>
      </c>
      <c r="BQ195" s="64">
        <f>+Tabla_master_rend[[#This Row],[Merma_TOT]]/Tabla_master_rend[[#This Row],[Kg_Queso_Blan]]</f>
        <v>2.1269896582435555E-2</v>
      </c>
      <c r="BR195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480.98</v>
      </c>
      <c r="BS195" s="138">
        <v>21466.359999999997</v>
      </c>
      <c r="BT195" s="63">
        <f>IF(+Tabla_master_rend[[#This Row],[Kg_Env_Total]]=0,0,Tabla_master_rend[[#This Row],[Kg_Env_Total]]-Tabla_master_rend[[#This Row],[Kg_SalidaSecadero]])</f>
        <v>-795.64000000000306</v>
      </c>
      <c r="BU195" s="60">
        <f>+Tabla_master_rend[[#This Row],[Diferencia_Env_vs_Sec_kg]]/Tabla_master_rend[[#This Row],[Kg_SalidaSecadero]]</f>
        <v>-3.5739825711975703E-2</v>
      </c>
      <c r="BV195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95" s="65">
        <f>+(Tabla_master_rend[[#This Row],[Coste_Leche_€]]-Tabla_master_rend[[#This Row],[Kg_MG_Nata]]*$CO$3)/Tabla_master_rend[[#This Row],[Kg_Queso_Blan]]</f>
        <v>-1.0533679915872072</v>
      </c>
      <c r="BX195" s="8">
        <f>SUM(Tabla_master_rend[[#This Row],[Kg_Finos]:[Kg_Desmoldeo]])+Tabla_master_rend[[#This Row],[L_Agua]]+SUM(Tabla_master_rend[[#This Row],[B_altas]:[B_lab]])</f>
        <v>568.18000000000006</v>
      </c>
      <c r="BY195" s="8">
        <f>+BX195-Tabla_master_rend[[#This Row],[Merma_TOT]]</f>
        <v>87.200000000000045</v>
      </c>
      <c r="BZ195" s="62">
        <f t="shared" si="58"/>
        <v>0.15347249111197162</v>
      </c>
      <c r="CA195" s="8">
        <f>+Tabla_master_rend[[#This Row],[Kg_Queso_Blan]]*$CA$1</f>
        <v>146.98567</v>
      </c>
      <c r="CB195" s="8">
        <f>+Tabla_master_rend[[#This Row],[Kg_Queso_Blan]]*($CB$1-$CA$1)</f>
        <v>79.146130000000014</v>
      </c>
      <c r="CC195" s="8">
        <f>+(Tabla_master_rend[[#This Row],[Kg_Queso_Blan]]-CA195-CB195)*$CC$1</f>
        <v>235.06400610000003</v>
      </c>
      <c r="CD195" s="8">
        <f t="shared" si="59"/>
        <v>461.19580610000003</v>
      </c>
      <c r="CE195" s="80">
        <f>+CD195/Tabla_master_rend[[#This Row],[Kg_Queso_Blan]]</f>
        <v>2.0395E-2</v>
      </c>
      <c r="CF195" s="62">
        <f>+Tabla_master_rend[[#This Row],[Merma_TOT]]/Tabla_master_rend[[#This Row],[Kg_Queso_Blan]]</f>
        <v>2.1269896582435555E-2</v>
      </c>
      <c r="CG195" s="8">
        <f>CD195-Tabla_master_rend[[#This Row],[Merma_TOT]]</f>
        <v>-19.784193899999991</v>
      </c>
      <c r="CH195" s="81" cm="1">
        <f t="array" ref="CH195">-BR195 * IFERROR(INDEX('Precio Leche_EBITDA_Ventas'!$BD$87:$BD$110,MATCH(1,('Precio Leche_EBITDA_Ventas'!$AZ$87:$AZ$110=YEAR(A195))*('Precio Leche_EBITDA_Ventas'!$BB$87:$BB$110=C195),0)),1.3)</f>
        <v>0</v>
      </c>
      <c r="CI195" s="81">
        <f t="shared" si="60"/>
        <v>-25.719452069999988</v>
      </c>
    </row>
    <row r="196" spans="1:87" x14ac:dyDescent="0.35">
      <c r="A196" s="9">
        <v>46121</v>
      </c>
      <c r="B196" s="7">
        <v>4</v>
      </c>
      <c r="C196" s="7" t="str">
        <f>+UPPER(TEXT(Tabla_master_rend[[#This Row],[Fecha]],"MMM"))</f>
        <v>ABR</v>
      </c>
      <c r="D196" s="7" t="str">
        <f>+UPPER(TEXT(Tabla_master_rend[[#This Row],[Fecha]],"ddd"))</f>
        <v>JU</v>
      </c>
      <c r="E196" s="56" t="s">
        <v>583</v>
      </c>
      <c r="F196" s="3" t="s">
        <v>244</v>
      </c>
      <c r="G196" s="84" t="s">
        <v>299</v>
      </c>
      <c r="H196">
        <v>10</v>
      </c>
      <c r="I196" s="8">
        <f>+Tabla_master_rend[[#This Row],[L_Leche_ent]]+Tabla_master_rend[[#This Row],[L_desn_ext]]+Tabla_master_rend[[#This Row],[L_cabra]]+Tabla_master_rend[[#This Row],[L_oveja]]</f>
        <v>158341</v>
      </c>
      <c r="J196" s="8">
        <v>158341</v>
      </c>
      <c r="K196" s="66">
        <v>3.9600000000000003E-2</v>
      </c>
      <c r="L196" s="66">
        <v>3.4299999999999997E-2</v>
      </c>
      <c r="M196" s="5">
        <f t="shared" si="55"/>
        <v>0.11021</v>
      </c>
      <c r="N196" s="3" t="s">
        <v>584</v>
      </c>
      <c r="O196" s="8">
        <v>0</v>
      </c>
      <c r="P196" s="8">
        <v>0</v>
      </c>
      <c r="Q196" s="8">
        <v>0</v>
      </c>
      <c r="R196" s="8">
        <v>5902</v>
      </c>
      <c r="S196" s="8">
        <v>210</v>
      </c>
      <c r="T196" s="8">
        <v>141870</v>
      </c>
      <c r="U196" s="38">
        <f>+Tabla_master_rend[[#This Row],[L_suero Total]]/Tabla_master_rend[[#This Row],[Litros_Leche_Total]]</f>
        <v>0.89597766844973825</v>
      </c>
      <c r="V196" s="66">
        <v>0</v>
      </c>
      <c r="W196" s="66">
        <v>8.6999999999999994E-3</v>
      </c>
      <c r="X196" s="8">
        <v>140028</v>
      </c>
      <c r="Y196" s="57">
        <v>39945</v>
      </c>
      <c r="Z196" s="58">
        <f>IF(Tabla_master_rend[[#This Row],[L_suero para con]]=0,0,+Tabla_master_rend[[#This Row],[L_suero para con]]/Tabla_master_rend[[#This Row],[L_suero_con]])</f>
        <v>3.5055200901239205</v>
      </c>
      <c r="AA196" s="8">
        <f>+Tabla_master_rend[[#This Row],[L_suero Total]]-Tabla_master_rend[[#This Row],[L_suero para con]]</f>
        <v>1842</v>
      </c>
      <c r="AD196" s="8">
        <v>0</v>
      </c>
      <c r="AE196" s="8">
        <v>0</v>
      </c>
      <c r="AF196" s="8">
        <v>0</v>
      </c>
      <c r="AG196" s="66">
        <v>0</v>
      </c>
      <c r="AH196" s="66">
        <v>0</v>
      </c>
      <c r="AI196" s="7">
        <f>+Tabla_master_rend[[#This Row],[Kg_Finos]]+Tabla_master_rend[[#This Row],[Kg_Llenadora]]+Tabla_master_rend[[#This Row],[Kg_Desmoldeo]]+Tabla_master_rend[[#This Row],[L_Agua]]+Tabla_master_rend[[#This Row],[Kg_SalidaSecadero]]</f>
        <v>17255.400000000001</v>
      </c>
      <c r="AJ196" s="59">
        <f>+Tabla_master_rend[[#This Row],[Litros_Leche_Total]]/Tabla_master_rend[[#This Row],[Kg_Queso_Blan]]</f>
        <v>9.176315819975196</v>
      </c>
      <c r="AK196" s="59">
        <f>+Tabla_master_rend[[#This Row],[Litros_Leche_Total]]/(Tabla_master_rend[[#This Row],[Kg_Queso_Blan]]-Tabla_master_rend[[#This Row],[Merma_TOT]])</f>
        <v>9.3545440796283241</v>
      </c>
      <c r="AL196" s="59">
        <f>VLOOKUP(G196,REND_TARGET[#All],8,FALSE)</f>
        <v>9.8078500000000002</v>
      </c>
      <c r="AM196" s="7">
        <f>(I196*1.03*Tabla_master_rend[[#This Row],[%MG_Leche]])+(I196*1.03*Tabla_master_rend[[#This Row],[%MP_Leche]])</f>
        <v>12052.441897000001</v>
      </c>
      <c r="AN196" s="137">
        <v>0.22359999999999999</v>
      </c>
      <c r="AO196" s="137">
        <v>0.24679999999999999</v>
      </c>
      <c r="AP196" s="64">
        <v>0.52559999999999996</v>
      </c>
      <c r="AQ196" s="38">
        <f>+Tabla_master_rend[[#This Row],[Kg_Queso_Blan]]*Tabla_master_rend[[#This Row],[ES_QUESO]]/(Tabla_master_rend[[#This Row],[Kg_Solidos_leche]])</f>
        <v>0.7524979848488208</v>
      </c>
      <c r="AR196" s="7">
        <f t="shared" si="56"/>
        <v>2360.8000000000002</v>
      </c>
      <c r="AS196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0.96294673647851969</v>
      </c>
      <c r="AT196" s="62">
        <f>+Tabla_master_rend[[#This Row],[Kg_Queso_Blan]]*Tabla_master_rend[[#This Row],[%PT_QUESO]]/(Tabla_master_rend[[#This Row],[Litros_Leche_Total]]*1.03*Tabla_master_rend[[#This Row],[%MP_Leche]])</f>
        <v>0.7612818196183353</v>
      </c>
      <c r="AU196" s="7">
        <f t="shared" si="57"/>
        <v>17706</v>
      </c>
      <c r="AV196" s="8">
        <v>15.6</v>
      </c>
      <c r="AW196" s="8">
        <v>79.3</v>
      </c>
      <c r="AX196" s="8">
        <v>6.5</v>
      </c>
      <c r="AY196" s="8">
        <f>SUM(Tabla_master_rend[[#This Row],[Kg_Finos]:[Kg_Desmoldeo]])</f>
        <v>101.39999999999999</v>
      </c>
      <c r="AZ196" s="60">
        <f>+(Tabla_master_rend[[#This Row],[Kg_Finos]]+Tabla_master_rend[[#This Row],[Kg_Llenadora]]+Tabla_master_rend[[#This Row],[Kg_Desmoldeo]])/(Tabla_master_rend[[#This Row],[Kg_Queso_Blan]])</f>
        <v>5.8764212942035527E-3</v>
      </c>
      <c r="BA196" s="8">
        <v>100</v>
      </c>
      <c r="BB196" s="60">
        <f>+Tabla_master_rend[[#This Row],[L_Agua]]/(Tabla_master_rend[[#This Row],[L_Agua]]+Tabla_master_rend[[#This Row],[Kg_SalidaSecadero]])</f>
        <v>5.8295441296490613E-3</v>
      </c>
      <c r="BC196" s="8">
        <v>2310</v>
      </c>
      <c r="BD196" s="8">
        <v>2285</v>
      </c>
      <c r="BE196" s="8">
        <v>16992</v>
      </c>
      <c r="BF196" s="8">
        <v>0</v>
      </c>
      <c r="BG196" s="8">
        <v>60</v>
      </c>
      <c r="BH196" s="8">
        <v>28</v>
      </c>
      <c r="BI196" s="8">
        <v>21</v>
      </c>
      <c r="BJ196" s="8">
        <v>53</v>
      </c>
      <c r="BK196" s="8">
        <v>17054</v>
      </c>
      <c r="BL196" s="8">
        <v>0</v>
      </c>
      <c r="BM196" s="8">
        <v>99.55</v>
      </c>
      <c r="BN196" s="8">
        <v>27.81</v>
      </c>
      <c r="BO196" s="68">
        <f>+SUM(Tabla_master_rend[[#This Row],[B_altas]:[B_lab]])/Tabla_master_rend[[#This Row],[Kg_SalidaSecadero]]</f>
        <v>9.4992377154919667E-3</v>
      </c>
      <c r="BP196" s="68">
        <f>+(Tabla_master_rend[[#This Row],[Kg_mer_env_real]]+Tabla_master_rend[[#This Row],[kg_mer_lab_real]])/Tabla_master_rend[[#This Row],[Kg_SalidaSecadero]]</f>
        <v>7.46804268793245E-3</v>
      </c>
      <c r="BQ196" s="64">
        <f>+Tabla_master_rend[[#This Row],[Merma_TOT]]/Tabla_master_rend[[#This Row],[Kg_Queso_Blan]]</f>
        <v>1.9052586436709668E-2</v>
      </c>
      <c r="BR196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328.76000000000005</v>
      </c>
      <c r="BS196" s="138">
        <v>16754.159999999996</v>
      </c>
      <c r="BT196" s="63">
        <f>IF(+Tabla_master_rend[[#This Row],[Kg_Env_Total]]=0,0,Tabla_master_rend[[#This Row],[Kg_Env_Total]]-Tabla_master_rend[[#This Row],[Kg_SalidaSecadero]])</f>
        <v>-299.84000000000378</v>
      </c>
      <c r="BU196" s="60">
        <f>+Tabla_master_rend[[#This Row],[Diferencia_Env_vs_Sec_kg]]/Tabla_master_rend[[#This Row],[Kg_SalidaSecadero]]</f>
        <v>-1.758179899143918E-2</v>
      </c>
      <c r="BV196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96" s="65">
        <f>+(Tabla_master_rend[[#This Row],[Coste_Leche_€]]-Tabla_master_rend[[#This Row],[Kg_MG_Nata]]*$CO$3)/Tabla_master_rend[[#This Row],[Kg_Queso_Blan]]</f>
        <v>-1.0261135644493897</v>
      </c>
      <c r="BX196" s="8">
        <f>SUM(Tabla_master_rend[[#This Row],[Kg_Finos]:[Kg_Desmoldeo]])+Tabla_master_rend[[#This Row],[L_Agua]]+SUM(Tabla_master_rend[[#This Row],[B_altas]:[B_lab]])</f>
        <v>363.4</v>
      </c>
      <c r="BY196" s="8">
        <f>+BX196-Tabla_master_rend[[#This Row],[Merma_TOT]]</f>
        <v>34.63999999999993</v>
      </c>
      <c r="BZ196" s="62">
        <f t="shared" si="58"/>
        <v>9.5321959273527601E-2</v>
      </c>
      <c r="CA196" s="8">
        <f>+Tabla_master_rend[[#This Row],[Kg_Queso_Blan]]*$CA$1</f>
        <v>112.1601</v>
      </c>
      <c r="CB196" s="8">
        <f>+Tabla_master_rend[[#This Row],[Kg_Queso_Blan]]*($CB$1-$CA$1)</f>
        <v>60.393900000000016</v>
      </c>
      <c r="CC196" s="8">
        <f>+(Tabla_master_rend[[#This Row],[Kg_Queso_Blan]]-CA196-CB196)*$CC$1</f>
        <v>179.36988300000002</v>
      </c>
      <c r="CD196" s="8">
        <f t="shared" si="59"/>
        <v>351.92388300000005</v>
      </c>
      <c r="CE196" s="80">
        <f>+CD196/Tabla_master_rend[[#This Row],[Kg_Queso_Blan]]</f>
        <v>2.0395E-2</v>
      </c>
      <c r="CF196" s="62">
        <f>+Tabla_master_rend[[#This Row],[Merma_TOT]]/Tabla_master_rend[[#This Row],[Kg_Queso_Blan]]</f>
        <v>1.9052586436709668E-2</v>
      </c>
      <c r="CG196" s="8">
        <f>CD196-Tabla_master_rend[[#This Row],[Merma_TOT]]</f>
        <v>23.163882999999998</v>
      </c>
      <c r="CH196" s="81" cm="1">
        <f t="array" ref="CH196">-BR196 * IFERROR(INDEX('Precio Leche_EBITDA_Ventas'!$BD$87:$BD$110,MATCH(1,('Precio Leche_EBITDA_Ventas'!$AZ$87:$AZ$110=YEAR(A196))*('Precio Leche_EBITDA_Ventas'!$BB$87:$BB$110=C196),0)),1.3)</f>
        <v>0</v>
      </c>
      <c r="CI196" s="81">
        <f t="shared" si="60"/>
        <v>30.113047899999998</v>
      </c>
    </row>
    <row r="197" spans="1:87" x14ac:dyDescent="0.35">
      <c r="A197" s="9">
        <v>46125</v>
      </c>
      <c r="B197" s="7">
        <v>4</v>
      </c>
      <c r="C197" s="7" t="str">
        <f>+UPPER(TEXT(Tabla_master_rend[[#This Row],[Fecha]],"MMM"))</f>
        <v>ABR</v>
      </c>
      <c r="D197" s="7" t="str">
        <f>+UPPER(TEXT(Tabla_master_rend[[#This Row],[Fecha]],"ddd"))</f>
        <v>LU</v>
      </c>
      <c r="E197" s="122">
        <v>130426316</v>
      </c>
      <c r="F197" s="3" t="s">
        <v>244</v>
      </c>
      <c r="G197" s="84" t="s">
        <v>299</v>
      </c>
      <c r="H197">
        <v>20</v>
      </c>
      <c r="I197" s="8">
        <f>+Tabla_master_rend[[#This Row],[L_Leche_ent]]+Tabla_master_rend[[#This Row],[L_desn_ext]]+Tabla_master_rend[[#This Row],[L_cabra]]+Tabla_master_rend[[#This Row],[L_oveja]]</f>
        <v>312290</v>
      </c>
      <c r="J197" s="8">
        <v>312290</v>
      </c>
      <c r="K197" s="66">
        <v>4.1200000000000001E-2</v>
      </c>
      <c r="L197" s="66">
        <v>3.4700000000000002E-2</v>
      </c>
      <c r="M197" s="5">
        <f t="shared" si="55"/>
        <v>0.111994</v>
      </c>
      <c r="N197" s="3" t="s">
        <v>188</v>
      </c>
      <c r="O197" s="8">
        <v>0</v>
      </c>
      <c r="P197" s="8">
        <v>0</v>
      </c>
      <c r="Q197" s="8">
        <v>0</v>
      </c>
      <c r="R197" s="8">
        <v>12637</v>
      </c>
      <c r="S197" s="8">
        <v>390</v>
      </c>
      <c r="T197" s="8">
        <v>276510</v>
      </c>
      <c r="U197" s="38">
        <f>+Tabla_master_rend[[#This Row],[L_suero Total]]/Tabla_master_rend[[#This Row],[Litros_Leche_Total]]</f>
        <v>0.88542700694866949</v>
      </c>
      <c r="V197" s="66">
        <v>1E-4</v>
      </c>
      <c r="W197" s="66">
        <v>8.5000000000000006E-3</v>
      </c>
      <c r="X197" s="8">
        <v>274247</v>
      </c>
      <c r="Y197" s="57">
        <v>80423</v>
      </c>
      <c r="Z197" s="58">
        <f>IF(Tabla_master_rend[[#This Row],[L_suero para con]]=0,0,+Tabla_master_rend[[#This Row],[L_suero para con]]/Tabla_master_rend[[#This Row],[L_suero_con]])</f>
        <v>3.4100568245402436</v>
      </c>
      <c r="AA197" s="8">
        <f>+Tabla_master_rend[[#This Row],[L_suero Total]]-Tabla_master_rend[[#This Row],[L_suero para con]]</f>
        <v>2263</v>
      </c>
      <c r="AD197" s="8">
        <v>0</v>
      </c>
      <c r="AE197" s="8">
        <v>0</v>
      </c>
      <c r="AF197" s="8">
        <v>0</v>
      </c>
      <c r="AG197" s="66">
        <v>0</v>
      </c>
      <c r="AH197" s="66">
        <v>0</v>
      </c>
      <c r="AI197" s="7">
        <f>+Tabla_master_rend[[#This Row],[Kg_Finos]]+Tabla_master_rend[[#This Row],[Kg_Llenadora]]+Tabla_master_rend[[#This Row],[Kg_Desmoldeo]]+Tabla_master_rend[[#This Row],[L_Agua]]+Tabla_master_rend[[#This Row],[Kg_SalidaSecadero]]</f>
        <v>34569.33</v>
      </c>
      <c r="AJ197" s="59">
        <f>+Tabla_master_rend[[#This Row],[Litros_Leche_Total]]/Tabla_master_rend[[#This Row],[Kg_Queso_Blan]]</f>
        <v>9.0337301880019076</v>
      </c>
      <c r="AK197" s="59">
        <f>+Tabla_master_rend[[#This Row],[Litros_Leche_Total]]/(Tabla_master_rend[[#This Row],[Kg_Queso_Blan]]-Tabla_master_rend[[#This Row],[Merma_TOT]])</f>
        <v>9.1995379757481448</v>
      </c>
      <c r="AL197" s="59">
        <f>VLOOKUP(G197,REND_TARGET[#All],8,FALSE)</f>
        <v>9.8078500000000002</v>
      </c>
      <c r="AM197" s="7">
        <f>(I197*1.03*Tabla_master_rend[[#This Row],[%MG_Leche]])+(I197*1.03*Tabla_master_rend[[#This Row],[%MP_Leche]])</f>
        <v>24413.895330000003</v>
      </c>
      <c r="AN197" s="137">
        <v>0.2218</v>
      </c>
      <c r="AO197" s="137">
        <v>0.24540000000000001</v>
      </c>
      <c r="AP197" s="64">
        <v>0.52200000000000002</v>
      </c>
      <c r="AQ197" s="38">
        <f>+Tabla_master_rend[[#This Row],[Kg_Queso_Blan]]*Tabla_master_rend[[#This Row],[ES_QUESO]]/(Tabla_master_rend[[#This Row],[Kg_Solidos_leche]])</f>
        <v>0.73913605412348593</v>
      </c>
      <c r="AR197" s="7">
        <f t="shared" si="56"/>
        <v>5054.8</v>
      </c>
      <c r="AS197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0.96000245176352439</v>
      </c>
      <c r="AT197" s="62">
        <f>+Tabla_master_rend[[#This Row],[Kg_Queso_Blan]]*Tabla_master_rend[[#This Row],[%PT_QUESO]]/(Tabla_master_rend[[#This Row],[Litros_Leche_Total]]*1.03*Tabla_master_rend[[#This Row],[%MP_Leche]])</f>
        <v>0.76004751537847504</v>
      </c>
      <c r="AU197" s="7">
        <f t="shared" si="57"/>
        <v>37911</v>
      </c>
      <c r="AV197" s="8">
        <v>47.53</v>
      </c>
      <c r="AW197" s="8">
        <v>87.8</v>
      </c>
      <c r="AX197" s="8">
        <v>9</v>
      </c>
      <c r="AY197" s="8">
        <f>SUM(Tabla_master_rend[[#This Row],[Kg_Finos]:[Kg_Desmoldeo]])</f>
        <v>144.32999999999998</v>
      </c>
      <c r="AZ197" s="60">
        <f>+(Tabla_master_rend[[#This Row],[Kg_Finos]]+Tabla_master_rend[[#This Row],[Kg_Llenadora]]+Tabla_master_rend[[#This Row],[Kg_Desmoldeo]])/(Tabla_master_rend[[#This Row],[Kg_Queso_Blan]])</f>
        <v>4.1750881489459003E-3</v>
      </c>
      <c r="BA197" s="8">
        <v>255</v>
      </c>
      <c r="BB197" s="60">
        <f>+Tabla_master_rend[[#This Row],[L_Agua]]/(Tabla_master_rend[[#This Row],[L_Agua]]+Tabla_master_rend[[#This Row],[Kg_SalidaSecadero]])</f>
        <v>7.4074074074074077E-3</v>
      </c>
      <c r="BC197" s="8">
        <v>4737</v>
      </c>
      <c r="BD197" s="8">
        <v>4682</v>
      </c>
      <c r="BE197" s="8">
        <v>34080</v>
      </c>
      <c r="BF197" s="8">
        <v>0</v>
      </c>
      <c r="BG197" s="8">
        <v>126</v>
      </c>
      <c r="BH197" s="8">
        <v>0</v>
      </c>
      <c r="BI197" s="8">
        <v>112</v>
      </c>
      <c r="BJ197" s="8">
        <v>107</v>
      </c>
      <c r="BK197" s="8">
        <v>34170</v>
      </c>
      <c r="BL197" s="8">
        <v>0</v>
      </c>
      <c r="BM197" s="8">
        <v>201.78</v>
      </c>
      <c r="BN197" s="8">
        <v>21.95</v>
      </c>
      <c r="BO197" s="68">
        <f>+SUM(Tabla_master_rend[[#This Row],[B_altas]:[B_lab]])/Tabla_master_rend[[#This Row],[Kg_SalidaSecadero]]</f>
        <v>1.009657594381036E-2</v>
      </c>
      <c r="BP197" s="68">
        <f>+(Tabla_master_rend[[#This Row],[Kg_mer_env_real]]+Tabla_master_rend[[#This Row],[kg_mer_lab_real]])/Tabla_master_rend[[#This Row],[Kg_SalidaSecadero]]</f>
        <v>6.5475563359672223E-3</v>
      </c>
      <c r="BQ197" s="64">
        <f>+Tabla_master_rend[[#This Row],[Merma_TOT]]/Tabla_master_rend[[#This Row],[Kg_Queso_Blan]]</f>
        <v>1.8023490764790637E-2</v>
      </c>
      <c r="BR197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623.05999999999995</v>
      </c>
      <c r="BS197" s="138">
        <v>34252.000000000007</v>
      </c>
      <c r="BT197" s="63">
        <f>IF(+Tabla_master_rend[[#This Row],[Kg_Env_Total]]=0,0,Tabla_master_rend[[#This Row],[Kg_Env_Total]]-Tabla_master_rend[[#This Row],[Kg_SalidaSecadero]])</f>
        <v>82.000000000007276</v>
      </c>
      <c r="BU197" s="60">
        <f>+Tabla_master_rend[[#This Row],[Diferencia_Env_vs_Sec_kg]]/Tabla_master_rend[[#This Row],[Kg_SalidaSecadero]]</f>
        <v>2.3997658765000664E-3</v>
      </c>
      <c r="BV197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97" s="65">
        <f>+(Tabla_master_rend[[#This Row],[Coste_Leche_€]]-Tabla_master_rend[[#This Row],[Kg_MG_Nata]]*$CO$3)/Tabla_master_rend[[#This Row],[Kg_Queso_Blan]]</f>
        <v>-1.0966657438833787</v>
      </c>
      <c r="BX197" s="8">
        <f>SUM(Tabla_master_rend[[#This Row],[Kg_Finos]:[Kg_Desmoldeo]])+Tabla_master_rend[[#This Row],[L_Agua]]+SUM(Tabla_master_rend[[#This Row],[B_altas]:[B_lab]])</f>
        <v>744.32999999999993</v>
      </c>
      <c r="BY197" s="8">
        <f>+BX197-Tabla_master_rend[[#This Row],[Merma_TOT]]</f>
        <v>121.26999999999998</v>
      </c>
      <c r="BZ197" s="62">
        <f t="shared" si="58"/>
        <v>0.1629250466862816</v>
      </c>
      <c r="CA197" s="8">
        <f>+Tabla_master_rend[[#This Row],[Kg_Queso_Blan]]*$CA$1</f>
        <v>224.70064500000001</v>
      </c>
      <c r="CB197" s="8">
        <f>+Tabla_master_rend[[#This Row],[Kg_Queso_Blan]]*($CB$1-$CA$1)</f>
        <v>120.99265500000003</v>
      </c>
      <c r="CC197" s="8">
        <f>+(Tabla_master_rend[[#This Row],[Kg_Queso_Blan]]-CA197-CB197)*$CC$1</f>
        <v>359.34818535000005</v>
      </c>
      <c r="CD197" s="8">
        <f t="shared" si="59"/>
        <v>705.04148535000013</v>
      </c>
      <c r="CE197" s="80">
        <f>+CD197/Tabla_master_rend[[#This Row],[Kg_Queso_Blan]]</f>
        <v>2.0395000000000003E-2</v>
      </c>
      <c r="CF197" s="62">
        <f>+Tabla_master_rend[[#This Row],[Merma_TOT]]/Tabla_master_rend[[#This Row],[Kg_Queso_Blan]]</f>
        <v>1.8023490764790637E-2</v>
      </c>
      <c r="CG197" s="8">
        <f>CD197-Tabla_master_rend[[#This Row],[Merma_TOT]]</f>
        <v>81.981485350000185</v>
      </c>
      <c r="CH197" s="81" cm="1">
        <f t="array" ref="CH197">-BR197 * IFERROR(INDEX('Precio Leche_EBITDA_Ventas'!$BD$87:$BD$110,MATCH(1,('Precio Leche_EBITDA_Ventas'!$AZ$87:$AZ$110=YEAR(A197))*('Precio Leche_EBITDA_Ventas'!$BB$87:$BB$110=C197),0)),1.3)</f>
        <v>0</v>
      </c>
      <c r="CI197" s="81">
        <f t="shared" si="60"/>
        <v>106.57593095500025</v>
      </c>
    </row>
    <row r="198" spans="1:87" x14ac:dyDescent="0.35">
      <c r="A198" s="9">
        <v>46126</v>
      </c>
      <c r="B198" s="7">
        <v>4</v>
      </c>
      <c r="C198" s="7" t="str">
        <f>+UPPER(TEXT(Tabla_master_rend[[#This Row],[Fecha]],"MMM"))</f>
        <v>ABR</v>
      </c>
      <c r="D198" s="7" t="str">
        <f>+UPPER(TEXT(Tabla_master_rend[[#This Row],[Fecha]],"ddd"))</f>
        <v>MA</v>
      </c>
      <c r="E198" s="122">
        <v>140426316</v>
      </c>
      <c r="F198" s="3" t="s">
        <v>244</v>
      </c>
      <c r="G198" s="84" t="s">
        <v>299</v>
      </c>
      <c r="H198">
        <v>17</v>
      </c>
      <c r="I198" s="8">
        <f>+Tabla_master_rend[[#This Row],[L_Leche_ent]]+Tabla_master_rend[[#This Row],[L_desn_ext]]+Tabla_master_rend[[#This Row],[L_cabra]]+Tabla_master_rend[[#This Row],[L_oveja]]</f>
        <v>269302</v>
      </c>
      <c r="J198" s="8">
        <v>269302</v>
      </c>
      <c r="K198" s="66">
        <v>4.2500000000000003E-2</v>
      </c>
      <c r="L198" s="66">
        <v>3.4700000000000002E-2</v>
      </c>
      <c r="M198" s="5">
        <f t="shared" si="55"/>
        <v>0.11320300000000001</v>
      </c>
      <c r="N198" s="3" t="s">
        <v>188</v>
      </c>
      <c r="O198" s="8">
        <v>0</v>
      </c>
      <c r="P198" s="8">
        <v>0</v>
      </c>
      <c r="Q198" s="8">
        <v>0</v>
      </c>
      <c r="R198" s="8">
        <v>11611</v>
      </c>
      <c r="S198" s="8">
        <v>0</v>
      </c>
      <c r="T198" s="8">
        <v>237010</v>
      </c>
      <c r="U198" s="38">
        <f>+Tabla_master_rend[[#This Row],[L_suero Total]]/Tabla_master_rend[[#This Row],[Litros_Leche_Total]]</f>
        <v>0.88009001047151525</v>
      </c>
      <c r="V198" s="66">
        <v>1.1999999999999999E-3</v>
      </c>
      <c r="W198" s="66">
        <v>8.6E-3</v>
      </c>
      <c r="X198" s="8">
        <v>125434</v>
      </c>
      <c r="Y198" s="57">
        <v>32804</v>
      </c>
      <c r="Z198" s="58">
        <f>IF(Tabla_master_rend[[#This Row],[L_suero para con]]=0,0,+Tabla_master_rend[[#This Row],[L_suero para con]]/Tabla_master_rend[[#This Row],[L_suero_con]])</f>
        <v>3.8237410071942448</v>
      </c>
      <c r="AA198" s="8">
        <f>+Tabla_master_rend[[#This Row],[L_suero Total]]-Tabla_master_rend[[#This Row],[L_suero para con]]</f>
        <v>111576</v>
      </c>
      <c r="AD198" s="8">
        <v>42183</v>
      </c>
      <c r="AE198" s="8">
        <v>0</v>
      </c>
      <c r="AF198" s="8">
        <v>0</v>
      </c>
      <c r="AG198" s="140"/>
      <c r="AH198" s="140"/>
      <c r="AI198" s="7">
        <f>+Tabla_master_rend[[#This Row],[Kg_Finos]]+Tabla_master_rend[[#This Row],[Kg_Llenadora]]+Tabla_master_rend[[#This Row],[Kg_Desmoldeo]]+Tabla_master_rend[[#This Row],[L_Agua]]+Tabla_master_rend[[#This Row],[Kg_SalidaSecadero]]</f>
        <v>29452.639999999999</v>
      </c>
      <c r="AJ198" s="59">
        <f>+Tabla_master_rend[[#This Row],[Litros_Leche_Total]]/Tabla_master_rend[[#This Row],[Kg_Queso_Blan]]</f>
        <v>9.1435606451577858</v>
      </c>
      <c r="AK198" s="59">
        <f>+Tabla_master_rend[[#This Row],[Litros_Leche_Total]]/(Tabla_master_rend[[#This Row],[Kg_Queso_Blan]]-Tabla_master_rend[[#This Row],[Merma_TOT]])</f>
        <v>9.2955361392780596</v>
      </c>
      <c r="AL198" s="59">
        <f>VLOOKUP(G198,REND_TARGET[#All],8,FALSE)</f>
        <v>9.8078500000000002</v>
      </c>
      <c r="AM198" s="7">
        <f>(I198*1.03*Tabla_master_rend[[#This Row],[%MG_Leche]])+(I198*1.03*Tabla_master_rend[[#This Row],[%MP_Leche]])</f>
        <v>21413.817832000001</v>
      </c>
      <c r="AN198" s="137">
        <v>0.23</v>
      </c>
      <c r="AO198" s="137">
        <v>0.25790000000000002</v>
      </c>
      <c r="AP198" s="64">
        <v>0.53769999999999996</v>
      </c>
      <c r="AQ198" s="38">
        <f>+Tabla_master_rend[[#This Row],[Kg_Queso_Blan]]*Tabla_master_rend[[#This Row],[ES_QUESO]]/(Tabla_master_rend[[#This Row],[Kg_Solidos_leche]])</f>
        <v>0.73955446208822484</v>
      </c>
      <c r="AR198" s="7">
        <f t="shared" si="56"/>
        <v>4644.4000000000005</v>
      </c>
      <c r="AS198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0.96859806378654267</v>
      </c>
      <c r="AT198" s="62">
        <f>+Tabla_master_rend[[#This Row],[Kg_Queso_Blan]]*Tabla_master_rend[[#This Row],[%PT_QUESO]]/(Tabla_master_rend[[#This Row],[Litros_Leche_Total]]*1.03*Tabla_master_rend[[#This Row],[%MP_Leche]])</f>
        <v>0.78916768419879468</v>
      </c>
      <c r="AU198" s="7">
        <f t="shared" si="57"/>
        <v>34833.000000000007</v>
      </c>
      <c r="AV198" s="8">
        <v>42.94</v>
      </c>
      <c r="AW198" s="8">
        <v>74.8</v>
      </c>
      <c r="AX198" s="8">
        <v>13.9</v>
      </c>
      <c r="AY198" s="8">
        <f>SUM(Tabla_master_rend[[#This Row],[Kg_Finos]:[Kg_Desmoldeo]])</f>
        <v>131.63999999999999</v>
      </c>
      <c r="AZ198" s="60">
        <f>+(Tabla_master_rend[[#This Row],[Kg_Finos]]+Tabla_master_rend[[#This Row],[Kg_Llenadora]]+Tabla_master_rend[[#This Row],[Kg_Desmoldeo]])/(Tabla_master_rend[[#This Row],[Kg_Queso_Blan]])</f>
        <v>4.4695484004150391E-3</v>
      </c>
      <c r="BA198" s="8">
        <v>200</v>
      </c>
      <c r="BB198" s="60">
        <f>+Tabla_master_rend[[#This Row],[L_Agua]]/(Tabla_master_rend[[#This Row],[L_Agua]]+Tabla_master_rend[[#This Row],[Kg_SalidaSecadero]])</f>
        <v>6.8210497595579964E-3</v>
      </c>
      <c r="BC198" s="8">
        <v>4021</v>
      </c>
      <c r="BD198" s="8">
        <v>3980</v>
      </c>
      <c r="BE198" s="8">
        <v>29059</v>
      </c>
      <c r="BF198" s="8">
        <v>0</v>
      </c>
      <c r="BG198" s="8">
        <v>84</v>
      </c>
      <c r="BH198" s="8">
        <v>28</v>
      </c>
      <c r="BI198" s="8">
        <v>63</v>
      </c>
      <c r="BJ198" s="8">
        <v>87</v>
      </c>
      <c r="BK198" s="8">
        <v>29121</v>
      </c>
      <c r="BL198" s="8">
        <v>0</v>
      </c>
      <c r="BM198" s="8">
        <v>133.4</v>
      </c>
      <c r="BN198" s="8">
        <v>16.489999999999998</v>
      </c>
      <c r="BO198" s="68">
        <f>+SUM(Tabla_master_rend[[#This Row],[B_altas]:[B_lab]])/Tabla_master_rend[[#This Row],[Kg_SalidaSecadero]]</f>
        <v>8.9969437862710763E-3</v>
      </c>
      <c r="BP198" s="68">
        <f>+(Tabla_master_rend[[#This Row],[Kg_mer_env_real]]+Tabla_master_rend[[#This Row],[kg_mer_lab_real]])/Tabla_master_rend[[#This Row],[Kg_SalidaSecadero]]</f>
        <v>5.1471446722296628E-3</v>
      </c>
      <c r="BQ198" s="64">
        <f>+Tabla_master_rend[[#This Row],[Merma_TOT]]/Tabla_master_rend[[#This Row],[Kg_Queso_Blan]]</f>
        <v>1.6349298399056925E-2</v>
      </c>
      <c r="BR198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481.53</v>
      </c>
      <c r="BS198" s="138">
        <v>29083.860000000015</v>
      </c>
      <c r="BT198" s="63">
        <f>IF(+Tabla_master_rend[[#This Row],[Kg_Env_Total]]=0,0,Tabla_master_rend[[#This Row],[Kg_Env_Total]]-Tabla_master_rend[[#This Row],[Kg_SalidaSecadero]])</f>
        <v>-37.139999999984866</v>
      </c>
      <c r="BU198" s="60">
        <f>+Tabla_master_rend[[#This Row],[Diferencia_Env_vs_Sec_kg]]/Tabla_master_rend[[#This Row],[Kg_SalidaSecadero]]</f>
        <v>-1.2753682909235557E-3</v>
      </c>
      <c r="BV198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98" s="65">
        <f>+(Tabla_master_rend[[#This Row],[Coste_Leche_€]]-Tabla_master_rend[[#This Row],[Kg_MG_Nata]]*$CO$3)/Tabla_master_rend[[#This Row],[Kg_Queso_Blan]]</f>
        <v>-1.1826783609211264</v>
      </c>
      <c r="BX198" s="8">
        <f>SUM(Tabla_master_rend[[#This Row],[Kg_Finos]:[Kg_Desmoldeo]])+Tabla_master_rend[[#This Row],[L_Agua]]+SUM(Tabla_master_rend[[#This Row],[B_altas]:[B_lab]])</f>
        <v>593.64</v>
      </c>
      <c r="BY198" s="8">
        <f>+BX198-Tabla_master_rend[[#This Row],[Merma_TOT]]</f>
        <v>112.11000000000001</v>
      </c>
      <c r="BZ198" s="62">
        <f t="shared" si="58"/>
        <v>0.18885182939155046</v>
      </c>
      <c r="CA198" s="8">
        <f>+Tabla_master_rend[[#This Row],[Kg_Queso_Blan]]*$CA$1</f>
        <v>191.44216</v>
      </c>
      <c r="CB198" s="8">
        <f>+Tabla_master_rend[[#This Row],[Kg_Queso_Blan]]*($CB$1-$CA$1)</f>
        <v>103.08424000000001</v>
      </c>
      <c r="CC198" s="8">
        <f>+(Tabla_master_rend[[#This Row],[Kg_Queso_Blan]]-CA198-CB198)*$CC$1</f>
        <v>306.1601928</v>
      </c>
      <c r="CD198" s="8">
        <f t="shared" si="59"/>
        <v>600.68659279999997</v>
      </c>
      <c r="CE198" s="80">
        <f>+CD198/Tabla_master_rend[[#This Row],[Kg_Queso_Blan]]</f>
        <v>2.0395E-2</v>
      </c>
      <c r="CF198" s="62">
        <f>+Tabla_master_rend[[#This Row],[Merma_TOT]]/Tabla_master_rend[[#This Row],[Kg_Queso_Blan]]</f>
        <v>1.6349298399056925E-2</v>
      </c>
      <c r="CG198" s="8">
        <f>CD198-Tabla_master_rend[[#This Row],[Merma_TOT]]</f>
        <v>119.1565928</v>
      </c>
      <c r="CH198" s="81" cm="1">
        <f t="array" ref="CH198">-BR198 * IFERROR(INDEX('Precio Leche_EBITDA_Ventas'!$BD$87:$BD$110,MATCH(1,('Precio Leche_EBITDA_Ventas'!$AZ$87:$AZ$110=YEAR(A198))*('Precio Leche_EBITDA_Ventas'!$BB$87:$BB$110=C198),0)),1.3)</f>
        <v>0</v>
      </c>
      <c r="CI198" s="81">
        <f t="shared" si="60"/>
        <v>154.90357064</v>
      </c>
    </row>
    <row r="199" spans="1:87" x14ac:dyDescent="0.35">
      <c r="A199" s="9">
        <v>46128</v>
      </c>
      <c r="B199" s="7">
        <v>4</v>
      </c>
      <c r="C199" s="7" t="str">
        <f>+UPPER(TEXT(Tabla_master_rend[[#This Row],[Fecha]],"MMM"))</f>
        <v>ABR</v>
      </c>
      <c r="D199" s="7" t="str">
        <f>+UPPER(TEXT(Tabla_master_rend[[#This Row],[Fecha]],"ddd"))</f>
        <v>JU</v>
      </c>
      <c r="E199" s="122">
        <v>160426316</v>
      </c>
      <c r="F199" s="3" t="s">
        <v>244</v>
      </c>
      <c r="G199" s="84" t="s">
        <v>299</v>
      </c>
      <c r="H199">
        <v>5</v>
      </c>
      <c r="I199" s="8">
        <f>+Tabla_master_rend[[#This Row],[L_Leche_ent]]+Tabla_master_rend[[#This Row],[L_desn_ext]]+Tabla_master_rend[[#This Row],[L_cabra]]+Tabla_master_rend[[#This Row],[L_oveja]]</f>
        <v>77200</v>
      </c>
      <c r="J199" s="8">
        <v>77200</v>
      </c>
      <c r="K199" s="66">
        <v>4.19E-2</v>
      </c>
      <c r="L199" s="66">
        <v>3.5000000000000003E-2</v>
      </c>
      <c r="M199" s="5">
        <f t="shared" si="55"/>
        <v>0.11286700000000001</v>
      </c>
      <c r="N199" s="3" t="s">
        <v>188</v>
      </c>
      <c r="O199" s="8">
        <v>0</v>
      </c>
      <c r="P199" s="8">
        <v>0</v>
      </c>
      <c r="Q199" s="8">
        <v>0</v>
      </c>
      <c r="R199" s="8">
        <v>2865</v>
      </c>
      <c r="S199" s="8">
        <f>441/(69540+179400)*69540</f>
        <v>123.19088937093275</v>
      </c>
      <c r="T199" s="8">
        <v>69540</v>
      </c>
      <c r="U199" s="38">
        <f>+Tabla_master_rend[[#This Row],[L_suero Total]]/Tabla_master_rend[[#This Row],[Litros_Leche_Total]]</f>
        <v>0.90077720207253886</v>
      </c>
      <c r="V199" s="66">
        <v>0</v>
      </c>
      <c r="W199" s="66">
        <v>9.1999999999999998E-3</v>
      </c>
      <c r="X199" s="8">
        <f>246491/(69540+179400)*69540</f>
        <v>68855.885514581823</v>
      </c>
      <c r="Y199" s="8">
        <f>74287/(69540+179400)*69540</f>
        <v>20751.658953964812</v>
      </c>
      <c r="Z199" s="58">
        <f>IF(Tabla_master_rend[[#This Row],[L_suero para con]]=0,0,+Tabla_master_rend[[#This Row],[L_suero para con]]/Tabla_master_rend[[#This Row],[L_suero_con]])</f>
        <v>3.3180906484310846</v>
      </c>
      <c r="AA199" s="8">
        <f>+Tabla_master_rend[[#This Row],[L_suero Total]]-Tabla_master_rend[[#This Row],[L_suero para con]]</f>
        <v>684.11448541817663</v>
      </c>
      <c r="AD199" s="8">
        <v>0</v>
      </c>
      <c r="AE199" s="8">
        <v>0</v>
      </c>
      <c r="AF199" s="8">
        <v>0</v>
      </c>
      <c r="AG199" s="66">
        <v>0</v>
      </c>
      <c r="AH199" s="66">
        <v>0</v>
      </c>
      <c r="AI199" s="7">
        <f>+Tabla_master_rend[[#This Row],[Kg_Finos]]+Tabla_master_rend[[#This Row],[Kg_Llenadora]]+Tabla_master_rend[[#This Row],[Kg_Desmoldeo]]+Tabla_master_rend[[#This Row],[L_Agua]]+Tabla_master_rend[[#This Row],[Kg_SalidaSecadero]]</f>
        <v>8452.5767304172841</v>
      </c>
      <c r="AJ199" s="59">
        <f>+Tabla_master_rend[[#This Row],[Litros_Leche_Total]]/Tabla_master_rend[[#This Row],[Kg_Queso_Blan]]</f>
        <v>9.133309576734101</v>
      </c>
      <c r="AK199" s="59">
        <f>+Tabla_master_rend[[#This Row],[Litros_Leche_Total]]/(Tabla_master_rend[[#This Row],[Kg_Queso_Blan]]-Tabla_master_rend[[#This Row],[Merma_TOT]])</f>
        <v>9.4717301980106914</v>
      </c>
      <c r="AL199" s="59">
        <f>VLOOKUP(G199,REND_TARGET[#All],8,FALSE)</f>
        <v>9.8078500000000002</v>
      </c>
      <c r="AM199" s="7">
        <f>(I199*1.03*Tabla_master_rend[[#This Row],[%MG_Leche]])+(I199*1.03*Tabla_master_rend[[#This Row],[%MP_Leche]])</f>
        <v>6114.7804000000006</v>
      </c>
      <c r="AN199" s="137">
        <v>0.217</v>
      </c>
      <c r="AO199" s="137">
        <v>0.25430000000000003</v>
      </c>
      <c r="AP199" s="64">
        <v>0.52569999999999995</v>
      </c>
      <c r="AQ199" s="38">
        <f>+Tabla_master_rend[[#This Row],[Kg_Queso_Blan]]*Tabla_master_rend[[#This Row],[ES_QUESO]]/(Tabla_master_rend[[#This Row],[Kg_Solidos_leche]])</f>
        <v>0.72668506414071155</v>
      </c>
      <c r="AR199" s="7">
        <f t="shared" si="56"/>
        <v>1146</v>
      </c>
      <c r="AS199" s="61">
        <f>+(Tabla_master_rend[[#This Row],[Kg_Queso_Blan]]*Tabla_master_rend[[#This Row],[%MG_QUESO]]+(Tabla_master_rend[[#This Row],[Kg_MG_Nata]]))/(Tabla_master_rend[[#This Row],[Litros_Leche_Total]]*1.03*Tabla_master_rend[[#This Row],[%MG_Leche]])</f>
        <v>0.89449557366835175</v>
      </c>
      <c r="AT199" s="62">
        <f>+Tabla_master_rend[[#This Row],[Kg_Queso_Blan]]*Tabla_master_rend[[#This Row],[%PT_QUESO]]/(Tabla_master_rend[[#This Row],[Litros_Leche_Total]]*1.03*Tabla_master_rend[[#This Row],[%MP_Leche]])</f>
        <v>0.77234779794367181</v>
      </c>
      <c r="AU199" s="7">
        <f t="shared" si="57"/>
        <v>8595</v>
      </c>
      <c r="AV199" s="8">
        <f>37.58/(77200+197098)*77200</f>
        <v>10.576730417283393</v>
      </c>
      <c r="AW199" s="8">
        <v>70</v>
      </c>
      <c r="AX199" s="8">
        <v>41</v>
      </c>
      <c r="AY199" s="8">
        <f>SUM(Tabla_master_rend[[#This Row],[Kg_Finos]:[Kg_Desmoldeo]])</f>
        <v>121.57673041728339</v>
      </c>
      <c r="AZ199" s="60">
        <f>+(Tabla_master_rend[[#This Row],[Kg_Finos]]+Tabla_master_rend[[#This Row],[Kg_Llenadora]]+Tabla_master_rend[[#This Row],[Kg_Desmoldeo]])/(Tabla_master_rend[[#This Row],[Kg_Queso_Blan]])</f>
        <v>1.4383392697256405E-2</v>
      </c>
      <c r="BA199" s="8">
        <v>100</v>
      </c>
      <c r="BB199" s="60">
        <f>+Tabla_master_rend[[#This Row],[L_Agua]]/(Tabla_master_rend[[#This Row],[L_Agua]]+Tabla_master_rend[[#This Row],[Kg_SalidaSecadero]])</f>
        <v>1.2003360941063497E-2</v>
      </c>
      <c r="BC199" s="8">
        <v>1181</v>
      </c>
      <c r="BD199" s="8">
        <v>1151</v>
      </c>
      <c r="BE199" s="8">
        <v>8399</v>
      </c>
      <c r="BF199" s="8">
        <v>0</v>
      </c>
      <c r="BG199" s="8">
        <v>90</v>
      </c>
      <c r="BH199" s="8">
        <v>21</v>
      </c>
      <c r="BI199" s="8">
        <v>35</v>
      </c>
      <c r="BJ199" s="8">
        <v>42</v>
      </c>
      <c r="BK199" s="185">
        <v>8231</v>
      </c>
      <c r="BL199" s="8">
        <v>0</v>
      </c>
      <c r="BM199" s="8">
        <v>72.430000000000007</v>
      </c>
      <c r="BN199" s="8">
        <v>8</v>
      </c>
      <c r="BO199" s="68">
        <f>+SUM(Tabla_master_rend[[#This Row],[B_altas]:[B_lab]])/Tabla_master_rend[[#This Row],[Kg_SalidaSecadero]]</f>
        <v>2.2840481108006318E-2</v>
      </c>
      <c r="BP199" s="68">
        <f>+(Tabla_master_rend[[#This Row],[Kg_mer_env_real]]+Tabla_master_rend[[#This Row],[kg_mer_lab_real]])/Tabla_master_rend[[#This Row],[Kg_SalidaSecadero]]</f>
        <v>9.771595188919938E-3</v>
      </c>
      <c r="BQ199" s="64">
        <f>+Tabla_master_rend[[#This Row],[Merma_TOT]]/Tabla_master_rend[[#This Row],[Kg_Queso_Blan]]</f>
        <v>3.5729546154900628E-2</v>
      </c>
      <c r="BR199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302.00673041728339</v>
      </c>
      <c r="BS199" s="138">
        <v>8231.4900000000016</v>
      </c>
      <c r="BT199" s="63">
        <f>IF(+Tabla_master_rend[[#This Row],[Kg_Env_Total]]=0,0,Tabla_master_rend[[#This Row],[Kg_Env_Total]]-Tabla_master_rend[[#This Row],[Kg_SalidaSecadero]])</f>
        <v>0.49000000000160071</v>
      </c>
      <c r="BU199" s="60">
        <f>+Tabla_master_rend[[#This Row],[Diferencia_Env_vs_Sec_kg]]/Tabla_master_rend[[#This Row],[Kg_SalidaSecadero]]</f>
        <v>5.9531041185955623E-5</v>
      </c>
      <c r="BV199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199" s="65">
        <f>+(Tabla_master_rend[[#This Row],[Coste_Leche_€]]-Tabla_master_rend[[#This Row],[Kg_MG_Nata]]*$CO$3)/Tabla_master_rend[[#This Row],[Kg_Queso_Blan]]</f>
        <v>-1.0168496866843213</v>
      </c>
      <c r="BX199" s="8">
        <f>SUM(Tabla_master_rend[[#This Row],[Kg_Finos]:[Kg_Desmoldeo]])+Tabla_master_rend[[#This Row],[L_Agua]]+SUM(Tabla_master_rend[[#This Row],[B_altas]:[B_lab]])</f>
        <v>409.57673041728339</v>
      </c>
      <c r="BY199" s="8">
        <f>+BX199-Tabla_master_rend[[#This Row],[Merma_TOT]]</f>
        <v>107.57</v>
      </c>
      <c r="BZ199" s="62">
        <f t="shared" si="58"/>
        <v>0.26263699085249775</v>
      </c>
      <c r="CA199" s="8">
        <f>+Tabla_master_rend[[#This Row],[Kg_Queso_Blan]]*$CA$1</f>
        <v>54.941748747712346</v>
      </c>
      <c r="CB199" s="8">
        <f>+Tabla_master_rend[[#This Row],[Kg_Queso_Blan]]*($CB$1-$CA$1)</f>
        <v>29.584018556460499</v>
      </c>
      <c r="CC199" s="8">
        <f>+(Tabla_master_rend[[#This Row],[Kg_Queso_Blan]]-CA199-CB199)*$CC$1</f>
        <v>87.864535112687662</v>
      </c>
      <c r="CD199" s="8">
        <f t="shared" si="59"/>
        <v>172.39030241686049</v>
      </c>
      <c r="CE199" s="80">
        <f>+CD199/Tabla_master_rend[[#This Row],[Kg_Queso_Blan]]</f>
        <v>2.0394999999999996E-2</v>
      </c>
      <c r="CF199" s="62">
        <f>+Tabla_master_rend[[#This Row],[Merma_TOT]]/Tabla_master_rend[[#This Row],[Kg_Queso_Blan]]</f>
        <v>3.5729546154900628E-2</v>
      </c>
      <c r="CG199" s="8">
        <f>CD199-Tabla_master_rend[[#This Row],[Merma_TOT]]</f>
        <v>-129.6164280004229</v>
      </c>
      <c r="CH199" s="81" cm="1">
        <f t="array" ref="CH199">-BR199 * IFERROR(INDEX('Precio Leche_EBITDA_Ventas'!$BD$87:$BD$110,MATCH(1,('Precio Leche_EBITDA_Ventas'!$AZ$87:$AZ$110=YEAR(A199))*('Precio Leche_EBITDA_Ventas'!$BB$87:$BB$110=C199),0)),1.3)</f>
        <v>0</v>
      </c>
      <c r="CI199" s="81">
        <f t="shared" si="60"/>
        <v>-168.50135640054978</v>
      </c>
    </row>
    <row r="200" spans="1:87" x14ac:dyDescent="0.35">
      <c r="A200" s="9">
        <v>46128</v>
      </c>
      <c r="B200" s="7">
        <v>4</v>
      </c>
      <c r="C200" s="7" t="str">
        <f>+UPPER(TEXT(Tabla_master_rend[[#This Row],[Fecha]],"MMM"))</f>
        <v>ABR</v>
      </c>
      <c r="D200" s="7" t="str">
        <f>+UPPER(TEXT(Tabla_master_rend[[#This Row],[Fecha]],"ddd"))</f>
        <v>JU</v>
      </c>
      <c r="E200" s="122">
        <v>160426326</v>
      </c>
      <c r="F200" s="3" t="s">
        <v>244</v>
      </c>
      <c r="G200" t="s">
        <v>301</v>
      </c>
      <c r="H200">
        <v>13</v>
      </c>
      <c r="I200" s="8">
        <f>+Tabla_master_rend[[#This Row],[L_Leche_ent]]+Tabla_master_rend[[#This Row],[L_desn_ext]]+Tabla_master_rend[[#This Row],[L_cabra]]+Tabla_master_rend[[#This Row],[L_oveja]]</f>
        <v>197098</v>
      </c>
      <c r="J200" s="8">
        <v>197098</v>
      </c>
      <c r="K200" s="66">
        <v>4.0500000000000001E-2</v>
      </c>
      <c r="L200" s="66">
        <v>3.4599999999999999E-2</v>
      </c>
      <c r="M200" s="5">
        <f t="shared" si="55"/>
        <v>0.11126900000000001</v>
      </c>
      <c r="N200" s="3" t="s">
        <v>188</v>
      </c>
      <c r="O200" s="8">
        <v>0</v>
      </c>
      <c r="P200" s="8">
        <v>0</v>
      </c>
      <c r="Q200" s="8">
        <v>0</v>
      </c>
      <c r="R200" s="8">
        <v>2981</v>
      </c>
      <c r="S200" s="8">
        <f>441/(69540+179400)*179400</f>
        <v>317.80911062906722</v>
      </c>
      <c r="T200" s="8">
        <v>179400</v>
      </c>
      <c r="U200" s="38">
        <f>+Tabla_master_rend[[#This Row],[L_suero Total]]/Tabla_master_rend[[#This Row],[Litros_Leche_Total]]</f>
        <v>0.91020710509492742</v>
      </c>
      <c r="V200" s="66">
        <v>0</v>
      </c>
      <c r="W200" s="66">
        <v>9.1999999999999998E-3</v>
      </c>
      <c r="X200" s="8">
        <f>246491/(69540+179400)*179400</f>
        <v>177635.11448541819</v>
      </c>
      <c r="Y200" s="8">
        <f>74287/(69540+179400)*179400</f>
        <v>53535.341046035188</v>
      </c>
      <c r="Z200" s="58">
        <f>IF(Tabla_master_rend[[#This Row],[L_suero para con]]=0,0,+Tabla_master_rend[[#This Row],[L_suero para con]]/Tabla_master_rend[[#This Row],[L_suero_con]])</f>
        <v>3.3180906484310855</v>
      </c>
      <c r="AA200" s="8">
        <f>+Tabla_master_rend[[#This Row],[L_suero Total]]-Tabla_master_rend[[#This Row],[L_suero para con]]</f>
        <v>1764.8855145818088</v>
      </c>
      <c r="AD200" s="8">
        <v>0</v>
      </c>
      <c r="AE200" s="8">
        <v>0</v>
      </c>
      <c r="AF200" s="8">
        <v>0</v>
      </c>
      <c r="AG200" s="66">
        <v>0</v>
      </c>
      <c r="AH200" s="66">
        <v>0</v>
      </c>
      <c r="AI200" s="7">
        <f>+Tabla_master_rend[[#This Row],[Kg_Finos]]+Tabla_master_rend[[#This Row],[Kg_Llenadora]]+Tabla_master_rend[[#This Row],[Kg_Desmoldeo]]+Tabla_master_rend[[#This Row],[L_Agua]]+Tabla_master_rend[[#This Row],[Kg_SalidaSecadero]]</f>
        <v>22989.403269582715</v>
      </c>
      <c r="AJ200" s="59">
        <f>+Tabla_master_rend[[#This Row],[Litros_Leche_Total]]/Tabla_master_rend[[#This Row],[Kg_Queso_Blan]]</f>
        <v>8.5734282742684496</v>
      </c>
      <c r="AK200" s="59">
        <f>+Tabla_master_rend[[#This Row],[Litros_Leche_Total]]/(Tabla_master_rend[[#This Row],[Kg_Queso_Blan]]-Tabla_master_rend[[#This Row],[Merma_TOT]])</f>
        <v>8.7422013538795635</v>
      </c>
      <c r="AL200" s="59">
        <f>VLOOKUP(G200,REND_TARGET[#All],8,FALSE)</f>
        <v>9.3549429999999987</v>
      </c>
      <c r="AM200" s="7">
        <f>(I200*1.03*Tabla_master_rend[[#This Row],[%MG_Leche]])+(I200*1.03*Tabla_master_rend[[#This Row],[%MP_Leche]])</f>
        <v>15246.121594</v>
      </c>
      <c r="AN200" s="137">
        <v>0.28100000000000003</v>
      </c>
      <c r="AO200" s="137">
        <v>0.2346</v>
      </c>
      <c r="AP200" s="64">
        <v>0.5655</v>
      </c>
      <c r="AQ200" s="38">
        <f>+Tabla_master_rend[[#This Row],[Kg_Queso_Blan]]*Tabla_master_rend[[#This Row],[ES_QUESO]]/(Tabla_master_rend[[#This Row],[Kg_Solidos_leche]])</f>
        <v>0.85270916073929792</v>
      </c>
      <c r="AR200" s="7">
        <f t="shared" si="56"/>
        <v>1192.4000000000001</v>
      </c>
      <c r="AS200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0.93073161095881229</v>
      </c>
      <c r="AT200" s="62">
        <f>+Tabla_master_rend[[#This Row],[Kg_Queso_Blan]]*Tabla_master_rend[[#This Row],[%PT_QUESO]]/(Tabla_master_rend[[#This Row],[Litros_Leche_Total]]*1.03*Tabla_master_rend[[#This Row],[%MP_Leche]])</f>
        <v>0.76782131727096536</v>
      </c>
      <c r="AU200" s="7">
        <f t="shared" si="57"/>
        <v>8943</v>
      </c>
      <c r="AV200" s="8">
        <f>37.58/(77200+197098)*197098</f>
        <v>27.003269582716609</v>
      </c>
      <c r="AW200" s="8">
        <v>38.4</v>
      </c>
      <c r="AX200" s="8">
        <v>0</v>
      </c>
      <c r="AY200" s="8">
        <f>SUM(Tabla_master_rend[[#This Row],[Kg_Finos]:[Kg_Desmoldeo]])</f>
        <v>65.403269582716604</v>
      </c>
      <c r="AZ200" s="60">
        <f>+(Tabla_master_rend[[#This Row],[Kg_Finos]]+Tabla_master_rend[[#This Row],[Kg_Llenadora]]+Tabla_master_rend[[#This Row],[Kg_Desmoldeo]])/(Tabla_master_rend[[#This Row],[Kg_Queso_Blan]])</f>
        <v>2.8449311544006747E-3</v>
      </c>
      <c r="BA200" s="8">
        <v>300</v>
      </c>
      <c r="BB200" s="60">
        <f>+Tabla_master_rend[[#This Row],[L_Agua]]/(Tabla_master_rend[[#This Row],[L_Agua]]+Tabla_master_rend[[#This Row],[Kg_SalidaSecadero]])</f>
        <v>1.3086721340080265E-2</v>
      </c>
      <c r="BC200" s="8">
        <v>3153</v>
      </c>
      <c r="BD200" s="8">
        <v>3143</v>
      </c>
      <c r="BE200" s="8">
        <v>23277</v>
      </c>
      <c r="BF200" s="8">
        <v>0</v>
      </c>
      <c r="BG200" s="8">
        <v>0</v>
      </c>
      <c r="BH200" s="8">
        <v>0</v>
      </c>
      <c r="BI200" s="8">
        <v>0</v>
      </c>
      <c r="BJ200" s="8">
        <v>70</v>
      </c>
      <c r="BK200" s="185">
        <v>22624</v>
      </c>
      <c r="BL200" s="8">
        <v>0</v>
      </c>
      <c r="BM200" s="8">
        <v>58.8</v>
      </c>
      <c r="BN200" s="8">
        <v>19.62</v>
      </c>
      <c r="BO200" s="68">
        <f>+SUM(Tabla_master_rend[[#This Row],[B_altas]:[B_lab]])/Tabla_master_rend[[#This Row],[Kg_SalidaSecadero]]</f>
        <v>3.0940594059405942E-3</v>
      </c>
      <c r="BP200" s="68">
        <f>+(Tabla_master_rend[[#This Row],[Kg_mer_env_real]]+Tabla_master_rend[[#This Row],[kg_mer_lab_real]])/Tabla_master_rend[[#This Row],[Kg_SalidaSecadero]]</f>
        <v>3.4662305516265915E-3</v>
      </c>
      <c r="BQ200" s="64">
        <f>+Tabla_master_rend[[#This Row],[Merma_TOT]]/Tabla_master_rend[[#This Row],[Kg_Queso_Blan]]</f>
        <v>1.9305558494853985E-2</v>
      </c>
      <c r="BR200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443.82326958271659</v>
      </c>
      <c r="BS200" s="138">
        <v>22623.599999999995</v>
      </c>
      <c r="BT200" s="63">
        <f>IF(+Tabla_master_rend[[#This Row],[Kg_Env_Total]]=0,0,Tabla_master_rend[[#This Row],[Kg_Env_Total]]-Tabla_master_rend[[#This Row],[Kg_SalidaSecadero]])</f>
        <v>-0.40000000000509317</v>
      </c>
      <c r="BU200" s="60">
        <f>+Tabla_master_rend[[#This Row],[Diferencia_Env_vs_Sec_kg]]/Tabla_master_rend[[#This Row],[Kg_SalidaSecadero]]</f>
        <v>-1.7680339462742804E-5</v>
      </c>
      <c r="BV200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00" s="65">
        <f>+(Tabla_master_rend[[#This Row],[Coste_Leche_€]]-Tabla_master_rend[[#This Row],[Kg_MG_Nata]]*$CO$3)/Tabla_master_rend[[#This Row],[Kg_Queso_Blan]]</f>
        <v>-0.38900531236634944</v>
      </c>
      <c r="BX200" s="8">
        <f>SUM(Tabla_master_rend[[#This Row],[Kg_Finos]:[Kg_Desmoldeo]])+Tabla_master_rend[[#This Row],[L_Agua]]+SUM(Tabla_master_rend[[#This Row],[B_altas]:[B_lab]])</f>
        <v>435.40326958271658</v>
      </c>
      <c r="BY200" s="8">
        <f>+BX200-Tabla_master_rend[[#This Row],[Merma_TOT]]</f>
        <v>-8.4200000000000159</v>
      </c>
      <c r="BZ200" s="62">
        <f t="shared" si="58"/>
        <v>-1.9338394054940394E-2</v>
      </c>
      <c r="CA200" s="8">
        <f>+Tabla_master_rend[[#This Row],[Kg_Queso_Blan]]*$CA$1</f>
        <v>149.43112125228765</v>
      </c>
      <c r="CB200" s="8">
        <f>+Tabla_master_rend[[#This Row],[Kg_Queso_Blan]]*($CB$1-$CA$1)</f>
        <v>80.462911443539511</v>
      </c>
      <c r="CC200" s="8">
        <f>+(Tabla_master_rend[[#This Row],[Kg_Queso_Blan]]-CA200-CB200)*$CC$1</f>
        <v>238.97484698731233</v>
      </c>
      <c r="CD200" s="8">
        <f t="shared" si="59"/>
        <v>468.86887968313948</v>
      </c>
      <c r="CE200" s="80">
        <f>+CD200/Tabla_master_rend[[#This Row],[Kg_Queso_Blan]]</f>
        <v>2.0395E-2</v>
      </c>
      <c r="CF200" s="62">
        <f>+Tabla_master_rend[[#This Row],[Merma_TOT]]/Tabla_master_rend[[#This Row],[Kg_Queso_Blan]]</f>
        <v>1.9305558494853985E-2</v>
      </c>
      <c r="CG200" s="8">
        <f>CD200-Tabla_master_rend[[#This Row],[Merma_TOT]]</f>
        <v>25.045610100422891</v>
      </c>
      <c r="CH200" s="81" cm="1">
        <f t="array" ref="CH200">-BR200 * IFERROR(INDEX('Precio Leche_EBITDA_Ventas'!$BD$87:$BD$110,MATCH(1,('Precio Leche_EBITDA_Ventas'!$AZ$87:$AZ$110=YEAR(A200))*('Precio Leche_EBITDA_Ventas'!$BB$87:$BB$110=C200),0)),1.3)</f>
        <v>0</v>
      </c>
      <c r="CI200" s="81">
        <f t="shared" si="60"/>
        <v>32.559293130549761</v>
      </c>
    </row>
    <row r="201" spans="1:87" x14ac:dyDescent="0.35">
      <c r="A201" s="9">
        <v>46129</v>
      </c>
      <c r="B201" s="7">
        <v>4</v>
      </c>
      <c r="C201" s="7" t="str">
        <f>+UPPER(TEXT(Tabla_master_rend[[#This Row],[Fecha]],"MMM"))</f>
        <v>ABR</v>
      </c>
      <c r="D201" s="7" t="str">
        <f>+UPPER(TEXT(Tabla_master_rend[[#This Row],[Fecha]],"ddd"))</f>
        <v>VI</v>
      </c>
      <c r="E201" s="122">
        <v>170426346</v>
      </c>
      <c r="F201" s="3" t="s">
        <v>244</v>
      </c>
      <c r="G201" t="s">
        <v>40</v>
      </c>
      <c r="H201">
        <v>10</v>
      </c>
      <c r="I201" s="8">
        <f>+Tabla_master_rend[[#This Row],[L_Leche_ent]]+Tabla_master_rend[[#This Row],[L_desn_ext]]+Tabla_master_rend[[#This Row],[L_cabra]]+Tabla_master_rend[[#This Row],[L_oveja]]</f>
        <v>158420</v>
      </c>
      <c r="J201" s="8">
        <v>158420</v>
      </c>
      <c r="K201" s="66">
        <v>4.1200000000000001E-2</v>
      </c>
      <c r="L201" s="66">
        <v>3.4700000000000002E-2</v>
      </c>
      <c r="M201" s="5">
        <f t="shared" si="55"/>
        <v>0.111994</v>
      </c>
      <c r="N201" s="3" t="s">
        <v>188</v>
      </c>
      <c r="O201" s="8">
        <v>0</v>
      </c>
      <c r="P201" s="8">
        <v>0</v>
      </c>
      <c r="Q201" s="8">
        <v>0</v>
      </c>
      <c r="R201" s="8">
        <v>2274</v>
      </c>
      <c r="S201" s="8">
        <v>311</v>
      </c>
      <c r="T201" s="8">
        <v>147620</v>
      </c>
      <c r="U201" s="38">
        <f>+Tabla_master_rend[[#This Row],[L_suero Total]]/Tabla_master_rend[[#This Row],[Litros_Leche_Total]]</f>
        <v>0.93182678954677445</v>
      </c>
      <c r="V201" s="66">
        <v>0</v>
      </c>
      <c r="W201" s="66">
        <v>9.1000000000000004E-3</v>
      </c>
      <c r="X201" s="8">
        <v>145748</v>
      </c>
      <c r="Y201" s="57">
        <v>40080</v>
      </c>
      <c r="Z201" s="58">
        <f>IF(Tabla_master_rend[[#This Row],[L_suero para con]]=0,0,+Tabla_master_rend[[#This Row],[L_suero para con]]/Tabla_master_rend[[#This Row],[L_suero_con]])</f>
        <v>3.6364271457085828</v>
      </c>
      <c r="AA201" s="8">
        <f>+Tabla_master_rend[[#This Row],[L_suero Total]]-Tabla_master_rend[[#This Row],[L_suero para con]]</f>
        <v>1872</v>
      </c>
      <c r="AD201" s="8">
        <v>0</v>
      </c>
      <c r="AE201" s="8">
        <v>0</v>
      </c>
      <c r="AF201" s="8">
        <v>0</v>
      </c>
      <c r="AG201" s="66">
        <v>0</v>
      </c>
      <c r="AH201" s="66">
        <v>0</v>
      </c>
      <c r="AI201" s="7">
        <f>+Tabla_master_rend[[#This Row],[Kg_Finos]]+Tabla_master_rend[[#This Row],[Kg_Llenadora]]+Tabla_master_rend[[#This Row],[Kg_Desmoldeo]]+Tabla_master_rend[[#This Row],[L_Agua]]+Tabla_master_rend[[#This Row],[Kg_SalidaSecadero]]</f>
        <v>19067.620000000003</v>
      </c>
      <c r="AJ201" s="59">
        <f>+Tabla_master_rend[[#This Row],[Litros_Leche_Total]]/Tabla_master_rend[[#This Row],[Kg_Queso_Blan]]</f>
        <v>8.3083258424491344</v>
      </c>
      <c r="AK201" s="59">
        <f>+Tabla_master_rend[[#This Row],[Litros_Leche_Total]]/(Tabla_master_rend[[#This Row],[Kg_Queso_Blan]]-Tabla_master_rend[[#This Row],[Merma_TOT]])</f>
        <v>8.4799472425451192</v>
      </c>
      <c r="AL201" s="59">
        <f>VLOOKUP(G201,REND_TARGET[#All],8,FALSE)</f>
        <v>8.9338729999999984</v>
      </c>
      <c r="AM201" s="7">
        <f>(I201*1.03*Tabla_master_rend[[#This Row],[%MG_Leche]])+(I201*1.03*Tabla_master_rend[[#This Row],[%MP_Leche]])</f>
        <v>12384.800340000002</v>
      </c>
      <c r="AN201" s="137">
        <v>0.2923</v>
      </c>
      <c r="AO201" s="137">
        <v>0.23330000000000001</v>
      </c>
      <c r="AP201" s="64">
        <v>0.57130000000000003</v>
      </c>
      <c r="AQ201" s="38">
        <f>+Tabla_master_rend[[#This Row],[Kg_Queso_Blan]]*Tabla_master_rend[[#This Row],[ES_QUESO]]/(Tabla_master_rend[[#This Row],[Kg_Solidos_leche]])</f>
        <v>0.87957262183848828</v>
      </c>
      <c r="AR201" s="7">
        <f t="shared" si="56"/>
        <v>909.6</v>
      </c>
      <c r="AS201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0.96435280503321719</v>
      </c>
      <c r="AT201" s="62">
        <f>+Tabla_master_rend[[#This Row],[Kg_Queso_Blan]]*Tabla_master_rend[[#This Row],[%PT_QUESO]]/(Tabla_master_rend[[#This Row],[Litros_Leche_Total]]*1.03*Tabla_master_rend[[#This Row],[%MP_Leche]])</f>
        <v>0.78565977559781375</v>
      </c>
      <c r="AU201" s="7">
        <f t="shared" si="57"/>
        <v>6822</v>
      </c>
      <c r="AV201" s="8">
        <v>37.67</v>
      </c>
      <c r="AW201" s="8">
        <v>33.299999999999997</v>
      </c>
      <c r="AX201" s="8">
        <v>13.9</v>
      </c>
      <c r="AY201" s="8">
        <f>SUM(Tabla_master_rend[[#This Row],[Kg_Finos]:[Kg_Desmoldeo]])</f>
        <v>84.87</v>
      </c>
      <c r="AZ201" s="60">
        <f>+(Tabla_master_rend[[#This Row],[Kg_Finos]]+Tabla_master_rend[[#This Row],[Kg_Llenadora]]+Tabla_master_rend[[#This Row],[Kg_Desmoldeo]])/(Tabla_master_rend[[#This Row],[Kg_Queso_Blan]])</f>
        <v>4.4510012261624677E-3</v>
      </c>
      <c r="BA201" s="8">
        <v>160</v>
      </c>
      <c r="BB201" s="60">
        <f>+Tabla_master_rend[[#This Row],[L_Agua]]/(Tabla_master_rend[[#This Row],[L_Agua]]+Tabla_master_rend[[#This Row],[Kg_SalidaSecadero]])</f>
        <v>8.4287050084945522E-3</v>
      </c>
      <c r="BC201" s="8">
        <v>2686</v>
      </c>
      <c r="BD201" s="8">
        <v>2649</v>
      </c>
      <c r="BE201" s="8">
        <v>19105</v>
      </c>
      <c r="BF201" s="8">
        <v>263</v>
      </c>
      <c r="BG201" s="8">
        <v>7</v>
      </c>
      <c r="BH201" s="8">
        <v>63</v>
      </c>
      <c r="BI201" s="8">
        <v>86</v>
      </c>
      <c r="BJ201" s="8">
        <v>105</v>
      </c>
      <c r="BK201" s="185">
        <v>18822.750000000004</v>
      </c>
      <c r="BL201" s="8">
        <v>0</v>
      </c>
      <c r="BM201" s="8">
        <v>124</v>
      </c>
      <c r="BN201" s="8">
        <v>17.03</v>
      </c>
      <c r="BO201" s="68">
        <f>+SUM(Tabla_master_rend[[#This Row],[B_altas]:[B_lab]])/Tabla_master_rend[[#This Row],[Kg_SalidaSecadero]]</f>
        <v>2.7838652694213116E-2</v>
      </c>
      <c r="BP201" s="68">
        <f>+(Tabla_master_rend[[#This Row],[Kg_mer_env_real]]+Tabla_master_rend[[#This Row],[kg_mer_lab_real]])/Tabla_master_rend[[#This Row],[Kg_SalidaSecadero]]</f>
        <v>7.4925289875283881E-3</v>
      </c>
      <c r="BQ201" s="64">
        <f>+Tabla_master_rend[[#This Row],[Merma_TOT]]/Tabla_master_rend[[#This Row],[Kg_Queso_Blan]]</f>
        <v>2.0238498564582257E-2</v>
      </c>
      <c r="BR201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385.9</v>
      </c>
      <c r="BS201" s="138">
        <v>18822.750000000004</v>
      </c>
      <c r="BT201" s="63">
        <f>IF(+Tabla_master_rend[[#This Row],[Kg_Env_Total]]=0,0,Tabla_master_rend[[#This Row],[Kg_Env_Total]]-Tabla_master_rend[[#This Row],[Kg_SalidaSecadero]])</f>
        <v>0</v>
      </c>
      <c r="BU201" s="60">
        <f>+Tabla_master_rend[[#This Row],[Diferencia_Env_vs_Sec_kg]]/Tabla_master_rend[[#This Row],[Kg_SalidaSecadero]]</f>
        <v>0</v>
      </c>
      <c r="BV201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01" s="65">
        <f>+(Tabla_master_rend[[#This Row],[Coste_Leche_€]]-Tabla_master_rend[[#This Row],[Kg_MG_Nata]]*$CO$3)/Tabla_master_rend[[#This Row],[Kg_Queso_Blan]]</f>
        <v>-0.35777931383151118</v>
      </c>
      <c r="BX201" s="8">
        <f>SUM(Tabla_master_rend[[#This Row],[Kg_Finos]:[Kg_Desmoldeo]])+Tabla_master_rend[[#This Row],[L_Agua]]+SUM(Tabla_master_rend[[#This Row],[B_altas]:[B_lab]])</f>
        <v>768.87</v>
      </c>
      <c r="BY201" s="8">
        <f>+BX201-Tabla_master_rend[[#This Row],[Merma_TOT]]</f>
        <v>382.97</v>
      </c>
      <c r="BZ201" s="62">
        <f t="shared" si="58"/>
        <v>0.49809460637038777</v>
      </c>
      <c r="CA201" s="8">
        <f>+Tabla_master_rend[[#This Row],[Kg_Queso_Blan]]*$CA$1</f>
        <v>123.93953</v>
      </c>
      <c r="CB201" s="8">
        <f>+Tabla_master_rend[[#This Row],[Kg_Queso_Blan]]*($CB$1-$CA$1)</f>
        <v>66.736670000000018</v>
      </c>
      <c r="CC201" s="8">
        <f>+(Tabla_master_rend[[#This Row],[Kg_Queso_Blan]]-CA201-CB201)*$CC$1</f>
        <v>198.20790990000006</v>
      </c>
      <c r="CD201" s="8">
        <f t="shared" si="59"/>
        <v>388.88410990000011</v>
      </c>
      <c r="CE201" s="80">
        <f>+CD201/Tabla_master_rend[[#This Row],[Kg_Queso_Blan]]</f>
        <v>2.0395000000000003E-2</v>
      </c>
      <c r="CF201" s="62">
        <f>+Tabla_master_rend[[#This Row],[Merma_TOT]]/Tabla_master_rend[[#This Row],[Kg_Queso_Blan]]</f>
        <v>2.0238498564582257E-2</v>
      </c>
      <c r="CG201" s="8">
        <f>CD201-Tabla_master_rend[[#This Row],[Merma_TOT]]</f>
        <v>2.984109900000135</v>
      </c>
      <c r="CH201" s="81" cm="1">
        <f t="array" ref="CH201">-BR201 * IFERROR(INDEX('Precio Leche_EBITDA_Ventas'!$BD$87:$BD$110,MATCH(1,('Precio Leche_EBITDA_Ventas'!$AZ$87:$AZ$110=YEAR(A201))*('Precio Leche_EBITDA_Ventas'!$BB$87:$BB$110=C201),0)),1.3)</f>
        <v>0</v>
      </c>
      <c r="CI201" s="81">
        <f t="shared" si="60"/>
        <v>3.8793428700001757</v>
      </c>
    </row>
    <row r="202" spans="1:87" x14ac:dyDescent="0.35">
      <c r="A202" s="9">
        <v>46132</v>
      </c>
      <c r="B202" s="7">
        <v>4</v>
      </c>
      <c r="C202" s="7" t="str">
        <f>+UPPER(TEXT(Tabla_master_rend[[#This Row],[Fecha]],"MMM"))</f>
        <v>ABR</v>
      </c>
      <c r="D202" s="7" t="str">
        <f>+UPPER(TEXT(Tabla_master_rend[[#This Row],[Fecha]],"ddd"))</f>
        <v>LU</v>
      </c>
      <c r="E202" s="122">
        <v>200426316</v>
      </c>
      <c r="F202" s="3" t="s">
        <v>244</v>
      </c>
      <c r="G202" s="84" t="s">
        <v>299</v>
      </c>
      <c r="H202">
        <v>21</v>
      </c>
      <c r="I202" s="8">
        <f>+Tabla_master_rend[[#This Row],[L_Leche_ent]]+Tabla_master_rend[[#This Row],[L_desn_ext]]+Tabla_master_rend[[#This Row],[L_cabra]]+Tabla_master_rend[[#This Row],[L_oveja]]</f>
        <v>325676</v>
      </c>
      <c r="J202" s="8">
        <v>325676</v>
      </c>
      <c r="K202" s="66">
        <v>4.1500000000000002E-2</v>
      </c>
      <c r="L202" s="66">
        <v>3.4700000000000002E-2</v>
      </c>
      <c r="M202" s="5">
        <f t="shared" si="55"/>
        <v>0.112273</v>
      </c>
      <c r="N202" s="3" t="s">
        <v>188</v>
      </c>
      <c r="O202" s="8">
        <v>0</v>
      </c>
      <c r="P202" s="8">
        <v>0</v>
      </c>
      <c r="Q202" s="8">
        <v>0</v>
      </c>
      <c r="R202" s="8">
        <v>13494</v>
      </c>
      <c r="S202" s="8">
        <v>326</v>
      </c>
      <c r="T202" s="8">
        <v>291280</v>
      </c>
      <c r="U202" s="38">
        <f>+Tabla_master_rend[[#This Row],[L_suero Total]]/Tabla_master_rend[[#This Row],[Litros_Leche_Total]]</f>
        <v>0.89438583131701443</v>
      </c>
      <c r="V202" s="66">
        <v>0</v>
      </c>
      <c r="W202" s="66">
        <v>8.8000000000000005E-3</v>
      </c>
      <c r="X202" s="8">
        <v>288856</v>
      </c>
      <c r="Y202" s="57">
        <v>85163</v>
      </c>
      <c r="Z202" s="58">
        <f>IF(Tabla_master_rend[[#This Row],[L_suero para con]]=0,0,+Tabla_master_rend[[#This Row],[L_suero para con]]/Tabla_master_rend[[#This Row],[L_suero_con]])</f>
        <v>3.3918016039829504</v>
      </c>
      <c r="AA202" s="8">
        <f>+Tabla_master_rend[[#This Row],[L_suero Total]]-Tabla_master_rend[[#This Row],[L_suero para con]]</f>
        <v>2424</v>
      </c>
      <c r="AD202" s="8">
        <v>0</v>
      </c>
      <c r="AE202" s="8">
        <v>0</v>
      </c>
      <c r="AF202" s="8">
        <v>0</v>
      </c>
      <c r="AG202" s="66">
        <v>0</v>
      </c>
      <c r="AH202" s="66">
        <v>0</v>
      </c>
      <c r="AI202" s="7">
        <f>+Tabla_master_rend[[#This Row],[Kg_Finos]]+Tabla_master_rend[[#This Row],[Kg_Llenadora]]+Tabla_master_rend[[#This Row],[Kg_Desmoldeo]]+Tabla_master_rend[[#This Row],[L_Agua]]+Tabla_master_rend[[#This Row],[Kg_SalidaSecadero]]</f>
        <v>35615.75</v>
      </c>
      <c r="AJ202" s="59">
        <f>+Tabla_master_rend[[#This Row],[Litros_Leche_Total]]/Tabla_master_rend[[#This Row],[Kg_Queso_Blan]]</f>
        <v>9.1441567284136926</v>
      </c>
      <c r="AK202" s="59">
        <f>+Tabla_master_rend[[#This Row],[Litros_Leche_Total]]/(Tabla_master_rend[[#This Row],[Kg_Queso_Blan]]-Tabla_master_rend[[#This Row],[Merma_TOT]])</f>
        <v>9.3059830994093389</v>
      </c>
      <c r="AL202" s="59">
        <f>VLOOKUP(G202,REND_TARGET[#All],8,FALSE)</f>
        <v>9.8078500000000002</v>
      </c>
      <c r="AM202" s="7">
        <f>(I202*1.03*Tabla_master_rend[[#This Row],[%MG_Leche]])+(I202*1.03*Tabla_master_rend[[#This Row],[%MP_Leche]])</f>
        <v>25561.006536000001</v>
      </c>
      <c r="AN202" s="137">
        <v>0.22120000000000001</v>
      </c>
      <c r="AO202" s="137">
        <v>0.2606</v>
      </c>
      <c r="AP202" s="64">
        <v>0.53300000000000003</v>
      </c>
      <c r="AQ202" s="38">
        <f>+Tabla_master_rend[[#This Row],[Kg_Queso_Blan]]*Tabla_master_rend[[#This Row],[ES_QUESO]]/(Tabla_master_rend[[#This Row],[Kg_Solidos_leche]])</f>
        <v>0.74266225483977555</v>
      </c>
      <c r="AR202" s="7">
        <f t="shared" si="56"/>
        <v>5397.6</v>
      </c>
      <c r="AS202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0.95365162241962109</v>
      </c>
      <c r="AT202" s="62">
        <f>+Tabla_master_rend[[#This Row],[Kg_Queso_Blan]]*Tabla_master_rend[[#This Row],[%PT_QUESO]]/(Tabla_master_rend[[#This Row],[Litros_Leche_Total]]*1.03*Tabla_master_rend[[#This Row],[%MP_Leche]])</f>
        <v>0.79737763576173715</v>
      </c>
      <c r="AU202" s="7">
        <f t="shared" si="57"/>
        <v>40482</v>
      </c>
      <c r="AV202" s="8">
        <v>54.75</v>
      </c>
      <c r="AW202" s="8">
        <v>66.900000000000006</v>
      </c>
      <c r="AX202" s="8">
        <v>20</v>
      </c>
      <c r="AY202" s="8">
        <f>SUM(Tabla_master_rend[[#This Row],[Kg_Finos]:[Kg_Desmoldeo]])</f>
        <v>141.65</v>
      </c>
      <c r="AZ202" s="60">
        <f>+(Tabla_master_rend[[#This Row],[Kg_Finos]]+Tabla_master_rend[[#This Row],[Kg_Llenadora]]+Tabla_master_rend[[#This Row],[Kg_Desmoldeo]])/(Tabla_master_rend[[#This Row],[Kg_Queso_Blan]])</f>
        <v>3.9771730203631821E-3</v>
      </c>
      <c r="BA202" s="8">
        <v>240</v>
      </c>
      <c r="BB202" s="60">
        <f>+Tabla_master_rend[[#This Row],[L_Agua]]/(Tabla_master_rend[[#This Row],[L_Agua]]+Tabla_master_rend[[#This Row],[Kg_SalidaSecadero]])</f>
        <v>6.7654993361353777E-3</v>
      </c>
      <c r="BC202" s="8">
        <v>4876</v>
      </c>
      <c r="BD202" s="8">
        <v>4824</v>
      </c>
      <c r="BE202" s="8">
        <v>35245</v>
      </c>
      <c r="BF202" s="8">
        <v>84</v>
      </c>
      <c r="BG202" s="8">
        <v>48</v>
      </c>
      <c r="BH202" s="8">
        <v>33</v>
      </c>
      <c r="BI202" s="8">
        <v>154</v>
      </c>
      <c r="BJ202" s="8">
        <v>102</v>
      </c>
      <c r="BK202" s="185">
        <v>35234.1</v>
      </c>
      <c r="BL202" s="8">
        <v>0</v>
      </c>
      <c r="BM202" s="8">
        <v>216.82</v>
      </c>
      <c r="BN202" s="8">
        <v>20.87</v>
      </c>
      <c r="BO202" s="68">
        <f>+SUM(Tabla_master_rend[[#This Row],[B_altas]:[B_lab]])/Tabla_master_rend[[#This Row],[Kg_SalidaSecadero]]</f>
        <v>1.194865201608669E-2</v>
      </c>
      <c r="BP202" s="68">
        <f>+(Tabla_master_rend[[#This Row],[Kg_mer_env_real]]+Tabla_master_rend[[#This Row],[kg_mer_lab_real]])/Tabla_master_rend[[#This Row],[Kg_SalidaSecadero]]</f>
        <v>6.7460216097473755E-3</v>
      </c>
      <c r="BQ202" s="64">
        <f>+Tabla_master_rend[[#This Row],[Merma_TOT]]/Tabla_master_rend[[#This Row],[Kg_Queso_Blan]]</f>
        <v>1.7389497623944462E-2</v>
      </c>
      <c r="BR202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619.34</v>
      </c>
      <c r="BS202" s="138">
        <v>35234.099999999991</v>
      </c>
      <c r="BT202" s="63">
        <f>IF(+Tabla_master_rend[[#This Row],[Kg_Env_Total]]=0,0,Tabla_master_rend[[#This Row],[Kg_Env_Total]]-Tabla_master_rend[[#This Row],[Kg_SalidaSecadero]])</f>
        <v>-7.2759576141834259E-12</v>
      </c>
      <c r="BU202" s="60">
        <f>+Tabla_master_rend[[#This Row],[Diferencia_Env_vs_Sec_kg]]/Tabla_master_rend[[#This Row],[Kg_SalidaSecadero]]</f>
        <v>-2.0650329124863204E-16</v>
      </c>
      <c r="BV202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02" s="65">
        <f>+(Tabla_master_rend[[#This Row],[Coste_Leche_€]]-Tabla_master_rend[[#This Row],[Kg_MG_Nata]]*$CO$3)/Tabla_master_rend[[#This Row],[Kg_Queso_Blan]]</f>
        <v>-1.1366319675986045</v>
      </c>
      <c r="BX202" s="8">
        <f>SUM(Tabla_master_rend[[#This Row],[Kg_Finos]:[Kg_Desmoldeo]])+Tabla_master_rend[[#This Row],[L_Agua]]+SUM(Tabla_master_rend[[#This Row],[B_altas]:[B_lab]])</f>
        <v>802.65</v>
      </c>
      <c r="BY202" s="8">
        <f>+BX202-Tabla_master_rend[[#This Row],[Merma_TOT]]</f>
        <v>183.30999999999995</v>
      </c>
      <c r="BZ202" s="62">
        <f t="shared" si="58"/>
        <v>0.22838098797732506</v>
      </c>
      <c r="CA202" s="8">
        <f>+Tabla_master_rend[[#This Row],[Kg_Queso_Blan]]*$CA$1</f>
        <v>231.502375</v>
      </c>
      <c r="CB202" s="8">
        <f>+Tabla_master_rend[[#This Row],[Kg_Queso_Blan]]*($CB$1-$CA$1)</f>
        <v>124.65512500000001</v>
      </c>
      <c r="CC202" s="8">
        <f>+(Tabla_master_rend[[#This Row],[Kg_Queso_Blan]]-CA202-CB202)*$CC$1</f>
        <v>370.22572125000011</v>
      </c>
      <c r="CD202" s="8">
        <f t="shared" si="59"/>
        <v>726.38322125000013</v>
      </c>
      <c r="CE202" s="80">
        <f>+CD202/Tabla_master_rend[[#This Row],[Kg_Queso_Blan]]</f>
        <v>2.0395000000000003E-2</v>
      </c>
      <c r="CF202" s="62">
        <f>+Tabla_master_rend[[#This Row],[Merma_TOT]]/Tabla_master_rend[[#This Row],[Kg_Queso_Blan]]</f>
        <v>1.7389497623944462E-2</v>
      </c>
      <c r="CG202" s="8">
        <f>CD202-Tabla_master_rend[[#This Row],[Merma_TOT]]</f>
        <v>107.0432212500001</v>
      </c>
      <c r="CH202" s="81" cm="1">
        <f t="array" ref="CH202">-BR202 * IFERROR(INDEX('Precio Leche_EBITDA_Ventas'!$BD$87:$BD$110,MATCH(1,('Precio Leche_EBITDA_Ventas'!$AZ$87:$AZ$110=YEAR(A202))*('Precio Leche_EBITDA_Ventas'!$BB$87:$BB$110=C202),0)),1.3)</f>
        <v>0</v>
      </c>
      <c r="CI202" s="81">
        <f t="shared" si="60"/>
        <v>139.15618762500014</v>
      </c>
    </row>
    <row r="203" spans="1:87" x14ac:dyDescent="0.35">
      <c r="A203" s="9">
        <v>46134</v>
      </c>
      <c r="B203" s="7">
        <v>4</v>
      </c>
      <c r="C203" s="7" t="str">
        <f>+UPPER(TEXT(Tabla_master_rend[[#This Row],[Fecha]],"MMM"))</f>
        <v>ABR</v>
      </c>
      <c r="D203" s="7" t="str">
        <f>+UPPER(TEXT(Tabla_master_rend[[#This Row],[Fecha]],"ddd"))</f>
        <v>MI</v>
      </c>
      <c r="E203" s="122">
        <v>220426316</v>
      </c>
      <c r="F203" s="3" t="s">
        <v>244</v>
      </c>
      <c r="G203" s="84" t="s">
        <v>299</v>
      </c>
      <c r="H203">
        <v>7</v>
      </c>
      <c r="I203" s="8">
        <f>+Tabla_master_rend[[#This Row],[L_Leche_ent]]+Tabla_master_rend[[#This Row],[L_desn_ext]]+Tabla_master_rend[[#This Row],[L_cabra]]+Tabla_master_rend[[#This Row],[L_oveja]]</f>
        <v>113700</v>
      </c>
      <c r="J203" s="8">
        <v>113700</v>
      </c>
      <c r="K203" s="66">
        <v>3.8899999999999997E-2</v>
      </c>
      <c r="L203" s="66">
        <v>3.3500000000000002E-2</v>
      </c>
      <c r="M203" s="5">
        <f t="shared" si="55"/>
        <v>0.10896700000000001</v>
      </c>
      <c r="N203" s="3" t="s">
        <v>188</v>
      </c>
      <c r="O203" s="8">
        <v>0</v>
      </c>
      <c r="P203" s="8">
        <v>0</v>
      </c>
      <c r="Q203" s="8">
        <v>0</v>
      </c>
      <c r="R203" s="8">
        <v>4055</v>
      </c>
      <c r="S203" s="8">
        <f>438.8/(179400+100230)*100230</f>
        <v>157.28256624825661</v>
      </c>
      <c r="T203" s="8">
        <v>100230</v>
      </c>
      <c r="U203" s="38">
        <f>+Tabla_master_rend[[#This Row],[L_suero Total]]/Tabla_master_rend[[#This Row],[Litros_Leche_Total]]</f>
        <v>0.88153034300791555</v>
      </c>
      <c r="V203" s="66">
        <v>2.0000000000000001E-4</v>
      </c>
      <c r="W203" s="66">
        <v>8.8000000000000005E-3</v>
      </c>
      <c r="X203" s="8">
        <f>276845/(100230+179400)*100230</f>
        <v>99231.750348675036</v>
      </c>
      <c r="Y203" s="57">
        <f>79957/(99232+177613)*99232</f>
        <v>28659.694139319836</v>
      </c>
      <c r="Z203" s="58">
        <f>IF(Tabla_master_rend[[#This Row],[L_suero para con]]=0,0,+Tabla_master_rend[[#This Row],[L_suero para con]]/Tabla_master_rend[[#This Row],[L_suero_con]])</f>
        <v>3.462414841773676</v>
      </c>
      <c r="AA203" s="8">
        <f>+Tabla_master_rend[[#This Row],[L_suero Total]]-Tabla_master_rend[[#This Row],[L_suero para con]]</f>
        <v>998.24965132496436</v>
      </c>
      <c r="AD203" s="8">
        <v>0</v>
      </c>
      <c r="AE203" s="8">
        <v>0</v>
      </c>
      <c r="AF203" s="8">
        <v>0</v>
      </c>
      <c r="AG203" s="66">
        <v>0</v>
      </c>
      <c r="AH203" s="66">
        <v>0</v>
      </c>
      <c r="AI203" s="7">
        <f>+Tabla_master_rend[[#This Row],[Kg_Finos]]+Tabla_master_rend[[#This Row],[Kg_Llenadora]]+Tabla_master_rend[[#This Row],[Kg_Desmoldeo]]+Tabla_master_rend[[#This Row],[L_Agua]]+Tabla_master_rend[[#This Row],[Kg_SalidaSecadero]]</f>
        <v>12100.586652719665</v>
      </c>
      <c r="AJ203" s="59">
        <f>+Tabla_master_rend[[#This Row],[Litros_Leche_Total]]/Tabla_master_rend[[#This Row],[Kg_Queso_Blan]]</f>
        <v>9.3962386504992619</v>
      </c>
      <c r="AK203" s="59">
        <f>+Tabla_master_rend[[#This Row],[Litros_Leche_Total]]/(Tabla_master_rend[[#This Row],[Kg_Queso_Blan]]-Tabla_master_rend[[#This Row],[Merma_TOT]])</f>
        <v>9.612092468836785</v>
      </c>
      <c r="AL203" s="59">
        <f>VLOOKUP(G203,REND_TARGET[#All],8,FALSE)</f>
        <v>9.8078500000000002</v>
      </c>
      <c r="AM203" s="7">
        <f>(I203*1.03*Tabla_master_rend[[#This Row],[%MG_Leche]])+(I203*1.03*Tabla_master_rend[[#This Row],[%MP_Leche]])</f>
        <v>8478.8364000000001</v>
      </c>
      <c r="AN203" s="137">
        <v>0.21920000000000001</v>
      </c>
      <c r="AO203" s="137">
        <v>0.25280000000000002</v>
      </c>
      <c r="AP203" s="64">
        <v>0.52669999999999995</v>
      </c>
      <c r="AQ203" s="38">
        <f>+Tabla_master_rend[[#This Row],[Kg_Queso_Blan]]*Tabla_master_rend[[#This Row],[ES_QUESO]]/(Tabla_master_rend[[#This Row],[Kg_Solidos_leche]])</f>
        <v>0.75168085446104926</v>
      </c>
      <c r="AR203" s="7">
        <f t="shared" si="56"/>
        <v>1622</v>
      </c>
      <c r="AS203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0.9382807531501165</v>
      </c>
      <c r="AT203" s="62">
        <f>+Tabla_master_rend[[#This Row],[Kg_Queso_Blan]]*Tabla_master_rend[[#This Row],[%PT_QUESO]]/(Tabla_master_rend[[#This Row],[Litros_Leche_Total]]*1.03*Tabla_master_rend[[#This Row],[%MP_Leche]])</f>
        <v>0.77972417437558761</v>
      </c>
      <c r="AU203" s="7">
        <f t="shared" si="57"/>
        <v>12165</v>
      </c>
      <c r="AV203" s="8">
        <f>49.26/(100230+179400)*100230</f>
        <v>17.656652719665271</v>
      </c>
      <c r="AW203" s="8">
        <v>25</v>
      </c>
      <c r="AX203" s="8">
        <v>2.2000000000000002</v>
      </c>
      <c r="AY203" s="8">
        <f>SUM(Tabla_master_rend[[#This Row],[Kg_Finos]:[Kg_Desmoldeo]])</f>
        <v>44.856652719665277</v>
      </c>
      <c r="AZ203" s="60">
        <f>+(Tabla_master_rend[[#This Row],[Kg_Finos]]+Tabla_master_rend[[#This Row],[Kg_Llenadora]]+Tabla_master_rend[[#This Row],[Kg_Desmoldeo]])/(Tabla_master_rend[[#This Row],[Kg_Queso_Blan]])</f>
        <v>3.7069816536195398E-3</v>
      </c>
      <c r="BA203" s="8">
        <v>125</v>
      </c>
      <c r="BB203" s="60">
        <f>+Tabla_master_rend[[#This Row],[L_Agua]]/(Tabla_master_rend[[#This Row],[L_Agua]]+Tabla_master_rend[[#This Row],[Kg_SalidaSecadero]])</f>
        <v>1.0368513561600998E-2</v>
      </c>
      <c r="BC203" s="8">
        <v>1668</v>
      </c>
      <c r="BD203" s="8">
        <v>1638</v>
      </c>
      <c r="BE203" s="8">
        <v>11952</v>
      </c>
      <c r="BF203" s="8">
        <v>0</v>
      </c>
      <c r="BG203" s="8">
        <v>72</v>
      </c>
      <c r="BH203" s="8">
        <v>63</v>
      </c>
      <c r="BI203" s="8">
        <v>7</v>
      </c>
      <c r="BJ203" s="8">
        <v>48</v>
      </c>
      <c r="BK203" s="185">
        <v>11930.73</v>
      </c>
      <c r="BL203" s="8">
        <v>0</v>
      </c>
      <c r="BM203" s="8">
        <v>91.85</v>
      </c>
      <c r="BN203" s="8">
        <v>10.029999999999999</v>
      </c>
      <c r="BO203" s="68">
        <f>+SUM(Tabla_master_rend[[#This Row],[B_altas]:[B_lab]])/Tabla_master_rend[[#This Row],[Kg_SalidaSecadero]]</f>
        <v>1.5925261907695505E-2</v>
      </c>
      <c r="BP203" s="68">
        <f>+(Tabla_master_rend[[#This Row],[Kg_mer_env_real]]+Tabla_master_rend[[#This Row],[kg_mer_lab_real]])/Tabla_master_rend[[#This Row],[Kg_SalidaSecadero]]</f>
        <v>8.5392930692422004E-3</v>
      </c>
      <c r="BQ203" s="64">
        <f>+Tabla_master_rend[[#This Row],[Merma_TOT]]/Tabla_master_rend[[#This Row],[Kg_Queso_Blan]]</f>
        <v>2.245648583150232E-2</v>
      </c>
      <c r="BR203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271.73665271966524</v>
      </c>
      <c r="BS203" s="138">
        <v>11930.73</v>
      </c>
      <c r="BT203" s="63">
        <f>IF(+Tabla_master_rend[[#This Row],[Kg_Env_Total]]=0,0,Tabla_master_rend[[#This Row],[Kg_Env_Total]]-Tabla_master_rend[[#This Row],[Kg_SalidaSecadero]])</f>
        <v>0</v>
      </c>
      <c r="BU203" s="60">
        <f>+Tabla_master_rend[[#This Row],[Diferencia_Env_vs_Sec_kg]]/Tabla_master_rend[[#This Row],[Kg_SalidaSecadero]]</f>
        <v>0</v>
      </c>
      <c r="BV203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03" s="65">
        <f>+(Tabla_master_rend[[#This Row],[Coste_Leche_€]]-Tabla_master_rend[[#This Row],[Kg_MG_Nata]]*$CO$3)/Tabla_master_rend[[#This Row],[Kg_Queso_Blan]]</f>
        <v>-1.0053231590441822</v>
      </c>
      <c r="BX203" s="8">
        <f>SUM(Tabla_master_rend[[#This Row],[Kg_Finos]:[Kg_Desmoldeo]])+Tabla_master_rend[[#This Row],[L_Agua]]+SUM(Tabla_master_rend[[#This Row],[B_altas]:[B_lab]])</f>
        <v>359.85665271966525</v>
      </c>
      <c r="BY203" s="8">
        <f>+BX203-Tabla_master_rend[[#This Row],[Merma_TOT]]</f>
        <v>88.12</v>
      </c>
      <c r="BZ203" s="62">
        <f t="shared" si="58"/>
        <v>0.24487528390546959</v>
      </c>
      <c r="CA203" s="8">
        <f>+Tabla_master_rend[[#This Row],[Kg_Queso_Blan]]*$CA$1</f>
        <v>78.653813242677813</v>
      </c>
      <c r="CB203" s="8">
        <f>+Tabla_master_rend[[#This Row],[Kg_Queso_Blan]]*($CB$1-$CA$1)</f>
        <v>42.352053284518831</v>
      </c>
      <c r="CC203" s="8">
        <f>+(Tabla_master_rend[[#This Row],[Kg_Queso_Blan]]-CA203-CB203)*$CC$1</f>
        <v>125.78559825502091</v>
      </c>
      <c r="CD203" s="8">
        <f t="shared" si="59"/>
        <v>246.79146478221756</v>
      </c>
      <c r="CE203" s="80">
        <f>+CD203/Tabla_master_rend[[#This Row],[Kg_Queso_Blan]]</f>
        <v>2.0395E-2</v>
      </c>
      <c r="CF203" s="62">
        <f>+Tabla_master_rend[[#This Row],[Merma_TOT]]/Tabla_master_rend[[#This Row],[Kg_Queso_Blan]]</f>
        <v>2.245648583150232E-2</v>
      </c>
      <c r="CG203" s="8">
        <f>CD203-Tabla_master_rend[[#This Row],[Merma_TOT]]</f>
        <v>-24.945187937447685</v>
      </c>
      <c r="CH203" s="81" cm="1">
        <f t="array" ref="CH203">-BR203 * IFERROR(INDEX('Precio Leche_EBITDA_Ventas'!$BD$87:$BD$110,MATCH(1,('Precio Leche_EBITDA_Ventas'!$AZ$87:$AZ$110=YEAR(A203))*('Precio Leche_EBITDA_Ventas'!$BB$87:$BB$110=C203),0)),1.3)</f>
        <v>0</v>
      </c>
      <c r="CI203" s="81">
        <f t="shared" si="60"/>
        <v>-32.428744318681993</v>
      </c>
    </row>
    <row r="204" spans="1:87" x14ac:dyDescent="0.35">
      <c r="A204" s="9">
        <v>46134</v>
      </c>
      <c r="B204" s="7">
        <v>4</v>
      </c>
      <c r="C204" s="7" t="str">
        <f>+UPPER(TEXT(Tabla_master_rend[[#This Row],[Fecha]],"MMM"))</f>
        <v>ABR</v>
      </c>
      <c r="D204" s="7" t="str">
        <f>+UPPER(TEXT(Tabla_master_rend[[#This Row],[Fecha]],"ddd"))</f>
        <v>MI</v>
      </c>
      <c r="E204" s="122">
        <v>220426326</v>
      </c>
      <c r="F204" s="3" t="s">
        <v>244</v>
      </c>
      <c r="G204" t="s">
        <v>301</v>
      </c>
      <c r="H204">
        <v>13</v>
      </c>
      <c r="I204" s="8">
        <f>+Tabla_master_rend[[#This Row],[L_Leche_ent]]+Tabla_master_rend[[#This Row],[L_desn_ext]]+Tabla_master_rend[[#This Row],[L_cabra]]+Tabla_master_rend[[#This Row],[L_oveja]]</f>
        <v>195124</v>
      </c>
      <c r="J204" s="8">
        <v>195124</v>
      </c>
      <c r="K204" s="66">
        <v>4.2299999999999997E-2</v>
      </c>
      <c r="L204" s="66">
        <v>3.5200000000000002E-2</v>
      </c>
      <c r="M204" s="5">
        <f t="shared" si="55"/>
        <v>0.113387</v>
      </c>
      <c r="N204" s="3" t="s">
        <v>188</v>
      </c>
      <c r="O204" s="8">
        <v>0</v>
      </c>
      <c r="P204" s="8">
        <v>0</v>
      </c>
      <c r="Q204" s="8">
        <v>0</v>
      </c>
      <c r="R204" s="8">
        <v>3833</v>
      </c>
      <c r="S204" s="8">
        <f>438.8/(179400+100230)*179400</f>
        <v>281.51743375174334</v>
      </c>
      <c r="T204" s="8">
        <v>179400</v>
      </c>
      <c r="U204" s="38">
        <f>+Tabla_master_rend[[#This Row],[L_suero Total]]/Tabla_master_rend[[#This Row],[Litros_Leche_Total]]</f>
        <v>0.91941534613886555</v>
      </c>
      <c r="V204" s="66">
        <v>2.0000000000000001E-4</v>
      </c>
      <c r="W204" s="66">
        <v>8.8000000000000005E-3</v>
      </c>
      <c r="X204" s="8">
        <f>276845/(100230+179400)*179400</f>
        <v>177613.24965132496</v>
      </c>
      <c r="Y204" s="57">
        <f>79957/(99232+177613)*177613</f>
        <v>51297.305860680164</v>
      </c>
      <c r="Z204" s="58">
        <f>IF(Tabla_master_rend[[#This Row],[L_suero para con]]=0,0,+Tabla_master_rend[[#This Row],[L_suero para con]]/Tabla_master_rend[[#This Row],[L_suero_con]])</f>
        <v>3.462428419412706</v>
      </c>
      <c r="AA204" s="8">
        <f>+Tabla_master_rend[[#This Row],[L_suero Total]]-Tabla_master_rend[[#This Row],[L_suero para con]]</f>
        <v>1786.7503486750356</v>
      </c>
      <c r="AD204" s="8">
        <v>0</v>
      </c>
      <c r="AE204" s="8">
        <v>0</v>
      </c>
      <c r="AF204" s="8">
        <v>0</v>
      </c>
      <c r="AG204" s="66">
        <v>0</v>
      </c>
      <c r="AH204" s="66">
        <v>0</v>
      </c>
      <c r="AI204" s="7">
        <f>+Tabla_master_rend[[#This Row],[Kg_Finos]]+Tabla_master_rend[[#This Row],[Kg_Llenadora]]+Tabla_master_rend[[#This Row],[Kg_Desmoldeo]]+Tabla_master_rend[[#This Row],[L_Agua]]+Tabla_master_rend[[#This Row],[Kg_SalidaSecadero]]</f>
        <v>23568.003347280337</v>
      </c>
      <c r="AJ204" s="59">
        <f>+Tabla_master_rend[[#This Row],[Litros_Leche_Total]]/Tabla_master_rend[[#This Row],[Kg_Queso_Blan]]</f>
        <v>8.279190949050701</v>
      </c>
      <c r="AK204" s="59">
        <f>+Tabla_master_rend[[#This Row],[Litros_Leche_Total]]/(Tabla_master_rend[[#This Row],[Kg_Queso_Blan]]-Tabla_master_rend[[#This Row],[Merma_TOT]])</f>
        <v>8.3655380510136439</v>
      </c>
      <c r="AL204" s="59">
        <f>VLOOKUP(G204,REND_TARGET[#All],8,FALSE)</f>
        <v>9.3549429999999987</v>
      </c>
      <c r="AM204" s="7">
        <f>(I204*1.03*Tabla_master_rend[[#This Row],[%MG_Leche]])+(I204*1.03*Tabla_master_rend[[#This Row],[%MP_Leche]])</f>
        <v>15575.773300000001</v>
      </c>
      <c r="AN204" s="137">
        <v>0.29370000000000002</v>
      </c>
      <c r="AO204" s="137">
        <v>0.25009999999999999</v>
      </c>
      <c r="AP204" s="64">
        <v>0.5847</v>
      </c>
      <c r="AQ204" s="38">
        <f>+Tabla_master_rend[[#This Row],[Kg_Queso_Blan]]*Tabla_master_rend[[#This Row],[ES_QUESO]]/(Tabla_master_rend[[#This Row],[Kg_Solidos_leche]])</f>
        <v>0.88472086051450249</v>
      </c>
      <c r="AR204" s="7">
        <f t="shared" si="56"/>
        <v>1533.2</v>
      </c>
      <c r="AS204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0.99456146002574231</v>
      </c>
      <c r="AT204" s="62">
        <f>+Tabla_master_rend[[#This Row],[Kg_Queso_Blan]]*Tabla_master_rend[[#This Row],[%PT_QUESO]]/(Tabla_master_rend[[#This Row],[Litros_Leche_Total]]*1.03*Tabla_master_rend[[#This Row],[%MP_Leche]])</f>
        <v>0.83319355978675314</v>
      </c>
      <c r="AU204" s="7">
        <f t="shared" si="57"/>
        <v>11499</v>
      </c>
      <c r="AV204" s="8">
        <f>49.26/(100230+179400)*179400</f>
        <v>31.603347280334727</v>
      </c>
      <c r="AW204" s="8">
        <v>31</v>
      </c>
      <c r="AX204" s="8">
        <v>0</v>
      </c>
      <c r="AY204" s="8">
        <f>SUM(Tabla_master_rend[[#This Row],[Kg_Finos]:[Kg_Desmoldeo]])</f>
        <v>62.603347280334731</v>
      </c>
      <c r="AZ204" s="60">
        <f>+(Tabla_master_rend[[#This Row],[Kg_Finos]]+Tabla_master_rend[[#This Row],[Kg_Llenadora]]+Tabla_master_rend[[#This Row],[Kg_Desmoldeo]])/(Tabla_master_rend[[#This Row],[Kg_Queso_Blan]])</f>
        <v>2.6562855731925602E-3</v>
      </c>
      <c r="BA204" s="8">
        <v>150</v>
      </c>
      <c r="BB204" s="60">
        <f>+Tabla_master_rend[[#This Row],[L_Agua]]/(Tabla_master_rend[[#This Row],[L_Agua]]+Tabla_master_rend[[#This Row],[Kg_SalidaSecadero]])</f>
        <v>6.3815123333361692E-3</v>
      </c>
      <c r="BC204" s="8">
        <v>3051</v>
      </c>
      <c r="BD204" s="8">
        <v>3040</v>
      </c>
      <c r="BE204" s="8">
        <v>22504</v>
      </c>
      <c r="BF204" s="8">
        <v>0</v>
      </c>
      <c r="BG204" s="8">
        <v>0</v>
      </c>
      <c r="BH204" s="8">
        <v>0</v>
      </c>
      <c r="BI204" s="8">
        <v>0</v>
      </c>
      <c r="BJ204" s="8">
        <v>66</v>
      </c>
      <c r="BK204" s="185">
        <v>23355.4</v>
      </c>
      <c r="BL204" s="8">
        <v>0</v>
      </c>
      <c r="BM204" s="8">
        <v>17.72</v>
      </c>
      <c r="BN204" s="8">
        <v>12.94</v>
      </c>
      <c r="BO204" s="68">
        <f>+SUM(Tabla_master_rend[[#This Row],[B_altas]:[B_lab]])/Tabla_master_rend[[#This Row],[Kg_SalidaSecadero]]</f>
        <v>2.8258989355780676E-3</v>
      </c>
      <c r="BP204" s="68">
        <f>+(Tabla_master_rend[[#This Row],[Kg_mer_env_real]]+Tabla_master_rend[[#This Row],[kg_mer_lab_real]])/Tabla_master_rend[[#This Row],[Kg_SalidaSecadero]]</f>
        <v>1.3127585055276293E-3</v>
      </c>
      <c r="BQ204" s="64">
        <f>+Tabla_master_rend[[#This Row],[Merma_TOT]]/Tabla_master_rend[[#This Row],[Kg_Queso_Blan]]</f>
        <v>1.032176309956297E-2</v>
      </c>
      <c r="BR204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243.26334728033473</v>
      </c>
      <c r="BS204" s="138">
        <v>23355.4</v>
      </c>
      <c r="BT204" s="63">
        <f>IF(+Tabla_master_rend[[#This Row],[Kg_Env_Total]]=0,0,Tabla_master_rend[[#This Row],[Kg_Env_Total]]-Tabla_master_rend[[#This Row],[Kg_SalidaSecadero]])</f>
        <v>0</v>
      </c>
      <c r="BU204" s="60">
        <f>+Tabla_master_rend[[#This Row],[Diferencia_Env_vs_Sec_kg]]/Tabla_master_rend[[#This Row],[Kg_SalidaSecadero]]</f>
        <v>0</v>
      </c>
      <c r="BV204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04" s="65">
        <f>+(Tabla_master_rend[[#This Row],[Coste_Leche_€]]-Tabla_master_rend[[#This Row],[Kg_MG_Nata]]*$CO$3)/Tabla_master_rend[[#This Row],[Kg_Queso_Blan]]</f>
        <v>-0.48790726267980367</v>
      </c>
      <c r="BX204" s="8">
        <f>SUM(Tabla_master_rend[[#This Row],[Kg_Finos]:[Kg_Desmoldeo]])+Tabla_master_rend[[#This Row],[L_Agua]]+SUM(Tabla_master_rend[[#This Row],[B_altas]:[B_lab]])</f>
        <v>278.60334728033473</v>
      </c>
      <c r="BY204" s="8">
        <f>+BX204-Tabla_master_rend[[#This Row],[Merma_TOT]]</f>
        <v>35.340000000000003</v>
      </c>
      <c r="BZ204" s="62">
        <f t="shared" si="58"/>
        <v>0.12684700433423143</v>
      </c>
      <c r="CA204" s="8">
        <f>+Tabla_master_rend[[#This Row],[Kg_Queso_Blan]]*$CA$1</f>
        <v>153.19202175732218</v>
      </c>
      <c r="CB204" s="8">
        <f>+Tabla_master_rend[[#This Row],[Kg_Queso_Blan]]*($CB$1-$CA$1)</f>
        <v>82.488011715481193</v>
      </c>
      <c r="CC204" s="8">
        <f>+(Tabla_master_rend[[#This Row],[Kg_Queso_Blan]]-CA204-CB204)*$CC$1</f>
        <v>244.98939479497912</v>
      </c>
      <c r="CD204" s="8">
        <f t="shared" si="59"/>
        <v>480.66942826778245</v>
      </c>
      <c r="CE204" s="80">
        <f>+CD204/Tabla_master_rend[[#This Row],[Kg_Queso_Blan]]</f>
        <v>2.0395E-2</v>
      </c>
      <c r="CF204" s="62">
        <f>+Tabla_master_rend[[#This Row],[Merma_TOT]]/Tabla_master_rend[[#This Row],[Kg_Queso_Blan]]</f>
        <v>1.032176309956297E-2</v>
      </c>
      <c r="CG204" s="8">
        <f>CD204-Tabla_master_rend[[#This Row],[Merma_TOT]]</f>
        <v>237.40608098744772</v>
      </c>
      <c r="CH204" s="81" cm="1">
        <f t="array" ref="CH204">-BR204 * IFERROR(INDEX('Precio Leche_EBITDA_Ventas'!$BD$87:$BD$110,MATCH(1,('Precio Leche_EBITDA_Ventas'!$AZ$87:$AZ$110=YEAR(A204))*('Precio Leche_EBITDA_Ventas'!$BB$87:$BB$110=C204),0)),1.3)</f>
        <v>0</v>
      </c>
      <c r="CI204" s="81">
        <f t="shared" si="60"/>
        <v>308.62790528368203</v>
      </c>
    </row>
    <row r="205" spans="1:87" x14ac:dyDescent="0.35">
      <c r="A205" s="9">
        <v>46135</v>
      </c>
      <c r="B205" s="7">
        <v>4</v>
      </c>
      <c r="C205" s="7" t="str">
        <f>+UPPER(TEXT(Tabla_master_rend[[#This Row],[Fecha]],"MMM"))</f>
        <v>ABR</v>
      </c>
      <c r="D205" s="7" t="str">
        <f>+UPPER(TEXT(Tabla_master_rend[[#This Row],[Fecha]],"ddd"))</f>
        <v>JU</v>
      </c>
      <c r="E205" s="122">
        <v>230426346</v>
      </c>
      <c r="F205" s="3" t="s">
        <v>244</v>
      </c>
      <c r="G205" t="s">
        <v>40</v>
      </c>
      <c r="H205">
        <v>12</v>
      </c>
      <c r="I205" s="8">
        <f>+Tabla_master_rend[[#This Row],[L_Leche_ent]]+Tabla_master_rend[[#This Row],[L_desn_ext]]+Tabla_master_rend[[#This Row],[L_cabra]]+Tabla_master_rend[[#This Row],[L_oveja]]</f>
        <v>196723</v>
      </c>
      <c r="J205" s="8">
        <v>196723</v>
      </c>
      <c r="K205" s="66">
        <v>4.1799999999999997E-2</v>
      </c>
      <c r="L205" s="66">
        <v>3.4799999999999998E-2</v>
      </c>
      <c r="M205" s="5">
        <f t="shared" si="55"/>
        <v>0.11262599999999999</v>
      </c>
      <c r="N205" s="3" t="s">
        <v>188</v>
      </c>
      <c r="O205" s="8">
        <v>0</v>
      </c>
      <c r="P205" s="8">
        <v>0</v>
      </c>
      <c r="Q205" s="8">
        <v>0</v>
      </c>
      <c r="R205" s="8">
        <v>3040</v>
      </c>
      <c r="S205" s="8">
        <v>442.8</v>
      </c>
      <c r="T205" s="8">
        <v>174240</v>
      </c>
      <c r="U205" s="38">
        <f>+Tabla_master_rend[[#This Row],[L_suero Total]]/Tabla_master_rend[[#This Row],[Litros_Leche_Total]]</f>
        <v>0.88571239763525367</v>
      </c>
      <c r="V205" s="66">
        <v>2.0000000000000001E-4</v>
      </c>
      <c r="W205" s="66">
        <v>9.4999999999999998E-3</v>
      </c>
      <c r="X205" s="8">
        <v>171760</v>
      </c>
      <c r="Y205" s="57">
        <v>50023</v>
      </c>
      <c r="Z205" s="58">
        <f>IF(Tabla_master_rend[[#This Row],[L_suero para con]]=0,0,+Tabla_master_rend[[#This Row],[L_suero para con]]/Tabla_master_rend[[#This Row],[L_suero_con]])</f>
        <v>3.4336205345541053</v>
      </c>
      <c r="AA205" s="8">
        <f>+Tabla_master_rend[[#This Row],[L_suero Total]]-Tabla_master_rend[[#This Row],[L_suero para con]]</f>
        <v>2480</v>
      </c>
      <c r="AD205" s="8">
        <v>0</v>
      </c>
      <c r="AE205" s="8">
        <v>0</v>
      </c>
      <c r="AF205" s="8">
        <v>0</v>
      </c>
      <c r="AG205" s="66">
        <v>0</v>
      </c>
      <c r="AH205" s="66">
        <v>0</v>
      </c>
      <c r="AI205" s="7">
        <f>+Tabla_master_rend[[#This Row],[Kg_Finos]]+Tabla_master_rend[[#This Row],[Kg_Llenadora]]+Tabla_master_rend[[#This Row],[Kg_Desmoldeo]]+Tabla_master_rend[[#This Row],[L_Agua]]+Tabla_master_rend[[#This Row],[Kg_SalidaSecadero]]</f>
        <v>22932.560000000001</v>
      </c>
      <c r="AJ205" s="59">
        <f>+Tabla_master_rend[[#This Row],[Litros_Leche_Total]]/Tabla_master_rend[[#This Row],[Kg_Queso_Blan]]</f>
        <v>8.5783270598659715</v>
      </c>
      <c r="AK205" s="59">
        <f>+Tabla_master_rend[[#This Row],[Litros_Leche_Total]]/(Tabla_master_rend[[#This Row],[Kg_Queso_Blan]]-Tabla_master_rend[[#This Row],[Merma_TOT]])</f>
        <v>8.7882088266722889</v>
      </c>
      <c r="AL205" s="59">
        <f>VLOOKUP(G205,REND_TARGET[#All],8,FALSE)</f>
        <v>8.9338729999999984</v>
      </c>
      <c r="AM205" s="7">
        <f>(I205*1.03*Tabla_master_rend[[#This Row],[%MG_Leche]])+(I205*1.03*Tabla_master_rend[[#This Row],[%MP_Leche]])</f>
        <v>15521.051253999998</v>
      </c>
      <c r="AN205" s="137">
        <v>0.2908</v>
      </c>
      <c r="AO205" s="137">
        <v>0.2286</v>
      </c>
      <c r="AP205" s="64">
        <v>0.56559999999999999</v>
      </c>
      <c r="AQ205" s="38">
        <f>+Tabla_master_rend[[#This Row],[Kg_Queso_Blan]]*Tabla_master_rend[[#This Row],[ES_QUESO]]/(Tabla_master_rend[[#This Row],[Kg_Solidos_leche]])</f>
        <v>0.83568153495126674</v>
      </c>
      <c r="AR205" s="7">
        <f t="shared" si="56"/>
        <v>1216</v>
      </c>
      <c r="AS205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0.93093937655737846</v>
      </c>
      <c r="AT205" s="62">
        <f>+Tabla_master_rend[[#This Row],[Kg_Queso_Blan]]*Tabla_master_rend[[#This Row],[%PT_QUESO]]/(Tabla_master_rend[[#This Row],[Litros_Leche_Total]]*1.03*Tabla_master_rend[[#This Row],[%MP_Leche]])</f>
        <v>0.74345922928774855</v>
      </c>
      <c r="AU205" s="7">
        <f t="shared" si="57"/>
        <v>9120</v>
      </c>
      <c r="AV205" s="8">
        <v>39.94</v>
      </c>
      <c r="AW205" s="8">
        <v>44.3</v>
      </c>
      <c r="AX205" s="8">
        <v>20.2</v>
      </c>
      <c r="AY205" s="8">
        <f>SUM(Tabla_master_rend[[#This Row],[Kg_Finos]:[Kg_Desmoldeo]])</f>
        <v>104.44</v>
      </c>
      <c r="AZ205" s="60">
        <f>+(Tabla_master_rend[[#This Row],[Kg_Finos]]+Tabla_master_rend[[#This Row],[Kg_Llenadora]]+Tabla_master_rend[[#This Row],[Kg_Desmoldeo]])/(Tabla_master_rend[[#This Row],[Kg_Queso_Blan]])</f>
        <v>4.5542233400893747E-3</v>
      </c>
      <c r="BA205" s="8">
        <v>200</v>
      </c>
      <c r="BB205" s="60">
        <f>+Tabla_master_rend[[#This Row],[L_Agua]]/(Tabla_master_rend[[#This Row],[L_Agua]]+Tabla_master_rend[[#This Row],[Kg_SalidaSecadero]])</f>
        <v>8.7611244377548379E-3</v>
      </c>
      <c r="BC205" s="8">
        <v>3320</v>
      </c>
      <c r="BD205" s="8">
        <v>3257</v>
      </c>
      <c r="BE205" s="8">
        <v>23435</v>
      </c>
      <c r="BF205" s="8">
        <v>585</v>
      </c>
      <c r="BG205" s="8">
        <v>42</v>
      </c>
      <c r="BH205" s="8">
        <v>161</v>
      </c>
      <c r="BI205" s="8">
        <v>84</v>
      </c>
      <c r="BJ205" s="8">
        <v>150</v>
      </c>
      <c r="BK205" s="185">
        <v>22628.120000000003</v>
      </c>
      <c r="BL205" s="8">
        <v>0</v>
      </c>
      <c r="BM205" s="8">
        <v>230.91</v>
      </c>
      <c r="BN205" s="8">
        <v>12.33</v>
      </c>
      <c r="BO205" s="68">
        <f>+SUM(Tabla_master_rend[[#This Row],[B_altas]:[B_lab]])/Tabla_master_rend[[#This Row],[Kg_SalidaSecadero]]</f>
        <v>4.5165042433927341E-2</v>
      </c>
      <c r="BP205" s="68">
        <f>+(Tabla_master_rend[[#This Row],[Kg_mer_env_real]]+Tabla_master_rend[[#This Row],[kg_mer_lab_real]])/Tabla_master_rend[[#This Row],[Kg_SalidaSecadero]]</f>
        <v>1.074945687047797E-2</v>
      </c>
      <c r="BQ205" s="64">
        <f>+Tabla_master_rend[[#This Row],[Merma_TOT]]/Tabla_master_rend[[#This Row],[Kg_Queso_Blan]]</f>
        <v>2.3882200678860103E-2</v>
      </c>
      <c r="BR205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547.68000000000006</v>
      </c>
      <c r="BS205" s="138">
        <v>22628.120000000003</v>
      </c>
      <c r="BT205" s="63">
        <f>IF(+Tabla_master_rend[[#This Row],[Kg_Env_Total]]=0,0,Tabla_master_rend[[#This Row],[Kg_Env_Total]]-Tabla_master_rend[[#This Row],[Kg_SalidaSecadero]])</f>
        <v>0</v>
      </c>
      <c r="BU205" s="60">
        <f>+Tabla_master_rend[[#This Row],[Diferencia_Env_vs_Sec_kg]]/Tabla_master_rend[[#This Row],[Kg_SalidaSecadero]]</f>
        <v>0</v>
      </c>
      <c r="BV205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05" s="65">
        <f>+(Tabla_master_rend[[#This Row],[Coste_Leche_€]]-Tabla_master_rend[[#This Row],[Kg_MG_Nata]]*$CO$3)/Tabla_master_rend[[#This Row],[Kg_Queso_Blan]]</f>
        <v>-0.39768782900818744</v>
      </c>
      <c r="BX205" s="8">
        <f>SUM(Tabla_master_rend[[#This Row],[Kg_Finos]:[Kg_Desmoldeo]])+Tabla_master_rend[[#This Row],[L_Agua]]+SUM(Tabla_master_rend[[#This Row],[B_altas]:[B_lab]])</f>
        <v>1326.44</v>
      </c>
      <c r="BY205" s="8">
        <f>+BX205-Tabla_master_rend[[#This Row],[Merma_TOT]]</f>
        <v>778.76</v>
      </c>
      <c r="BZ205" s="62">
        <f t="shared" si="58"/>
        <v>0.58710533457977743</v>
      </c>
      <c r="CA205" s="8">
        <f>+Tabla_master_rend[[#This Row],[Kg_Queso_Blan]]*$CA$1</f>
        <v>149.06164000000001</v>
      </c>
      <c r="CB205" s="8">
        <f>+Tabla_master_rend[[#This Row],[Kg_Queso_Blan]]*($CB$1-$CA$1)</f>
        <v>80.263960000000012</v>
      </c>
      <c r="CC205" s="8">
        <f>+(Tabla_master_rend[[#This Row],[Kg_Queso_Blan]]-CA205-CB205)*$CC$1</f>
        <v>238.38396120000002</v>
      </c>
      <c r="CD205" s="8">
        <f t="shared" si="59"/>
        <v>467.70956120000005</v>
      </c>
      <c r="CE205" s="80">
        <f>+CD205/Tabla_master_rend[[#This Row],[Kg_Queso_Blan]]</f>
        <v>2.0395E-2</v>
      </c>
      <c r="CF205" s="62">
        <f>+Tabla_master_rend[[#This Row],[Merma_TOT]]/Tabla_master_rend[[#This Row],[Kg_Queso_Blan]]</f>
        <v>2.3882200678860103E-2</v>
      </c>
      <c r="CG205" s="8">
        <f>CD205-Tabla_master_rend[[#This Row],[Merma_TOT]]</f>
        <v>-79.970438800000011</v>
      </c>
      <c r="CH205" s="81" cm="1">
        <f t="array" ref="CH205">-BR205 * IFERROR(INDEX('Precio Leche_EBITDA_Ventas'!$BD$87:$BD$110,MATCH(1,('Precio Leche_EBITDA_Ventas'!$AZ$87:$AZ$110=YEAR(A205))*('Precio Leche_EBITDA_Ventas'!$BB$87:$BB$110=C205),0)),1.3)</f>
        <v>0</v>
      </c>
      <c r="CI205" s="81">
        <f t="shared" si="60"/>
        <v>-103.96157044000002</v>
      </c>
    </row>
    <row r="206" spans="1:87" x14ac:dyDescent="0.35">
      <c r="A206" s="9">
        <v>46139</v>
      </c>
      <c r="B206" s="7">
        <v>4</v>
      </c>
      <c r="C206" s="7" t="str">
        <f>+UPPER(TEXT(Tabla_master_rend[[#This Row],[Fecha]],"MMM"))</f>
        <v>ABR</v>
      </c>
      <c r="D206" s="7" t="str">
        <f>+UPPER(TEXT(Tabla_master_rend[[#This Row],[Fecha]],"ddd"))</f>
        <v>LU</v>
      </c>
      <c r="E206" s="122">
        <v>270426316</v>
      </c>
      <c r="F206" s="3" t="s">
        <v>244</v>
      </c>
      <c r="G206" s="84" t="s">
        <v>299</v>
      </c>
      <c r="H206">
        <v>19</v>
      </c>
      <c r="I206" s="8">
        <f>+Tabla_master_rend[[#This Row],[L_Leche_ent]]+Tabla_master_rend[[#This Row],[L_desn_ext]]+Tabla_master_rend[[#This Row],[L_cabra]]+Tabla_master_rend[[#This Row],[L_oveja]]</f>
        <v>295152</v>
      </c>
      <c r="J206" s="8">
        <v>295152</v>
      </c>
      <c r="K206" s="66">
        <v>4.1200000000000001E-2</v>
      </c>
      <c r="L206" s="66">
        <v>3.49E-2</v>
      </c>
      <c r="M206" s="5">
        <f t="shared" si="55"/>
        <v>0.11214200000000001</v>
      </c>
      <c r="N206" s="3" t="s">
        <v>188</v>
      </c>
      <c r="O206" s="8">
        <v>0</v>
      </c>
      <c r="P206" s="8">
        <v>0</v>
      </c>
      <c r="Q206" s="8">
        <v>0</v>
      </c>
      <c r="R206" s="8">
        <v>11465</v>
      </c>
      <c r="S206" s="8">
        <v>329.4</v>
      </c>
      <c r="T206" s="8">
        <v>262080</v>
      </c>
      <c r="U206" s="38">
        <f>+Tabla_master_rend[[#This Row],[L_suero Total]]/Tabla_master_rend[[#This Row],[Litros_Leche_Total]]</f>
        <v>0.88794926004228325</v>
      </c>
      <c r="V206" s="66">
        <v>1E-4</v>
      </c>
      <c r="W206" s="66">
        <v>8.6E-3</v>
      </c>
      <c r="X206" s="8">
        <v>260047</v>
      </c>
      <c r="Y206" s="57">
        <v>76164</v>
      </c>
      <c r="Z206" s="58">
        <f>IF(Tabla_master_rend[[#This Row],[L_suero para con]]=0,0,+Tabla_master_rend[[#This Row],[L_suero para con]]/Tabla_master_rend[[#This Row],[L_suero_con]])</f>
        <v>3.4143033454125309</v>
      </c>
      <c r="AA206" s="8">
        <f>+Tabla_master_rend[[#This Row],[L_suero Total]]-Tabla_master_rend[[#This Row],[L_suero para con]]</f>
        <v>2033</v>
      </c>
      <c r="AD206" s="8">
        <v>0</v>
      </c>
      <c r="AE206" s="8">
        <v>0</v>
      </c>
      <c r="AF206" s="8">
        <v>0</v>
      </c>
      <c r="AG206" s="66">
        <v>0</v>
      </c>
      <c r="AH206" s="66">
        <v>0</v>
      </c>
      <c r="AI206" s="7">
        <f>+Tabla_master_rend[[#This Row],[Kg_Finos]]+Tabla_master_rend[[#This Row],[Kg_Llenadora]]+Tabla_master_rend[[#This Row],[Kg_Desmoldeo]]+Tabla_master_rend[[#This Row],[L_Agua]]+Tabla_master_rend[[#This Row],[Kg_SalidaSecadero]]</f>
        <v>32679.030000000006</v>
      </c>
      <c r="AJ206" s="59">
        <f>+Tabla_master_rend[[#This Row],[Litros_Leche_Total]]/Tabla_master_rend[[#This Row],[Kg_Queso_Blan]]</f>
        <v>9.0318470285072703</v>
      </c>
      <c r="AK206" s="59">
        <f>+Tabla_master_rend[[#This Row],[Litros_Leche_Total]]/(Tabla_master_rend[[#This Row],[Kg_Queso_Blan]]-Tabla_master_rend[[#This Row],[Merma_TOT]])</f>
        <v>9.1758886079853141</v>
      </c>
      <c r="AL206" s="59">
        <f>VLOOKUP(G206,REND_TARGET[#All],8,FALSE)</f>
        <v>9.8078500000000002</v>
      </c>
      <c r="AM206" s="7">
        <f>(I206*1.03*Tabla_master_rend[[#This Row],[%MG_Leche]])+(I206*1.03*Tabla_master_rend[[#This Row],[%MP_Leche]])</f>
        <v>23134.899216000002</v>
      </c>
      <c r="AN206" s="137">
        <v>0.22320000000000001</v>
      </c>
      <c r="AO206" s="137">
        <v>0.24990000000000001</v>
      </c>
      <c r="AP206" s="64">
        <v>0.52900000000000003</v>
      </c>
      <c r="AQ206" s="38">
        <f>+Tabla_master_rend[[#This Row],[Kg_Queso_Blan]]*Tabla_master_rend[[#This Row],[ES_QUESO]]/(Tabla_master_rend[[#This Row],[Kg_Solidos_leche]])</f>
        <v>0.74723501963839312</v>
      </c>
      <c r="AR206" s="7">
        <f t="shared" si="56"/>
        <v>4586</v>
      </c>
      <c r="AS206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0.94849443859471549</v>
      </c>
      <c r="AT206" s="62">
        <f>+Tabla_master_rend[[#This Row],[Kg_Queso_Blan]]*Tabla_master_rend[[#This Row],[%PT_QUESO]]/(Tabla_master_rend[[#This Row],[Litros_Leche_Total]]*1.03*Tabla_master_rend[[#This Row],[%MP_Leche]])</f>
        <v>0.76970982662432652</v>
      </c>
      <c r="AU206" s="7">
        <f t="shared" si="57"/>
        <v>34395</v>
      </c>
      <c r="AV206" s="8">
        <v>39.33</v>
      </c>
      <c r="AW206" s="8">
        <v>77.2</v>
      </c>
      <c r="AX206" s="8">
        <v>14.3</v>
      </c>
      <c r="AY206" s="8">
        <f>SUM(Tabla_master_rend[[#This Row],[Kg_Finos]:[Kg_Desmoldeo]])</f>
        <v>130.83000000000001</v>
      </c>
      <c r="AZ206" s="60">
        <f>+(Tabla_master_rend[[#This Row],[Kg_Finos]]+Tabla_master_rend[[#This Row],[Kg_Llenadora]]+Tabla_master_rend[[#This Row],[Kg_Desmoldeo]])/(Tabla_master_rend[[#This Row],[Kg_Queso_Blan]])</f>
        <v>4.0034848035575103E-3</v>
      </c>
      <c r="BA206" s="8">
        <v>220</v>
      </c>
      <c r="BB206" s="60">
        <f>+Tabla_master_rend[[#This Row],[L_Agua]]/(Tabla_master_rend[[#This Row],[L_Agua]]+Tabla_master_rend[[#This Row],[Kg_SalidaSecadero]])</f>
        <v>6.7592063462802851E-3</v>
      </c>
      <c r="BC206" s="8">
        <v>4466</v>
      </c>
      <c r="BD206" s="8">
        <v>4429</v>
      </c>
      <c r="BE206" s="8">
        <v>32803</v>
      </c>
      <c r="BF206" s="8">
        <v>0</v>
      </c>
      <c r="BG206" s="8">
        <v>66</v>
      </c>
      <c r="BH206" s="8">
        <v>21</v>
      </c>
      <c r="BI206" s="8">
        <v>49</v>
      </c>
      <c r="BJ206" s="8">
        <v>104</v>
      </c>
      <c r="BK206" s="185">
        <v>32328.200000000004</v>
      </c>
      <c r="BL206" s="8">
        <v>0</v>
      </c>
      <c r="BM206" s="8">
        <v>141.91999999999999</v>
      </c>
      <c r="BN206" s="8">
        <v>20.239999999999998</v>
      </c>
      <c r="BO206" s="68">
        <f>+SUM(Tabla_master_rend[[#This Row],[B_altas]:[B_lab]])/Tabla_master_rend[[#This Row],[Kg_SalidaSecadero]]</f>
        <v>7.4238590456629184E-3</v>
      </c>
      <c r="BP206" s="68">
        <f>+(Tabla_master_rend[[#This Row],[Kg_mer_env_real]]+Tabla_master_rend[[#This Row],[kg_mer_lab_real]])/Tabla_master_rend[[#This Row],[Kg_SalidaSecadero]]</f>
        <v>5.016054095186245E-3</v>
      </c>
      <c r="BQ206" s="64">
        <f>+Tabla_master_rend[[#This Row],[Merma_TOT]]/Tabla_master_rend[[#This Row],[Kg_Queso_Blan]]</f>
        <v>1.5697834360444602E-2</v>
      </c>
      <c r="BR206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512.99</v>
      </c>
      <c r="BS206" s="138">
        <v>32328.200000000004</v>
      </c>
      <c r="BT206" s="63">
        <f>IF(+Tabla_master_rend[[#This Row],[Kg_Env_Total]]=0,0,Tabla_master_rend[[#This Row],[Kg_Env_Total]]-Tabla_master_rend[[#This Row],[Kg_SalidaSecadero]])</f>
        <v>0</v>
      </c>
      <c r="BU206" s="60">
        <f>+Tabla_master_rend[[#This Row],[Diferencia_Env_vs_Sec_kg]]/Tabla_master_rend[[#This Row],[Kg_SalidaSecadero]]</f>
        <v>0</v>
      </c>
      <c r="BV206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06" s="65">
        <f>+(Tabla_master_rend[[#This Row],[Coste_Leche_€]]-Tabla_master_rend[[#This Row],[Kg_MG_Nata]]*$CO$3)/Tabla_master_rend[[#This Row],[Kg_Queso_Blan]]</f>
        <v>-1.0525098205179282</v>
      </c>
      <c r="BX206" s="8">
        <f>SUM(Tabla_master_rend[[#This Row],[Kg_Finos]:[Kg_Desmoldeo]])+Tabla_master_rend[[#This Row],[L_Agua]]+SUM(Tabla_master_rend[[#This Row],[B_altas]:[B_lab]])</f>
        <v>590.83000000000004</v>
      </c>
      <c r="BY206" s="8">
        <f>+BX206-Tabla_master_rend[[#This Row],[Merma_TOT]]</f>
        <v>77.840000000000032</v>
      </c>
      <c r="BZ206" s="62">
        <f t="shared" si="58"/>
        <v>0.13174686458033619</v>
      </c>
      <c r="CA206" s="8">
        <f>+Tabla_master_rend[[#This Row],[Kg_Queso_Blan]]*$CA$1</f>
        <v>212.41369500000002</v>
      </c>
      <c r="CB206" s="8">
        <f>+Tabla_master_rend[[#This Row],[Kg_Queso_Blan]]*($CB$1-$CA$1)</f>
        <v>114.37660500000004</v>
      </c>
      <c r="CC206" s="8">
        <f>+(Tabla_master_rend[[#This Row],[Kg_Queso_Blan]]-CA206-CB206)*$CC$1</f>
        <v>339.69851685000009</v>
      </c>
      <c r="CD206" s="8">
        <f t="shared" si="59"/>
        <v>666.48881685000015</v>
      </c>
      <c r="CE206" s="80">
        <f>+CD206/Tabla_master_rend[[#This Row],[Kg_Queso_Blan]]</f>
        <v>2.0395E-2</v>
      </c>
      <c r="CF206" s="62">
        <f>+Tabla_master_rend[[#This Row],[Merma_TOT]]/Tabla_master_rend[[#This Row],[Kg_Queso_Blan]]</f>
        <v>1.5697834360444602E-2</v>
      </c>
      <c r="CG206" s="8">
        <f>CD206-Tabla_master_rend[[#This Row],[Merma_TOT]]</f>
        <v>153.49881685000014</v>
      </c>
      <c r="CH206" s="81" cm="1">
        <f t="array" ref="CH206">-BR206 * IFERROR(INDEX('Precio Leche_EBITDA_Ventas'!$BD$87:$BD$110,MATCH(1,('Precio Leche_EBITDA_Ventas'!$AZ$87:$AZ$110=YEAR(A206))*('Precio Leche_EBITDA_Ventas'!$BB$87:$BB$110=C206),0)),1.3)</f>
        <v>0</v>
      </c>
      <c r="CI206" s="81">
        <f t="shared" si="60"/>
        <v>199.54846190500018</v>
      </c>
    </row>
    <row r="207" spans="1:87" x14ac:dyDescent="0.35">
      <c r="A207" s="9">
        <v>46140</v>
      </c>
      <c r="B207" s="7">
        <v>4</v>
      </c>
      <c r="C207" s="7" t="str">
        <f>+UPPER(TEXT(Tabla_master_rend[[#This Row],[Fecha]],"MMM"))</f>
        <v>ABR</v>
      </c>
      <c r="D207" s="7" t="str">
        <f>+UPPER(TEXT(Tabla_master_rend[[#This Row],[Fecha]],"ddd"))</f>
        <v>MA</v>
      </c>
      <c r="E207" s="122">
        <v>280426316</v>
      </c>
      <c r="F207" s="3" t="s">
        <v>244</v>
      </c>
      <c r="G207" s="84" t="s">
        <v>299</v>
      </c>
      <c r="H207">
        <v>19</v>
      </c>
      <c r="I207" s="8">
        <f>+Tabla_master_rend[[#This Row],[L_Leche_ent]]+Tabla_master_rend[[#This Row],[L_desn_ext]]+Tabla_master_rend[[#This Row],[L_cabra]]+Tabla_master_rend[[#This Row],[L_oveja]]</f>
        <v>298582</v>
      </c>
      <c r="J207" s="8">
        <v>298582</v>
      </c>
      <c r="K207" s="66">
        <v>3.9699999999999999E-2</v>
      </c>
      <c r="L207" s="66">
        <v>3.44E-2</v>
      </c>
      <c r="M207" s="5">
        <f t="shared" si="55"/>
        <v>0.110377</v>
      </c>
      <c r="N207" s="3" t="s">
        <v>188</v>
      </c>
      <c r="O207" s="8">
        <v>0</v>
      </c>
      <c r="P207" s="8">
        <v>0</v>
      </c>
      <c r="Q207" s="8">
        <v>0</v>
      </c>
      <c r="R207" s="8">
        <v>10969</v>
      </c>
      <c r="S207" s="8">
        <v>332</v>
      </c>
      <c r="T207" s="8">
        <v>265070</v>
      </c>
      <c r="U207" s="38">
        <f>+Tabla_master_rend[[#This Row],[L_suero Total]]/Tabla_master_rend[[#This Row],[Litros_Leche_Total]]</f>
        <v>0.88776282562244213</v>
      </c>
      <c r="V207" s="66">
        <v>1E-4</v>
      </c>
      <c r="W207" s="66">
        <v>8.5000000000000006E-3</v>
      </c>
      <c r="X207" s="8">
        <v>260976</v>
      </c>
      <c r="Y207" s="57">
        <v>78017</v>
      </c>
      <c r="Z207" s="58">
        <f>IF(Tabla_master_rend[[#This Row],[L_suero para con]]=0,0,+Tabla_master_rend[[#This Row],[L_suero para con]]/Tabla_master_rend[[#This Row],[L_suero_con]])</f>
        <v>3.3451170898650293</v>
      </c>
      <c r="AA207" s="8">
        <f>+Tabla_master_rend[[#This Row],[L_suero Total]]-Tabla_master_rend[[#This Row],[L_suero para con]]</f>
        <v>4094</v>
      </c>
      <c r="AD207" s="8">
        <v>0</v>
      </c>
      <c r="AE207" s="8">
        <v>0</v>
      </c>
      <c r="AF207" s="8">
        <v>0</v>
      </c>
      <c r="AG207" s="66">
        <v>0</v>
      </c>
      <c r="AH207" s="66">
        <v>0</v>
      </c>
      <c r="AI207" s="7">
        <f>+Tabla_master_rend[[#This Row],[Kg_Finos]]+Tabla_master_rend[[#This Row],[Kg_Llenadora]]+Tabla_master_rend[[#This Row],[Kg_Desmoldeo]]+Tabla_master_rend[[#This Row],[L_Agua]]+Tabla_master_rend[[#This Row],[Kg_SalidaSecadero]]</f>
        <v>32304.239999999998</v>
      </c>
      <c r="AJ207" s="59">
        <f>+Tabla_master_rend[[#This Row],[Litros_Leche_Total]]/Tabla_master_rend[[#This Row],[Kg_Queso_Blan]]</f>
        <v>9.2428114699494568</v>
      </c>
      <c r="AK207" s="59">
        <f>+Tabla_master_rend[[#This Row],[Litros_Leche_Total]]/(Tabla_master_rend[[#This Row],[Kg_Queso_Blan]]-Tabla_master_rend[[#This Row],[Merma_TOT]])</f>
        <v>9.4108591976837683</v>
      </c>
      <c r="AL207" s="59">
        <f>VLOOKUP(G207,REND_TARGET[#All],8,FALSE)</f>
        <v>9.8078500000000002</v>
      </c>
      <c r="AM207" s="7">
        <f>(I207*1.03*Tabla_master_rend[[#This Row],[%MG_Leche]])+(I207*1.03*Tabla_master_rend[[#This Row],[%MP_Leche]])</f>
        <v>22788.673986000002</v>
      </c>
      <c r="AN207" s="137">
        <v>0.21870000000000001</v>
      </c>
      <c r="AO207" s="137">
        <v>0.25280000000000002</v>
      </c>
      <c r="AP207" s="64">
        <v>0.52590000000000003</v>
      </c>
      <c r="AQ207" s="38">
        <f>+Tabla_master_rend[[#This Row],[Kg_Queso_Blan]]*Tabla_master_rend[[#This Row],[ES_QUESO]]/(Tabla_master_rend[[#This Row],[Kg_Solidos_leche]])</f>
        <v>0.74549312638536591</v>
      </c>
      <c r="AR207" s="7">
        <f t="shared" si="56"/>
        <v>4387.6000000000004</v>
      </c>
      <c r="AS207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0.93801624602351752</v>
      </c>
      <c r="AT207" s="62">
        <f>+Tabla_master_rend[[#This Row],[Kg_Queso_Blan]]*Tabla_master_rend[[#This Row],[%PT_QUESO]]/(Tabla_master_rend[[#This Row],[Litros_Leche_Total]]*1.03*Tabla_master_rend[[#This Row],[%MP_Leche]])</f>
        <v>0.77192891257021956</v>
      </c>
      <c r="AU207" s="7">
        <f t="shared" si="57"/>
        <v>32907</v>
      </c>
      <c r="AV207" s="8">
        <v>40.82</v>
      </c>
      <c r="AW207" s="8">
        <v>65.5</v>
      </c>
      <c r="AX207" s="8">
        <v>8.1999999999999993</v>
      </c>
      <c r="AY207" s="8">
        <f>SUM(Tabla_master_rend[[#This Row],[Kg_Finos]:[Kg_Desmoldeo]])</f>
        <v>114.52</v>
      </c>
      <c r="AZ207" s="60">
        <f>+(Tabla_master_rend[[#This Row],[Kg_Finos]]+Tabla_master_rend[[#This Row],[Kg_Llenadora]]+Tabla_master_rend[[#This Row],[Kg_Desmoldeo]])/(Tabla_master_rend[[#This Row],[Kg_Queso_Blan]])</f>
        <v>3.5450454800979685E-3</v>
      </c>
      <c r="BA207" s="8">
        <v>260</v>
      </c>
      <c r="BB207" s="60">
        <f>+Tabla_master_rend[[#This Row],[L_Agua]]/(Tabla_master_rend[[#This Row],[L_Agua]]+Tabla_master_rend[[#This Row],[Kg_SalidaSecadero]])</f>
        <v>8.0771128173839357E-3</v>
      </c>
      <c r="BC207" s="8">
        <v>4488</v>
      </c>
      <c r="BD207" s="8">
        <v>4450</v>
      </c>
      <c r="BE207" s="8">
        <v>32957</v>
      </c>
      <c r="BF207" s="8">
        <v>0</v>
      </c>
      <c r="BG207" s="8">
        <v>48</v>
      </c>
      <c r="BH207" s="8">
        <v>43</v>
      </c>
      <c r="BI207" s="8">
        <v>48</v>
      </c>
      <c r="BJ207" s="8">
        <v>96</v>
      </c>
      <c r="BK207" s="185">
        <v>31929.719999999998</v>
      </c>
      <c r="BL207" s="8">
        <v>0</v>
      </c>
      <c r="BM207" s="8">
        <v>174.9</v>
      </c>
      <c r="BN207" s="8">
        <v>27.43</v>
      </c>
      <c r="BO207" s="68">
        <f>+SUM(Tabla_master_rend[[#This Row],[B_altas]:[B_lab]])/Tabla_master_rend[[#This Row],[Kg_SalidaSecadero]]</f>
        <v>7.3599142115871987E-3</v>
      </c>
      <c r="BP207" s="68">
        <f>+(Tabla_master_rend[[#This Row],[Kg_mer_env_real]]+Tabla_master_rend[[#This Row],[kg_mer_lab_real]])/Tabla_master_rend[[#This Row],[Kg_SalidaSecadero]]</f>
        <v>6.3367295422571829E-3</v>
      </c>
      <c r="BQ207" s="64">
        <f>+Tabla_master_rend[[#This Row],[Merma_TOT]]/Tabla_master_rend[[#This Row],[Kg_Queso_Blan]]</f>
        <v>1.7856789077842414E-2</v>
      </c>
      <c r="BR207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576.85</v>
      </c>
      <c r="BS207" s="138">
        <v>31929.719999999998</v>
      </c>
      <c r="BT207" s="63">
        <f>IF(+Tabla_master_rend[[#This Row],[Kg_Env_Total]]=0,0,Tabla_master_rend[[#This Row],[Kg_Env_Total]]-Tabla_master_rend[[#This Row],[Kg_SalidaSecadero]])</f>
        <v>0</v>
      </c>
      <c r="BU207" s="60">
        <f>+Tabla_master_rend[[#This Row],[Diferencia_Env_vs_Sec_kg]]/Tabla_master_rend[[#This Row],[Kg_SalidaSecadero]]</f>
        <v>0</v>
      </c>
      <c r="BV207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07" s="65">
        <f>+(Tabla_master_rend[[#This Row],[Coste_Leche_€]]-Tabla_master_rend[[#This Row],[Kg_MG_Nata]]*$CO$3)/Tabla_master_rend[[#This Row],[Kg_Queso_Blan]]</f>
        <v>-1.0186588509743613</v>
      </c>
      <c r="BX207" s="8">
        <f>SUM(Tabla_master_rend[[#This Row],[Kg_Finos]:[Kg_Desmoldeo]])+Tabla_master_rend[[#This Row],[L_Agua]]+SUM(Tabla_master_rend[[#This Row],[B_altas]:[B_lab]])</f>
        <v>609.52</v>
      </c>
      <c r="BY207" s="8">
        <f>+BX207-Tabla_master_rend[[#This Row],[Merma_TOT]]</f>
        <v>32.669999999999959</v>
      </c>
      <c r="BZ207" s="62">
        <f t="shared" si="58"/>
        <v>5.3599553747210857E-2</v>
      </c>
      <c r="CA207" s="8">
        <f>+Tabla_master_rend[[#This Row],[Kg_Queso_Blan]]*$CA$1</f>
        <v>209.97755999999998</v>
      </c>
      <c r="CB207" s="8">
        <f>+Tabla_master_rend[[#This Row],[Kg_Queso_Blan]]*($CB$1-$CA$1)</f>
        <v>113.06484</v>
      </c>
      <c r="CC207" s="8">
        <f>+(Tabla_master_rend[[#This Row],[Kg_Queso_Blan]]-CA207-CB207)*$CC$1</f>
        <v>335.8025748</v>
      </c>
      <c r="CD207" s="8">
        <f t="shared" si="59"/>
        <v>658.84497480000005</v>
      </c>
      <c r="CE207" s="80">
        <f>+CD207/Tabla_master_rend[[#This Row],[Kg_Queso_Blan]]</f>
        <v>2.0395000000000003E-2</v>
      </c>
      <c r="CF207" s="62">
        <f>+Tabla_master_rend[[#This Row],[Merma_TOT]]/Tabla_master_rend[[#This Row],[Kg_Queso_Blan]]</f>
        <v>1.7856789077842414E-2</v>
      </c>
      <c r="CG207" s="8">
        <f>CD207-Tabla_master_rend[[#This Row],[Merma_TOT]]</f>
        <v>81.994974800000023</v>
      </c>
      <c r="CH207" s="81" cm="1">
        <f t="array" ref="CH207">-BR207 * IFERROR(INDEX('Precio Leche_EBITDA_Ventas'!$BD$87:$BD$110,MATCH(1,('Precio Leche_EBITDA_Ventas'!$AZ$87:$AZ$110=YEAR(A207))*('Precio Leche_EBITDA_Ventas'!$BB$87:$BB$110=C207),0)),1.3)</f>
        <v>0</v>
      </c>
      <c r="CI207" s="81">
        <f t="shared" si="60"/>
        <v>106.59346724000004</v>
      </c>
    </row>
    <row r="208" spans="1:87" x14ac:dyDescent="0.35">
      <c r="A208" s="9">
        <v>46141</v>
      </c>
      <c r="B208" s="7">
        <v>4</v>
      </c>
      <c r="C208" s="7" t="str">
        <f>+UPPER(TEXT(Tabla_master_rend[[#This Row],[Fecha]],"MMM"))</f>
        <v>ABR</v>
      </c>
      <c r="D208" s="7" t="str">
        <f>+UPPER(TEXT(Tabla_master_rend[[#This Row],[Fecha]],"ddd"))</f>
        <v>MI</v>
      </c>
      <c r="E208" s="122">
        <v>290426326</v>
      </c>
      <c r="F208" s="3" t="s">
        <v>244</v>
      </c>
      <c r="G208" t="s">
        <v>301</v>
      </c>
      <c r="H208">
        <v>13</v>
      </c>
      <c r="I208" s="8">
        <f>+Tabla_master_rend[[#This Row],[L_Leche_ent]]+Tabla_master_rend[[#This Row],[L_desn_ext]]+Tabla_master_rend[[#This Row],[L_cabra]]+Tabla_master_rend[[#This Row],[L_oveja]]</f>
        <v>195805</v>
      </c>
      <c r="J208" s="8">
        <v>195805</v>
      </c>
      <c r="K208" s="66">
        <v>4.2000000000000003E-2</v>
      </c>
      <c r="L208" s="66">
        <v>3.5099999999999999E-2</v>
      </c>
      <c r="M208" s="5">
        <f t="shared" si="55"/>
        <v>0.11303400000000001</v>
      </c>
      <c r="N208" s="3" t="s">
        <v>188</v>
      </c>
      <c r="O208" s="8">
        <v>0</v>
      </c>
      <c r="P208" s="8">
        <v>0</v>
      </c>
      <c r="Q208" s="8">
        <v>0</v>
      </c>
      <c r="R208" s="8">
        <v>3607</v>
      </c>
      <c r="S208" s="8">
        <v>392.7</v>
      </c>
      <c r="T208" s="8">
        <v>181400</v>
      </c>
      <c r="U208" s="38">
        <f>+Tabla_master_rend[[#This Row],[L_suero Total]]/Tabla_master_rend[[#This Row],[Litros_Leche_Total]]</f>
        <v>0.9264319092975154</v>
      </c>
      <c r="V208" s="66">
        <v>2.0000000000000001E-4</v>
      </c>
      <c r="W208" s="66">
        <v>8.6E-3</v>
      </c>
      <c r="X208" s="8">
        <v>177868</v>
      </c>
      <c r="Y208" s="57">
        <v>54840</v>
      </c>
      <c r="Z208" s="58">
        <f>IF(Tabla_master_rend[[#This Row],[L_suero para con]]=0,0,+Tabla_master_rend[[#This Row],[L_suero para con]]/Tabla_master_rend[[#This Row],[L_suero_con]])</f>
        <v>3.2433989788475563</v>
      </c>
      <c r="AA208" s="8">
        <f>+Tabla_master_rend[[#This Row],[L_suero Total]]-Tabla_master_rend[[#This Row],[L_suero para con]]</f>
        <v>3532</v>
      </c>
      <c r="AD208" s="8">
        <v>0</v>
      </c>
      <c r="AE208" s="8">
        <v>0</v>
      </c>
      <c r="AF208" s="8">
        <v>0</v>
      </c>
      <c r="AG208" s="66">
        <v>0</v>
      </c>
      <c r="AH208" s="66">
        <v>0</v>
      </c>
      <c r="AI208" s="7">
        <f>+Tabla_master_rend[[#This Row],[Kg_Finos]]+Tabla_master_rend[[#This Row],[Kg_Llenadora]]+Tabla_master_rend[[#This Row],[Kg_Desmoldeo]]+Tabla_master_rend[[#This Row],[L_Agua]]+Tabla_master_rend[[#This Row],[Kg_SalidaSecadero]]</f>
        <v>22685.070000000003</v>
      </c>
      <c r="AJ208" s="59">
        <f>+Tabla_master_rend[[#This Row],[Litros_Leche_Total]]/Tabla_master_rend[[#This Row],[Kg_Queso_Blan]]</f>
        <v>8.6314479082497861</v>
      </c>
      <c r="AK208" s="59">
        <f>+Tabla_master_rend[[#This Row],[Litros_Leche_Total]]/(Tabla_master_rend[[#This Row],[Kg_Queso_Blan]]-Tabla_master_rend[[#This Row],[Merma_TOT]])</f>
        <v>8.7401513998392151</v>
      </c>
      <c r="AL208" s="59">
        <f>VLOOKUP(G208,REND_TARGET[#All],8,FALSE)</f>
        <v>9.3549429999999987</v>
      </c>
      <c r="AM208" s="7">
        <f>(I208*1.03*Tabla_master_rend[[#This Row],[%MG_Leche]])+(I208*1.03*Tabla_master_rend[[#This Row],[%MP_Leche]])</f>
        <v>15549.462465000001</v>
      </c>
      <c r="AN208" s="137">
        <v>0.29399999999999998</v>
      </c>
      <c r="AO208" s="137">
        <v>0.24690000000000001</v>
      </c>
      <c r="AP208" s="64">
        <v>0.58279999999999998</v>
      </c>
      <c r="AQ208" s="38">
        <f>+Tabla_master_rend[[#This Row],[Kg_Queso_Blan]]*Tabla_master_rend[[#This Row],[ES_QUESO]]/(Tabla_master_rend[[#This Row],[Kg_Solidos_leche]])</f>
        <v>0.85024539116761044</v>
      </c>
      <c r="AR208" s="7">
        <f t="shared" si="56"/>
        <v>1442.8000000000002</v>
      </c>
      <c r="AS208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0.9576987554359534</v>
      </c>
      <c r="AT208" s="62">
        <f>+Tabla_master_rend[[#This Row],[Kg_Queso_Blan]]*Tabla_master_rend[[#This Row],[%PT_QUESO]]/(Tabla_master_rend[[#This Row],[Litros_Leche_Total]]*1.03*Tabla_master_rend[[#This Row],[%MP_Leche]])</f>
        <v>0.7912124180844573</v>
      </c>
      <c r="AU208" s="7">
        <f t="shared" si="57"/>
        <v>10821.000000000002</v>
      </c>
      <c r="AV208" s="8">
        <v>26.97</v>
      </c>
      <c r="AW208" s="8">
        <v>29</v>
      </c>
      <c r="AX208" s="8">
        <v>9</v>
      </c>
      <c r="AY208" s="8">
        <f>SUM(Tabla_master_rend[[#This Row],[Kg_Finos]:[Kg_Desmoldeo]])</f>
        <v>64.97</v>
      </c>
      <c r="AZ208" s="60">
        <f>+(Tabla_master_rend[[#This Row],[Kg_Finos]]+Tabla_master_rend[[#This Row],[Kg_Llenadora]]+Tabla_master_rend[[#This Row],[Kg_Desmoldeo]])/(Tabla_master_rend[[#This Row],[Kg_Queso_Blan]])</f>
        <v>2.8639982155664492E-3</v>
      </c>
      <c r="BA208" s="8">
        <v>170</v>
      </c>
      <c r="BB208" s="60">
        <f>+Tabla_master_rend[[#This Row],[L_Agua]]/(Tabla_master_rend[[#This Row],[L_Agua]]+Tabla_master_rend[[#This Row],[Kg_SalidaSecadero]])</f>
        <v>7.5154398079584081E-3</v>
      </c>
      <c r="BC208" s="8">
        <v>3021</v>
      </c>
      <c r="BD208" s="8">
        <v>3003</v>
      </c>
      <c r="BE208" s="8">
        <v>22232</v>
      </c>
      <c r="BF208" s="8">
        <v>0</v>
      </c>
      <c r="BG208" s="8">
        <v>0</v>
      </c>
      <c r="BH208" s="8">
        <v>49</v>
      </c>
      <c r="BI208" s="8">
        <v>0</v>
      </c>
      <c r="BJ208" s="8">
        <v>66</v>
      </c>
      <c r="BK208" s="185">
        <v>22450.100000000002</v>
      </c>
      <c r="BL208" s="8">
        <v>0</v>
      </c>
      <c r="BM208" s="8">
        <v>35.729999999999997</v>
      </c>
      <c r="BN208" s="8">
        <v>11.44</v>
      </c>
      <c r="BO208" s="68">
        <f>+SUM(Tabla_master_rend[[#This Row],[B_altas]:[B_lab]])/Tabla_master_rend[[#This Row],[Kg_SalidaSecadero]]</f>
        <v>5.1224716148257684E-3</v>
      </c>
      <c r="BP208" s="68">
        <f>+(Tabla_master_rend[[#This Row],[Kg_mer_env_real]]+Tabla_master_rend[[#This Row],[kg_mer_lab_real]])/Tabla_master_rend[[#This Row],[Kg_SalidaSecadero]]</f>
        <v>2.1011042267072302E-3</v>
      </c>
      <c r="BQ208" s="64">
        <f>+Tabla_master_rend[[#This Row],[Merma_TOT]]/Tabla_master_rend[[#This Row],[Kg_Queso_Blan]]</f>
        <v>1.2437254987531444E-2</v>
      </c>
      <c r="BR208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282.14</v>
      </c>
      <c r="BS208" s="138">
        <v>22450.100000000002</v>
      </c>
      <c r="BT208" s="63">
        <f>IF(+Tabla_master_rend[[#This Row],[Kg_Env_Total]]=0,0,Tabla_master_rend[[#This Row],[Kg_Env_Total]]-Tabla_master_rend[[#This Row],[Kg_SalidaSecadero]])</f>
        <v>0</v>
      </c>
      <c r="BU208" s="60">
        <f>+Tabla_master_rend[[#This Row],[Diferencia_Env_vs_Sec_kg]]/Tabla_master_rend[[#This Row],[Kg_SalidaSecadero]]</f>
        <v>0</v>
      </c>
      <c r="BV208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08" s="65">
        <f>+(Tabla_master_rend[[#This Row],[Coste_Leche_€]]-Tabla_master_rend[[#This Row],[Kg_MG_Nata]]*$CO$3)/Tabla_master_rend[[#This Row],[Kg_Queso_Blan]]</f>
        <v>-0.47700976898021474</v>
      </c>
      <c r="BX208" s="8">
        <f>SUM(Tabla_master_rend[[#This Row],[Kg_Finos]:[Kg_Desmoldeo]])+Tabla_master_rend[[#This Row],[L_Agua]]+SUM(Tabla_master_rend[[#This Row],[B_altas]:[B_lab]])</f>
        <v>349.97</v>
      </c>
      <c r="BY208" s="8">
        <f>+BX208-Tabla_master_rend[[#This Row],[Merma_TOT]]</f>
        <v>67.830000000000041</v>
      </c>
      <c r="BZ208" s="62">
        <f t="shared" si="58"/>
        <v>0.19381661285253032</v>
      </c>
      <c r="CA208" s="8">
        <f>+Tabla_master_rend[[#This Row],[Kg_Queso_Blan]]*$CA$1</f>
        <v>147.452955</v>
      </c>
      <c r="CB208" s="8">
        <f>+Tabla_master_rend[[#This Row],[Kg_Queso_Blan]]*($CB$1-$CA$1)</f>
        <v>79.397745000000029</v>
      </c>
      <c r="CC208" s="8">
        <f>+(Tabla_master_rend[[#This Row],[Kg_Queso_Blan]]-CA208-CB208)*$CC$1</f>
        <v>235.81130265000007</v>
      </c>
      <c r="CD208" s="8">
        <f t="shared" si="59"/>
        <v>462.66200265000009</v>
      </c>
      <c r="CE208" s="80">
        <f>+CD208/Tabla_master_rend[[#This Row],[Kg_Queso_Blan]]</f>
        <v>2.0395E-2</v>
      </c>
      <c r="CF208" s="62">
        <f>+Tabla_master_rend[[#This Row],[Merma_TOT]]/Tabla_master_rend[[#This Row],[Kg_Queso_Blan]]</f>
        <v>1.2437254987531444E-2</v>
      </c>
      <c r="CG208" s="8">
        <f>CD208-Tabla_master_rend[[#This Row],[Merma_TOT]]</f>
        <v>180.5220026500001</v>
      </c>
      <c r="CH208" s="81" cm="1">
        <f t="array" ref="CH208">-BR208 * IFERROR(INDEX('Precio Leche_EBITDA_Ventas'!$BD$87:$BD$110,MATCH(1,('Precio Leche_EBITDA_Ventas'!$AZ$87:$AZ$110=YEAR(A208))*('Precio Leche_EBITDA_Ventas'!$BB$87:$BB$110=C208),0)),1.3)</f>
        <v>0</v>
      </c>
      <c r="CI208" s="81">
        <f t="shared" si="60"/>
        <v>234.67860344500014</v>
      </c>
    </row>
    <row r="209" spans="1:87" x14ac:dyDescent="0.35">
      <c r="A209" s="9">
        <v>46142</v>
      </c>
      <c r="B209" s="7">
        <v>4</v>
      </c>
      <c r="C209" s="7" t="str">
        <f>+UPPER(TEXT(Tabla_master_rend[[#This Row],[Fecha]],"MMM"))</f>
        <v>ABR</v>
      </c>
      <c r="D209" s="7" t="str">
        <f>+UPPER(TEXT(Tabla_master_rend[[#This Row],[Fecha]],"ddd"))</f>
        <v>JU</v>
      </c>
      <c r="E209" s="122">
        <v>300426346</v>
      </c>
      <c r="F209" s="3" t="s">
        <v>244</v>
      </c>
      <c r="G209" t="s">
        <v>40</v>
      </c>
      <c r="H209">
        <v>10</v>
      </c>
      <c r="I209" s="8">
        <f>+Tabla_master_rend[[#This Row],[L_Leche_ent]]+Tabla_master_rend[[#This Row],[L_desn_ext]]+Tabla_master_rend[[#This Row],[L_cabra]]+Tabla_master_rend[[#This Row],[L_oveja]]</f>
        <v>158655</v>
      </c>
      <c r="J209" s="8">
        <v>158655</v>
      </c>
      <c r="K209" s="66">
        <v>4.1500000000000002E-2</v>
      </c>
      <c r="L209" s="66">
        <v>3.4299999999999997E-2</v>
      </c>
      <c r="M209" s="5">
        <f t="shared" si="55"/>
        <v>0.11197700000000001</v>
      </c>
      <c r="N209" s="3" t="s">
        <v>188</v>
      </c>
      <c r="O209" s="8">
        <v>0</v>
      </c>
      <c r="P209" s="8">
        <v>0</v>
      </c>
      <c r="Q209" s="8">
        <v>0</v>
      </c>
      <c r="R209" s="8">
        <v>2526</v>
      </c>
      <c r="S209" s="8">
        <v>295.3</v>
      </c>
      <c r="T209" s="8">
        <v>140740</v>
      </c>
      <c r="U209" s="38">
        <f>+Tabla_master_rend[[#This Row],[L_suero Total]]/Tabla_master_rend[[#This Row],[Litros_Leche_Total]]</f>
        <v>0.88708203334278779</v>
      </c>
      <c r="V209" s="66">
        <v>2.0000000000000001E-4</v>
      </c>
      <c r="W209" s="66">
        <v>9.4000000000000004E-3</v>
      </c>
      <c r="X209" s="8">
        <v>138028</v>
      </c>
      <c r="Y209" s="57">
        <v>39660</v>
      </c>
      <c r="Z209" s="58">
        <f>IF(Tabla_master_rend[[#This Row],[L_suero para con]]=0,0,+Tabla_master_rend[[#This Row],[L_suero para con]]/Tabla_master_rend[[#This Row],[L_suero_con]])</f>
        <v>3.480282400403429</v>
      </c>
      <c r="AA209" s="8">
        <f>+Tabla_master_rend[[#This Row],[L_suero Total]]-Tabla_master_rend[[#This Row],[L_suero para con]]</f>
        <v>2712</v>
      </c>
      <c r="AD209" s="8">
        <v>0</v>
      </c>
      <c r="AE209" s="8">
        <v>0</v>
      </c>
      <c r="AF209" s="8">
        <v>0</v>
      </c>
      <c r="AG209" s="66">
        <v>0</v>
      </c>
      <c r="AH209" s="66">
        <v>0</v>
      </c>
      <c r="AI209" s="7">
        <f>+Tabla_master_rend[[#This Row],[Kg_Finos]]+Tabla_master_rend[[#This Row],[Kg_Llenadora]]+Tabla_master_rend[[#This Row],[Kg_Desmoldeo]]+Tabla_master_rend[[#This Row],[L_Agua]]+Tabla_master_rend[[#This Row],[Kg_SalidaSecadero]]</f>
        <v>19033</v>
      </c>
      <c r="AJ209" s="59">
        <f>+Tabla_master_rend[[#This Row],[Litros_Leche_Total]]/Tabla_master_rend[[#This Row],[Kg_Queso_Blan]]</f>
        <v>8.3357852151526295</v>
      </c>
      <c r="AK209" s="59">
        <f>+Tabla_master_rend[[#This Row],[Litros_Leche_Total]]/(Tabla_master_rend[[#This Row],[Kg_Queso_Blan]]-Tabla_master_rend[[#This Row],[Merma_TOT]])</f>
        <v>8.4974387978739134</v>
      </c>
      <c r="AL209" s="59">
        <f>VLOOKUP(G209,REND_TARGET[#All],8,FALSE)</f>
        <v>8.9338729999999984</v>
      </c>
      <c r="AM209" s="7">
        <f>(I209*1.03*Tabla_master_rend[[#This Row],[%MG_Leche]])+(I209*1.03*Tabla_master_rend[[#This Row],[%MP_Leche]])</f>
        <v>12386.830470000001</v>
      </c>
      <c r="AN209" s="137">
        <v>0.2923</v>
      </c>
      <c r="AO209" s="137">
        <v>0.23280000000000001</v>
      </c>
      <c r="AP209" s="64">
        <v>0.56820000000000004</v>
      </c>
      <c r="AQ209" s="38">
        <f>+Tabla_master_rend[[#This Row],[Kg_Queso_Blan]]*Tabla_master_rend[[#This Row],[ES_QUESO]]/(Tabla_master_rend[[#This Row],[Kg_Solidos_leche]])</f>
        <v>0.87306842748773006</v>
      </c>
      <c r="AR209" s="7">
        <f t="shared" si="56"/>
        <v>1010.4000000000001</v>
      </c>
      <c r="AS209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0.96933485255239105</v>
      </c>
      <c r="AT209" s="62">
        <f>+Tabla_master_rend[[#This Row],[Kg_Queso_Blan]]*Tabla_master_rend[[#This Row],[%PT_QUESO]]/(Tabla_master_rend[[#This Row],[Litros_Leche_Total]]*1.03*Tabla_master_rend[[#This Row],[%MP_Leche]])</f>
        <v>0.79050589955037209</v>
      </c>
      <c r="AU209" s="7">
        <f t="shared" si="57"/>
        <v>7578.0000000000009</v>
      </c>
      <c r="AV209" s="8">
        <v>36.75</v>
      </c>
      <c r="AW209" s="8">
        <v>12</v>
      </c>
      <c r="AX209" s="8">
        <v>8.3000000000000007</v>
      </c>
      <c r="AY209" s="8">
        <f>SUM(Tabla_master_rend[[#This Row],[Kg_Finos]:[Kg_Desmoldeo]])</f>
        <v>57.05</v>
      </c>
      <c r="AZ209" s="60">
        <f>+(Tabla_master_rend[[#This Row],[Kg_Finos]]+Tabla_master_rend[[#This Row],[Kg_Llenadora]]+Tabla_master_rend[[#This Row],[Kg_Desmoldeo]])/(Tabla_master_rend[[#This Row],[Kg_Queso_Blan]])</f>
        <v>2.9974255240897388E-3</v>
      </c>
      <c r="BA209" s="8">
        <v>150</v>
      </c>
      <c r="BB209" s="60">
        <f>+Tabla_master_rend[[#This Row],[L_Agua]]/(Tabla_master_rend[[#This Row],[L_Agua]]+Tabla_master_rend[[#This Row],[Kg_SalidaSecadero]])</f>
        <v>7.9047425820578145E-3</v>
      </c>
      <c r="BC209" s="8">
        <v>2658</v>
      </c>
      <c r="BD209" s="8">
        <v>2619</v>
      </c>
      <c r="BE209" s="8">
        <v>19388</v>
      </c>
      <c r="BF209" s="8">
        <v>0</v>
      </c>
      <c r="BG209" s="8">
        <v>37</v>
      </c>
      <c r="BH209" s="8">
        <v>28</v>
      </c>
      <c r="BI209" s="8">
        <v>81</v>
      </c>
      <c r="BJ209" s="8">
        <v>117</v>
      </c>
      <c r="BK209" s="185">
        <v>18825.95</v>
      </c>
      <c r="BL209" s="8">
        <v>0</v>
      </c>
      <c r="BM209" s="8">
        <v>134.87</v>
      </c>
      <c r="BN209" s="8">
        <v>20.16</v>
      </c>
      <c r="BO209" s="68">
        <f>+SUM(Tabla_master_rend[[#This Row],[B_altas]:[B_lab]])/Tabla_master_rend[[#This Row],[Kg_SalidaSecadero]]</f>
        <v>1.3970078535213362E-2</v>
      </c>
      <c r="BP209" s="68">
        <f>+(Tabla_master_rend[[#This Row],[Kg_mer_env_real]]+Tabla_master_rend[[#This Row],[kg_mer_lab_real]])/Tabla_master_rend[[#This Row],[Kg_SalidaSecadero]]</f>
        <v>8.2349097920689264E-3</v>
      </c>
      <c r="BQ209" s="64">
        <f>+Tabla_master_rend[[#This Row],[Merma_TOT]]/Tabla_master_rend[[#This Row],[Kg_Queso_Blan]]</f>
        <v>1.902380076708874E-2</v>
      </c>
      <c r="BR209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362.08</v>
      </c>
      <c r="BS209" s="138">
        <v>18825.95</v>
      </c>
      <c r="BT209" s="63">
        <f>IF(+Tabla_master_rend[[#This Row],[Kg_Env_Total]]=0,0,Tabla_master_rend[[#This Row],[Kg_Env_Total]]-Tabla_master_rend[[#This Row],[Kg_SalidaSecadero]])</f>
        <v>0</v>
      </c>
      <c r="BU209" s="60">
        <f>+Tabla_master_rend[[#This Row],[Diferencia_Env_vs_Sec_kg]]/Tabla_master_rend[[#This Row],[Kg_SalidaSecadero]]</f>
        <v>0</v>
      </c>
      <c r="BV209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09" s="65">
        <f>+(Tabla_master_rend[[#This Row],[Coste_Leche_€]]-Tabla_master_rend[[#This Row],[Kg_MG_Nata]]*$CO$3)/Tabla_master_rend[[#This Row],[Kg_Queso_Blan]]</f>
        <v>-0.398150580570588</v>
      </c>
      <c r="BX209" s="8">
        <f>SUM(Tabla_master_rend[[#This Row],[Kg_Finos]:[Kg_Desmoldeo]])+Tabla_master_rend[[#This Row],[L_Agua]]+SUM(Tabla_master_rend[[#This Row],[B_altas]:[B_lab]])</f>
        <v>470.05</v>
      </c>
      <c r="BY209" s="8">
        <f>+BX209-Tabla_master_rend[[#This Row],[Merma_TOT]]</f>
        <v>107.97000000000003</v>
      </c>
      <c r="BZ209" s="62">
        <f t="shared" si="58"/>
        <v>0.22969896819487293</v>
      </c>
      <c r="CA209" s="8">
        <f>+Tabla_master_rend[[#This Row],[Kg_Queso_Blan]]*$CA$1</f>
        <v>123.7145</v>
      </c>
      <c r="CB209" s="8">
        <f>+Tabla_master_rend[[#This Row],[Kg_Queso_Blan]]*($CB$1-$CA$1)</f>
        <v>66.615500000000011</v>
      </c>
      <c r="CC209" s="8">
        <f>+(Tabla_master_rend[[#This Row],[Kg_Queso_Blan]]-CA209-CB209)*$CC$1</f>
        <v>197.84803500000004</v>
      </c>
      <c r="CD209" s="8">
        <f t="shared" si="59"/>
        <v>388.17803500000002</v>
      </c>
      <c r="CE209" s="80">
        <f>+CD209/Tabla_master_rend[[#This Row],[Kg_Queso_Blan]]</f>
        <v>2.0395E-2</v>
      </c>
      <c r="CF209" s="62">
        <f>+Tabla_master_rend[[#This Row],[Merma_TOT]]/Tabla_master_rend[[#This Row],[Kg_Queso_Blan]]</f>
        <v>1.902380076708874E-2</v>
      </c>
      <c r="CG209" s="8">
        <f>CD209-Tabla_master_rend[[#This Row],[Merma_TOT]]</f>
        <v>26.098035000000039</v>
      </c>
      <c r="CH209" s="81" cm="1">
        <f t="array" ref="CH209">-BR209 * IFERROR(INDEX('Precio Leche_EBITDA_Ventas'!$BD$87:$BD$110,MATCH(1,('Precio Leche_EBITDA_Ventas'!$AZ$87:$AZ$110=YEAR(A209))*('Precio Leche_EBITDA_Ventas'!$BB$87:$BB$110=C209),0)),1.3)</f>
        <v>0</v>
      </c>
      <c r="CI209" s="81">
        <f t="shared" si="60"/>
        <v>33.927445500000054</v>
      </c>
    </row>
    <row r="210" spans="1:87" x14ac:dyDescent="0.35">
      <c r="A210" s="9">
        <v>46146</v>
      </c>
      <c r="B210" s="7">
        <v>5</v>
      </c>
      <c r="C210" s="7" t="str">
        <f>+UPPER(TEXT(Tabla_master_rend[[#This Row],[Fecha]],"MMM"))</f>
        <v>MAY</v>
      </c>
      <c r="D210" s="7" t="str">
        <f>+UPPER(TEXT(Tabla_master_rend[[#This Row],[Fecha]],"ddd"))</f>
        <v>LU</v>
      </c>
      <c r="E210" s="122" t="s">
        <v>593</v>
      </c>
      <c r="F210" s="3" t="s">
        <v>244</v>
      </c>
      <c r="G210" t="s">
        <v>194</v>
      </c>
      <c r="H210">
        <v>6</v>
      </c>
      <c r="I210" s="8">
        <f>+Tabla_master_rend[[#This Row],[L_Leche_ent]]+Tabla_master_rend[[#This Row],[L_desn_ext]]+Tabla_master_rend[[#This Row],[L_cabra]]+Tabla_master_rend[[#This Row],[L_oveja]]</f>
        <v>80753</v>
      </c>
      <c r="J210" s="8">
        <v>80753</v>
      </c>
      <c r="K210" s="66">
        <v>3.73E-2</v>
      </c>
      <c r="L210" s="66">
        <v>3.2500000000000001E-2</v>
      </c>
      <c r="M210" s="5">
        <f t="shared" ref="M210:M224" si="61">0.93*K210+0.74*L210+0.048</f>
        <v>0.106739</v>
      </c>
      <c r="N210" s="3" t="s">
        <v>188</v>
      </c>
      <c r="O210" s="8">
        <v>0</v>
      </c>
      <c r="P210" s="8">
        <v>0</v>
      </c>
      <c r="Q210" s="8">
        <v>0</v>
      </c>
      <c r="R210" s="8">
        <v>3420</v>
      </c>
      <c r="S210" s="8">
        <f>304/(74130+151800)*74130</f>
        <v>99.745584915681846</v>
      </c>
      <c r="T210" s="8">
        <v>74130</v>
      </c>
      <c r="U210" s="38">
        <f>+Tabla_master_rend[[#This Row],[L_suero Total]]/Tabla_master_rend[[#This Row],[Litros_Leche_Total]]</f>
        <v>0.91798447116515791</v>
      </c>
      <c r="V210" s="66">
        <v>2.0000000000000001E-4</v>
      </c>
      <c r="W210" s="66">
        <v>8.0999999999999996E-3</v>
      </c>
      <c r="X210" s="8">
        <f>221725/(74130+151800)*74130</f>
        <v>72750.295445491967</v>
      </c>
      <c r="Y210" s="57">
        <f>69681/(72750+148975)*72750</f>
        <v>22862.973277708876</v>
      </c>
      <c r="Z210" s="58">
        <f>IF(Tabla_master_rend[[#This Row],[L_suero para con]]=0,0,+Tabla_master_rend[[#This Row],[L_suero para con]]/Tabla_master_rend[[#This Row],[L_suero_con]])</f>
        <v>3.1820137548086378</v>
      </c>
      <c r="AA210" s="8">
        <f>+Tabla_master_rend[[#This Row],[L_suero Total]]-Tabla_master_rend[[#This Row],[L_suero para con]]</f>
        <v>1379.7045545080327</v>
      </c>
      <c r="AD210" s="8">
        <v>0</v>
      </c>
      <c r="AE210" s="8">
        <v>0</v>
      </c>
      <c r="AF210" s="8">
        <v>0</v>
      </c>
      <c r="AG210" s="66">
        <v>0</v>
      </c>
      <c r="AH210" s="66">
        <v>0</v>
      </c>
      <c r="AI210" s="7">
        <f>+Tabla_master_rend[[#This Row],[Kg_Finos]]+Tabla_master_rend[[#This Row],[Kg_Llenadora]]+Tabla_master_rend[[#This Row],[Kg_Desmoldeo]]+Tabla_master_rend[[#This Row],[L_Agua]]+Tabla_master_rend[[#This Row],[Kg_SalidaSecadero]]</f>
        <v>8299.1602164387205</v>
      </c>
      <c r="AJ210" s="59">
        <f>+Tabla_master_rend[[#This Row],[Litros_Leche_Total]]/Tabla_master_rend[[#This Row],[Kg_Queso_Blan]]</f>
        <v>9.7302616040653067</v>
      </c>
      <c r="AK210" s="59">
        <f>+Tabla_master_rend[[#This Row],[Litros_Leche_Total]]/(Tabla_master_rend[[#This Row],[Kg_Queso_Blan]]-Tabla_master_rend[[#This Row],[Merma_TOT]])</f>
        <v>9.954549769050697</v>
      </c>
      <c r="AL210" s="59">
        <f>VLOOKUP(G210,REND_TARGET[#All],8,FALSE)</f>
        <v>10.141624999999999</v>
      </c>
      <c r="AM210" s="7">
        <f>(I210*1.03*Tabla_master_rend[[#This Row],[%MG_Leche]])+(I210*1.03*Tabla_master_rend[[#This Row],[%MP_Leche]])</f>
        <v>5805.6561819999997</v>
      </c>
      <c r="AN210" s="137">
        <v>0.2296</v>
      </c>
      <c r="AO210" s="137">
        <v>0.28199999999999997</v>
      </c>
      <c r="AP210" s="64">
        <v>0.55330000000000001</v>
      </c>
      <c r="AQ210" s="38">
        <f>+Tabla_master_rend[[#This Row],[Kg_Queso_Blan]]*Tabla_master_rend[[#This Row],[ES_QUESO]]/(Tabla_master_rend[[#This Row],[Kg_Solidos_leche]])</f>
        <v>0.79093993922555439</v>
      </c>
      <c r="AR210" s="7">
        <f t="shared" ref="AR210:AR224" si="62">R210*0.4</f>
        <v>1368</v>
      </c>
      <c r="AS210" s="61">
        <f>+(Tabla_master_rend[[#This Row],[Kg_Queso_Blan]]*Tabla_master_rend[[#This Row],[%MG_QUESO]]+(Tabla_master_rend[[#This Row],[Kg_MG_Nata]]))/(Tabla_master_rend[[#This Row],[Litros_Leche_Total]]*1.03*Tabla_master_rend[[#This Row],[%MG_Leche]])</f>
        <v>1.0551298831160414</v>
      </c>
      <c r="AT210" s="62">
        <f>+Tabla_master_rend[[#This Row],[Kg_Queso_Blan]]*Tabla_master_rend[[#This Row],[%PT_QUESO]]/(Tabla_master_rend[[#This Row],[Litros_Leche_Total]]*1.03*Tabla_master_rend[[#This Row],[%MP_Leche]])</f>
        <v>0.86577293652018628</v>
      </c>
      <c r="AU210" s="7">
        <f t="shared" ref="AU210:AU224" si="63">AR210*$CO$3</f>
        <v>10260</v>
      </c>
      <c r="AV210" s="8">
        <f>38.89/(74130+151800)*74130</f>
        <v>12.760216438719958</v>
      </c>
      <c r="AW210" s="8">
        <v>27.2</v>
      </c>
      <c r="AX210" s="8">
        <v>4.7</v>
      </c>
      <c r="AY210" s="8">
        <f>SUM(Tabla_master_rend[[#This Row],[Kg_Finos]:[Kg_Desmoldeo]])</f>
        <v>44.660216438719956</v>
      </c>
      <c r="AZ210" s="60">
        <f>+(Tabla_master_rend[[#This Row],[Kg_Finos]]+Tabla_master_rend[[#This Row],[Kg_Llenadora]]+Tabla_master_rend[[#This Row],[Kg_Desmoldeo]])/(Tabla_master_rend[[#This Row],[Kg_Queso_Blan]])</f>
        <v>5.3812934410229097E-3</v>
      </c>
      <c r="BA210" s="8">
        <v>100</v>
      </c>
      <c r="BB210" s="60">
        <f>+Tabla_master_rend[[#This Row],[L_Agua]]/(Tabla_master_rend[[#This Row],[L_Agua]]+Tabla_master_rend[[#This Row],[Kg_SalidaSecadero]])</f>
        <v>1.2114604155309225E-2</v>
      </c>
      <c r="BC210" s="8">
        <v>1151</v>
      </c>
      <c r="BD210" s="8">
        <v>1143</v>
      </c>
      <c r="BE210" s="8">
        <v>8344</v>
      </c>
      <c r="BF210" s="8">
        <v>0</v>
      </c>
      <c r="BG210" s="8">
        <v>0</v>
      </c>
      <c r="BH210" s="8">
        <v>0</v>
      </c>
      <c r="BI210" s="8">
        <v>0</v>
      </c>
      <c r="BJ210" s="8">
        <v>56</v>
      </c>
      <c r="BK210" s="185">
        <v>8154.5</v>
      </c>
      <c r="BL210" s="8">
        <v>0</v>
      </c>
      <c r="BM210" s="8">
        <v>32.81</v>
      </c>
      <c r="BN210" s="8">
        <v>9.52</v>
      </c>
      <c r="BO210" s="68">
        <f>+SUM(Tabla_master_rend[[#This Row],[B_altas]:[B_lab]])/Tabla_master_rend[[#This Row],[Kg_SalidaSecadero]]</f>
        <v>6.86737384266356E-3</v>
      </c>
      <c r="BP210" s="68">
        <f>+(Tabla_master_rend[[#This Row],[Kg_mer_env_real]]+Tabla_master_rend[[#This Row],[kg_mer_lab_real]])/Tabla_master_rend[[#This Row],[Kg_SalidaSecadero]]</f>
        <v>5.1909988349990799E-3</v>
      </c>
      <c r="BQ210" s="64">
        <f>+Tabla_master_rend[[#This Row],[Merma_TOT]]/Tabla_master_rend[[#This Row],[Kg_Queso_Blan]]</f>
        <v>2.2531221420251109E-2</v>
      </c>
      <c r="BR210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186.99021643871993</v>
      </c>
      <c r="BS210" s="138">
        <v>8154.5</v>
      </c>
      <c r="BT210" s="63">
        <f>IF(+Tabla_master_rend[[#This Row],[Kg_Env_Total]]=0,0,Tabla_master_rend[[#This Row],[Kg_Env_Total]]-Tabla_master_rend[[#This Row],[Kg_SalidaSecadero]])</f>
        <v>0</v>
      </c>
      <c r="BU210" s="60">
        <f>+Tabla_master_rend[[#This Row],[Diferencia_Env_vs_Sec_kg]]/Tabla_master_rend[[#This Row],[Kg_SalidaSecadero]]</f>
        <v>0</v>
      </c>
      <c r="BV210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10" s="65">
        <f>+(Tabla_master_rend[[#This Row],[Coste_Leche_€]]-Tabla_master_rend[[#This Row],[Kg_MG_Nata]]*$CO$3)/Tabla_master_rend[[#This Row],[Kg_Queso_Blan]]</f>
        <v>-1.2362696625228791</v>
      </c>
      <c r="BX210" s="8">
        <f>SUM(Tabla_master_rend[[#This Row],[Kg_Finos]:[Kg_Desmoldeo]])+Tabla_master_rend[[#This Row],[L_Agua]]+SUM(Tabla_master_rend[[#This Row],[B_altas]:[B_lab]])</f>
        <v>200.66021643871994</v>
      </c>
      <c r="BY210" s="8">
        <f>+BX210-Tabla_master_rend[[#This Row],[Merma_TOT]]</f>
        <v>13.670000000000016</v>
      </c>
      <c r="BZ210" s="62">
        <f t="shared" ref="BZ210:BZ224" si="64">+BY210/BX210</f>
        <v>6.8125113401214368E-2</v>
      </c>
      <c r="CA210" s="8">
        <f>+Tabla_master_rend[[#This Row],[Kg_Queso_Blan]]*$CA$1</f>
        <v>53.944541406851684</v>
      </c>
      <c r="CB210" s="8">
        <f>+Tabla_master_rend[[#This Row],[Kg_Queso_Blan]]*($CB$1-$CA$1)</f>
        <v>29.047060757535526</v>
      </c>
      <c r="CC210" s="8">
        <f>+(Tabla_master_rend[[#This Row],[Kg_Queso_Blan]]-CA210-CB210)*$CC$1</f>
        <v>86.269770449880497</v>
      </c>
      <c r="CD210" s="8">
        <f t="shared" ref="CD210:CD224" si="65">+CA210+CB210+CC210</f>
        <v>169.26137261426771</v>
      </c>
      <c r="CE210" s="80">
        <f>+CD210/Tabla_master_rend[[#This Row],[Kg_Queso_Blan]]</f>
        <v>2.0395E-2</v>
      </c>
      <c r="CF210" s="62">
        <f>+Tabla_master_rend[[#This Row],[Merma_TOT]]/Tabla_master_rend[[#This Row],[Kg_Queso_Blan]]</f>
        <v>2.2531221420251109E-2</v>
      </c>
      <c r="CG210" s="8">
        <f>CD210-Tabla_master_rend[[#This Row],[Merma_TOT]]</f>
        <v>-17.728843824452213</v>
      </c>
      <c r="CH210" s="81" cm="1">
        <f t="array" ref="CH210">-BR210 * IFERROR(INDEX('Precio Leche_EBITDA_Ventas'!$BD$87:$BD$110,MATCH(1,('Precio Leche_EBITDA_Ventas'!$AZ$87:$AZ$110=YEAR(A210))*('Precio Leche_EBITDA_Ventas'!$BB$87:$BB$110=C210),0)),1.3)</f>
        <v>-317.88336794582386</v>
      </c>
      <c r="CI210" s="81">
        <f t="shared" ref="CI210:CI224" si="66">+CG210*$CM$2</f>
        <v>-23.047496971787876</v>
      </c>
    </row>
    <row r="211" spans="1:87" x14ac:dyDescent="0.35">
      <c r="A211" s="9">
        <v>46146</v>
      </c>
      <c r="B211" s="7">
        <v>5</v>
      </c>
      <c r="C211" s="7" t="str">
        <f>+UPPER(TEXT(Tabla_master_rend[[#This Row],[Fecha]],"MMM"))</f>
        <v>MAY</v>
      </c>
      <c r="D211" s="7" t="str">
        <f>+UPPER(TEXT(Tabla_master_rend[[#This Row],[Fecha]],"ddd"))</f>
        <v>LU</v>
      </c>
      <c r="E211" s="122" t="s">
        <v>594</v>
      </c>
      <c r="F211" s="3" t="s">
        <v>244</v>
      </c>
      <c r="G211" t="s">
        <v>299</v>
      </c>
      <c r="H211">
        <v>11</v>
      </c>
      <c r="I211" s="8">
        <f>+Tabla_master_rend[[#This Row],[L_Leche_ent]]+Tabla_master_rend[[#This Row],[L_desn_ext]]+Tabla_master_rend[[#This Row],[L_cabra]]+Tabla_master_rend[[#This Row],[L_oveja]]</f>
        <v>176900</v>
      </c>
      <c r="J211" s="8">
        <v>176900</v>
      </c>
      <c r="K211" s="66">
        <v>3.9600000000000003E-2</v>
      </c>
      <c r="L211" s="66">
        <v>3.4799999999999998E-2</v>
      </c>
      <c r="M211" s="5">
        <f t="shared" si="61"/>
        <v>0.11058</v>
      </c>
      <c r="N211" s="3" t="s">
        <v>188</v>
      </c>
      <c r="O211" s="8">
        <v>0</v>
      </c>
      <c r="P211" s="8">
        <v>0</v>
      </c>
      <c r="Q211" s="8">
        <v>0</v>
      </c>
      <c r="R211" s="8">
        <v>6225</v>
      </c>
      <c r="S211" s="8">
        <f>304/(74130+151800)*151800</f>
        <v>204.25441508431814</v>
      </c>
      <c r="T211" s="8">
        <v>151800</v>
      </c>
      <c r="U211" s="38">
        <f>+Tabla_master_rend[[#This Row],[L_suero Total]]/Tabla_master_rend[[#This Row],[Litros_Leche_Total]]</f>
        <v>0.85811192764273603</v>
      </c>
      <c r="V211" s="66">
        <v>2.0000000000000001E-4</v>
      </c>
      <c r="W211" s="66">
        <v>8.8000000000000005E-3</v>
      </c>
      <c r="X211" s="8">
        <f>221725/(74130+151800)*151800</f>
        <v>148974.70455450803</v>
      </c>
      <c r="Y211" s="57">
        <f>69681/(72750+148975)*148975</f>
        <v>46818.026722291128</v>
      </c>
      <c r="Z211" s="58">
        <f>IF(Tabla_master_rend[[#This Row],[L_suero para con]]=0,0,+Tabla_master_rend[[#This Row],[L_suero para con]]/Tabla_master_rend[[#This Row],[L_suero_con]])</f>
        <v>3.1819945218574919</v>
      </c>
      <c r="AA211" s="8">
        <f>+Tabla_master_rend[[#This Row],[L_suero Total]]-Tabla_master_rend[[#This Row],[L_suero para con]]</f>
        <v>2825.2954454919673</v>
      </c>
      <c r="AD211" s="8">
        <v>0</v>
      </c>
      <c r="AE211" s="8">
        <v>0</v>
      </c>
      <c r="AF211" s="8">
        <v>0</v>
      </c>
      <c r="AG211" s="66">
        <v>0</v>
      </c>
      <c r="AH211" s="66">
        <v>0</v>
      </c>
      <c r="AI211" s="7">
        <f>+Tabla_master_rend[[#This Row],[Kg_Finos]]+Tabla_master_rend[[#This Row],[Kg_Llenadora]]+Tabla_master_rend[[#This Row],[Kg_Desmoldeo]]+Tabla_master_rend[[#This Row],[L_Agua]]+Tabla_master_rend[[#This Row],[Kg_SalidaSecadero]]</f>
        <v>18901.809783561279</v>
      </c>
      <c r="AJ211" s="59">
        <f>+Tabla_master_rend[[#This Row],[Litros_Leche_Total]]/Tabla_master_rend[[#This Row],[Kg_Queso_Blan]]</f>
        <v>9.3588921921036476</v>
      </c>
      <c r="AK211" s="59">
        <f>+Tabla_master_rend[[#This Row],[Litros_Leche_Total]]/(Tabla_master_rend[[#This Row],[Kg_Queso_Blan]]-Tabla_master_rend[[#This Row],[Merma_TOT]])</f>
        <v>9.5026141589488144</v>
      </c>
      <c r="AL211" s="59">
        <f>VLOOKUP(G211,REND_TARGET[#All],8,FALSE)</f>
        <v>9.8078500000000002</v>
      </c>
      <c r="AM211" s="7">
        <f>(I211*1.03*Tabla_master_rend[[#This Row],[%MG_Leche]])+(I211*1.03*Tabla_master_rend[[#This Row],[%MP_Leche]])</f>
        <v>13556.200799999999</v>
      </c>
      <c r="AN211" s="137">
        <v>0.2263</v>
      </c>
      <c r="AO211" s="137">
        <v>0.2571</v>
      </c>
      <c r="AP211" s="64">
        <v>0.53449999999999998</v>
      </c>
      <c r="AQ211" s="38">
        <f>+Tabla_master_rend[[#This Row],[Kg_Queso_Blan]]*Tabla_master_rend[[#This Row],[ES_QUESO]]/(Tabla_master_rend[[#This Row],[Kg_Solidos_leche]])</f>
        <v>0.74526908227218824</v>
      </c>
      <c r="AR211" s="7">
        <f t="shared" si="62"/>
        <v>2490</v>
      </c>
      <c r="AS211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0.93792196970388786</v>
      </c>
      <c r="AT211" s="62">
        <f>+Tabla_master_rend[[#This Row],[Kg_Queso_Blan]]*Tabla_master_rend[[#This Row],[%PT_QUESO]]/(Tabla_master_rend[[#This Row],[Litros_Leche_Total]]*1.03*Tabla_master_rend[[#This Row],[%MP_Leche]])</f>
        <v>0.76641000130545056</v>
      </c>
      <c r="AU211" s="7">
        <f t="shared" si="63"/>
        <v>18675</v>
      </c>
      <c r="AV211" s="8">
        <f>38.89/(74130+151800)*151800</f>
        <v>26.129783561280043</v>
      </c>
      <c r="AW211" s="8">
        <v>16.2</v>
      </c>
      <c r="AX211" s="8">
        <v>3</v>
      </c>
      <c r="AY211" s="8">
        <f>SUM(Tabla_master_rend[[#This Row],[Kg_Finos]:[Kg_Desmoldeo]])</f>
        <v>45.329783561280038</v>
      </c>
      <c r="AZ211" s="60">
        <f>+(Tabla_master_rend[[#This Row],[Kg_Finos]]+Tabla_master_rend[[#This Row],[Kg_Llenadora]]+Tabla_master_rend[[#This Row],[Kg_Desmoldeo]])/(Tabla_master_rend[[#This Row],[Kg_Queso_Blan]])</f>
        <v>2.3981716079220579E-3</v>
      </c>
      <c r="BA211" s="8">
        <v>110</v>
      </c>
      <c r="BB211" s="60">
        <f>+Tabla_master_rend[[#This Row],[L_Agua]]/(Tabla_master_rend[[#This Row],[L_Agua]]+Tabla_master_rend[[#This Row],[Kg_SalidaSecadero]])</f>
        <v>5.8335383910464731E-3</v>
      </c>
      <c r="BC211" s="8">
        <v>2615</v>
      </c>
      <c r="BD211" s="8">
        <v>2579</v>
      </c>
      <c r="BE211" s="8">
        <v>19086</v>
      </c>
      <c r="BF211" s="8">
        <v>0</v>
      </c>
      <c r="BG211" s="8">
        <v>53</v>
      </c>
      <c r="BH211" s="8">
        <v>0</v>
      </c>
      <c r="BI211" s="8">
        <v>126</v>
      </c>
      <c r="BJ211" s="8">
        <v>65</v>
      </c>
      <c r="BK211" s="185">
        <v>18746.48</v>
      </c>
      <c r="BL211" s="8">
        <v>0</v>
      </c>
      <c r="BM211" s="8">
        <v>118.48</v>
      </c>
      <c r="BN211" s="8">
        <v>12.07</v>
      </c>
      <c r="BO211" s="68">
        <f>+SUM(Tabla_master_rend[[#This Row],[B_altas]:[B_lab]])/Tabla_master_rend[[#This Row],[Kg_SalidaSecadero]]</f>
        <v>1.3015776828503271E-2</v>
      </c>
      <c r="BP211" s="68">
        <f>+(Tabla_master_rend[[#This Row],[Kg_mer_env_real]]+Tabla_master_rend[[#This Row],[kg_mer_lab_real]])/Tabla_master_rend[[#This Row],[Kg_SalidaSecadero]]</f>
        <v>6.9639740367258285E-3</v>
      </c>
      <c r="BQ211" s="64">
        <f>+Tabla_master_rend[[#This Row],[Merma_TOT]]/Tabla_master_rend[[#This Row],[Kg_Queso_Blan]]</f>
        <v>1.5124466219626594E-2</v>
      </c>
      <c r="BR211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285.87978356128002</v>
      </c>
      <c r="BS211" s="138">
        <v>18746.48</v>
      </c>
      <c r="BT211" s="63">
        <f>IF(+Tabla_master_rend[[#This Row],[Kg_Env_Total]]=0,0,Tabla_master_rend[[#This Row],[Kg_Env_Total]]-Tabla_master_rend[[#This Row],[Kg_SalidaSecadero]])</f>
        <v>0</v>
      </c>
      <c r="BU211" s="60">
        <f>+Tabla_master_rend[[#This Row],[Diferencia_Env_vs_Sec_kg]]/Tabla_master_rend[[#This Row],[Kg_SalidaSecadero]]</f>
        <v>0</v>
      </c>
      <c r="BV211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11" s="65">
        <f>+(Tabla_master_rend[[#This Row],[Coste_Leche_€]]-Tabla_master_rend[[#This Row],[Kg_MG_Nata]]*$CO$3)/Tabla_master_rend[[#This Row],[Kg_Queso_Blan]]</f>
        <v>-0.9880006313597266</v>
      </c>
      <c r="BX211" s="8">
        <f>SUM(Tabla_master_rend[[#This Row],[Kg_Finos]:[Kg_Desmoldeo]])+Tabla_master_rend[[#This Row],[L_Agua]]+SUM(Tabla_master_rend[[#This Row],[B_altas]:[B_lab]])</f>
        <v>399.32978356128001</v>
      </c>
      <c r="BY211" s="8">
        <f>+BX211-Tabla_master_rend[[#This Row],[Merma_TOT]]</f>
        <v>113.44999999999999</v>
      </c>
      <c r="BZ211" s="62">
        <f t="shared" si="64"/>
        <v>0.28410102293957817</v>
      </c>
      <c r="CA211" s="8">
        <f>+Tabla_master_rend[[#This Row],[Kg_Queso_Blan]]*$CA$1</f>
        <v>122.86176359314831</v>
      </c>
      <c r="CB211" s="8">
        <f>+Tabla_master_rend[[#This Row],[Kg_Queso_Blan]]*($CB$1-$CA$1)</f>
        <v>66.156334242464482</v>
      </c>
      <c r="CC211" s="8">
        <f>+(Tabla_master_rend[[#This Row],[Kg_Queso_Blan]]-CA211-CB211)*$CC$1</f>
        <v>196.48431270011952</v>
      </c>
      <c r="CD211" s="8">
        <f t="shared" si="65"/>
        <v>385.50241053573234</v>
      </c>
      <c r="CE211" s="80">
        <f>+CD211/Tabla_master_rend[[#This Row],[Kg_Queso_Blan]]</f>
        <v>2.0395000000000003E-2</v>
      </c>
      <c r="CF211" s="62">
        <f>+Tabla_master_rend[[#This Row],[Merma_TOT]]/Tabla_master_rend[[#This Row],[Kg_Queso_Blan]]</f>
        <v>1.5124466219626594E-2</v>
      </c>
      <c r="CG211" s="8">
        <f>CD211-Tabla_master_rend[[#This Row],[Merma_TOT]]</f>
        <v>99.622626974452317</v>
      </c>
      <c r="CH211" s="81" cm="1">
        <f t="array" ref="CH211">-BR211 * IFERROR(INDEX('Precio Leche_EBITDA_Ventas'!$BD$87:$BD$110,MATCH(1,('Precio Leche_EBITDA_Ventas'!$AZ$87:$AZ$110=YEAR(A211))*('Precio Leche_EBITDA_Ventas'!$BB$87:$BB$110=C211),0)),1.3)</f>
        <v>-485.99563205417604</v>
      </c>
      <c r="CI211" s="81">
        <f t="shared" si="66"/>
        <v>129.50941506678802</v>
      </c>
    </row>
    <row r="212" spans="1:87" x14ac:dyDescent="0.35">
      <c r="A212" s="9">
        <v>46148</v>
      </c>
      <c r="B212" s="7">
        <v>5</v>
      </c>
      <c r="C212" s="7" t="str">
        <f>+UPPER(TEXT(Tabla_master_rend[[#This Row],[Fecha]],"MMM"))</f>
        <v>MAY</v>
      </c>
      <c r="D212" s="7" t="str">
        <f>+UPPER(TEXT(Tabla_master_rend[[#This Row],[Fecha]],"ddd"))</f>
        <v>MI</v>
      </c>
      <c r="E212" s="122" t="s">
        <v>595</v>
      </c>
      <c r="F212" s="3" t="s">
        <v>244</v>
      </c>
      <c r="G212" t="s">
        <v>301</v>
      </c>
      <c r="H212">
        <v>15</v>
      </c>
      <c r="I212" s="8">
        <f>+Tabla_master_rend[[#This Row],[L_Leche_ent]]+Tabla_master_rend[[#This Row],[L_desn_ext]]+Tabla_master_rend[[#This Row],[L_cabra]]+Tabla_master_rend[[#This Row],[L_oveja]]</f>
        <v>232037</v>
      </c>
      <c r="J212" s="8">
        <v>232037</v>
      </c>
      <c r="K212" s="66">
        <v>4.0899999999999999E-2</v>
      </c>
      <c r="L212" s="66">
        <v>3.4200000000000001E-2</v>
      </c>
      <c r="M212" s="5">
        <f t="shared" si="61"/>
        <v>0.111345</v>
      </c>
      <c r="N212" s="3" t="s">
        <v>188</v>
      </c>
      <c r="O212" s="8">
        <v>0</v>
      </c>
      <c r="P212" s="8">
        <v>0</v>
      </c>
      <c r="Q212" s="8">
        <v>0</v>
      </c>
      <c r="R212" s="8">
        <v>4298</v>
      </c>
      <c r="S212" s="8">
        <v>399.3</v>
      </c>
      <c r="T212" s="8">
        <v>207410</v>
      </c>
      <c r="U212" s="38">
        <f>+Tabla_master_rend[[#This Row],[L_suero Total]]/Tabla_master_rend[[#This Row],[Litros_Leche_Total]]</f>
        <v>0.89386606446385708</v>
      </c>
      <c r="V212" s="66">
        <v>1E-4</v>
      </c>
      <c r="W212" s="66">
        <v>9.1000000000000004E-3</v>
      </c>
      <c r="X212" s="8">
        <v>205086</v>
      </c>
      <c r="Y212" s="57">
        <v>60346</v>
      </c>
      <c r="Z212" s="58">
        <f>IF(Tabla_master_rend[[#This Row],[L_suero para con]]=0,0,+Tabla_master_rend[[#This Row],[L_suero para con]]/Tabla_master_rend[[#This Row],[L_suero_con]])</f>
        <v>3.3985019719616876</v>
      </c>
      <c r="AA212" s="8">
        <f>+Tabla_master_rend[[#This Row],[L_suero Total]]-Tabla_master_rend[[#This Row],[L_suero para con]]</f>
        <v>2324</v>
      </c>
      <c r="AD212" s="8">
        <v>0</v>
      </c>
      <c r="AE212" s="8">
        <v>0</v>
      </c>
      <c r="AF212" s="8">
        <v>0</v>
      </c>
      <c r="AG212" s="66">
        <v>0</v>
      </c>
      <c r="AH212" s="66">
        <v>0</v>
      </c>
      <c r="AI212" s="7">
        <f>+Tabla_master_rend[[#This Row],[Kg_Finos]]+Tabla_master_rend[[#This Row],[Kg_Llenadora]]+Tabla_master_rend[[#This Row],[Kg_Desmoldeo]]+Tabla_master_rend[[#This Row],[L_Agua]]+Tabla_master_rend[[#This Row],[Kg_SalidaSecadero]]</f>
        <v>26767.93</v>
      </c>
      <c r="AJ212" s="59">
        <f>+Tabla_master_rend[[#This Row],[Litros_Leche_Total]]/Tabla_master_rend[[#This Row],[Kg_Queso_Blan]]</f>
        <v>8.668470068473729</v>
      </c>
      <c r="AK212" s="59">
        <f>+Tabla_master_rend[[#This Row],[Litros_Leche_Total]]/(Tabla_master_rend[[#This Row],[Kg_Queso_Blan]]-Tabla_master_rend[[#This Row],[Merma_TOT]])</f>
        <v>8.7858391826837519</v>
      </c>
      <c r="AL212" s="59">
        <f>VLOOKUP(G212,REND_TARGET[#All],8,FALSE)</f>
        <v>9.3549429999999987</v>
      </c>
      <c r="AM212" s="7">
        <f>(I212*1.03*Tabla_master_rend[[#This Row],[%MG_Leche]])+(I212*1.03*Tabla_master_rend[[#This Row],[%MP_Leche]])</f>
        <v>17948.758061</v>
      </c>
      <c r="AN212" s="137">
        <v>0.2949</v>
      </c>
      <c r="AO212" s="137">
        <v>0.24809999999999999</v>
      </c>
      <c r="AP212" s="64">
        <v>0.58630000000000004</v>
      </c>
      <c r="AQ212" s="38">
        <f>+Tabla_master_rend[[#This Row],[Kg_Queso_Blan]]*Tabla_master_rend[[#This Row],[ES_QUESO]]/(Tabla_master_rend[[#This Row],[Kg_Solidos_leche]])</f>
        <v>0.87438012734155834</v>
      </c>
      <c r="AR212" s="7">
        <f t="shared" si="62"/>
        <v>1719.2</v>
      </c>
      <c r="AS212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0.98343122599433264</v>
      </c>
      <c r="AT212" s="62">
        <f>+Tabla_master_rend[[#This Row],[Kg_Queso_Blan]]*Tabla_master_rend[[#This Row],[%PT_QUESO]]/(Tabla_master_rend[[#This Row],[Litros_Leche_Total]]*1.03*Tabla_master_rend[[#This Row],[%MP_Leche]])</f>
        <v>0.81249552852846552</v>
      </c>
      <c r="AU212" s="7">
        <f t="shared" si="63"/>
        <v>12894</v>
      </c>
      <c r="AV212" s="8">
        <v>10.93</v>
      </c>
      <c r="AW212" s="8">
        <v>49.2</v>
      </c>
      <c r="AX212" s="8">
        <v>3.8</v>
      </c>
      <c r="AY212" s="8">
        <f>SUM(Tabla_master_rend[[#This Row],[Kg_Finos]:[Kg_Desmoldeo]])</f>
        <v>63.93</v>
      </c>
      <c r="AZ212" s="60">
        <f>+(Tabla_master_rend[[#This Row],[Kg_Finos]]+Tabla_master_rend[[#This Row],[Kg_Llenadora]]+Tabla_master_rend[[#This Row],[Kg_Desmoldeo]])/(Tabla_master_rend[[#This Row],[Kg_Queso_Blan]])</f>
        <v>2.3883057076135509E-3</v>
      </c>
      <c r="BA212" s="8">
        <f>89+91</f>
        <v>180</v>
      </c>
      <c r="BB212" s="60">
        <f>+Tabla_master_rend[[#This Row],[L_Agua]]/(Tabla_master_rend[[#This Row],[L_Agua]]+Tabla_master_rend[[#This Row],[Kg_SalidaSecadero]])</f>
        <v>6.7405632115038949E-3</v>
      </c>
      <c r="BC212" s="8">
        <f>454+3096</f>
        <v>3550</v>
      </c>
      <c r="BD212" s="8">
        <f>443+3084</f>
        <v>3527</v>
      </c>
      <c r="BE212" s="8">
        <f>3326+23229</f>
        <v>26555</v>
      </c>
      <c r="BF212" s="8">
        <v>164</v>
      </c>
      <c r="BG212" s="8">
        <v>6</v>
      </c>
      <c r="BH212" s="8">
        <v>13</v>
      </c>
      <c r="BI212" s="8">
        <v>28</v>
      </c>
      <c r="BJ212" s="8">
        <f>27+75</f>
        <v>102</v>
      </c>
      <c r="BK212" s="8">
        <f>3311+23213</f>
        <v>26524</v>
      </c>
      <c r="BL212" s="8">
        <v>0</v>
      </c>
      <c r="BM212" s="8">
        <v>85.36</v>
      </c>
      <c r="BN212" s="8">
        <v>28.3</v>
      </c>
      <c r="BO212" s="68">
        <f>+SUM(Tabla_master_rend[[#This Row],[B_altas]:[B_lab]])/Tabla_master_rend[[#This Row],[Kg_SalidaSecadero]]</f>
        <v>1.1800633388629167E-2</v>
      </c>
      <c r="BP212" s="68">
        <f>+(Tabla_master_rend[[#This Row],[Kg_mer_env_real]]+Tabla_master_rend[[#This Row],[kg_mer_lab_real]])/Tabla_master_rend[[#This Row],[Kg_SalidaSecadero]]</f>
        <v>4.2851756899411854E-3</v>
      </c>
      <c r="BQ212" s="64">
        <f>+Tabla_master_rend[[#This Row],[Merma_TOT]]/Tabla_master_rend[[#This Row],[Kg_Queso_Blan]]</f>
        <v>1.3358896261309709E-2</v>
      </c>
      <c r="BR212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357.59</v>
      </c>
      <c r="BS212" s="138">
        <v>25960.399999999998</v>
      </c>
      <c r="BT212" s="63">
        <f>IF(+Tabla_master_rend[[#This Row],[Kg_Env_Total]]=0,0,Tabla_master_rend[[#This Row],[Kg_Env_Total]]-Tabla_master_rend[[#This Row],[Kg_SalidaSecadero]])</f>
        <v>-563.60000000000218</v>
      </c>
      <c r="BU212" s="60">
        <f>+Tabla_master_rend[[#This Row],[Diferencia_Env_vs_Sec_kg]]/Tabla_master_rend[[#This Row],[Kg_SalidaSecadero]]</f>
        <v>-2.1248680440355987E-2</v>
      </c>
      <c r="BV212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12" s="65">
        <f>+(Tabla_master_rend[[#This Row],[Coste_Leche_€]]-Tabla_master_rend[[#This Row],[Kg_MG_Nata]]*$CO$3)/Tabla_master_rend[[#This Row],[Kg_Queso_Blan]]</f>
        <v>-0.48169582033425817</v>
      </c>
      <c r="BX212" s="8">
        <f>SUM(Tabla_master_rend[[#This Row],[Kg_Finos]:[Kg_Desmoldeo]])+Tabla_master_rend[[#This Row],[L_Agua]]+SUM(Tabla_master_rend[[#This Row],[B_altas]:[B_lab]])</f>
        <v>556.93000000000006</v>
      </c>
      <c r="BY212" s="8">
        <f>+BX212-Tabla_master_rend[[#This Row],[Merma_TOT]]</f>
        <v>199.34000000000009</v>
      </c>
      <c r="BZ212" s="62">
        <f t="shared" si="64"/>
        <v>0.35792648986407638</v>
      </c>
      <c r="CA212" s="8">
        <f>+Tabla_master_rend[[#This Row],[Kg_Queso_Blan]]*$CA$1</f>
        <v>173.991545</v>
      </c>
      <c r="CB212" s="8">
        <f>+Tabla_master_rend[[#This Row],[Kg_Queso_Blan]]*($CB$1-$CA$1)</f>
        <v>93.68775500000001</v>
      </c>
      <c r="CC212" s="8">
        <f>+(Tabla_master_rend[[#This Row],[Kg_Queso_Blan]]-CA212-CB212)*$CC$1</f>
        <v>278.25263235</v>
      </c>
      <c r="CD212" s="8">
        <f t="shared" si="65"/>
        <v>545.93193235000001</v>
      </c>
      <c r="CE212" s="80">
        <f>+CD212/Tabla_master_rend[[#This Row],[Kg_Queso_Blan]]</f>
        <v>2.0395E-2</v>
      </c>
      <c r="CF212" s="62">
        <f>+Tabla_master_rend[[#This Row],[Merma_TOT]]/Tabla_master_rend[[#This Row],[Kg_Queso_Blan]]</f>
        <v>1.3358896261309709E-2</v>
      </c>
      <c r="CG212" s="8">
        <f>CD212-Tabla_master_rend[[#This Row],[Merma_TOT]]</f>
        <v>188.34193235000004</v>
      </c>
      <c r="CH212" s="81" cm="1">
        <f t="array" ref="CH212">-BR212 * IFERROR(INDEX('Precio Leche_EBITDA_Ventas'!$BD$87:$BD$110,MATCH(1,('Precio Leche_EBITDA_Ventas'!$AZ$87:$AZ$110=YEAR(A212))*('Precio Leche_EBITDA_Ventas'!$BB$87:$BB$110=C212),0)),1.3)</f>
        <v>-607.90299999999991</v>
      </c>
      <c r="CI212" s="81">
        <f t="shared" si="66"/>
        <v>244.84451205500005</v>
      </c>
    </row>
    <row r="213" spans="1:87" x14ac:dyDescent="0.35">
      <c r="A213" s="9">
        <v>46149</v>
      </c>
      <c r="B213" s="7">
        <v>5</v>
      </c>
      <c r="C213" s="7" t="str">
        <f>+UPPER(TEXT(Tabla_master_rend[[#This Row],[Fecha]],"MMM"))</f>
        <v>MAY</v>
      </c>
      <c r="D213" s="7" t="str">
        <f>+UPPER(TEXT(Tabla_master_rend[[#This Row],[Fecha]],"ddd"))</f>
        <v>JU</v>
      </c>
      <c r="E213" s="122" t="s">
        <v>596</v>
      </c>
      <c r="F213" s="3" t="s">
        <v>244</v>
      </c>
      <c r="G213" t="s">
        <v>299</v>
      </c>
      <c r="H213">
        <v>17</v>
      </c>
      <c r="I213" s="8">
        <f>+Tabla_master_rend[[#This Row],[L_Leche_ent]]+Tabla_master_rend[[#This Row],[L_desn_ext]]+Tabla_master_rend[[#This Row],[L_cabra]]+Tabla_master_rend[[#This Row],[L_oveja]]</f>
        <v>265186</v>
      </c>
      <c r="J213" s="8">
        <v>265186</v>
      </c>
      <c r="K213" s="66">
        <v>4.1200000000000001E-2</v>
      </c>
      <c r="L213" s="66">
        <v>3.4799999999999998E-2</v>
      </c>
      <c r="M213" s="5">
        <f t="shared" si="61"/>
        <v>0.112068</v>
      </c>
      <c r="N213" s="3" t="s">
        <v>188</v>
      </c>
      <c r="O213" s="8">
        <v>0</v>
      </c>
      <c r="P213" s="8">
        <v>0</v>
      </c>
      <c r="Q213" s="8">
        <v>0</v>
      </c>
      <c r="R213" s="8">
        <v>10624</v>
      </c>
      <c r="S213" s="8">
        <v>0</v>
      </c>
      <c r="T213" s="8">
        <v>235250</v>
      </c>
      <c r="U213" s="38">
        <f>+Tabla_master_rend[[#This Row],[L_suero Total]]/Tabla_master_rend[[#This Row],[Litros_Leche_Total]]</f>
        <v>0.8871131960209061</v>
      </c>
      <c r="V213" s="66">
        <v>1.2999999999999999E-3</v>
      </c>
      <c r="W213" s="66">
        <v>8.8000000000000005E-3</v>
      </c>
      <c r="X213" s="8">
        <v>116832</v>
      </c>
      <c r="Y213" s="57">
        <v>36542</v>
      </c>
      <c r="Z213" s="58">
        <f>IF(Tabla_master_rend[[#This Row],[L_suero para con]]=0,0,+Tabla_master_rend[[#This Row],[L_suero para con]]/Tabla_master_rend[[#This Row],[L_suero_con]])</f>
        <v>3.1971977450604783</v>
      </c>
      <c r="AA213" s="8">
        <f>+Tabla_master_rend[[#This Row],[L_suero Total]]-Tabla_master_rend[[#This Row],[L_suero para con]]</f>
        <v>118418</v>
      </c>
      <c r="AD213" s="8">
        <v>43076</v>
      </c>
      <c r="AE213" s="8">
        <v>0</v>
      </c>
      <c r="AF213" s="8">
        <v>0</v>
      </c>
      <c r="AG213" s="140"/>
      <c r="AH213" s="140"/>
      <c r="AI213" s="7">
        <f>+Tabla_master_rend[[#This Row],[Kg_Finos]]+Tabla_master_rend[[#This Row],[Kg_Llenadora]]+Tabla_master_rend[[#This Row],[Kg_Desmoldeo]]+Tabla_master_rend[[#This Row],[L_Agua]]+Tabla_master_rend[[#This Row],[Kg_SalidaSecadero]]</f>
        <v>29616.77</v>
      </c>
      <c r="AJ213" s="59">
        <f>+Tabla_master_rend[[#This Row],[Litros_Leche_Total]]/Tabla_master_rend[[#This Row],[Kg_Queso_Blan]]</f>
        <v>8.9539136104308472</v>
      </c>
      <c r="AK213" s="59">
        <f>+Tabla_master_rend[[#This Row],[Litros_Leche_Total]]/(Tabla_master_rend[[#This Row],[Kg_Queso_Blan]]-Tabla_master_rend[[#This Row],[Merma_TOT]])</f>
        <v>9.1867686918348443</v>
      </c>
      <c r="AL213" s="59">
        <f>VLOOKUP(G213,REND_TARGET[#All],8,FALSE)</f>
        <v>9.8078500000000002</v>
      </c>
      <c r="AM213" s="7">
        <f>(I213*1.03*Tabla_master_rend[[#This Row],[%MG_Leche]])+(I213*1.03*Tabla_master_rend[[#This Row],[%MP_Leche]])</f>
        <v>20758.76008</v>
      </c>
      <c r="AN213" s="137">
        <v>0.2248</v>
      </c>
      <c r="AO213" s="137">
        <v>0.2576</v>
      </c>
      <c r="AP213" s="64">
        <v>0.5343</v>
      </c>
      <c r="AQ213" s="38">
        <f>+Tabla_master_rend[[#This Row],[Kg_Queso_Blan]]*Tabla_master_rend[[#This Row],[ES_QUESO]]/(Tabla_master_rend[[#This Row],[Kg_Solidos_leche]])</f>
        <v>0.76229216725934623</v>
      </c>
      <c r="AR213" s="7">
        <f t="shared" si="62"/>
        <v>4249.6000000000004</v>
      </c>
      <c r="AS213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0.96925531995005332</v>
      </c>
      <c r="AT213" s="62">
        <f>+Tabla_master_rend[[#This Row],[Kg_Queso_Blan]]*Tabla_master_rend[[#This Row],[%PT_QUESO]]/(Tabla_master_rend[[#This Row],[Litros_Leche_Total]]*1.03*Tabla_master_rend[[#This Row],[%MP_Leche]])</f>
        <v>0.80263203620897139</v>
      </c>
      <c r="AU213" s="7">
        <f t="shared" si="63"/>
        <v>31872.000000000004</v>
      </c>
      <c r="AV213" s="8">
        <v>41.77</v>
      </c>
      <c r="AW213" s="8">
        <v>51.8</v>
      </c>
      <c r="AX213" s="8">
        <v>47.2</v>
      </c>
      <c r="AY213" s="8">
        <f>SUM(Tabla_master_rend[[#This Row],[Kg_Finos]:[Kg_Desmoldeo]])</f>
        <v>140.76999999999998</v>
      </c>
      <c r="AZ213" s="60">
        <f>+(Tabla_master_rend[[#This Row],[Kg_Finos]]+Tabla_master_rend[[#This Row],[Kg_Llenadora]]+Tabla_master_rend[[#This Row],[Kg_Desmoldeo]])/(Tabla_master_rend[[#This Row],[Kg_Queso_Blan]])</f>
        <v>4.7530503832794724E-3</v>
      </c>
      <c r="BA213" s="8">
        <v>240</v>
      </c>
      <c r="BB213" s="60">
        <f>+Tabla_master_rend[[#This Row],[L_Agua]]/(Tabla_master_rend[[#This Row],[L_Agua]]+Tabla_master_rend[[#This Row],[Kg_SalidaSecadero]])</f>
        <v>8.1422173972045056E-3</v>
      </c>
      <c r="BC213" s="8">
        <v>4019</v>
      </c>
      <c r="BD213" s="8">
        <v>3943</v>
      </c>
      <c r="BE213" s="8">
        <v>29011</v>
      </c>
      <c r="BF213" s="8">
        <v>33</v>
      </c>
      <c r="BG213" s="8">
        <v>36</v>
      </c>
      <c r="BH213" s="8">
        <v>28</v>
      </c>
      <c r="BI213" s="8">
        <v>312</v>
      </c>
      <c r="BJ213" s="8">
        <v>89</v>
      </c>
      <c r="BK213" s="8">
        <v>29236</v>
      </c>
      <c r="BL213" s="8">
        <v>0</v>
      </c>
      <c r="BM213" s="8">
        <v>350.5</v>
      </c>
      <c r="BN213" s="8">
        <v>19.420000000000002</v>
      </c>
      <c r="BO213" s="68">
        <f>+SUM(Tabla_master_rend[[#This Row],[B_altas]:[B_lab]])/Tabla_master_rend[[#This Row],[Kg_SalidaSecadero]]</f>
        <v>1.7033793952661101E-2</v>
      </c>
      <c r="BP213" s="68">
        <f>+(Tabla_master_rend[[#This Row],[Kg_mer_env_real]]+Tabla_master_rend[[#This Row],[kg_mer_lab_real]])/Tabla_master_rend[[#This Row],[Kg_SalidaSecadero]]</f>
        <v>1.2652893692707621E-2</v>
      </c>
      <c r="BQ213" s="64">
        <f>+Tabla_master_rend[[#This Row],[Merma_TOT]]/Tabla_master_rend[[#This Row],[Kg_Queso_Blan]]</f>
        <v>2.5346788322967023E-2</v>
      </c>
      <c r="BR213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750.69</v>
      </c>
      <c r="BS213" s="138">
        <v>28671.329999999998</v>
      </c>
      <c r="BT213" s="63">
        <f>IF(+Tabla_master_rend[[#This Row],[Kg_Env_Total]]=0,0,Tabla_master_rend[[#This Row],[Kg_Env_Total]]-Tabla_master_rend[[#This Row],[Kg_SalidaSecadero]])</f>
        <v>-564.67000000000189</v>
      </c>
      <c r="BU213" s="60">
        <f>+Tabla_master_rend[[#This Row],[Diferencia_Env_vs_Sec_kg]]/Tabla_master_rend[[#This Row],[Kg_SalidaSecadero]]</f>
        <v>-1.9314201669175055E-2</v>
      </c>
      <c r="BV213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13" s="65">
        <f>+(Tabla_master_rend[[#This Row],[Coste_Leche_€]]-Tabla_master_rend[[#This Row],[Kg_MG_Nata]]*$CO$3)/Tabla_master_rend[[#This Row],[Kg_Queso_Blan]]</f>
        <v>-1.0761470612764323</v>
      </c>
      <c r="BX213" s="8">
        <f>SUM(Tabla_master_rend[[#This Row],[Kg_Finos]:[Kg_Desmoldeo]])+Tabla_master_rend[[#This Row],[L_Agua]]+SUM(Tabla_master_rend[[#This Row],[B_altas]:[B_lab]])</f>
        <v>878.77</v>
      </c>
      <c r="BY213" s="8">
        <f>+BX213-Tabla_master_rend[[#This Row],[Merma_TOT]]</f>
        <v>128.07999999999993</v>
      </c>
      <c r="BZ213" s="62">
        <f t="shared" si="64"/>
        <v>0.14574917213832964</v>
      </c>
      <c r="CA213" s="8">
        <f>+Tabla_master_rend[[#This Row],[Kg_Queso_Blan]]*$CA$1</f>
        <v>192.509005</v>
      </c>
      <c r="CB213" s="8">
        <f>+Tabla_master_rend[[#This Row],[Kg_Queso_Blan]]*($CB$1-$CA$1)</f>
        <v>103.65869500000002</v>
      </c>
      <c r="CC213" s="8">
        <f>+(Tabla_master_rend[[#This Row],[Kg_Queso_Blan]]-CA213-CB213)*$CC$1</f>
        <v>307.86632415000003</v>
      </c>
      <c r="CD213" s="8">
        <f t="shared" si="65"/>
        <v>604.03402415000005</v>
      </c>
      <c r="CE213" s="80">
        <f>+CD213/Tabla_master_rend[[#This Row],[Kg_Queso_Blan]]</f>
        <v>2.0395E-2</v>
      </c>
      <c r="CF213" s="62">
        <f>+Tabla_master_rend[[#This Row],[Merma_TOT]]/Tabla_master_rend[[#This Row],[Kg_Queso_Blan]]</f>
        <v>2.5346788322967023E-2</v>
      </c>
      <c r="CG213" s="8">
        <f>CD213-Tabla_master_rend[[#This Row],[Merma_TOT]]</f>
        <v>-146.65597585</v>
      </c>
      <c r="CH213" s="81" cm="1">
        <f t="array" ref="CH213">-BR213 * IFERROR(INDEX('Precio Leche_EBITDA_Ventas'!$BD$87:$BD$110,MATCH(1,('Precio Leche_EBITDA_Ventas'!$AZ$87:$AZ$110=YEAR(A213))*('Precio Leche_EBITDA_Ventas'!$BB$87:$BB$110=C213),0)),1.3)</f>
        <v>-1276.173</v>
      </c>
      <c r="CI213" s="81">
        <f t="shared" si="66"/>
        <v>-190.65276860500001</v>
      </c>
    </row>
    <row r="214" spans="1:87" x14ac:dyDescent="0.35">
      <c r="A214" s="9">
        <v>46153</v>
      </c>
      <c r="B214" s="7">
        <v>5</v>
      </c>
      <c r="C214" s="7" t="str">
        <f>+UPPER(TEXT(Tabla_master_rend[[#This Row],[Fecha]],"MMM"))</f>
        <v>MAY</v>
      </c>
      <c r="D214" s="7" t="str">
        <f>+UPPER(TEXT(Tabla_master_rend[[#This Row],[Fecha]],"ddd"))</f>
        <v>LU</v>
      </c>
      <c r="E214" s="122">
        <v>110526316</v>
      </c>
      <c r="F214" s="3" t="s">
        <v>244</v>
      </c>
      <c r="G214" t="s">
        <v>299</v>
      </c>
      <c r="H214">
        <v>18</v>
      </c>
      <c r="I214" s="8">
        <f>+Tabla_master_rend[[#This Row],[L_Leche_ent]]+Tabla_master_rend[[#This Row],[L_desn_ext]]+Tabla_master_rend[[#This Row],[L_cabra]]+Tabla_master_rend[[#This Row],[L_oveja]]</f>
        <v>284849</v>
      </c>
      <c r="J214" s="8">
        <v>284849</v>
      </c>
      <c r="K214" s="66">
        <v>3.8800000000000001E-2</v>
      </c>
      <c r="L214" s="66">
        <v>3.4099999999999998E-2</v>
      </c>
      <c r="M214" s="5">
        <f t="shared" si="61"/>
        <v>0.109318</v>
      </c>
      <c r="N214" s="3" t="s">
        <v>188</v>
      </c>
      <c r="O214" s="8">
        <v>0</v>
      </c>
      <c r="P214" s="8">
        <v>0</v>
      </c>
      <c r="Q214" s="8">
        <v>0</v>
      </c>
      <c r="R214" s="8">
        <v>10096</v>
      </c>
      <c r="S214" s="8">
        <v>411</v>
      </c>
      <c r="T214" s="8">
        <v>250510</v>
      </c>
      <c r="U214" s="38">
        <f>+Tabla_master_rend[[#This Row],[L_suero Total]]/Tabla_master_rend[[#This Row],[Litros_Leche_Total]]</f>
        <v>0.87944840950819558</v>
      </c>
      <c r="V214" s="66">
        <v>1E-4</v>
      </c>
      <c r="W214" s="66">
        <v>8.6999999999999994E-3</v>
      </c>
      <c r="X214" s="8">
        <v>248452</v>
      </c>
      <c r="Y214" s="57">
        <v>72128</v>
      </c>
      <c r="Z214" s="58">
        <f>IF(Tabla_master_rend[[#This Row],[L_suero para con]]=0,0,+Tabla_master_rend[[#This Row],[L_suero para con]]/Tabla_master_rend[[#This Row],[L_suero_con]])</f>
        <v>3.4445984915705412</v>
      </c>
      <c r="AA214" s="8">
        <f>+Tabla_master_rend[[#This Row],[L_suero Total]]-Tabla_master_rend[[#This Row],[L_suero para con]]</f>
        <v>2058</v>
      </c>
      <c r="AD214" s="8">
        <v>0</v>
      </c>
      <c r="AE214" s="8">
        <v>0</v>
      </c>
      <c r="AF214" s="8">
        <v>0</v>
      </c>
      <c r="AG214" s="66">
        <v>0</v>
      </c>
      <c r="AH214" s="66">
        <v>0</v>
      </c>
      <c r="AI214" s="7">
        <f>+Tabla_master_rend[[#This Row],[Kg_Finos]]+Tabla_master_rend[[#This Row],[Kg_Llenadora]]+Tabla_master_rend[[#This Row],[Kg_Desmoldeo]]+Tabla_master_rend[[#This Row],[L_Agua]]+Tabla_master_rend[[#This Row],[Kg_SalidaSecadero]]</f>
        <v>32474.61</v>
      </c>
      <c r="AJ214" s="59">
        <f>+Tabla_master_rend[[#This Row],[Litros_Leche_Total]]/Tabla_master_rend[[#This Row],[Kg_Queso_Blan]]</f>
        <v>8.7714371319624771</v>
      </c>
      <c r="AK214" s="59">
        <f>+Tabla_master_rend[[#This Row],[Litros_Leche_Total]]/(Tabla_master_rend[[#This Row],[Kg_Queso_Blan]]-Tabla_master_rend[[#This Row],[Merma_TOT]])</f>
        <v>9.0307156371900028</v>
      </c>
      <c r="AL214" s="59">
        <f>VLOOKUP(G214,REND_TARGET[#All],8,FALSE)</f>
        <v>9.8078500000000002</v>
      </c>
      <c r="AM214" s="7">
        <f>(I214*1.03*Tabla_master_rend[[#This Row],[%MG_Leche]])+(I214*1.03*Tabla_master_rend[[#This Row],[%MP_Leche]])</f>
        <v>21388.456863000003</v>
      </c>
      <c r="AN214" s="137">
        <v>0.22059999999999999</v>
      </c>
      <c r="AO214" s="137">
        <v>0.24990000000000001</v>
      </c>
      <c r="AP214" s="64">
        <v>0.52749999999999997</v>
      </c>
      <c r="AQ214" s="38">
        <f>+Tabla_master_rend[[#This Row],[Kg_Queso_Blan]]*Tabla_master_rend[[#This Row],[ES_QUESO]]/(Tabla_master_rend[[#This Row],[Kg_Solidos_leche]])</f>
        <v>0.80091597466453457</v>
      </c>
      <c r="AR214" s="7">
        <f t="shared" si="62"/>
        <v>4038.4</v>
      </c>
      <c r="AS214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0.98406437420399873</v>
      </c>
      <c r="AT214" s="62">
        <f>+Tabla_master_rend[[#This Row],[Kg_Queso_Blan]]*Tabla_master_rend[[#This Row],[%PT_QUESO]]/(Tabla_master_rend[[#This Row],[Litros_Leche_Total]]*1.03*Tabla_master_rend[[#This Row],[%MP_Leche]])</f>
        <v>0.81115508948066539</v>
      </c>
      <c r="AU214" s="7">
        <f t="shared" si="63"/>
        <v>30288</v>
      </c>
      <c r="AV214" s="8">
        <v>71.709999999999994</v>
      </c>
      <c r="AW214" s="8">
        <v>90.6</v>
      </c>
      <c r="AX214" s="8">
        <v>10.3</v>
      </c>
      <c r="AY214" s="8">
        <f>SUM(Tabla_master_rend[[#This Row],[Kg_Finos]:[Kg_Desmoldeo]])</f>
        <v>172.61</v>
      </c>
      <c r="AZ214" s="60">
        <f>+(Tabla_master_rend[[#This Row],[Kg_Finos]]+Tabla_master_rend[[#This Row],[Kg_Llenadora]]+Tabla_master_rend[[#This Row],[Kg_Desmoldeo]])/(Tabla_master_rend[[#This Row],[Kg_Queso_Blan]])</f>
        <v>5.3152293437858074E-3</v>
      </c>
      <c r="BA214" s="8">
        <v>535</v>
      </c>
      <c r="BB214" s="60">
        <f>+Tabla_master_rend[[#This Row],[L_Agua]]/(Tabla_master_rend[[#This Row],[L_Agua]]+Tabla_master_rend[[#This Row],[Kg_SalidaSecadero]])</f>
        <v>1.6562441954058572E-2</v>
      </c>
      <c r="BC214" s="8">
        <v>4401</v>
      </c>
      <c r="BD214" s="8">
        <v>4349</v>
      </c>
      <c r="BE214" s="8">
        <v>31958</v>
      </c>
      <c r="BF214" s="8">
        <v>31</v>
      </c>
      <c r="BG214" s="8">
        <v>68</v>
      </c>
      <c r="BH214" s="8">
        <v>35</v>
      </c>
      <c r="BI214" s="8">
        <v>140</v>
      </c>
      <c r="BJ214" s="8">
        <v>101</v>
      </c>
      <c r="BK214" s="8">
        <v>31767</v>
      </c>
      <c r="BL214" s="8">
        <v>0</v>
      </c>
      <c r="BM214" s="8">
        <v>201.15</v>
      </c>
      <c r="BN214" s="8">
        <v>23.61</v>
      </c>
      <c r="BO214" s="68">
        <f>+SUM(Tabla_master_rend[[#This Row],[B_altas]:[B_lab]])/Tabla_master_rend[[#This Row],[Kg_SalidaSecadero]]</f>
        <v>1.1804702993672679E-2</v>
      </c>
      <c r="BP214" s="68">
        <f>+(Tabla_master_rend[[#This Row],[Kg_mer_env_real]]+Tabla_master_rend[[#This Row],[kg_mer_lab_real]])/Tabla_master_rend[[#This Row],[Kg_SalidaSecadero]]</f>
        <v>7.0752667862876567E-3</v>
      </c>
      <c r="BQ214" s="64">
        <f>+Tabla_master_rend[[#This Row],[Merma_TOT]]/Tabla_master_rend[[#This Row],[Kg_Queso_Blan]]</f>
        <v>2.8710737403774826E-2</v>
      </c>
      <c r="BR214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932.37</v>
      </c>
      <c r="BS214" s="138">
        <v>31437.03</v>
      </c>
      <c r="BT214" s="63">
        <f>IF(+Tabla_master_rend[[#This Row],[Kg_Env_Total]]=0,0,Tabla_master_rend[[#This Row],[Kg_Env_Total]]-Tabla_master_rend[[#This Row],[Kg_SalidaSecadero]])</f>
        <v>-329.97000000000116</v>
      </c>
      <c r="BU214" s="60">
        <f>+Tabla_master_rend[[#This Row],[Diferencia_Env_vs_Sec_kg]]/Tabla_master_rend[[#This Row],[Kg_SalidaSecadero]]</f>
        <v>-1.0387194258192501E-2</v>
      </c>
      <c r="BV214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14" s="65">
        <f>+(Tabla_master_rend[[#This Row],[Coste_Leche_€]]-Tabla_master_rend[[#This Row],[Kg_MG_Nata]]*$CO$3)/Tabla_master_rend[[#This Row],[Kg_Queso_Blan]]</f>
        <v>-0.93266708976643597</v>
      </c>
      <c r="BX214" s="8">
        <f>SUM(Tabla_master_rend[[#This Row],[Kg_Finos]:[Kg_Desmoldeo]])+Tabla_master_rend[[#This Row],[L_Agua]]+SUM(Tabla_master_rend[[#This Row],[B_altas]:[B_lab]])</f>
        <v>1082.6100000000001</v>
      </c>
      <c r="BY214" s="8">
        <f>+BX214-Tabla_master_rend[[#This Row],[Merma_TOT]]</f>
        <v>150.24000000000012</v>
      </c>
      <c r="BZ214" s="62">
        <f t="shared" si="64"/>
        <v>0.1387757364147755</v>
      </c>
      <c r="CA214" s="8">
        <f>+Tabla_master_rend[[#This Row],[Kg_Queso_Blan]]*$CA$1</f>
        <v>211.08496499999998</v>
      </c>
      <c r="CB214" s="8">
        <f>+Tabla_master_rend[[#This Row],[Kg_Queso_Blan]]*($CB$1-$CA$1)</f>
        <v>113.66113500000002</v>
      </c>
      <c r="CC214" s="8">
        <f>+(Tabla_master_rend[[#This Row],[Kg_Queso_Blan]]-CA214-CB214)*$CC$1</f>
        <v>337.57357095000009</v>
      </c>
      <c r="CD214" s="8">
        <f t="shared" si="65"/>
        <v>662.31967095000005</v>
      </c>
      <c r="CE214" s="80">
        <f>+CD214/Tabla_master_rend[[#This Row],[Kg_Queso_Blan]]</f>
        <v>2.0395E-2</v>
      </c>
      <c r="CF214" s="62">
        <f>+Tabla_master_rend[[#This Row],[Merma_TOT]]/Tabla_master_rend[[#This Row],[Kg_Queso_Blan]]</f>
        <v>2.8710737403774826E-2</v>
      </c>
      <c r="CG214" s="8">
        <f>CD214-Tabla_master_rend[[#This Row],[Merma_TOT]]</f>
        <v>-270.05032904999996</v>
      </c>
      <c r="CH214" s="81" cm="1">
        <f t="array" ref="CH214">-BR214 * IFERROR(INDEX('Precio Leche_EBITDA_Ventas'!$BD$87:$BD$110,MATCH(1,('Precio Leche_EBITDA_Ventas'!$AZ$87:$AZ$110=YEAR(A214))*('Precio Leche_EBITDA_Ventas'!$BB$87:$BB$110=C214),0)),1.3)</f>
        <v>-1585.029</v>
      </c>
      <c r="CI214" s="81">
        <f t="shared" si="66"/>
        <v>-351.06542776499998</v>
      </c>
    </row>
    <row r="215" spans="1:87" x14ac:dyDescent="0.35">
      <c r="A215" s="9">
        <v>46155</v>
      </c>
      <c r="B215" s="7">
        <v>5</v>
      </c>
      <c r="C215" s="7" t="str">
        <f>+UPPER(TEXT(Tabla_master_rend[[#This Row],[Fecha]],"MMM"))</f>
        <v>MAY</v>
      </c>
      <c r="D215" s="7" t="str">
        <f>+UPPER(TEXT(Tabla_master_rend[[#This Row],[Fecha]],"ddd"))</f>
        <v>MI</v>
      </c>
      <c r="E215" s="122">
        <v>130526326</v>
      </c>
      <c r="F215" s="3" t="s">
        <v>244</v>
      </c>
      <c r="G215" t="s">
        <v>301</v>
      </c>
      <c r="H215">
        <v>13</v>
      </c>
      <c r="I215" s="8">
        <f>+Tabla_master_rend[[#This Row],[L_Leche_ent]]+Tabla_master_rend[[#This Row],[L_desn_ext]]+Tabla_master_rend[[#This Row],[L_cabra]]+Tabla_master_rend[[#This Row],[L_oveja]]</f>
        <v>198958</v>
      </c>
      <c r="J215" s="8">
        <v>198958</v>
      </c>
      <c r="K215" s="66">
        <v>4.1399999999999999E-2</v>
      </c>
      <c r="L215" s="66">
        <v>3.44E-2</v>
      </c>
      <c r="M215" s="5">
        <f t="shared" si="61"/>
        <v>0.111958</v>
      </c>
      <c r="N215" s="3" t="s">
        <v>188</v>
      </c>
      <c r="O215" s="8">
        <v>0</v>
      </c>
      <c r="P215" s="8">
        <v>0</v>
      </c>
      <c r="Q215" s="8">
        <v>0</v>
      </c>
      <c r="R215" s="8">
        <v>3726</v>
      </c>
      <c r="S215" s="8">
        <v>408</v>
      </c>
      <c r="T215" s="8">
        <v>181300</v>
      </c>
      <c r="U215" s="38">
        <f>+Tabla_master_rend[[#This Row],[L_suero Total]]/Tabla_master_rend[[#This Row],[Litros_Leche_Total]]</f>
        <v>0.91124759999597904</v>
      </c>
      <c r="V215" s="66">
        <v>4.0000000000000002E-4</v>
      </c>
      <c r="W215" s="66">
        <v>8.0000000000000002E-3</v>
      </c>
      <c r="X215" s="8">
        <v>181250</v>
      </c>
      <c r="Y215" s="57">
        <v>52662</v>
      </c>
      <c r="Z215" s="58">
        <f>IF(Tabla_master_rend[[#This Row],[L_suero para con]]=0,0,+Tabla_master_rend[[#This Row],[L_suero para con]]/Tabla_master_rend[[#This Row],[L_suero_con]])</f>
        <v>3.441760662337169</v>
      </c>
      <c r="AA215" s="8">
        <f>+Tabla_master_rend[[#This Row],[L_suero Total]]-Tabla_master_rend[[#This Row],[L_suero para con]]</f>
        <v>50</v>
      </c>
      <c r="AD215" s="8">
        <v>0</v>
      </c>
      <c r="AE215" s="8">
        <v>0</v>
      </c>
      <c r="AF215" s="8">
        <v>0</v>
      </c>
      <c r="AG215" s="66">
        <v>0</v>
      </c>
      <c r="AH215" s="66">
        <v>0</v>
      </c>
      <c r="AI215" s="7">
        <f>+Tabla_master_rend[[#This Row],[Kg_Finos]]+Tabla_master_rend[[#This Row],[Kg_Llenadora]]+Tabla_master_rend[[#This Row],[Kg_Desmoldeo]]+Tabla_master_rend[[#This Row],[L_Agua]]+Tabla_master_rend[[#This Row],[Kg_SalidaSecadero]]</f>
        <v>23204.65</v>
      </c>
      <c r="AJ215" s="59">
        <f>+Tabla_master_rend[[#This Row],[Litros_Leche_Total]]/Tabla_master_rend[[#This Row],[Kg_Queso_Blan]]</f>
        <v>8.5740573548836103</v>
      </c>
      <c r="AK215" s="59">
        <f>+Tabla_master_rend[[#This Row],[Litros_Leche_Total]]/(Tabla_master_rend[[#This Row],[Kg_Queso_Blan]]-Tabla_master_rend[[#This Row],[Merma_TOT]])</f>
        <v>8.6738842223616341</v>
      </c>
      <c r="AL215" s="59">
        <f>VLOOKUP(G215,REND_TARGET[#All],8,FALSE)</f>
        <v>9.3549429999999987</v>
      </c>
      <c r="AM215" s="7">
        <f>(I215*1.03*Tabla_master_rend[[#This Row],[%MG_Leche]])+(I215*1.03*Tabla_master_rend[[#This Row],[%MP_Leche]])</f>
        <v>15533.446892</v>
      </c>
      <c r="AN215" s="137">
        <v>0.29120000000000001</v>
      </c>
      <c r="AO215" s="137">
        <v>0.24510000000000001</v>
      </c>
      <c r="AP215" s="64">
        <v>0.57940000000000003</v>
      </c>
      <c r="AQ215" s="38">
        <f>+Tabla_master_rend[[#This Row],[Kg_Queso_Blan]]*Tabla_master_rend[[#This Row],[ES_QUESO]]/(Tabla_master_rend[[#This Row],[Kg_Solidos_leche]])</f>
        <v>0.86553707644401179</v>
      </c>
      <c r="AR215" s="7">
        <f t="shared" si="62"/>
        <v>1490.4</v>
      </c>
      <c r="AS215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0.97213886440187725</v>
      </c>
      <c r="AT215" s="62">
        <f>+Tabla_master_rend[[#This Row],[Kg_Queso_Blan]]*Tabla_master_rend[[#This Row],[%PT_QUESO]]/(Tabla_master_rend[[#This Row],[Litros_Leche_Total]]*1.03*Tabla_master_rend[[#This Row],[%MP_Leche]])</f>
        <v>0.80679139896530827</v>
      </c>
      <c r="AU215" s="7">
        <f t="shared" si="63"/>
        <v>11178</v>
      </c>
      <c r="AV215" s="8">
        <v>28.15</v>
      </c>
      <c r="AW215" s="8">
        <v>25.5</v>
      </c>
      <c r="AX215" s="8">
        <v>0</v>
      </c>
      <c r="AY215" s="8">
        <f>SUM(Tabla_master_rend[[#This Row],[Kg_Finos]:[Kg_Desmoldeo]])</f>
        <v>53.65</v>
      </c>
      <c r="AZ215" s="60">
        <f>+(Tabla_master_rend[[#This Row],[Kg_Finos]]+Tabla_master_rend[[#This Row],[Kg_Llenadora]]+Tabla_master_rend[[#This Row],[Kg_Desmoldeo]])/(Tabla_master_rend[[#This Row],[Kg_Queso_Blan]])</f>
        <v>2.3120365961132789E-3</v>
      </c>
      <c r="BA215" s="8">
        <v>180</v>
      </c>
      <c r="BB215" s="60">
        <f>+Tabla_master_rend[[#This Row],[L_Agua]]/(Tabla_master_rend[[#This Row],[L_Agua]]+Tabla_master_rend[[#This Row],[Kg_SalidaSecadero]])</f>
        <v>7.7750421148114549E-3</v>
      </c>
      <c r="BC215" s="8">
        <v>3054</v>
      </c>
      <c r="BD215" s="8">
        <v>3040</v>
      </c>
      <c r="BE215" s="8">
        <v>23053</v>
      </c>
      <c r="BF215" s="8">
        <v>0</v>
      </c>
      <c r="BG215" s="8">
        <v>0</v>
      </c>
      <c r="BH215" s="8">
        <v>22</v>
      </c>
      <c r="BI215" s="8">
        <v>0</v>
      </c>
      <c r="BJ215" s="8">
        <v>76</v>
      </c>
      <c r="BK215" s="8">
        <v>22971</v>
      </c>
      <c r="BL215" s="8">
        <v>0</v>
      </c>
      <c r="BM215" s="8">
        <v>22.71</v>
      </c>
      <c r="BN215" s="8">
        <v>10.7</v>
      </c>
      <c r="BO215" s="68">
        <f>+SUM(Tabla_master_rend[[#This Row],[B_altas]:[B_lab]])/Tabla_master_rend[[#This Row],[Kg_SalidaSecadero]]</f>
        <v>4.2662487484219237E-3</v>
      </c>
      <c r="BP215" s="68">
        <f>+(Tabla_master_rend[[#This Row],[Kg_mer_env_real]]+Tabla_master_rend[[#This Row],[kg_mer_lab_real]])/Tabla_master_rend[[#This Row],[Kg_SalidaSecadero]]</f>
        <v>1.4544425580079229E-3</v>
      </c>
      <c r="BQ215" s="64">
        <f>+Tabla_master_rend[[#This Row],[Merma_TOT]]/Tabla_master_rend[[#This Row],[Kg_Queso_Blan]]</f>
        <v>1.1508900155787739E-2</v>
      </c>
      <c r="BR215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267.06</v>
      </c>
      <c r="BS215" s="138">
        <v>22606.200000000004</v>
      </c>
      <c r="BT215" s="63">
        <f>IF(+Tabla_master_rend[[#This Row],[Kg_Env_Total]]=0,0,Tabla_master_rend[[#This Row],[Kg_Env_Total]]-Tabla_master_rend[[#This Row],[Kg_SalidaSecadero]])</f>
        <v>-364.79999999999563</v>
      </c>
      <c r="BU215" s="60">
        <f>+Tabla_master_rend[[#This Row],[Diferencia_Env_vs_Sec_kg]]/Tabla_master_rend[[#This Row],[Kg_SalidaSecadero]]</f>
        <v>-1.5880893300247948E-2</v>
      </c>
      <c r="BV215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15" s="65">
        <f>+(Tabla_master_rend[[#This Row],[Coste_Leche_€]]-Tabla_master_rend[[#This Row],[Kg_MG_Nata]]*$CO$3)/Tabla_master_rend[[#This Row],[Kg_Queso_Blan]]</f>
        <v>-0.48171379443344325</v>
      </c>
      <c r="BX215" s="8">
        <f>SUM(Tabla_master_rend[[#This Row],[Kg_Finos]:[Kg_Desmoldeo]])+Tabla_master_rend[[#This Row],[L_Agua]]+SUM(Tabla_master_rend[[#This Row],[B_altas]:[B_lab]])</f>
        <v>331.65</v>
      </c>
      <c r="BY215" s="8">
        <f>+BX215-Tabla_master_rend[[#This Row],[Merma_TOT]]</f>
        <v>64.589999999999975</v>
      </c>
      <c r="BZ215" s="62">
        <f t="shared" si="64"/>
        <v>0.19475350520126633</v>
      </c>
      <c r="CA215" s="8">
        <f>+Tabla_master_rend[[#This Row],[Kg_Queso_Blan]]*$CA$1</f>
        <v>150.83022500000001</v>
      </c>
      <c r="CB215" s="8">
        <f>+Tabla_master_rend[[#This Row],[Kg_Queso_Blan]]*($CB$1-$CA$1)</f>
        <v>81.21627500000001</v>
      </c>
      <c r="CC215" s="8">
        <f>+(Tabla_master_rend[[#This Row],[Kg_Queso_Blan]]-CA215-CB215)*$CC$1</f>
        <v>241.21233675000002</v>
      </c>
      <c r="CD215" s="8">
        <f t="shared" si="65"/>
        <v>473.25883675000006</v>
      </c>
      <c r="CE215" s="80">
        <f>+CD215/Tabla_master_rend[[#This Row],[Kg_Queso_Blan]]</f>
        <v>2.0395E-2</v>
      </c>
      <c r="CF215" s="62">
        <f>+Tabla_master_rend[[#This Row],[Merma_TOT]]/Tabla_master_rend[[#This Row],[Kg_Queso_Blan]]</f>
        <v>1.1508900155787739E-2</v>
      </c>
      <c r="CG215" s="8">
        <f>CD215-Tabla_master_rend[[#This Row],[Merma_TOT]]</f>
        <v>206.19883675000005</v>
      </c>
      <c r="CH215" s="81" cm="1">
        <f t="array" ref="CH215">-BR215 * IFERROR(INDEX('Precio Leche_EBITDA_Ventas'!$BD$87:$BD$110,MATCH(1,('Precio Leche_EBITDA_Ventas'!$AZ$87:$AZ$110=YEAR(A215))*('Precio Leche_EBITDA_Ventas'!$BB$87:$BB$110=C215),0)),1.3)</f>
        <v>-454.00200000000001</v>
      </c>
      <c r="CI215" s="81">
        <f t="shared" si="66"/>
        <v>268.05848777500006</v>
      </c>
    </row>
    <row r="216" spans="1:87" x14ac:dyDescent="0.35">
      <c r="A216" s="9">
        <v>46156</v>
      </c>
      <c r="B216" s="7">
        <v>5</v>
      </c>
      <c r="C216" s="7" t="str">
        <f>+UPPER(TEXT(Tabla_master_rend[[#This Row],[Fecha]],"MMM"))</f>
        <v>MAY</v>
      </c>
      <c r="D216" s="7" t="str">
        <f>+UPPER(TEXT(Tabla_master_rend[[#This Row],[Fecha]],"ddd"))</f>
        <v>JU</v>
      </c>
      <c r="E216" s="122">
        <v>140526307</v>
      </c>
      <c r="F216" s="3" t="s">
        <v>143</v>
      </c>
      <c r="G216" t="s">
        <v>41</v>
      </c>
      <c r="H216">
        <v>2</v>
      </c>
      <c r="I216" s="8">
        <f>+Tabla_master_rend[[#This Row],[L_Leche_ent]]+Tabla_master_rend[[#This Row],[L_desn_ext]]+Tabla_master_rend[[#This Row],[L_cabra]]+Tabla_master_rend[[#This Row],[L_oveja]]</f>
        <v>19968</v>
      </c>
      <c r="J216" s="8">
        <v>16000</v>
      </c>
      <c r="K216" s="66">
        <v>4.3099999999999999E-2</v>
      </c>
      <c r="L216" s="66">
        <v>3.5799999999999998E-2</v>
      </c>
      <c r="M216" s="5">
        <f t="shared" si="61"/>
        <v>0.114575</v>
      </c>
      <c r="N216" s="3" t="s">
        <v>43</v>
      </c>
      <c r="O216" s="8">
        <v>0</v>
      </c>
      <c r="P216" s="8">
        <v>2016</v>
      </c>
      <c r="Q216" s="8">
        <v>1952</v>
      </c>
      <c r="R216" s="8">
        <v>0</v>
      </c>
      <c r="S216" s="8">
        <v>0</v>
      </c>
      <c r="T216" s="8">
        <v>27600</v>
      </c>
      <c r="U216" s="38">
        <f>+Tabla_master_rend[[#This Row],[L_suero Total]]/Tabla_master_rend[[#This Row],[Litros_Leche_Total]]</f>
        <v>1.3822115384615385</v>
      </c>
      <c r="V216" s="66">
        <v>1E-4</v>
      </c>
      <c r="W216" s="66">
        <v>8.8999999999999999E-3</v>
      </c>
      <c r="X216" s="8">
        <f>(126767+77873)/(19968+202962)*19968</f>
        <v>18329.751581213834</v>
      </c>
      <c r="Y216" s="57">
        <f>(37240+22029)/(18330+186310)*18330</f>
        <v>5308.8387900703683</v>
      </c>
      <c r="Z216" s="58">
        <f>IF(Tabla_master_rend[[#This Row],[L_suero para con]]=0,0,+Tabla_master_rend[[#This Row],[L_suero para con]]/Tabla_master_rend[[#This Row],[L_suero_con]])</f>
        <v>3.4526856636705054</v>
      </c>
      <c r="AA216" s="8">
        <f>+Tabla_master_rend[[#This Row],[L_suero Total]]-Tabla_master_rend[[#This Row],[L_suero para con]]</f>
        <v>9270.2484187861664</v>
      </c>
      <c r="AD216" s="8">
        <v>0</v>
      </c>
      <c r="AE216" s="8">
        <v>0</v>
      </c>
      <c r="AF216" s="8">
        <v>0</v>
      </c>
      <c r="AG216" s="66">
        <v>0</v>
      </c>
      <c r="AH216" s="66">
        <v>0</v>
      </c>
      <c r="AI216" s="7">
        <f>+Tabla_master_rend[[#This Row],[Kg_Finos]]+Tabla_master_rend[[#This Row],[Kg_Llenadora]]+Tabla_master_rend[[#This Row],[Kg_Desmoldeo]]+Tabla_master_rend[[#This Row],[L_Agua]]+Tabla_master_rend[[#This Row],[Kg_SalidaSecadero]]</f>
        <v>2815.2508405329027</v>
      </c>
      <c r="AJ216" s="59">
        <f>+Tabla_master_rend[[#This Row],[Litros_Leche_Total]]/Tabla_master_rend[[#This Row],[Kg_Queso_Blan]]</f>
        <v>7.0927960352620767</v>
      </c>
      <c r="AK216" s="59">
        <f>+Tabla_master_rend[[#This Row],[Litros_Leche_Total]]/(Tabla_master_rend[[#This Row],[Kg_Queso_Blan]]-Tabla_master_rend[[#This Row],[Merma_TOT]])</f>
        <v>7.8489948978388533</v>
      </c>
      <c r="AL216" s="59">
        <f>VLOOKUP(G216,REND_TARGET[#All],8,FALSE)</f>
        <v>7.5160994999999993</v>
      </c>
      <c r="AM216" s="7">
        <f>(I216*1.03*Tabla_master_rend[[#This Row],[%MG_Leche]])+(I216*1.03*Tabla_master_rend[[#This Row],[%MP_Leche]])</f>
        <v>1622.739456</v>
      </c>
      <c r="AN216" s="137">
        <v>0.31240000000000001</v>
      </c>
      <c r="AO216" s="137">
        <v>0.22040000000000001</v>
      </c>
      <c r="AP216" s="64">
        <v>0.57230000000000003</v>
      </c>
      <c r="AQ216" s="38">
        <f>+Tabla_master_rend[[#This Row],[Kg_Queso_Blan]]*Tabla_master_rend[[#This Row],[ES_QUESO]]/(Tabla_master_rend[[#This Row],[Kg_Solidos_leche]])</f>
        <v>0.99286921882608137</v>
      </c>
      <c r="AR216" s="7">
        <f t="shared" si="62"/>
        <v>0</v>
      </c>
      <c r="AS216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0.99215393491172033</v>
      </c>
      <c r="AT216" s="62">
        <f>+Tabla_master_rend[[#This Row],[Kg_Queso_Blan]]*Tabla_master_rend[[#This Row],[%PT_QUESO]]/(Tabla_master_rend[[#This Row],[Litros_Leche_Total]]*1.03*Tabla_master_rend[[#This Row],[%MP_Leche]])</f>
        <v>0.84270169535107642</v>
      </c>
      <c r="AU216" s="7">
        <f t="shared" si="63"/>
        <v>0</v>
      </c>
      <c r="AV216" s="8">
        <f>37.41/(19968+202962)*19968</f>
        <v>3.3508405329027044</v>
      </c>
      <c r="AW216" s="8">
        <v>0</v>
      </c>
      <c r="AX216" s="8">
        <v>9.9</v>
      </c>
      <c r="AY216" s="8">
        <f>SUM(Tabla_master_rend[[#This Row],[Kg_Finos]:[Kg_Desmoldeo]])</f>
        <v>13.250840532902705</v>
      </c>
      <c r="AZ216" s="60">
        <f>+(Tabla_master_rend[[#This Row],[Kg_Finos]]+Tabla_master_rend[[#This Row],[Kg_Llenadora]]+Tabla_master_rend[[#This Row],[Kg_Desmoldeo]])/(Tabla_master_rend[[#This Row],[Kg_Queso_Blan]])</f>
        <v>4.7068063499430251E-3</v>
      </c>
      <c r="BA216" s="8">
        <v>170</v>
      </c>
      <c r="BB216" s="60">
        <f>+Tabla_master_rend[[#This Row],[L_Agua]]/(Tabla_master_rend[[#This Row],[L_Agua]]+Tabla_master_rend[[#This Row],[Kg_SalidaSecadero]])</f>
        <v>6.0670949321912922E-2</v>
      </c>
      <c r="BC216" s="8">
        <v>377</v>
      </c>
      <c r="BD216" s="8">
        <v>357</v>
      </c>
      <c r="BE216" s="8">
        <v>2668</v>
      </c>
      <c r="BF216" s="8">
        <v>197</v>
      </c>
      <c r="BG216" s="8">
        <v>0</v>
      </c>
      <c r="BH216" s="8">
        <v>21</v>
      </c>
      <c r="BI216" s="8">
        <v>42</v>
      </c>
      <c r="BJ216" s="8">
        <v>71</v>
      </c>
      <c r="BK216" s="8">
        <v>2632</v>
      </c>
      <c r="BL216" s="8">
        <v>0</v>
      </c>
      <c r="BM216" s="8">
        <v>77.25</v>
      </c>
      <c r="BN216" s="8">
        <v>10.73</v>
      </c>
      <c r="BO216" s="68">
        <f>+SUM(Tabla_master_rend[[#This Row],[B_altas]:[B_lab]])/Tabla_master_rend[[#This Row],[Kg_SalidaSecadero]]</f>
        <v>0.12575987841945288</v>
      </c>
      <c r="BP216" s="68">
        <f>+(Tabla_master_rend[[#This Row],[Kg_mer_env_real]]+Tabla_master_rend[[#This Row],[kg_mer_lab_real]])/Tabla_master_rend[[#This Row],[Kg_SalidaSecadero]]</f>
        <v>3.3427051671732523E-2</v>
      </c>
      <c r="BQ216" s="64">
        <f>+Tabla_master_rend[[#This Row],[Merma_TOT]]/Tabla_master_rend[[#This Row],[Kg_Queso_Blan]]</f>
        <v>9.6343400960164888E-2</v>
      </c>
      <c r="BR216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271.23084053290268</v>
      </c>
      <c r="BS216" s="138">
        <v>2628.84</v>
      </c>
      <c r="BT216" s="63">
        <f>IF(+Tabla_master_rend[[#This Row],[Kg_Env_Total]]=0,0,Tabla_master_rend[[#This Row],[Kg_Env_Total]]-Tabla_master_rend[[#This Row],[Kg_SalidaSecadero]])</f>
        <v>-3.1599999999998545</v>
      </c>
      <c r="BU216" s="60">
        <f>+Tabla_master_rend[[#This Row],[Diferencia_Env_vs_Sec_kg]]/Tabla_master_rend[[#This Row],[Kg_SalidaSecadero]]</f>
        <v>-1.200607902735507E-3</v>
      </c>
      <c r="BV216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16" s="65">
        <f>+(Tabla_master_rend[[#This Row],[Coste_Leche_€]]-Tabla_master_rend[[#This Row],[Kg_MG_Nata]]*$CO$3)/Tabla_master_rend[[#This Row],[Kg_Queso_Blan]]</f>
        <v>0</v>
      </c>
      <c r="BX216" s="8">
        <f>SUM(Tabla_master_rend[[#This Row],[Kg_Finos]:[Kg_Desmoldeo]])+Tabla_master_rend[[#This Row],[L_Agua]]+SUM(Tabla_master_rend[[#This Row],[B_altas]:[B_lab]])</f>
        <v>514.25084053290266</v>
      </c>
      <c r="BY216" s="8">
        <f>+BX216-Tabla_master_rend[[#This Row],[Merma_TOT]]</f>
        <v>243.01999999999998</v>
      </c>
      <c r="BZ216" s="62">
        <f t="shared" si="64"/>
        <v>0.47257093395932165</v>
      </c>
      <c r="CA216" s="8">
        <f>+Tabla_master_rend[[#This Row],[Kg_Queso_Blan]]*$CA$1</f>
        <v>18.299130463463868</v>
      </c>
      <c r="CB216" s="8">
        <f>+Tabla_master_rend[[#This Row],[Kg_Queso_Blan]]*($CB$1-$CA$1)</f>
        <v>9.8533779418651601</v>
      </c>
      <c r="CC216" s="8">
        <f>+(Tabla_master_rend[[#This Row],[Kg_Queso_Blan]]-CA216-CB216)*$CC$1</f>
        <v>29.264532487339523</v>
      </c>
      <c r="CD216" s="8">
        <f t="shared" si="65"/>
        <v>57.417040892668552</v>
      </c>
      <c r="CE216" s="80">
        <f>+CD216/Tabla_master_rend[[#This Row],[Kg_Queso_Blan]]</f>
        <v>2.0395E-2</v>
      </c>
      <c r="CF216" s="62">
        <f>+Tabla_master_rend[[#This Row],[Merma_TOT]]/Tabla_master_rend[[#This Row],[Kg_Queso_Blan]]</f>
        <v>9.6343400960164888E-2</v>
      </c>
      <c r="CG216" s="8">
        <f>CD216-Tabla_master_rend[[#This Row],[Merma_TOT]]</f>
        <v>-213.81379964023412</v>
      </c>
      <c r="CH216" s="81" cm="1">
        <f t="array" ref="CH216">-BR216 * IFERROR(INDEX('Precio Leche_EBITDA_Ventas'!$BD$87:$BD$110,MATCH(1,('Precio Leche_EBITDA_Ventas'!$AZ$87:$AZ$110=YEAR(A216))*('Precio Leche_EBITDA_Ventas'!$BB$87:$BB$110=C216),0)),1.3)</f>
        <v>-461.09242890593453</v>
      </c>
      <c r="CI216" s="81">
        <f t="shared" si="66"/>
        <v>-277.95793953230435</v>
      </c>
    </row>
    <row r="217" spans="1:87" x14ac:dyDescent="0.35">
      <c r="A217" s="9">
        <v>46156</v>
      </c>
      <c r="B217" s="7">
        <v>5</v>
      </c>
      <c r="C217" s="7" t="str">
        <f>+UPPER(TEXT(Tabla_master_rend[[#This Row],[Fecha]],"MMM"))</f>
        <v>MAY</v>
      </c>
      <c r="D217" s="7" t="str">
        <f>+UPPER(TEXT(Tabla_master_rend[[#This Row],[Fecha]],"ddd"))</f>
        <v>JU</v>
      </c>
      <c r="E217" s="122">
        <v>140526316</v>
      </c>
      <c r="F217" s="3" t="s">
        <v>244</v>
      </c>
      <c r="G217" t="s">
        <v>299</v>
      </c>
      <c r="H217">
        <v>13</v>
      </c>
      <c r="I217" s="8">
        <f>+Tabla_master_rend[[#This Row],[L_Leche_ent]]+Tabla_master_rend[[#This Row],[L_desn_ext]]+Tabla_master_rend[[#This Row],[L_cabra]]+Tabla_master_rend[[#This Row],[L_oveja]]</f>
        <v>202962</v>
      </c>
      <c r="J217" s="8">
        <v>202962</v>
      </c>
      <c r="K217" s="66">
        <v>4.2599999999999999E-2</v>
      </c>
      <c r="L217" s="66">
        <v>3.49E-2</v>
      </c>
      <c r="M217" s="5">
        <f t="shared" si="61"/>
        <v>0.113444</v>
      </c>
      <c r="N217" s="3" t="s">
        <v>188</v>
      </c>
      <c r="O217" s="8">
        <v>0</v>
      </c>
      <c r="P217" s="8">
        <v>0</v>
      </c>
      <c r="Q217" s="8">
        <v>0</v>
      </c>
      <c r="R217" s="8">
        <v>8608</v>
      </c>
      <c r="S217" s="8">
        <v>384.8</v>
      </c>
      <c r="T217" s="8">
        <v>178480</v>
      </c>
      <c r="U217" s="38">
        <f>+Tabla_master_rend[[#This Row],[L_suero Total]]/Tabla_master_rend[[#This Row],[Litros_Leche_Total]]</f>
        <v>0.87937643499768425</v>
      </c>
      <c r="V217" s="66">
        <v>1E-4</v>
      </c>
      <c r="W217" s="66">
        <v>8.8999999999999999E-3</v>
      </c>
      <c r="X217" s="8">
        <f>(126767+77873)/(19968+202962)*202962</f>
        <v>186310.24841878616</v>
      </c>
      <c r="Y217" s="57">
        <f>(37240+22029)/(18330+186310)*186310</f>
        <v>53960.16120992964</v>
      </c>
      <c r="Z217" s="58">
        <f>IF(Tabla_master_rend[[#This Row],[L_suero para con]]=0,0,+Tabla_master_rend[[#This Row],[L_suero para con]]/Tabla_master_rend[[#This Row],[L_suero_con]])</f>
        <v>3.4527370608466921</v>
      </c>
      <c r="AA217" s="8">
        <f>+Tabla_master_rend[[#This Row],[L_suero Total]]-Tabla_master_rend[[#This Row],[L_suero para con]]</f>
        <v>-7830.2484187861555</v>
      </c>
      <c r="AD217" s="8">
        <v>0</v>
      </c>
      <c r="AE217" s="8">
        <v>0</v>
      </c>
      <c r="AF217" s="8">
        <v>0</v>
      </c>
      <c r="AG217" s="66">
        <v>0</v>
      </c>
      <c r="AH217" s="66">
        <v>0</v>
      </c>
      <c r="AI217" s="7">
        <f>+Tabla_master_rend[[#This Row],[Kg_Finos]]+Tabla_master_rend[[#This Row],[Kg_Llenadora]]+Tabla_master_rend[[#This Row],[Kg_Desmoldeo]]+Tabla_master_rend[[#This Row],[L_Agua]]+Tabla_master_rend[[#This Row],[Kg_SalidaSecadero]]</f>
        <v>22165.759159467096</v>
      </c>
      <c r="AJ217" s="59">
        <f>+Tabla_master_rend[[#This Row],[Litros_Leche_Total]]/Tabla_master_rend[[#This Row],[Kg_Queso_Blan]]</f>
        <v>9.1565553220997629</v>
      </c>
      <c r="AK217" s="59">
        <f>+Tabla_master_rend[[#This Row],[Litros_Leche_Total]]/(Tabla_master_rend[[#This Row],[Kg_Queso_Blan]]-Tabla_master_rend[[#This Row],[Merma_TOT]])</f>
        <v>9.3316376917941621</v>
      </c>
      <c r="AL217" s="59">
        <f>VLOOKUP(G217,REND_TARGET[#All],8,FALSE)</f>
        <v>9.8078500000000002</v>
      </c>
      <c r="AM217" s="7">
        <f>(I217*1.03*Tabla_master_rend[[#This Row],[%MG_Leche]])+(I217*1.03*Tabla_master_rend[[#This Row],[%MP_Leche]])</f>
        <v>16201.441650000001</v>
      </c>
      <c r="AN217" s="137">
        <v>0.22720000000000001</v>
      </c>
      <c r="AO217" s="137">
        <v>0.25750000000000001</v>
      </c>
      <c r="AP217" s="64">
        <v>0.53569999999999995</v>
      </c>
      <c r="AQ217" s="38">
        <f>+Tabla_master_rend[[#This Row],[Kg_Queso_Blan]]*Tabla_master_rend[[#This Row],[ES_QUESO]]/(Tabla_master_rend[[#This Row],[Kg_Solidos_leche]])</f>
        <v>0.73290991247846893</v>
      </c>
      <c r="AR217" s="7">
        <f t="shared" si="62"/>
        <v>3443.2000000000003</v>
      </c>
      <c r="AS217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0.95213037278888368</v>
      </c>
      <c r="AT217" s="62">
        <f>+Tabla_master_rend[[#This Row],[Kg_Queso_Blan]]*Tabla_master_rend[[#This Row],[%PT_QUESO]]/(Tabla_master_rend[[#This Row],[Litros_Leche_Total]]*1.03*Tabla_master_rend[[#This Row],[%MP_Leche]])</f>
        <v>0.78231644218278784</v>
      </c>
      <c r="AU217" s="7">
        <f t="shared" si="63"/>
        <v>25824.000000000004</v>
      </c>
      <c r="AV217" s="8">
        <f>37.41/(19968+202962)*202962</f>
        <v>34.059159467097288</v>
      </c>
      <c r="AW217" s="8">
        <v>29.1</v>
      </c>
      <c r="AX217" s="8">
        <v>13.6</v>
      </c>
      <c r="AY217" s="8">
        <f>SUM(Tabla_master_rend[[#This Row],[Kg_Finos]:[Kg_Desmoldeo]])</f>
        <v>76.759159467097291</v>
      </c>
      <c r="AZ217" s="60">
        <f>+(Tabla_master_rend[[#This Row],[Kg_Finos]]+Tabla_master_rend[[#This Row],[Kg_Llenadora]]+Tabla_master_rend[[#This Row],[Kg_Desmoldeo]])/(Tabla_master_rend[[#This Row],[Kg_Queso_Blan]])</f>
        <v>3.4629609983068462E-3</v>
      </c>
      <c r="BA217" s="8">
        <v>155</v>
      </c>
      <c r="BB217" s="60">
        <f>+Tabla_master_rend[[#This Row],[L_Agua]]/(Tabla_master_rend[[#This Row],[L_Agua]]+Tabla_master_rend[[#This Row],[Kg_SalidaSecadero]])</f>
        <v>7.0170673185748567E-3</v>
      </c>
      <c r="BC217" s="8">
        <v>3054</v>
      </c>
      <c r="BD217" s="8">
        <v>2995</v>
      </c>
      <c r="BE217" s="8">
        <v>21709</v>
      </c>
      <c r="BF217" s="8">
        <v>0</v>
      </c>
      <c r="BG217" s="8">
        <v>138</v>
      </c>
      <c r="BH217" s="8">
        <v>0</v>
      </c>
      <c r="BI217" s="8">
        <v>154</v>
      </c>
      <c r="BJ217" s="8">
        <v>88</v>
      </c>
      <c r="BK217" s="8">
        <v>21934</v>
      </c>
      <c r="BL217" s="8">
        <v>0</v>
      </c>
      <c r="BM217" s="8">
        <v>168.52</v>
      </c>
      <c r="BN217" s="8">
        <v>15.6</v>
      </c>
      <c r="BO217" s="68">
        <f>+SUM(Tabla_master_rend[[#This Row],[B_altas]:[B_lab]])/Tabla_master_rend[[#This Row],[Kg_SalidaSecadero]]</f>
        <v>1.7324701376857845E-2</v>
      </c>
      <c r="BP217" s="68">
        <f>+(Tabla_master_rend[[#This Row],[Kg_mer_env_real]]+Tabla_master_rend[[#This Row],[kg_mer_lab_real]])/Tabla_master_rend[[#This Row],[Kg_SalidaSecadero]]</f>
        <v>8.3942737302817542E-3</v>
      </c>
      <c r="BQ217" s="64">
        <f>+Tabla_master_rend[[#This Row],[Merma_TOT]]/Tabla_master_rend[[#This Row],[Kg_Queso_Blan]]</f>
        <v>1.8762233969752101E-2</v>
      </c>
      <c r="BR217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415.87915946709734</v>
      </c>
      <c r="BS217" s="138">
        <v>21406.16</v>
      </c>
      <c r="BT217" s="63">
        <f>IF(+Tabla_master_rend[[#This Row],[Kg_Env_Total]]=0,0,Tabla_master_rend[[#This Row],[Kg_Env_Total]]-Tabla_master_rend[[#This Row],[Kg_SalidaSecadero]])</f>
        <v>-527.84000000000015</v>
      </c>
      <c r="BU217" s="60">
        <f>+Tabla_master_rend[[#This Row],[Diferencia_Env_vs_Sec_kg]]/Tabla_master_rend[[#This Row],[Kg_SalidaSecadero]]</f>
        <v>-2.4064922038843809E-2</v>
      </c>
      <c r="BV217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17" s="65">
        <f>+(Tabla_master_rend[[#This Row],[Coste_Leche_€]]-Tabla_master_rend[[#This Row],[Kg_MG_Nata]]*$CO$3)/Tabla_master_rend[[#This Row],[Kg_Queso_Blan]]</f>
        <v>-1.1650401781511037</v>
      </c>
      <c r="BX217" s="8">
        <f>SUM(Tabla_master_rend[[#This Row],[Kg_Finos]:[Kg_Desmoldeo]])+Tabla_master_rend[[#This Row],[L_Agua]]+SUM(Tabla_master_rend[[#This Row],[B_altas]:[B_lab]])</f>
        <v>611.75915946709733</v>
      </c>
      <c r="BY217" s="8">
        <f>+BX217-Tabla_master_rend[[#This Row],[Merma_TOT]]</f>
        <v>195.88</v>
      </c>
      <c r="BZ217" s="62">
        <f t="shared" si="64"/>
        <v>0.32019136447524682</v>
      </c>
      <c r="CA217" s="8">
        <f>+Tabla_master_rend[[#This Row],[Kg_Queso_Blan]]*$CA$1</f>
        <v>144.07743453653612</v>
      </c>
      <c r="CB217" s="8">
        <f>+Tabla_master_rend[[#This Row],[Kg_Queso_Blan]]*($CB$1-$CA$1)</f>
        <v>77.580157058134844</v>
      </c>
      <c r="CC217" s="8">
        <f>+(Tabla_master_rend[[#This Row],[Kg_Queso_Blan]]-CA217-CB217)*$CC$1</f>
        <v>230.41306646266048</v>
      </c>
      <c r="CD217" s="8">
        <f t="shared" si="65"/>
        <v>452.07065805733146</v>
      </c>
      <c r="CE217" s="80">
        <f>+CD217/Tabla_master_rend[[#This Row],[Kg_Queso_Blan]]</f>
        <v>2.0395000000000003E-2</v>
      </c>
      <c r="CF217" s="62">
        <f>+Tabla_master_rend[[#This Row],[Merma_TOT]]/Tabla_master_rend[[#This Row],[Kg_Queso_Blan]]</f>
        <v>1.8762233969752101E-2</v>
      </c>
      <c r="CG217" s="8">
        <f>CD217-Tabla_master_rend[[#This Row],[Merma_TOT]]</f>
        <v>36.191498590234119</v>
      </c>
      <c r="CH217" s="81" cm="1">
        <f t="array" ref="CH217">-BR217 * IFERROR(INDEX('Precio Leche_EBITDA_Ventas'!$BD$87:$BD$110,MATCH(1,('Precio Leche_EBITDA_Ventas'!$AZ$87:$AZ$110=YEAR(A217))*('Precio Leche_EBITDA_Ventas'!$BB$87:$BB$110=C217),0)),1.3)</f>
        <v>-706.99457109406546</v>
      </c>
      <c r="CI217" s="81">
        <f t="shared" si="66"/>
        <v>47.048948167304353</v>
      </c>
    </row>
    <row r="218" spans="1:87" x14ac:dyDescent="0.35">
      <c r="A218" s="9">
        <v>46160</v>
      </c>
      <c r="B218" s="7">
        <v>5</v>
      </c>
      <c r="C218" s="7" t="str">
        <f>+UPPER(TEXT(Tabla_master_rend[[#This Row],[Fecha]],"MMM"))</f>
        <v>MAY</v>
      </c>
      <c r="D218" s="7" t="str">
        <f>+UPPER(TEXT(Tabla_master_rend[[#This Row],[Fecha]],"ddd"))</f>
        <v>LU</v>
      </c>
      <c r="E218" s="122">
        <v>180526316</v>
      </c>
      <c r="F218" s="3" t="s">
        <v>244</v>
      </c>
      <c r="G218" t="s">
        <v>299</v>
      </c>
      <c r="H218">
        <v>17</v>
      </c>
      <c r="I218" s="8">
        <f>+Tabla_master_rend[[#This Row],[L_Leche_ent]]+Tabla_master_rend[[#This Row],[L_desn_ext]]+Tabla_master_rend[[#This Row],[L_cabra]]+Tabla_master_rend[[#This Row],[L_oveja]]</f>
        <v>264089</v>
      </c>
      <c r="J218" s="8">
        <v>264089</v>
      </c>
      <c r="K218" s="66">
        <v>4.07E-2</v>
      </c>
      <c r="L218" s="66">
        <v>3.4799999999999998E-2</v>
      </c>
      <c r="M218" s="5">
        <f t="shared" si="61"/>
        <v>0.11160299999999999</v>
      </c>
      <c r="N218" s="3" t="s">
        <v>188</v>
      </c>
      <c r="O218" s="8">
        <v>0</v>
      </c>
      <c r="P218" s="8">
        <v>0</v>
      </c>
      <c r="Q218" s="8">
        <v>0</v>
      </c>
      <c r="R218" s="8">
        <v>10151</v>
      </c>
      <c r="S218" s="8">
        <v>373</v>
      </c>
      <c r="T218" s="8">
        <v>235440</v>
      </c>
      <c r="U218" s="38">
        <f>+Tabla_master_rend[[#This Row],[L_suero Total]]/Tabla_master_rend[[#This Row],[Litros_Leche_Total]]</f>
        <v>0.89151763231334891</v>
      </c>
      <c r="V218" s="66">
        <v>0</v>
      </c>
      <c r="W218" s="66">
        <v>7.7999999999999996E-3</v>
      </c>
      <c r="X218" s="8">
        <v>231061</v>
      </c>
      <c r="Y218" s="57">
        <v>65927</v>
      </c>
      <c r="Z218" s="58">
        <f>IF(Tabla_master_rend[[#This Row],[L_suero para con]]=0,0,+Tabla_master_rend[[#This Row],[L_suero para con]]/Tabla_master_rend[[#This Row],[L_suero_con]])</f>
        <v>3.504800764481927</v>
      </c>
      <c r="AA218" s="8">
        <f>+Tabla_master_rend[[#This Row],[L_suero Total]]-Tabla_master_rend[[#This Row],[L_suero para con]]</f>
        <v>4379</v>
      </c>
      <c r="AD218" s="8">
        <v>0</v>
      </c>
      <c r="AE218" s="8">
        <v>0</v>
      </c>
      <c r="AF218" s="8">
        <v>0</v>
      </c>
      <c r="AG218" s="66">
        <v>0</v>
      </c>
      <c r="AH218" s="66">
        <v>0</v>
      </c>
      <c r="AI218" s="7">
        <f>+Tabla_master_rend[[#This Row],[Kg_Finos]]+Tabla_master_rend[[#This Row],[Kg_Llenadora]]+Tabla_master_rend[[#This Row],[Kg_Desmoldeo]]+Tabla_master_rend[[#This Row],[L_Agua]]+Tabla_master_rend[[#This Row],[Kg_SalidaSecadero]]</f>
        <v>30521.360000000001</v>
      </c>
      <c r="AJ218" s="59">
        <f>+Tabla_master_rend[[#This Row],[Litros_Leche_Total]]/Tabla_master_rend[[#This Row],[Kg_Queso_Blan]]</f>
        <v>8.6525960835296978</v>
      </c>
      <c r="AK218" s="59">
        <f>+Tabla_master_rend[[#This Row],[Litros_Leche_Total]]/(Tabla_master_rend[[#This Row],[Kg_Queso_Blan]]-Tabla_master_rend[[#This Row],[Merma_TOT]])</f>
        <v>8.8209290184579192</v>
      </c>
      <c r="AL218" s="59">
        <f>VLOOKUP(G218,REND_TARGET[#All],8,FALSE)</f>
        <v>9.8078500000000002</v>
      </c>
      <c r="AM218" s="7">
        <f>(I218*1.03*Tabla_master_rend[[#This Row],[%MG_Leche]])+(I218*1.03*Tabla_master_rend[[#This Row],[%MP_Leche]])</f>
        <v>20536.881084999997</v>
      </c>
      <c r="AN218" s="137">
        <v>0.2155</v>
      </c>
      <c r="AO218" s="137">
        <v>0.2452</v>
      </c>
      <c r="AP218" s="64">
        <v>0.51790000000000003</v>
      </c>
      <c r="AQ218" s="38">
        <f>+Tabla_master_rend[[#This Row],[Kg_Queso_Blan]]*Tabla_master_rend[[#This Row],[ES_QUESO]]/(Tabla_master_rend[[#This Row],[Kg_Solidos_leche]])</f>
        <v>0.76968904277998373</v>
      </c>
      <c r="AR218" s="7">
        <f t="shared" si="62"/>
        <v>4060.4</v>
      </c>
      <c r="AS218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0.96087735700992016</v>
      </c>
      <c r="AT218" s="62">
        <f>+Tabla_master_rend[[#This Row],[Kg_Queso_Blan]]*Tabla_master_rend[[#This Row],[%PT_QUESO]]/(Tabla_master_rend[[#This Row],[Litros_Leche_Total]]*1.03*Tabla_master_rend[[#This Row],[%MP_Leche]])</f>
        <v>0.79060137721128021</v>
      </c>
      <c r="AU218" s="7">
        <f t="shared" si="63"/>
        <v>30453</v>
      </c>
      <c r="AV218" s="8">
        <v>66.36</v>
      </c>
      <c r="AW218" s="8">
        <v>78</v>
      </c>
      <c r="AX218" s="8">
        <v>7</v>
      </c>
      <c r="AY218" s="8">
        <f>SUM(Tabla_master_rend[[#This Row],[Kg_Finos]:[Kg_Desmoldeo]])</f>
        <v>151.36000000000001</v>
      </c>
      <c r="AZ218" s="60">
        <f>+(Tabla_master_rend[[#This Row],[Kg_Finos]]+Tabla_master_rend[[#This Row],[Kg_Llenadora]]+Tabla_master_rend[[#This Row],[Kg_Desmoldeo]])/(Tabla_master_rend[[#This Row],[Kg_Queso_Blan]])</f>
        <v>4.9591499199249317E-3</v>
      </c>
      <c r="BA218" s="8">
        <v>210</v>
      </c>
      <c r="BB218" s="60">
        <f>+Tabla_master_rend[[#This Row],[L_Agua]]/(Tabla_master_rend[[#This Row],[L_Agua]]+Tabla_master_rend[[#This Row],[Kg_SalidaSecadero]])</f>
        <v>6.91471847217649E-3</v>
      </c>
      <c r="BC218" s="8">
        <v>4195</v>
      </c>
      <c r="BD218" s="8">
        <v>4145</v>
      </c>
      <c r="BE218" s="8">
        <v>30054</v>
      </c>
      <c r="BF218" s="8">
        <v>0</v>
      </c>
      <c r="BG218" s="8">
        <v>84</v>
      </c>
      <c r="BH218" s="8">
        <v>72</v>
      </c>
      <c r="BI218" s="8">
        <v>72</v>
      </c>
      <c r="BJ218" s="8">
        <v>88</v>
      </c>
      <c r="BK218" s="8">
        <v>30160</v>
      </c>
      <c r="BL218" s="8">
        <v>0</v>
      </c>
      <c r="BM218" s="8">
        <v>200.16</v>
      </c>
      <c r="BN218" s="8">
        <v>20.93</v>
      </c>
      <c r="BO218" s="68">
        <f>+SUM(Tabla_master_rend[[#This Row],[B_altas]:[B_lab]])/Tabla_master_rend[[#This Row],[Kg_SalidaSecadero]]</f>
        <v>1.0477453580901857E-2</v>
      </c>
      <c r="BP218" s="68">
        <f>+(Tabla_master_rend[[#This Row],[Kg_mer_env_real]]+Tabla_master_rend[[#This Row],[kg_mer_lab_real]])/Tabla_master_rend[[#This Row],[Kg_SalidaSecadero]]</f>
        <v>7.3305702917771881E-3</v>
      </c>
      <c r="BQ218" s="64">
        <f>+Tabla_master_rend[[#This Row],[Merma_TOT]]/Tabla_master_rend[[#This Row],[Kg_Queso_Blan]]</f>
        <v>1.9083356704943686E-2</v>
      </c>
      <c r="BR218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582.45000000000005</v>
      </c>
      <c r="BS218" s="138">
        <v>29663.349999999995</v>
      </c>
      <c r="BT218" s="63">
        <f>IF(+Tabla_master_rend[[#This Row],[Kg_Env_Total]]=0,0,Tabla_master_rend[[#This Row],[Kg_Env_Total]]-Tabla_master_rend[[#This Row],[Kg_SalidaSecadero]])</f>
        <v>-496.65000000000509</v>
      </c>
      <c r="BU218" s="60">
        <f>+Tabla_master_rend[[#This Row],[Diferencia_Env_vs_Sec_kg]]/Tabla_master_rend[[#This Row],[Kg_SalidaSecadero]]</f>
        <v>-1.6467175066313167E-2</v>
      </c>
      <c r="BV218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18" s="65">
        <f>+(Tabla_master_rend[[#This Row],[Coste_Leche_€]]-Tabla_master_rend[[#This Row],[Kg_MG_Nata]]*$CO$3)/Tabla_master_rend[[#This Row],[Kg_Queso_Blan]]</f>
        <v>-0.99776025707897675</v>
      </c>
      <c r="BX218" s="8">
        <f>SUM(Tabla_master_rend[[#This Row],[Kg_Finos]:[Kg_Desmoldeo]])+Tabla_master_rend[[#This Row],[L_Agua]]+SUM(Tabla_master_rend[[#This Row],[B_altas]:[B_lab]])</f>
        <v>677.36</v>
      </c>
      <c r="BY218" s="8">
        <f>+BX218-Tabla_master_rend[[#This Row],[Merma_TOT]]</f>
        <v>94.909999999999968</v>
      </c>
      <c r="BZ218" s="62">
        <f t="shared" si="64"/>
        <v>0.14011751505846221</v>
      </c>
      <c r="CA218" s="8">
        <f>+Tabla_master_rend[[#This Row],[Kg_Queso_Blan]]*$CA$1</f>
        <v>198.38883999999999</v>
      </c>
      <c r="CB218" s="8">
        <f>+Tabla_master_rend[[#This Row],[Kg_Queso_Blan]]*($CB$1-$CA$1)</f>
        <v>106.82476000000001</v>
      </c>
      <c r="CC218" s="8">
        <f>+(Tabla_master_rend[[#This Row],[Kg_Queso_Blan]]-CA218-CB218)*$CC$1</f>
        <v>317.26953720000006</v>
      </c>
      <c r="CD218" s="8">
        <f t="shared" si="65"/>
        <v>622.4831372000001</v>
      </c>
      <c r="CE218" s="80">
        <f>+CD218/Tabla_master_rend[[#This Row],[Kg_Queso_Blan]]</f>
        <v>2.0395000000000003E-2</v>
      </c>
      <c r="CF218" s="62">
        <f>+Tabla_master_rend[[#This Row],[Merma_TOT]]/Tabla_master_rend[[#This Row],[Kg_Queso_Blan]]</f>
        <v>1.9083356704943686E-2</v>
      </c>
      <c r="CG218" s="8">
        <f>CD218-Tabla_master_rend[[#This Row],[Merma_TOT]]</f>
        <v>40.033137200000056</v>
      </c>
      <c r="CH218" s="81" cm="1">
        <f t="array" ref="CH218">-BR218 * IFERROR(INDEX('Precio Leche_EBITDA_Ventas'!$BD$87:$BD$110,MATCH(1,('Precio Leche_EBITDA_Ventas'!$AZ$87:$AZ$110=YEAR(A218))*('Precio Leche_EBITDA_Ventas'!$BB$87:$BB$110=C218),0)),1.3)</f>
        <v>-990.16500000000008</v>
      </c>
      <c r="CI218" s="81">
        <f t="shared" si="66"/>
        <v>52.043078360000074</v>
      </c>
    </row>
    <row r="219" spans="1:87" x14ac:dyDescent="0.35">
      <c r="A219" s="9">
        <v>46162</v>
      </c>
      <c r="B219" s="7">
        <v>5</v>
      </c>
      <c r="C219" s="7" t="str">
        <f>+UPPER(TEXT(Tabla_master_rend[[#This Row],[Fecha]],"MMM"))</f>
        <v>MAY</v>
      </c>
      <c r="D219" s="7" t="str">
        <f>+UPPER(TEXT(Tabla_master_rend[[#This Row],[Fecha]],"ddd"))</f>
        <v>MI</v>
      </c>
      <c r="E219" s="122">
        <v>200526326</v>
      </c>
      <c r="F219" s="3" t="s">
        <v>244</v>
      </c>
      <c r="G219" t="s">
        <v>301</v>
      </c>
      <c r="H219">
        <v>13</v>
      </c>
      <c r="I219" s="8">
        <f>+Tabla_master_rend[[#This Row],[L_Leche_ent]]+Tabla_master_rend[[#This Row],[L_desn_ext]]+Tabla_master_rend[[#This Row],[L_cabra]]+Tabla_master_rend[[#This Row],[L_oveja]]</f>
        <v>200235</v>
      </c>
      <c r="J219" s="8">
        <v>200235</v>
      </c>
      <c r="K219" s="66">
        <v>4.1500000000000002E-2</v>
      </c>
      <c r="L219" s="66">
        <v>3.4500000000000003E-2</v>
      </c>
      <c r="M219" s="5">
        <f t="shared" si="61"/>
        <v>0.112125</v>
      </c>
      <c r="N219" s="3" t="s">
        <v>188</v>
      </c>
      <c r="O219" s="8">
        <v>0</v>
      </c>
      <c r="P219" s="8">
        <v>0</v>
      </c>
      <c r="Q219" s="8">
        <v>0</v>
      </c>
      <c r="R219" s="8">
        <v>3918</v>
      </c>
      <c r="S219" s="8">
        <v>446.5</v>
      </c>
      <c r="T219" s="8">
        <v>180130</v>
      </c>
      <c r="U219" s="38">
        <f>+Tabla_master_rend[[#This Row],[L_suero Total]]/Tabla_master_rend[[#This Row],[Litros_Leche_Total]]</f>
        <v>0.89959297825055562</v>
      </c>
      <c r="V219" s="66">
        <v>4.0000000000000002E-4</v>
      </c>
      <c r="W219" s="66">
        <v>9.4999999999999998E-3</v>
      </c>
      <c r="X219" s="8">
        <v>173147</v>
      </c>
      <c r="Y219" s="57">
        <v>49599</v>
      </c>
      <c r="Z219" s="58">
        <f>IF(Tabla_master_rend[[#This Row],[L_suero para con]]=0,0,+Tabla_master_rend[[#This Row],[L_suero para con]]/Tabla_master_rend[[#This Row],[L_suero_con]])</f>
        <v>3.4909373172846228</v>
      </c>
      <c r="AA219" s="8">
        <f>+Tabla_master_rend[[#This Row],[L_suero Total]]-Tabla_master_rend[[#This Row],[L_suero para con]]</f>
        <v>6983</v>
      </c>
      <c r="AD219" s="8">
        <v>0</v>
      </c>
      <c r="AE219" s="8">
        <v>0</v>
      </c>
      <c r="AF219" s="8">
        <v>0</v>
      </c>
      <c r="AG219" s="66">
        <v>0</v>
      </c>
      <c r="AH219" s="66">
        <v>0</v>
      </c>
      <c r="AI219" s="7">
        <f>+Tabla_master_rend[[#This Row],[Kg_Finos]]+Tabla_master_rend[[#This Row],[Kg_Llenadora]]+Tabla_master_rend[[#This Row],[Kg_Desmoldeo]]+Tabla_master_rend[[#This Row],[L_Agua]]+Tabla_master_rend[[#This Row],[Kg_SalidaSecadero]]</f>
        <v>23458.09</v>
      </c>
      <c r="AJ219" s="59">
        <f>+Tabla_master_rend[[#This Row],[Litros_Leche_Total]]/Tabla_master_rend[[#This Row],[Kg_Queso_Blan]]</f>
        <v>8.5358611890396876</v>
      </c>
      <c r="AK219" s="59">
        <f>+Tabla_master_rend[[#This Row],[Litros_Leche_Total]]/(Tabla_master_rend[[#This Row],[Kg_Queso_Blan]]-Tabla_master_rend[[#This Row],[Merma_TOT]])</f>
        <v>8.6502522045215375</v>
      </c>
      <c r="AL219" s="59">
        <f>VLOOKUP(G219,REND_TARGET[#All],8,FALSE)</f>
        <v>9.3549429999999987</v>
      </c>
      <c r="AM219" s="7">
        <f>(I219*1.03*Tabla_master_rend[[#This Row],[%MG_Leche]])+(I219*1.03*Tabla_master_rend[[#This Row],[%MP_Leche]])</f>
        <v>15674.395800000002</v>
      </c>
      <c r="AN219" s="137">
        <v>0.29010000000000002</v>
      </c>
      <c r="AO219" s="137">
        <v>0.24540000000000001</v>
      </c>
      <c r="AP219" s="64">
        <v>0.57689999999999997</v>
      </c>
      <c r="AQ219" s="38">
        <f>+Tabla_master_rend[[#This Row],[Kg_Queso_Blan]]*Tabla_master_rend[[#This Row],[ES_QUESO]]/(Tabla_master_rend[[#This Row],[Kg_Solidos_leche]])</f>
        <v>0.86338078313678901</v>
      </c>
      <c r="AR219" s="7">
        <f t="shared" si="62"/>
        <v>1567.2</v>
      </c>
      <c r="AS219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0.978192290802955</v>
      </c>
      <c r="AT219" s="62">
        <f>+Tabla_master_rend[[#This Row],[Kg_Queso_Blan]]*Tabla_master_rend[[#This Row],[%PT_QUESO]]/(Tabla_master_rend[[#This Row],[Litros_Leche_Total]]*1.03*Tabla_master_rend[[#This Row],[%MP_Leche]])</f>
        <v>0.80904167742202182</v>
      </c>
      <c r="AU219" s="7">
        <f t="shared" si="63"/>
        <v>11754</v>
      </c>
      <c r="AV219" s="8">
        <v>25.09</v>
      </c>
      <c r="AW219" s="8">
        <f>38+1</f>
        <v>39</v>
      </c>
      <c r="AX219" s="8">
        <v>7</v>
      </c>
      <c r="AY219" s="8">
        <f>SUM(Tabla_master_rend[[#This Row],[Kg_Finos]:[Kg_Desmoldeo]])</f>
        <v>71.09</v>
      </c>
      <c r="AZ219" s="60">
        <f>+(Tabla_master_rend[[#This Row],[Kg_Finos]]+Tabla_master_rend[[#This Row],[Kg_Llenadora]]+Tabla_master_rend[[#This Row],[Kg_Desmoldeo]])/(Tabla_master_rend[[#This Row],[Kg_Queso_Blan]])</f>
        <v>3.0305110092083373E-3</v>
      </c>
      <c r="BA219" s="8">
        <v>165</v>
      </c>
      <c r="BB219" s="60">
        <f>+Tabla_master_rend[[#This Row],[L_Agua]]/(Tabla_master_rend[[#This Row],[L_Agua]]+Tabla_master_rend[[#This Row],[Kg_SalidaSecadero]])</f>
        <v>7.0552016077307907E-3</v>
      </c>
      <c r="BC219" s="8">
        <v>3135</v>
      </c>
      <c r="BD219" s="8">
        <v>3120</v>
      </c>
      <c r="BE219" s="8">
        <v>23283</v>
      </c>
      <c r="BF219" s="8">
        <v>0</v>
      </c>
      <c r="BG219" s="8">
        <v>0</v>
      </c>
      <c r="BH219" s="8">
        <v>29</v>
      </c>
      <c r="BI219" s="8">
        <v>0</v>
      </c>
      <c r="BJ219" s="8">
        <v>75</v>
      </c>
      <c r="BK219" s="8">
        <v>23222</v>
      </c>
      <c r="BL219" s="8">
        <v>0</v>
      </c>
      <c r="BM219" s="8">
        <v>43.02</v>
      </c>
      <c r="BN219" s="8">
        <v>31.1</v>
      </c>
      <c r="BO219" s="68">
        <f>+SUM(Tabla_master_rend[[#This Row],[B_altas]:[B_lab]])/Tabla_master_rend[[#This Row],[Kg_SalidaSecadero]]</f>
        <v>4.4785117560933599E-3</v>
      </c>
      <c r="BP219" s="68">
        <f>+(Tabla_master_rend[[#This Row],[Kg_mer_env_real]]+Tabla_master_rend[[#This Row],[kg_mer_lab_real]])/Tabla_master_rend[[#This Row],[Kg_SalidaSecadero]]</f>
        <v>3.1918008784773064E-3</v>
      </c>
      <c r="BQ219" s="64">
        <f>+Tabla_master_rend[[#This Row],[Merma_TOT]]/Tabla_master_rend[[#This Row],[Kg_Queso_Blan]]</f>
        <v>1.3224009286348547E-2</v>
      </c>
      <c r="BR219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310.20999999999998</v>
      </c>
      <c r="BS219" s="138">
        <v>22691.200000000004</v>
      </c>
      <c r="BT219" s="63">
        <f>IF(+Tabla_master_rend[[#This Row],[Kg_Env_Total]]=0,0,Tabla_master_rend[[#This Row],[Kg_Env_Total]]-Tabla_master_rend[[#This Row],[Kg_SalidaSecadero]])</f>
        <v>-530.79999999999563</v>
      </c>
      <c r="BU219" s="60">
        <f>+Tabla_master_rend[[#This Row],[Diferencia_Env_vs_Sec_kg]]/Tabla_master_rend[[#This Row],[Kg_SalidaSecadero]]</f>
        <v>-2.285763500129169E-2</v>
      </c>
      <c r="BV219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19" s="65">
        <f>+(Tabla_master_rend[[#This Row],[Coste_Leche_€]]-Tabla_master_rend[[#This Row],[Kg_MG_Nata]]*$CO$3)/Tabla_master_rend[[#This Row],[Kg_Queso_Blan]]</f>
        <v>-0.50106381210064421</v>
      </c>
      <c r="BX219" s="8">
        <f>SUM(Tabla_master_rend[[#This Row],[Kg_Finos]:[Kg_Desmoldeo]])+Tabla_master_rend[[#This Row],[L_Agua]]+SUM(Tabla_master_rend[[#This Row],[B_altas]:[B_lab]])</f>
        <v>340.09000000000003</v>
      </c>
      <c r="BY219" s="8">
        <f>+BX219-Tabla_master_rend[[#This Row],[Merma_TOT]]</f>
        <v>29.880000000000052</v>
      </c>
      <c r="BZ219" s="62">
        <f t="shared" si="64"/>
        <v>8.7859096121615007E-2</v>
      </c>
      <c r="CA219" s="8">
        <f>+Tabla_master_rend[[#This Row],[Kg_Queso_Blan]]*$CA$1</f>
        <v>152.477585</v>
      </c>
      <c r="CB219" s="8">
        <f>+Tabla_master_rend[[#This Row],[Kg_Queso_Blan]]*($CB$1-$CA$1)</f>
        <v>82.103315000000009</v>
      </c>
      <c r="CC219" s="8">
        <f>+(Tabla_master_rend[[#This Row],[Kg_Queso_Blan]]-CA219-CB219)*$CC$1</f>
        <v>243.84684555000001</v>
      </c>
      <c r="CD219" s="8">
        <f t="shared" si="65"/>
        <v>478.42774555000005</v>
      </c>
      <c r="CE219" s="80">
        <f>+CD219/Tabla_master_rend[[#This Row],[Kg_Queso_Blan]]</f>
        <v>2.0395000000000003E-2</v>
      </c>
      <c r="CF219" s="62">
        <f>+Tabla_master_rend[[#This Row],[Merma_TOT]]/Tabla_master_rend[[#This Row],[Kg_Queso_Blan]]</f>
        <v>1.3224009286348547E-2</v>
      </c>
      <c r="CG219" s="8">
        <f>CD219-Tabla_master_rend[[#This Row],[Merma_TOT]]</f>
        <v>168.21774555000007</v>
      </c>
      <c r="CH219" s="81" cm="1">
        <f t="array" ref="CH219">-BR219 * IFERROR(INDEX('Precio Leche_EBITDA_Ventas'!$BD$87:$BD$110,MATCH(1,('Precio Leche_EBITDA_Ventas'!$AZ$87:$AZ$110=YEAR(A219))*('Precio Leche_EBITDA_Ventas'!$BB$87:$BB$110=C219),0)),1.3)</f>
        <v>-527.35699999999997</v>
      </c>
      <c r="CI219" s="81">
        <f t="shared" si="66"/>
        <v>218.6830692150001</v>
      </c>
    </row>
    <row r="220" spans="1:87" x14ac:dyDescent="0.35">
      <c r="A220" s="9">
        <v>46163</v>
      </c>
      <c r="B220" s="7">
        <v>5</v>
      </c>
      <c r="C220" s="7" t="str">
        <f>+UPPER(TEXT(Tabla_master_rend[[#This Row],[Fecha]],"MMM"))</f>
        <v>MAY</v>
      </c>
      <c r="D220" s="7" t="str">
        <f>+UPPER(TEXT(Tabla_master_rend[[#This Row],[Fecha]],"ddd"))</f>
        <v>JU</v>
      </c>
      <c r="E220" s="122">
        <v>210526326</v>
      </c>
      <c r="F220" s="3" t="s">
        <v>244</v>
      </c>
      <c r="G220" t="s">
        <v>301</v>
      </c>
      <c r="H220">
        <v>10</v>
      </c>
      <c r="I220" s="8">
        <f>+Tabla_master_rend[[#This Row],[L_Leche_ent]]+Tabla_master_rend[[#This Row],[L_desn_ext]]+Tabla_master_rend[[#This Row],[L_cabra]]+Tabla_master_rend[[#This Row],[L_oveja]]</f>
        <v>155287</v>
      </c>
      <c r="J220" s="8">
        <v>155287</v>
      </c>
      <c r="K220" s="66">
        <v>4.3999999999999997E-2</v>
      </c>
      <c r="L220" s="66">
        <v>3.5499999999999997E-2</v>
      </c>
      <c r="M220" s="5">
        <f t="shared" si="61"/>
        <v>0.11519</v>
      </c>
      <c r="N220" s="3" t="s">
        <v>188</v>
      </c>
      <c r="O220" s="8">
        <v>0</v>
      </c>
      <c r="P220" s="8">
        <v>0</v>
      </c>
      <c r="Q220" s="8">
        <v>0</v>
      </c>
      <c r="R220" s="8">
        <v>3559</v>
      </c>
      <c r="S220" s="8">
        <v>240.4</v>
      </c>
      <c r="T220" s="8">
        <v>140200</v>
      </c>
      <c r="U220" s="38">
        <f>+Tabla_master_rend[[#This Row],[L_suero Total]]/Tabla_master_rend[[#This Row],[Litros_Leche_Total]]</f>
        <v>0.90284441067185273</v>
      </c>
      <c r="V220" s="66">
        <v>2.0000000000000001E-4</v>
      </c>
      <c r="W220" s="66">
        <v>8.2000000000000007E-3</v>
      </c>
      <c r="X220" s="8">
        <v>138600</v>
      </c>
      <c r="Y220" s="57">
        <v>40300</v>
      </c>
      <c r="Z220" s="58">
        <f>IF(Tabla_master_rend[[#This Row],[L_suero para con]]=0,0,+Tabla_master_rend[[#This Row],[L_suero para con]]/Tabla_master_rend[[#This Row],[L_suero_con]])</f>
        <v>3.4392059553349874</v>
      </c>
      <c r="AA220" s="8">
        <f>+Tabla_master_rend[[#This Row],[L_suero Total]]-Tabla_master_rend[[#This Row],[L_suero para con]]</f>
        <v>1600</v>
      </c>
      <c r="AD220" s="8">
        <v>0</v>
      </c>
      <c r="AE220" s="8">
        <v>0</v>
      </c>
      <c r="AF220" s="8">
        <v>0</v>
      </c>
      <c r="AG220" s="66">
        <v>0</v>
      </c>
      <c r="AH220" s="66">
        <v>0</v>
      </c>
      <c r="AI220" s="7">
        <f>+Tabla_master_rend[[#This Row],[Kg_Finos]]+Tabla_master_rend[[#This Row],[Kg_Llenadora]]+Tabla_master_rend[[#This Row],[Kg_Desmoldeo]]+Tabla_master_rend[[#This Row],[L_Agua]]+Tabla_master_rend[[#This Row],[Kg_SalidaSecadero]]</f>
        <v>17773.580000000002</v>
      </c>
      <c r="AJ220" s="59">
        <f>+Tabla_master_rend[[#This Row],[Litros_Leche_Total]]/Tabla_master_rend[[#This Row],[Kg_Queso_Blan]]</f>
        <v>8.7369567639158792</v>
      </c>
      <c r="AK220" s="59">
        <f>+Tabla_master_rend[[#This Row],[Litros_Leche_Total]]/(Tabla_master_rend[[#This Row],[Kg_Queso_Blan]]-Tabla_master_rend[[#This Row],[Merma_TOT]])</f>
        <v>8.8892539786033247</v>
      </c>
      <c r="AL220" s="59">
        <f>VLOOKUP(G220,REND_TARGET[#All],8,FALSE)</f>
        <v>9.3549429999999987</v>
      </c>
      <c r="AM220" s="7">
        <f>(I220*1.03*Tabla_master_rend[[#This Row],[%MG_Leche]])+(I220*1.03*Tabla_master_rend[[#This Row],[%MP_Leche]])</f>
        <v>12715.675995000001</v>
      </c>
      <c r="AN220" s="137">
        <v>0.29430000000000001</v>
      </c>
      <c r="AO220" s="137">
        <v>0.25040000000000001</v>
      </c>
      <c r="AP220" s="64">
        <v>0.58589999999999998</v>
      </c>
      <c r="AQ220" s="38">
        <f>+Tabla_master_rend[[#This Row],[Kg_Queso_Blan]]*Tabla_master_rend[[#This Row],[ES_QUESO]]/(Tabla_master_rend[[#This Row],[Kg_Solidos_leche]])</f>
        <v>0.81895296216219771</v>
      </c>
      <c r="AR220" s="7">
        <f t="shared" si="62"/>
        <v>1423.6000000000001</v>
      </c>
      <c r="AS220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0.94554366921696353</v>
      </c>
      <c r="AT220" s="62">
        <f>+Tabla_master_rend[[#This Row],[Kg_Queso_Blan]]*Tabla_master_rend[[#This Row],[%PT_QUESO]]/(Tabla_master_rend[[#This Row],[Litros_Leche_Total]]*1.03*Tabla_master_rend[[#This Row],[%MP_Leche]])</f>
        <v>0.78380595771380679</v>
      </c>
      <c r="AU220" s="7">
        <f t="shared" si="63"/>
        <v>10677.000000000002</v>
      </c>
      <c r="AV220" s="8">
        <v>16.579999999999998</v>
      </c>
      <c r="AW220" s="8">
        <v>28</v>
      </c>
      <c r="AX220" s="8">
        <v>4</v>
      </c>
      <c r="AY220" s="8">
        <f>SUM(Tabla_master_rend[[#This Row],[Kg_Finos]:[Kg_Desmoldeo]])</f>
        <v>48.58</v>
      </c>
      <c r="AZ220" s="60">
        <f>+(Tabla_master_rend[[#This Row],[Kg_Finos]]+Tabla_master_rend[[#This Row],[Kg_Llenadora]]+Tabla_master_rend[[#This Row],[Kg_Desmoldeo]])/(Tabla_master_rend[[#This Row],[Kg_Queso_Blan]])</f>
        <v>2.7332703934716579E-3</v>
      </c>
      <c r="BA220" s="8">
        <v>140</v>
      </c>
      <c r="BB220" s="60">
        <f>+Tabla_master_rend[[#This Row],[L_Agua]]/(Tabla_master_rend[[#This Row],[L_Agua]]+Tabla_master_rend[[#This Row],[Kg_SalidaSecadero]])</f>
        <v>7.8984485190409029E-3</v>
      </c>
      <c r="BC220" s="8">
        <v>2389</v>
      </c>
      <c r="BD220" s="8">
        <v>2363</v>
      </c>
      <c r="BE220" s="8">
        <v>17558</v>
      </c>
      <c r="BF220" s="8">
        <v>90</v>
      </c>
      <c r="BG220" s="8">
        <v>72</v>
      </c>
      <c r="BH220" s="8">
        <v>23</v>
      </c>
      <c r="BI220" s="8">
        <v>0</v>
      </c>
      <c r="BJ220" s="8">
        <v>72</v>
      </c>
      <c r="BK220" s="8">
        <v>17585</v>
      </c>
      <c r="BL220" s="8">
        <v>0</v>
      </c>
      <c r="BM220" s="8">
        <v>67.47</v>
      </c>
      <c r="BN220" s="8">
        <v>48.46</v>
      </c>
      <c r="BO220" s="68">
        <f>+SUM(Tabla_master_rend[[#This Row],[B_altas]:[B_lab]])/Tabla_master_rend[[#This Row],[Kg_SalidaSecadero]]</f>
        <v>1.461472846175718E-2</v>
      </c>
      <c r="BP220" s="68">
        <f>+(Tabla_master_rend[[#This Row],[Kg_mer_env_real]]+Tabla_master_rend[[#This Row],[kg_mer_lab_real]])/Tabla_master_rend[[#This Row],[Kg_SalidaSecadero]]</f>
        <v>6.5925504691498439E-3</v>
      </c>
      <c r="BQ220" s="64">
        <f>+Tabla_master_rend[[#This Row],[Merma_TOT]]/Tabla_master_rend[[#This Row],[Kg_Queso_Blan]]</f>
        <v>1.713273296657173E-2</v>
      </c>
      <c r="BR220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304.51</v>
      </c>
      <c r="BS220" s="138">
        <v>17149.580000000002</v>
      </c>
      <c r="BT220" s="63">
        <f>IF(+Tabla_master_rend[[#This Row],[Kg_Env_Total]]=0,0,Tabla_master_rend[[#This Row],[Kg_Env_Total]]-Tabla_master_rend[[#This Row],[Kg_SalidaSecadero]])</f>
        <v>-435.41999999999825</v>
      </c>
      <c r="BU220" s="60">
        <f>+Tabla_master_rend[[#This Row],[Diferencia_Env_vs_Sec_kg]]/Tabla_master_rend[[#This Row],[Kg_SalidaSecadero]]</f>
        <v>-2.4760875746374651E-2</v>
      </c>
      <c r="BV220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20" s="65">
        <f>+(Tabla_master_rend[[#This Row],[Coste_Leche_€]]-Tabla_master_rend[[#This Row],[Kg_MG_Nata]]*$CO$3)/Tabla_master_rend[[#This Row],[Kg_Queso_Blan]]</f>
        <v>-0.60072309574098193</v>
      </c>
      <c r="BX220" s="8">
        <f>SUM(Tabla_master_rend[[#This Row],[Kg_Finos]:[Kg_Desmoldeo]])+Tabla_master_rend[[#This Row],[L_Agua]]+SUM(Tabla_master_rend[[#This Row],[B_altas]:[B_lab]])</f>
        <v>445.58</v>
      </c>
      <c r="BY220" s="8">
        <f>+BX220-Tabla_master_rend[[#This Row],[Merma_TOT]]</f>
        <v>141.07</v>
      </c>
      <c r="BZ220" s="62">
        <f t="shared" si="64"/>
        <v>0.31659859060101442</v>
      </c>
      <c r="CA220" s="8">
        <f>+Tabla_master_rend[[#This Row],[Kg_Queso_Blan]]*$CA$1</f>
        <v>115.52827000000001</v>
      </c>
      <c r="CB220" s="8">
        <f>+Tabla_master_rend[[#This Row],[Kg_Queso_Blan]]*($CB$1-$CA$1)</f>
        <v>62.207530000000013</v>
      </c>
      <c r="CC220" s="8">
        <f>+(Tabla_master_rend[[#This Row],[Kg_Queso_Blan]]-CA220-CB220)*$CC$1</f>
        <v>184.75636410000004</v>
      </c>
      <c r="CD220" s="8">
        <f t="shared" si="65"/>
        <v>362.49216410000008</v>
      </c>
      <c r="CE220" s="80">
        <f>+CD220/Tabla_master_rend[[#This Row],[Kg_Queso_Blan]]</f>
        <v>2.0395000000000003E-2</v>
      </c>
      <c r="CF220" s="62">
        <f>+Tabla_master_rend[[#This Row],[Merma_TOT]]/Tabla_master_rend[[#This Row],[Kg_Queso_Blan]]</f>
        <v>1.713273296657173E-2</v>
      </c>
      <c r="CG220" s="8">
        <f>CD220-Tabla_master_rend[[#This Row],[Merma_TOT]]</f>
        <v>57.982164100000091</v>
      </c>
      <c r="CH220" s="81" cm="1">
        <f t="array" ref="CH220">-BR220 * IFERROR(INDEX('Precio Leche_EBITDA_Ventas'!$BD$87:$BD$110,MATCH(1,('Precio Leche_EBITDA_Ventas'!$AZ$87:$AZ$110=YEAR(A220))*('Precio Leche_EBITDA_Ventas'!$BB$87:$BB$110=C220),0)),1.3)</f>
        <v>-517.66699999999992</v>
      </c>
      <c r="CI220" s="81">
        <f t="shared" si="66"/>
        <v>75.376813330000118</v>
      </c>
    </row>
    <row r="221" spans="1:87" x14ac:dyDescent="0.35">
      <c r="A221" s="9">
        <v>46167</v>
      </c>
      <c r="B221" s="7">
        <v>5</v>
      </c>
      <c r="C221" s="7" t="str">
        <f>+UPPER(TEXT(Tabla_master_rend[[#This Row],[Fecha]],"MMM"))</f>
        <v>MAY</v>
      </c>
      <c r="D221" s="7" t="str">
        <f>+UPPER(TEXT(Tabla_master_rend[[#This Row],[Fecha]],"ddd"))</f>
        <v>LU</v>
      </c>
      <c r="E221" s="122">
        <v>250526326</v>
      </c>
      <c r="F221" s="3" t="s">
        <v>244</v>
      </c>
      <c r="G221" t="s">
        <v>301</v>
      </c>
      <c r="H221">
        <v>4</v>
      </c>
      <c r="I221" s="8">
        <f>+Tabla_master_rend[[#This Row],[L_Leche_ent]]+Tabla_master_rend[[#This Row],[L_desn_ext]]+Tabla_master_rend[[#This Row],[L_cabra]]+Tabla_master_rend[[#This Row],[L_oveja]]</f>
        <v>61700</v>
      </c>
      <c r="J221" s="8">
        <v>61700</v>
      </c>
      <c r="K221" s="66">
        <v>3.8899999999999997E-2</v>
      </c>
      <c r="L221" s="66">
        <v>3.39E-2</v>
      </c>
      <c r="M221" s="5">
        <f t="shared" si="61"/>
        <v>0.109263</v>
      </c>
      <c r="N221" s="3" t="s">
        <v>188</v>
      </c>
      <c r="O221" s="8">
        <v>0</v>
      </c>
      <c r="P221" s="8">
        <v>0</v>
      </c>
      <c r="Q221" s="8">
        <v>0</v>
      </c>
      <c r="R221" s="8">
        <v>899</v>
      </c>
      <c r="S221" s="8">
        <f>413/(61700+238322)*61700</f>
        <v>84.9341048323123</v>
      </c>
      <c r="T221" s="8">
        <v>55200</v>
      </c>
      <c r="U221" s="38">
        <f>+Tabla_master_rend[[#This Row],[L_suero Total]]/Tabla_master_rend[[#This Row],[Litros_Leche_Total]]</f>
        <v>0.89465153970826583</v>
      </c>
      <c r="V221" s="66">
        <v>5.9999999999999995E-4</v>
      </c>
      <c r="W221" s="66">
        <v>8.0000000000000002E-3</v>
      </c>
      <c r="X221" s="8">
        <f>141205/(55200+210060)*55200</f>
        <v>29384.43790997512</v>
      </c>
      <c r="Y221" s="57">
        <f>42670/(29384+111821)*29384</f>
        <v>8879.397188484827</v>
      </c>
      <c r="Z221" s="58">
        <f>IF(Tabla_master_rend[[#This Row],[L_suero para con]]=0,0,+Tabla_master_rend[[#This Row],[L_suero para con]]/Tabla_master_rend[[#This Row],[L_suero_con]])</f>
        <v>3.3092829711550786</v>
      </c>
      <c r="AA221" s="8">
        <f>+Tabla_master_rend[[#This Row],[L_suero Total]]-Tabla_master_rend[[#This Row],[L_suero para con]]</f>
        <v>25815.56209002488</v>
      </c>
      <c r="AD221" s="8">
        <v>0</v>
      </c>
      <c r="AE221" s="8">
        <v>0</v>
      </c>
      <c r="AF221" s="8">
        <v>0</v>
      </c>
      <c r="AG221" s="66">
        <v>0</v>
      </c>
      <c r="AH221" s="66">
        <v>0</v>
      </c>
      <c r="AI221" s="7">
        <f>+Tabla_master_rend[[#This Row],[Kg_Finos]]+Tabla_master_rend[[#This Row],[Kg_Llenadora]]+Tabla_master_rend[[#This Row],[Kg_Desmoldeo]]+Tabla_master_rend[[#This Row],[L_Agua]]+Tabla_master_rend[[#This Row],[Kg_SalidaSecadero]]</f>
        <v>7391.2902873789253</v>
      </c>
      <c r="AJ221" s="59">
        <f>+Tabla_master_rend[[#This Row],[Litros_Leche_Total]]/Tabla_master_rend[[#This Row],[Kg_Queso_Blan]]</f>
        <v>8.3476629385476144</v>
      </c>
      <c r="AK221" s="59">
        <f>+Tabla_master_rend[[#This Row],[Litros_Leche_Total]]/(Tabla_master_rend[[#This Row],[Kg_Queso_Blan]]-Tabla_master_rend[[#This Row],[Merma_TOT]])</f>
        <v>8.7196279248557449</v>
      </c>
      <c r="AL221" s="59">
        <f>VLOOKUP(G221,REND_TARGET[#All],8,FALSE)</f>
        <v>9.3549429999999987</v>
      </c>
      <c r="AM221" s="7">
        <f>(I221*1.03*Tabla_master_rend[[#This Row],[%MG_Leche]])+(I221*1.03*Tabla_master_rend[[#This Row],[%MP_Leche]])</f>
        <v>4626.5128000000004</v>
      </c>
      <c r="AN221" s="137">
        <v>0.27689999999999998</v>
      </c>
      <c r="AO221" s="137">
        <v>0.24049999999999999</v>
      </c>
      <c r="AP221" s="64">
        <v>0.56659999999999999</v>
      </c>
      <c r="AQ221" s="38">
        <f>+Tabla_master_rend[[#This Row],[Kg_Queso_Blan]]*Tabla_master_rend[[#This Row],[ES_QUESO]]/(Tabla_master_rend[[#This Row],[Kg_Solidos_leche]])</f>
        <v>0.90519690701577626</v>
      </c>
      <c r="AR221" s="7">
        <f t="shared" si="62"/>
        <v>359.6</v>
      </c>
      <c r="AS221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0.97334868494591842</v>
      </c>
      <c r="AT221" s="62">
        <f>+Tabla_master_rend[[#This Row],[Kg_Queso_Blan]]*Tabla_master_rend[[#This Row],[%PT_QUESO]]/(Tabla_master_rend[[#This Row],[Litros_Leche_Total]]*1.03*Tabla_master_rend[[#This Row],[%MP_Leche]])</f>
        <v>0.82511266431110675</v>
      </c>
      <c r="AU221" s="7">
        <f t="shared" si="63"/>
        <v>2697</v>
      </c>
      <c r="AV221" s="8">
        <f>51.01/(61700+238322)*61700</f>
        <v>10.490287378925544</v>
      </c>
      <c r="AW221" s="8">
        <f>12.3+3.5</f>
        <v>15.8</v>
      </c>
      <c r="AX221" s="8">
        <v>0</v>
      </c>
      <c r="AY221" s="8">
        <f>SUM(Tabla_master_rend[[#This Row],[Kg_Finos]:[Kg_Desmoldeo]])</f>
        <v>26.290287378925544</v>
      </c>
      <c r="AZ221" s="60">
        <f>+(Tabla_master_rend[[#This Row],[Kg_Finos]]+Tabla_master_rend[[#This Row],[Kg_Llenadora]]+Tabla_master_rend[[#This Row],[Kg_Desmoldeo]])/(Tabla_master_rend[[#This Row],[Kg_Queso_Blan]])</f>
        <v>3.5569279999485069E-3</v>
      </c>
      <c r="BA221" s="8">
        <v>140</v>
      </c>
      <c r="BB221" s="60">
        <f>+Tabla_master_rend[[#This Row],[L_Agua]]/(Tabla_master_rend[[#This Row],[L_Agua]]+Tabla_master_rend[[#This Row],[Kg_SalidaSecadero]])</f>
        <v>1.9008825526137134E-2</v>
      </c>
      <c r="BC221" s="8">
        <v>989</v>
      </c>
      <c r="BD221" s="8">
        <v>977</v>
      </c>
      <c r="BE221" s="8">
        <v>7289</v>
      </c>
      <c r="BF221" s="8">
        <v>16</v>
      </c>
      <c r="BG221" s="8">
        <v>6</v>
      </c>
      <c r="BH221" s="8">
        <v>21</v>
      </c>
      <c r="BI221" s="8">
        <v>10</v>
      </c>
      <c r="BJ221" s="8">
        <v>39</v>
      </c>
      <c r="BK221" s="8">
        <v>7225</v>
      </c>
      <c r="BL221" s="8">
        <v>0</v>
      </c>
      <c r="BM221" s="8">
        <v>134.06</v>
      </c>
      <c r="BN221" s="8">
        <v>14.95</v>
      </c>
      <c r="BO221" s="68">
        <f>+SUM(Tabla_master_rend[[#This Row],[B_altas]:[B_lab]])/Tabla_master_rend[[#This Row],[Kg_SalidaSecadero]]</f>
        <v>1.2733564013840831E-2</v>
      </c>
      <c r="BP221" s="68">
        <f>+(Tabla_master_rend[[#This Row],[Kg_mer_env_real]]+Tabla_master_rend[[#This Row],[kg_mer_lab_real]])/Tabla_master_rend[[#This Row],[Kg_SalidaSecadero]]</f>
        <v>2.0624221453287198E-2</v>
      </c>
      <c r="BQ221" s="64">
        <f>+Tabla_master_rend[[#This Row],[Merma_TOT]]/Tabla_master_rend[[#This Row],[Kg_Queso_Blan]]</f>
        <v>4.2658355323605651E-2</v>
      </c>
      <c r="BR221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315.30028737892553</v>
      </c>
      <c r="BS221" s="188">
        <v>7225</v>
      </c>
      <c r="BT221" s="63">
        <f>IF(+Tabla_master_rend[[#This Row],[Kg_Env_Total]]=0,0,Tabla_master_rend[[#This Row],[Kg_Env_Total]]-Tabla_master_rend[[#This Row],[Kg_SalidaSecadero]])</f>
        <v>0</v>
      </c>
      <c r="BU221" s="60">
        <f>+Tabla_master_rend[[#This Row],[Diferencia_Env_vs_Sec_kg]]/Tabla_master_rend[[#This Row],[Kg_SalidaSecadero]]</f>
        <v>0</v>
      </c>
      <c r="BV221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21" s="65">
        <f>+(Tabla_master_rend[[#This Row],[Coste_Leche_€]]-Tabla_master_rend[[#This Row],[Kg_MG_Nata]]*$CO$3)/Tabla_master_rend[[#This Row],[Kg_Queso_Blan]]</f>
        <v>-0.36488892942079282</v>
      </c>
      <c r="BX221" s="8">
        <f>SUM(Tabla_master_rend[[#This Row],[Kg_Finos]:[Kg_Desmoldeo]])+Tabla_master_rend[[#This Row],[L_Agua]]+SUM(Tabla_master_rend[[#This Row],[B_altas]:[B_lab]])</f>
        <v>258.29028737892554</v>
      </c>
      <c r="BY221" s="8">
        <f>+BX221-Tabla_master_rend[[#This Row],[Merma_TOT]]</f>
        <v>-57.009999999999991</v>
      </c>
      <c r="BZ221" s="62">
        <f t="shared" si="64"/>
        <v>-0.22072064953942036</v>
      </c>
      <c r="CA221" s="8">
        <f>+Tabla_master_rend[[#This Row],[Kg_Queso_Blan]]*$CA$1</f>
        <v>48.043386867963015</v>
      </c>
      <c r="CB221" s="8">
        <f>+Tabla_master_rend[[#This Row],[Kg_Queso_Blan]]*($CB$1-$CA$1)</f>
        <v>25.869516005826242</v>
      </c>
      <c r="CC221" s="8">
        <f>+(Tabla_master_rend[[#This Row],[Kg_Queso_Blan]]-CA221-CB221)*$CC$1</f>
        <v>76.83246253730394</v>
      </c>
      <c r="CD221" s="8">
        <f t="shared" si="65"/>
        <v>150.74536541109319</v>
      </c>
      <c r="CE221" s="80">
        <f>+CD221/Tabla_master_rend[[#This Row],[Kg_Queso_Blan]]</f>
        <v>2.0395E-2</v>
      </c>
      <c r="CF221" s="62">
        <f>+Tabla_master_rend[[#This Row],[Merma_TOT]]/Tabla_master_rend[[#This Row],[Kg_Queso_Blan]]</f>
        <v>4.2658355323605651E-2</v>
      </c>
      <c r="CG221" s="8">
        <f>CD221-Tabla_master_rend[[#This Row],[Merma_TOT]]</f>
        <v>-164.55492196783234</v>
      </c>
      <c r="CH221" s="81" cm="1">
        <f t="array" ref="CH221">-BR221 * IFERROR(INDEX('Precio Leche_EBITDA_Ventas'!$BD$87:$BD$110,MATCH(1,('Precio Leche_EBITDA_Ventas'!$AZ$87:$AZ$110=YEAR(A221))*('Precio Leche_EBITDA_Ventas'!$BB$87:$BB$110=C221),0)),1.3)</f>
        <v>-536.01048854417343</v>
      </c>
      <c r="CI221" s="81">
        <f t="shared" si="66"/>
        <v>-213.92139855818206</v>
      </c>
    </row>
    <row r="222" spans="1:87" x14ac:dyDescent="0.35">
      <c r="A222" s="9">
        <v>46167</v>
      </c>
      <c r="B222" s="7">
        <v>5</v>
      </c>
      <c r="C222" s="7" t="str">
        <f>+UPPER(TEXT(Tabla_master_rend[[#This Row],[Fecha]],"MMM"))</f>
        <v>MAY</v>
      </c>
      <c r="D222" s="7" t="str">
        <f>+UPPER(TEXT(Tabla_master_rend[[#This Row],[Fecha]],"ddd"))</f>
        <v>LU</v>
      </c>
      <c r="E222" s="122">
        <v>250526316</v>
      </c>
      <c r="F222" s="3" t="s">
        <v>244</v>
      </c>
      <c r="G222" t="s">
        <v>299</v>
      </c>
      <c r="H222">
        <v>15</v>
      </c>
      <c r="I222" s="8">
        <f>+Tabla_master_rend[[#This Row],[L_Leche_ent]]+Tabla_master_rend[[#This Row],[L_desn_ext]]+Tabla_master_rend[[#This Row],[L_cabra]]+Tabla_master_rend[[#This Row],[L_oveja]]</f>
        <v>238322</v>
      </c>
      <c r="J222" s="8">
        <v>238322</v>
      </c>
      <c r="K222" s="66">
        <v>3.9100000000000003E-2</v>
      </c>
      <c r="L222" s="66">
        <v>3.39E-2</v>
      </c>
      <c r="M222" s="5">
        <f t="shared" si="61"/>
        <v>0.109449</v>
      </c>
      <c r="N222" s="3" t="s">
        <v>188</v>
      </c>
      <c r="O222" s="8">
        <v>0</v>
      </c>
      <c r="P222" s="8">
        <v>0</v>
      </c>
      <c r="Q222" s="8">
        <v>0</v>
      </c>
      <c r="R222" s="8">
        <v>8709</v>
      </c>
      <c r="S222" s="8">
        <f>413/(61700+238322)*238322</f>
        <v>328.0658951676877</v>
      </c>
      <c r="T222" s="8">
        <v>210060</v>
      </c>
      <c r="U222" s="38">
        <f>+Tabla_master_rend[[#This Row],[L_suero Total]]/Tabla_master_rend[[#This Row],[Litros_Leche_Total]]</f>
        <v>0.88141254269433789</v>
      </c>
      <c r="V222" s="66">
        <v>1.8E-3</v>
      </c>
      <c r="W222" s="66">
        <v>7.7999999999999996E-3</v>
      </c>
      <c r="X222" s="8">
        <f>141205/(55200+210060)*210060</f>
        <v>111820.56209002489</v>
      </c>
      <c r="Y222" s="57">
        <f>42670/(29384+111821)*111821</f>
        <v>33790.602811515171</v>
      </c>
      <c r="Z222" s="58">
        <f>IF(Tabla_master_rend[[#This Row],[L_suero para con]]=0,0,+Tabla_master_rend[[#This Row],[L_suero para con]]/Tabla_master_rend[[#This Row],[L_suero_con]])</f>
        <v>3.3092206941013389</v>
      </c>
      <c r="AA222" s="8">
        <f>+Tabla_master_rend[[#This Row],[L_suero Total]]-Tabla_master_rend[[#This Row],[L_suero para con]]</f>
        <v>98239.43790997511</v>
      </c>
      <c r="AD222" s="8">
        <v>0</v>
      </c>
      <c r="AE222" s="8">
        <v>0</v>
      </c>
      <c r="AF222" s="8">
        <v>0</v>
      </c>
      <c r="AG222" s="66">
        <v>0</v>
      </c>
      <c r="AH222" s="66">
        <v>0</v>
      </c>
      <c r="AI222" s="7">
        <f>+Tabla_master_rend[[#This Row],[Kg_Finos]]+Tabla_master_rend[[#This Row],[Kg_Llenadora]]+Tabla_master_rend[[#This Row],[Kg_Desmoldeo]]+Tabla_master_rend[[#This Row],[L_Agua]]+Tabla_master_rend[[#This Row],[Kg_SalidaSecadero]]</f>
        <v>26612.619712621075</v>
      </c>
      <c r="AJ222" s="59">
        <f>+Tabla_master_rend[[#This Row],[Litros_Leche_Total]]/Tabla_master_rend[[#This Row],[Kg_Queso_Blan]]</f>
        <v>8.9552250989772126</v>
      </c>
      <c r="AK222" s="59">
        <f>+Tabla_master_rend[[#This Row],[Litros_Leche_Total]]/(Tabla_master_rend[[#This Row],[Kg_Queso_Blan]]-Tabla_master_rend[[#This Row],[Merma_TOT]])</f>
        <v>9.0991004061573424</v>
      </c>
      <c r="AL222" s="59">
        <f>VLOOKUP(G222,REND_TARGET[#All],8,FALSE)</f>
        <v>9.8078500000000002</v>
      </c>
      <c r="AM222" s="7">
        <f>(I222*1.03*Tabla_master_rend[[#This Row],[%MG_Leche]])+(I222*1.03*Tabla_master_rend[[#This Row],[%MP_Leche]])</f>
        <v>17919.43118</v>
      </c>
      <c r="AN222" s="137">
        <v>0.21920000000000001</v>
      </c>
      <c r="AO222" s="137">
        <v>0.25190000000000001</v>
      </c>
      <c r="AP222" s="64">
        <v>0.52500000000000002</v>
      </c>
      <c r="AQ222" s="38">
        <f>+Tabla_master_rend[[#This Row],[Kg_Queso_Blan]]*Tabla_master_rend[[#This Row],[ES_QUESO]]/(Tabla_master_rend[[#This Row],[Kg_Solidos_leche]])</f>
        <v>0.77969134225197345</v>
      </c>
      <c r="AR222" s="7">
        <f t="shared" si="62"/>
        <v>3483.6000000000004</v>
      </c>
      <c r="AS222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0.97073792822001903</v>
      </c>
      <c r="AT222" s="62">
        <f>+Tabla_master_rend[[#This Row],[Kg_Queso_Blan]]*Tabla_master_rend[[#This Row],[%PT_QUESO]]/(Tabla_master_rend[[#This Row],[Litros_Leche_Total]]*1.03*Tabla_master_rend[[#This Row],[%MP_Leche]])</f>
        <v>0.80559124513380342</v>
      </c>
      <c r="AU222" s="7">
        <f t="shared" si="63"/>
        <v>26127.000000000004</v>
      </c>
      <c r="AV222" s="8">
        <f>51.01/(61700+238322)*238322</f>
        <v>40.519712621074447</v>
      </c>
      <c r="AW222" s="8">
        <v>93.1</v>
      </c>
      <c r="AX222" s="8">
        <v>0</v>
      </c>
      <c r="AY222" s="8">
        <f>SUM(Tabla_master_rend[[#This Row],[Kg_Finos]:[Kg_Desmoldeo]])</f>
        <v>133.61971262107443</v>
      </c>
      <c r="AZ222" s="60">
        <f>+(Tabla_master_rend[[#This Row],[Kg_Finos]]+Tabla_master_rend[[#This Row],[Kg_Llenadora]]+Tabla_master_rend[[#This Row],[Kg_Desmoldeo]])/(Tabla_master_rend[[#This Row],[Kg_Queso_Blan]])</f>
        <v>5.0209154177221068E-3</v>
      </c>
      <c r="BA222" s="8">
        <v>215</v>
      </c>
      <c r="BB222" s="60">
        <f>+Tabla_master_rend[[#This Row],[L_Agua]]/(Tabla_master_rend[[#This Row],[L_Agua]]+Tabla_master_rend[[#This Row],[Kg_SalidaSecadero]])</f>
        <v>8.1196419804373272E-3</v>
      </c>
      <c r="BC222" s="8">
        <v>3681</v>
      </c>
      <c r="BD222" s="8">
        <v>3625</v>
      </c>
      <c r="BE222" s="8">
        <v>26140</v>
      </c>
      <c r="BF222" s="8">
        <v>0</v>
      </c>
      <c r="BG222" s="8">
        <v>198</v>
      </c>
      <c r="BH222" s="8">
        <v>30</v>
      </c>
      <c r="BI222" s="8">
        <v>30</v>
      </c>
      <c r="BJ222" s="8">
        <v>81</v>
      </c>
      <c r="BK222" s="8">
        <v>26264</v>
      </c>
      <c r="BL222" s="8">
        <v>0</v>
      </c>
      <c r="BM222" s="8">
        <v>57.2</v>
      </c>
      <c r="BN222" s="8">
        <v>14.98</v>
      </c>
      <c r="BO222" s="68">
        <f>+SUM(Tabla_master_rend[[#This Row],[B_altas]:[B_lab]])/Tabla_master_rend[[#This Row],[Kg_SalidaSecadero]]</f>
        <v>1.290740176667682E-2</v>
      </c>
      <c r="BP222" s="68">
        <f>+(Tabla_master_rend[[#This Row],[Kg_mer_env_real]]+Tabla_master_rend[[#This Row],[kg_mer_lab_real]])/Tabla_master_rend[[#This Row],[Kg_SalidaSecadero]]</f>
        <v>2.7482485531526045E-3</v>
      </c>
      <c r="BQ222" s="64">
        <f>+Tabla_master_rend[[#This Row],[Merma_TOT]]/Tabla_master_rend[[#This Row],[Kg_Queso_Blan]]</f>
        <v>1.5812036438543835E-2</v>
      </c>
      <c r="BR222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420.79971262107443</v>
      </c>
      <c r="BS222" s="188">
        <v>26264</v>
      </c>
      <c r="BT222" s="63">
        <f>IF(+Tabla_master_rend[[#This Row],[Kg_Env_Total]]=0,0,Tabla_master_rend[[#This Row],[Kg_Env_Total]]-Tabla_master_rend[[#This Row],[Kg_SalidaSecadero]])</f>
        <v>0</v>
      </c>
      <c r="BU222" s="60">
        <f>+Tabla_master_rend[[#This Row],[Diferencia_Env_vs_Sec_kg]]/Tabla_master_rend[[#This Row],[Kg_SalidaSecadero]]</f>
        <v>0</v>
      </c>
      <c r="BV222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22" s="65">
        <f>+(Tabla_master_rend[[#This Row],[Coste_Leche_€]]-Tabla_master_rend[[#This Row],[Kg_MG_Nata]]*$CO$3)/Tabla_master_rend[[#This Row],[Kg_Queso_Blan]]</f>
        <v>-0.98175227700748435</v>
      </c>
      <c r="BX222" s="8">
        <f>SUM(Tabla_master_rend[[#This Row],[Kg_Finos]:[Kg_Desmoldeo]])+Tabla_master_rend[[#This Row],[L_Agua]]+SUM(Tabla_master_rend[[#This Row],[B_altas]:[B_lab]])</f>
        <v>687.61971262107443</v>
      </c>
      <c r="BY222" s="8">
        <f>+BX222-Tabla_master_rend[[#This Row],[Merma_TOT]]</f>
        <v>266.82</v>
      </c>
      <c r="BZ222" s="62">
        <f t="shared" si="64"/>
        <v>0.38803425076767117</v>
      </c>
      <c r="CA222" s="8">
        <f>+Tabla_master_rend[[#This Row],[Kg_Queso_Blan]]*$CA$1</f>
        <v>172.98202813203699</v>
      </c>
      <c r="CB222" s="8">
        <f>+Tabla_master_rend[[#This Row],[Kg_Queso_Blan]]*($CB$1-$CA$1)</f>
        <v>93.144168994173782</v>
      </c>
      <c r="CC222" s="8">
        <f>+(Tabla_master_rend[[#This Row],[Kg_Queso_Blan]]-CA222-CB222)*$CC$1</f>
        <v>276.6381819126961</v>
      </c>
      <c r="CD222" s="8">
        <f t="shared" si="65"/>
        <v>542.76437903890678</v>
      </c>
      <c r="CE222" s="80">
        <f>+CD222/Tabla_master_rend[[#This Row],[Kg_Queso_Blan]]</f>
        <v>2.0394999999999996E-2</v>
      </c>
      <c r="CF222" s="62">
        <f>+Tabla_master_rend[[#This Row],[Merma_TOT]]/Tabla_master_rend[[#This Row],[Kg_Queso_Blan]]</f>
        <v>1.5812036438543835E-2</v>
      </c>
      <c r="CG222" s="8">
        <f>CD222-Tabla_master_rend[[#This Row],[Merma_TOT]]</f>
        <v>121.96466641783235</v>
      </c>
      <c r="CH222" s="81" cm="1">
        <f t="array" ref="CH222">-BR222 * IFERROR(INDEX('Precio Leche_EBITDA_Ventas'!$BD$87:$BD$110,MATCH(1,('Precio Leche_EBITDA_Ventas'!$AZ$87:$AZ$110=YEAR(A222))*('Precio Leche_EBITDA_Ventas'!$BB$87:$BB$110=C222),0)),1.3)</f>
        <v>-715.35951145582646</v>
      </c>
      <c r="CI222" s="81">
        <f t="shared" si="66"/>
        <v>158.55406634318206</v>
      </c>
    </row>
    <row r="223" spans="1:87" x14ac:dyDescent="0.35">
      <c r="A223" s="9">
        <v>46169</v>
      </c>
      <c r="B223" s="7">
        <v>5</v>
      </c>
      <c r="C223" s="7" t="str">
        <f>+UPPER(TEXT(Tabla_master_rend[[#This Row],[Fecha]],"MMM"))</f>
        <v>MAY</v>
      </c>
      <c r="D223" s="7" t="str">
        <f>+UPPER(TEXT(Tabla_master_rend[[#This Row],[Fecha]],"ddd"))</f>
        <v>MI</v>
      </c>
      <c r="E223" s="122">
        <v>270526326</v>
      </c>
      <c r="F223" s="3" t="s">
        <v>244</v>
      </c>
      <c r="G223" t="s">
        <v>301</v>
      </c>
      <c r="H223">
        <v>13</v>
      </c>
      <c r="I223" s="8">
        <f>+Tabla_master_rend[[#This Row],[L_Leche_ent]]+Tabla_master_rend[[#This Row],[L_desn_ext]]+Tabla_master_rend[[#This Row],[L_cabra]]+Tabla_master_rend[[#This Row],[L_oveja]]</f>
        <v>202323</v>
      </c>
      <c r="J223" s="8">
        <v>202323</v>
      </c>
      <c r="K223" s="66">
        <v>4.1200000000000001E-2</v>
      </c>
      <c r="L223" s="66">
        <v>3.4099999999999998E-2</v>
      </c>
      <c r="M223" s="5">
        <f t="shared" si="61"/>
        <v>0.11155</v>
      </c>
      <c r="N223" s="3" t="s">
        <v>188</v>
      </c>
      <c r="O223" s="8">
        <v>0</v>
      </c>
      <c r="P223" s="8">
        <v>0</v>
      </c>
      <c r="Q223" s="8">
        <v>0</v>
      </c>
      <c r="R223" s="8">
        <v>4075</v>
      </c>
      <c r="S223" s="8">
        <v>494</v>
      </c>
      <c r="T223" s="8">
        <v>182630</v>
      </c>
      <c r="U223" s="38">
        <f>+Tabla_master_rend[[#This Row],[L_suero Total]]/Tabla_master_rend[[#This Row],[Litros_Leche_Total]]</f>
        <v>0.90266553975573716</v>
      </c>
      <c r="V223" s="66">
        <v>2.9999999999999997E-4</v>
      </c>
      <c r="W223" s="66">
        <v>9.1000000000000004E-3</v>
      </c>
      <c r="X223" s="8">
        <v>182460</v>
      </c>
      <c r="Y223" s="57">
        <v>91808</v>
      </c>
      <c r="Z223" s="58">
        <f>IF(Tabla_master_rend[[#This Row],[L_suero para con]]=0,0,+Tabla_master_rend[[#This Row],[L_suero para con]]/Tabla_master_rend[[#This Row],[L_suero_con]])</f>
        <v>1.9874085047054724</v>
      </c>
      <c r="AA223" s="8">
        <f>+Tabla_master_rend[[#This Row],[L_suero Total]]-Tabla_master_rend[[#This Row],[L_suero para con]]</f>
        <v>170</v>
      </c>
      <c r="AD223" s="8">
        <v>0</v>
      </c>
      <c r="AE223" s="8">
        <v>0</v>
      </c>
      <c r="AF223" s="8">
        <v>0</v>
      </c>
      <c r="AG223" s="66">
        <v>0</v>
      </c>
      <c r="AH223" s="66">
        <v>0</v>
      </c>
      <c r="AI223" s="7">
        <f>+Tabla_master_rend[[#This Row],[Kg_Finos]]+Tabla_master_rend[[#This Row],[Kg_Llenadora]]+Tabla_master_rend[[#This Row],[Kg_Desmoldeo]]+Tabla_master_rend[[#This Row],[L_Agua]]+Tabla_master_rend[[#This Row],[Kg_SalidaSecadero]]</f>
        <v>23362.16</v>
      </c>
      <c r="AJ223" s="59">
        <f>+Tabla_master_rend[[#This Row],[Litros_Leche_Total]]/Tabla_master_rend[[#This Row],[Kg_Queso_Blan]]</f>
        <v>8.6602865488465106</v>
      </c>
      <c r="AK223" s="59">
        <f>+Tabla_master_rend[[#This Row],[Litros_Leche_Total]]/(Tabla_master_rend[[#This Row],[Kg_Queso_Blan]]-Tabla_master_rend[[#This Row],[Merma_TOT]])</f>
        <v>8.7605207392467417</v>
      </c>
      <c r="AL223" s="59">
        <f>VLOOKUP(G223,REND_TARGET[#All],8,FALSE)</f>
        <v>9.3549429999999987</v>
      </c>
      <c r="AM223" s="7">
        <f>(I223*1.03*Tabla_master_rend[[#This Row],[%MG_Leche]])+(I223*1.03*Tabla_master_rend[[#This Row],[%MP_Leche]])</f>
        <v>15691.969557</v>
      </c>
      <c r="AN223" s="137">
        <v>0.29070000000000001</v>
      </c>
      <c r="AO223" s="137">
        <v>0.2482</v>
      </c>
      <c r="AP223" s="64">
        <v>0.58040000000000003</v>
      </c>
      <c r="AQ223" s="38">
        <f>+Tabla_master_rend[[#This Row],[Kg_Queso_Blan]]*Tabla_master_rend[[#This Row],[ES_QUESO]]/(Tabla_master_rend[[#This Row],[Kg_Solidos_leche]])</f>
        <v>0.86409788234334894</v>
      </c>
      <c r="AR223" s="7">
        <f t="shared" si="62"/>
        <v>1630</v>
      </c>
      <c r="AS223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0.9808521836756543</v>
      </c>
      <c r="AT223" s="62">
        <f>+Tabla_master_rend[[#This Row],[Kg_Queso_Blan]]*Tabla_master_rend[[#This Row],[%PT_QUESO]]/(Tabla_master_rend[[#This Row],[Litros_Leche_Total]]*1.03*Tabla_master_rend[[#This Row],[%MP_Leche]])</f>
        <v>0.81597698867505308</v>
      </c>
      <c r="AU223" s="7">
        <f t="shared" si="63"/>
        <v>12225</v>
      </c>
      <c r="AV223" s="8">
        <v>29.06</v>
      </c>
      <c r="AW223" s="8">
        <v>38.299999999999997</v>
      </c>
      <c r="AX223" s="8">
        <v>6.8</v>
      </c>
      <c r="AY223" s="8">
        <f>SUM(Tabla_master_rend[[#This Row],[Kg_Finos]:[Kg_Desmoldeo]])</f>
        <v>74.16</v>
      </c>
      <c r="AZ223" s="60">
        <f>+(Tabla_master_rend[[#This Row],[Kg_Finos]]+Tabla_master_rend[[#This Row],[Kg_Llenadora]]+Tabla_master_rend[[#This Row],[Kg_Desmoldeo]])/(Tabla_master_rend[[#This Row],[Kg_Queso_Blan]])</f>
        <v>3.1743640142863501E-3</v>
      </c>
      <c r="BA223" s="8">
        <v>180</v>
      </c>
      <c r="BB223" s="60">
        <f>+Tabla_master_rend[[#This Row],[L_Agua]]/(Tabla_master_rend[[#This Row],[L_Agua]]+Tabla_master_rend[[#This Row],[Kg_SalidaSecadero]])</f>
        <v>7.7293026451391274E-3</v>
      </c>
      <c r="BC223" s="8">
        <v>3093</v>
      </c>
      <c r="BD223" s="8">
        <v>3082</v>
      </c>
      <c r="BE223" s="8">
        <v>23220</v>
      </c>
      <c r="BF223" s="8">
        <v>0</v>
      </c>
      <c r="BG223" s="8">
        <v>0</v>
      </c>
      <c r="BH223" s="8">
        <v>0</v>
      </c>
      <c r="BI223" s="8">
        <v>0</v>
      </c>
      <c r="BJ223" s="8">
        <v>68</v>
      </c>
      <c r="BK223" s="8">
        <v>23108</v>
      </c>
      <c r="BL223" s="8">
        <v>0</v>
      </c>
      <c r="BM223" s="8">
        <v>1.21</v>
      </c>
      <c r="BN223" s="8">
        <v>11.93</v>
      </c>
      <c r="BO223" s="68">
        <f>+SUM(Tabla_master_rend[[#This Row],[B_altas]:[B_lab]])/Tabla_master_rend[[#This Row],[Kg_SalidaSecadero]]</f>
        <v>2.9427038255149733E-3</v>
      </c>
      <c r="BP223" s="68">
        <f>+(Tabla_master_rend[[#This Row],[Kg_mer_env_real]]+Tabla_master_rend[[#This Row],[kg_mer_lab_real]])/Tabla_master_rend[[#This Row],[Kg_SalidaSecadero]]</f>
        <v>5.6863423922451101E-4</v>
      </c>
      <c r="BQ223" s="64">
        <f>+Tabla_master_rend[[#This Row],[Merma_TOT]]/Tabla_master_rend[[#This Row],[Kg_Queso_Blan]]</f>
        <v>1.1441579032075802E-2</v>
      </c>
      <c r="BR223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267.3</v>
      </c>
      <c r="BS223" s="138">
        <v>22296.800000000003</v>
      </c>
      <c r="BT223" s="63">
        <f>IF(+Tabla_master_rend[[#This Row],[Kg_Env_Total]]=0,0,Tabla_master_rend[[#This Row],[Kg_Env_Total]]-Tabla_master_rend[[#This Row],[Kg_SalidaSecadero]])</f>
        <v>-811.19999999999709</v>
      </c>
      <c r="BU223" s="60">
        <f>+Tabla_master_rend[[#This Row],[Diferencia_Env_vs_Sec_kg]]/Tabla_master_rend[[#This Row],[Kg_SalidaSecadero]]</f>
        <v>-3.5104725636143204E-2</v>
      </c>
      <c r="BV223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23" s="65">
        <f>+(Tabla_master_rend[[#This Row],[Coste_Leche_€]]-Tabla_master_rend[[#This Row],[Kg_MG_Nata]]*$CO$3)/Tabla_master_rend[[#This Row],[Kg_Queso_Blan]]</f>
        <v>-0.52328209377899992</v>
      </c>
      <c r="BX223" s="8">
        <f>SUM(Tabla_master_rend[[#This Row],[Kg_Finos]:[Kg_Desmoldeo]])+Tabla_master_rend[[#This Row],[L_Agua]]+SUM(Tabla_master_rend[[#This Row],[B_altas]:[B_lab]])</f>
        <v>322.15999999999997</v>
      </c>
      <c r="BY223" s="8">
        <f>+BX223-Tabla_master_rend[[#This Row],[Merma_TOT]]</f>
        <v>54.859999999999957</v>
      </c>
      <c r="BZ223" s="62">
        <f t="shared" si="64"/>
        <v>0.17028805562453428</v>
      </c>
      <c r="CA223" s="8">
        <f>+Tabla_master_rend[[#This Row],[Kg_Queso_Blan]]*$CA$1</f>
        <v>151.85404</v>
      </c>
      <c r="CB223" s="8">
        <f>+Tabla_master_rend[[#This Row],[Kg_Queso_Blan]]*($CB$1-$CA$1)</f>
        <v>81.767560000000017</v>
      </c>
      <c r="CC223" s="8">
        <f>+(Tabla_master_rend[[#This Row],[Kg_Queso_Blan]]-CA223-CB223)*$CC$1</f>
        <v>242.84965320000003</v>
      </c>
      <c r="CD223" s="8">
        <f t="shared" si="65"/>
        <v>476.47125320000004</v>
      </c>
      <c r="CE223" s="80">
        <f>+CD223/Tabla_master_rend[[#This Row],[Kg_Queso_Blan]]</f>
        <v>2.0395E-2</v>
      </c>
      <c r="CF223" s="62">
        <f>+Tabla_master_rend[[#This Row],[Merma_TOT]]/Tabla_master_rend[[#This Row],[Kg_Queso_Blan]]</f>
        <v>1.1441579032075802E-2</v>
      </c>
      <c r="CG223" s="8">
        <f>CD223-Tabla_master_rend[[#This Row],[Merma_TOT]]</f>
        <v>209.17125320000002</v>
      </c>
      <c r="CH223" s="81" cm="1">
        <f t="array" ref="CH223">-BR223 * IFERROR(INDEX('Precio Leche_EBITDA_Ventas'!$BD$87:$BD$110,MATCH(1,('Precio Leche_EBITDA_Ventas'!$AZ$87:$AZ$110=YEAR(A223))*('Precio Leche_EBITDA_Ventas'!$BB$87:$BB$110=C223),0)),1.3)</f>
        <v>-454.41</v>
      </c>
      <c r="CI223" s="81">
        <f t="shared" si="66"/>
        <v>271.92262916000004</v>
      </c>
    </row>
    <row r="224" spans="1:87" x14ac:dyDescent="0.35">
      <c r="A224" s="9">
        <v>46170</v>
      </c>
      <c r="B224" s="7">
        <v>5</v>
      </c>
      <c r="C224" s="7" t="str">
        <f>+UPPER(TEXT(Tabla_master_rend[[#This Row],[Fecha]],"MMM"))</f>
        <v>MAY</v>
      </c>
      <c r="D224" s="7" t="str">
        <f>+UPPER(TEXT(Tabla_master_rend[[#This Row],[Fecha]],"ddd"))</f>
        <v>JU</v>
      </c>
      <c r="E224" s="122">
        <v>280526316</v>
      </c>
      <c r="F224" s="3" t="s">
        <v>244</v>
      </c>
      <c r="G224" t="s">
        <v>299</v>
      </c>
      <c r="H224">
        <v>16</v>
      </c>
      <c r="I224" s="8">
        <f>+Tabla_master_rend[[#This Row],[L_Leche_ent]]+Tabla_master_rend[[#This Row],[L_desn_ext]]+Tabla_master_rend[[#This Row],[L_cabra]]+Tabla_master_rend[[#This Row],[L_oveja]]</f>
        <v>248808</v>
      </c>
      <c r="J224" s="8">
        <v>248808</v>
      </c>
      <c r="K224" s="66">
        <v>4.0899999999999999E-2</v>
      </c>
      <c r="L224" s="66">
        <v>3.3799999999999997E-2</v>
      </c>
      <c r="M224" s="5">
        <f t="shared" si="61"/>
        <v>0.11104899999999999</v>
      </c>
      <c r="N224" s="3" t="s">
        <v>188</v>
      </c>
      <c r="O224" s="8">
        <v>0</v>
      </c>
      <c r="P224" s="8">
        <v>0</v>
      </c>
      <c r="Q224" s="8">
        <v>0</v>
      </c>
      <c r="R224" s="8">
        <v>10230</v>
      </c>
      <c r="S224" s="8">
        <v>239</v>
      </c>
      <c r="T224" s="8">
        <v>201480</v>
      </c>
      <c r="U224" s="38">
        <f>+Tabla_master_rend[[#This Row],[L_suero Total]]/Tabla_master_rend[[#This Row],[Litros_Leche_Total]]</f>
        <v>0.80978103597955053</v>
      </c>
      <c r="V224" s="66">
        <v>2.9999999999999997E-4</v>
      </c>
      <c r="W224" s="66">
        <v>8.0999999999999996E-3</v>
      </c>
      <c r="X224" s="8">
        <v>200794</v>
      </c>
      <c r="Y224" s="57">
        <v>62663</v>
      </c>
      <c r="Z224" s="58">
        <f>IF(Tabla_master_rend[[#This Row],[L_suero para con]]=0,0,+Tabla_master_rend[[#This Row],[L_suero para con]]/Tabla_master_rend[[#This Row],[L_suero_con]])</f>
        <v>3.204347062860061</v>
      </c>
      <c r="AA224" s="8">
        <f>+Tabla_master_rend[[#This Row],[L_suero Total]]-Tabla_master_rend[[#This Row],[L_suero para con]]</f>
        <v>686</v>
      </c>
      <c r="AD224" s="8">
        <v>0</v>
      </c>
      <c r="AE224" s="8">
        <v>0</v>
      </c>
      <c r="AF224" s="8">
        <v>0</v>
      </c>
      <c r="AG224" s="66">
        <v>0</v>
      </c>
      <c r="AH224" s="66">
        <v>0</v>
      </c>
      <c r="AI224" s="7">
        <f>+Tabla_master_rend[[#This Row],[Kg_Finos]]+Tabla_master_rend[[#This Row],[Kg_Llenadora]]+Tabla_master_rend[[#This Row],[Kg_Desmoldeo]]+Tabla_master_rend[[#This Row],[L_Agua]]+Tabla_master_rend[[#This Row],[Kg_SalidaSecadero]]</f>
        <v>27583.99</v>
      </c>
      <c r="AJ224" s="59">
        <f>+Tabla_master_rend[[#This Row],[Litros_Leche_Total]]/Tabla_master_rend[[#This Row],[Kg_Queso_Blan]]</f>
        <v>9.0200148709450652</v>
      </c>
      <c r="AK224" s="59">
        <f>+Tabla_master_rend[[#This Row],[Litros_Leche_Total]]/(Tabla_master_rend[[#This Row],[Kg_Queso_Blan]]-Tabla_master_rend[[#This Row],[Merma_TOT]])</f>
        <v>9.2133776311716158</v>
      </c>
      <c r="AL224" s="59">
        <f>VLOOKUP(G224,REND_TARGET[#All],8,FALSE)</f>
        <v>9.8078500000000002</v>
      </c>
      <c r="AM224" s="7">
        <f>(I224*1.03*Tabla_master_rend[[#This Row],[%MG_Leche]])+(I224*1.03*Tabla_master_rend[[#This Row],[%MP_Leche]])</f>
        <v>19143.536328000002</v>
      </c>
      <c r="AN224" s="137">
        <v>0.22889999999999999</v>
      </c>
      <c r="AO224" s="137">
        <v>0.2581</v>
      </c>
      <c r="AP224" s="64">
        <v>0.53469999999999995</v>
      </c>
      <c r="AQ224" s="38">
        <f>+Tabla_master_rend[[#This Row],[Kg_Queso_Blan]]*Tabla_master_rend[[#This Row],[ES_QUESO]]/(Tabla_master_rend[[#This Row],[Kg_Solidos_leche]])</f>
        <v>0.7704511434194824</v>
      </c>
      <c r="AR224" s="7">
        <f t="shared" si="62"/>
        <v>4092</v>
      </c>
      <c r="AS224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0.99279119825787154</v>
      </c>
      <c r="AT224" s="62">
        <f>+Tabla_master_rend[[#This Row],[Kg_Queso_Blan]]*Tabla_master_rend[[#This Row],[%PT_QUESO]]/(Tabla_master_rend[[#This Row],[Litros_Leche_Total]]*1.03*Tabla_master_rend[[#This Row],[%MP_Leche]])</f>
        <v>0.82191484782749724</v>
      </c>
      <c r="AU224" s="7">
        <f t="shared" si="63"/>
        <v>30690</v>
      </c>
      <c r="AV224" s="8">
        <v>36.79</v>
      </c>
      <c r="AW224" s="8">
        <v>35.200000000000003</v>
      </c>
      <c r="AX224" s="8">
        <v>20</v>
      </c>
      <c r="AY224" s="8">
        <f>SUM(Tabla_master_rend[[#This Row],[Kg_Finos]:[Kg_Desmoldeo]])</f>
        <v>91.990000000000009</v>
      </c>
      <c r="AZ224" s="60">
        <f>+(Tabla_master_rend[[#This Row],[Kg_Finos]]+Tabla_master_rend[[#This Row],[Kg_Llenadora]]+Tabla_master_rend[[#This Row],[Kg_Desmoldeo]])/(Tabla_master_rend[[#This Row],[Kg_Queso_Blan]])</f>
        <v>3.3349055013433518E-3</v>
      </c>
      <c r="BA224" s="8">
        <v>260</v>
      </c>
      <c r="BB224" s="60">
        <f>+Tabla_master_rend[[#This Row],[L_Agua]]/(Tabla_master_rend[[#This Row],[L_Agua]]+Tabla_master_rend[[#This Row],[Kg_SalidaSecadero]])</f>
        <v>9.4572966681216349E-3</v>
      </c>
      <c r="BC224" s="8">
        <v>3802</v>
      </c>
      <c r="BD224" s="8">
        <v>3701</v>
      </c>
      <c r="BE224" s="8">
        <v>26865</v>
      </c>
      <c r="BF224" s="8">
        <v>0</v>
      </c>
      <c r="BG224" s="8">
        <v>342</v>
      </c>
      <c r="BH224" s="8">
        <v>120</v>
      </c>
      <c r="BI224" s="8">
        <v>60</v>
      </c>
      <c r="BJ224" s="8">
        <v>105</v>
      </c>
      <c r="BK224" s="8">
        <v>27232</v>
      </c>
      <c r="BL224" s="8">
        <v>0</v>
      </c>
      <c r="BM224" s="8">
        <v>207.8</v>
      </c>
      <c r="BN224" s="8">
        <v>19.12</v>
      </c>
      <c r="BO224" s="68">
        <f>+SUM(Tabla_master_rend[[#This Row],[B_altas]:[B_lab]])/Tabla_master_rend[[#This Row],[Kg_SalidaSecadero]]</f>
        <v>2.3024383078730906E-2</v>
      </c>
      <c r="BP224" s="68">
        <f>+(Tabla_master_rend[[#This Row],[Kg_mer_env_real]]+Tabla_master_rend[[#This Row],[kg_mer_lab_real]])/Tabla_master_rend[[#This Row],[Kg_SalidaSecadero]]</f>
        <v>8.3328437132784965E-3</v>
      </c>
      <c r="BQ224" s="64">
        <f>+Tabla_master_rend[[#This Row],[Merma_TOT]]/Tabla_master_rend[[#This Row],[Kg_Queso_Blan]]</f>
        <v>2.0987174081777145E-2</v>
      </c>
      <c r="BR224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578.91</v>
      </c>
      <c r="BS224" s="138">
        <v>26630.370000000003</v>
      </c>
      <c r="BT224" s="63">
        <f>IF(+Tabla_master_rend[[#This Row],[Kg_Env_Total]]=0,0,Tabla_master_rend[[#This Row],[Kg_Env_Total]]-Tabla_master_rend[[#This Row],[Kg_SalidaSecadero]])</f>
        <v>-601.62999999999738</v>
      </c>
      <c r="BU224" s="60">
        <f>+Tabla_master_rend[[#This Row],[Diferencia_Env_vs_Sec_kg]]/Tabla_master_rend[[#This Row],[Kg_SalidaSecadero]]</f>
        <v>-2.2092758519388859E-2</v>
      </c>
      <c r="BV224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24" s="65">
        <f>+(Tabla_master_rend[[#This Row],[Coste_Leche_€]]-Tabla_master_rend[[#This Row],[Kg_MG_Nata]]*$CO$3)/Tabla_master_rend[[#This Row],[Kg_Queso_Blan]]</f>
        <v>-1.1126019114711105</v>
      </c>
      <c r="BX224" s="8">
        <f>SUM(Tabla_master_rend[[#This Row],[Kg_Finos]:[Kg_Desmoldeo]])+Tabla_master_rend[[#This Row],[L_Agua]]+SUM(Tabla_master_rend[[#This Row],[B_altas]:[B_lab]])</f>
        <v>978.99</v>
      </c>
      <c r="BY224" s="8">
        <f>+BX224-Tabla_master_rend[[#This Row],[Merma_TOT]]</f>
        <v>400.08000000000004</v>
      </c>
      <c r="BZ224" s="62">
        <f t="shared" si="64"/>
        <v>0.40866607421934853</v>
      </c>
      <c r="CA224" s="8">
        <f>+Tabla_master_rend[[#This Row],[Kg_Queso_Blan]]*$CA$1</f>
        <v>179.29593500000001</v>
      </c>
      <c r="CB224" s="8">
        <f>+Tabla_master_rend[[#This Row],[Kg_Queso_Blan]]*($CB$1-$CA$1)</f>
        <v>96.543965000000014</v>
      </c>
      <c r="CC224" s="8">
        <f>+(Tabla_master_rend[[#This Row],[Kg_Queso_Blan]]-CA224-CB224)*$CC$1</f>
        <v>286.73557605000002</v>
      </c>
      <c r="CD224" s="8">
        <f t="shared" si="65"/>
        <v>562.57547605000013</v>
      </c>
      <c r="CE224" s="80">
        <f>+CD224/Tabla_master_rend[[#This Row],[Kg_Queso_Blan]]</f>
        <v>2.0395000000000003E-2</v>
      </c>
      <c r="CF224" s="62">
        <f>+Tabla_master_rend[[#This Row],[Merma_TOT]]/Tabla_master_rend[[#This Row],[Kg_Queso_Blan]]</f>
        <v>2.0987174081777145E-2</v>
      </c>
      <c r="CG224" s="8">
        <f>CD224-Tabla_master_rend[[#This Row],[Merma_TOT]]</f>
        <v>-16.334523949999834</v>
      </c>
      <c r="CH224" s="81" cm="1">
        <f t="array" ref="CH224">-BR224 * IFERROR(INDEX('Precio Leche_EBITDA_Ventas'!$BD$87:$BD$110,MATCH(1,('Precio Leche_EBITDA_Ventas'!$AZ$87:$AZ$110=YEAR(A224))*('Precio Leche_EBITDA_Ventas'!$BB$87:$BB$110=C224),0)),1.3)</f>
        <v>-984.14699999999993</v>
      </c>
      <c r="CI224" s="81">
        <f t="shared" si="66"/>
        <v>-21.234881134999785</v>
      </c>
    </row>
    <row r="225" spans="1:87" x14ac:dyDescent="0.35">
      <c r="A225" s="9">
        <v>46174</v>
      </c>
      <c r="B225" s="7">
        <v>6</v>
      </c>
      <c r="C225" s="7" t="str">
        <f>+UPPER(TEXT(Tabla_master_rend[[#This Row],[Fecha]],"MMM"))</f>
        <v>JUN</v>
      </c>
      <c r="D225" s="7" t="str">
        <f>+UPPER(TEXT(Tabla_master_rend[[#This Row],[Fecha]],"ddd"))</f>
        <v>LU</v>
      </c>
      <c r="E225" s="139" t="s">
        <v>599</v>
      </c>
      <c r="F225" s="3" t="s">
        <v>244</v>
      </c>
      <c r="G225" t="s">
        <v>194</v>
      </c>
      <c r="H225">
        <v>8</v>
      </c>
      <c r="I225" s="8">
        <f>+Tabla_master_rend[[#This Row],[L_Leche_ent]]+Tabla_master_rend[[#This Row],[L_desn_ext]]+Tabla_master_rend[[#This Row],[L_cabra]]+Tabla_master_rend[[#This Row],[L_oveja]]</f>
        <v>114000</v>
      </c>
      <c r="J225" s="8">
        <v>114000</v>
      </c>
      <c r="K225" s="66">
        <v>3.8699999999999998E-2</v>
      </c>
      <c r="L225" s="66">
        <v>3.3099999999999997E-2</v>
      </c>
      <c r="M225" s="5">
        <f t="shared" ref="M225:M229" si="67">0.93*K225+0.74*L225+0.048</f>
        <v>0.108485</v>
      </c>
      <c r="N225" s="3" t="s">
        <v>188</v>
      </c>
      <c r="O225" s="8">
        <v>0</v>
      </c>
      <c r="P225" s="8">
        <v>0</v>
      </c>
      <c r="Q225" s="8">
        <v>0</v>
      </c>
      <c r="R225" s="8">
        <v>4672</v>
      </c>
      <c r="S225" s="8">
        <f>494.6/(114000+161904)*114000</f>
        <v>204.36238691718862</v>
      </c>
      <c r="T225" s="8">
        <f>237460/(114000+161904)*114000</f>
        <v>98115.43145441894</v>
      </c>
      <c r="U225" s="38">
        <f>+Tabla_master_rend[[#This Row],[L_suero Total]]/Tabla_master_rend[[#This Row],[Litros_Leche_Total]]</f>
        <v>0.8606616794247276</v>
      </c>
      <c r="V225" s="66">
        <v>2.0000000000000001E-4</v>
      </c>
      <c r="W225" s="66">
        <v>8.6999999999999994E-3</v>
      </c>
      <c r="X225" s="8">
        <f>236228/(98115+139345)*98115</f>
        <v>97605.955613577025</v>
      </c>
      <c r="Y225" s="8">
        <f>72198/(98115+139345)*98115</f>
        <v>29831.157963446476</v>
      </c>
      <c r="Z225" s="58">
        <f>IF(Tabla_master_rend[[#This Row],[L_suero para con]]=0,0,+Tabla_master_rend[[#This Row],[L_suero para con]]/Tabla_master_rend[[#This Row],[L_suero_con]])</f>
        <v>3.271946591318319</v>
      </c>
      <c r="AA225" s="8">
        <f>+Tabla_master_rend[[#This Row],[L_suero Total]]-Tabla_master_rend[[#This Row],[L_suero para con]]</f>
        <v>509.47584084191476</v>
      </c>
      <c r="AD225" s="8">
        <v>0</v>
      </c>
      <c r="AE225" s="8">
        <v>0</v>
      </c>
      <c r="AF225" s="8">
        <v>0</v>
      </c>
      <c r="AG225" s="66">
        <v>0</v>
      </c>
      <c r="AH225" s="66">
        <v>0</v>
      </c>
      <c r="AI225" s="7">
        <f>+Tabla_master_rend[[#This Row],[Kg_Finos]]+Tabla_master_rend[[#This Row],[Kg_Llenadora]]+Tabla_master_rend[[#This Row],[Kg_Desmoldeo]]+Tabla_master_rend[[#This Row],[L_Agua]]+Tabla_master_rend[[#This Row],[Kg_SalidaSecadero]]</f>
        <v>11230.7333855254</v>
      </c>
      <c r="AJ225" s="59">
        <f>+Tabla_master_rend[[#This Row],[Litros_Leche_Total]]/Tabla_master_rend[[#This Row],[Kg_Queso_Blan]]</f>
        <v>10.15071732954925</v>
      </c>
      <c r="AK225" s="59">
        <f>+Tabla_master_rend[[#This Row],[Litros_Leche_Total]]/(Tabla_master_rend[[#This Row],[Kg_Queso_Blan]]-Tabla_master_rend[[#This Row],[Merma_TOT]])</f>
        <v>10.252139684503891</v>
      </c>
      <c r="AL225" s="59">
        <f>VLOOKUP(G225,REND_TARGET[#All],8,FALSE)</f>
        <v>10.141624999999999</v>
      </c>
      <c r="AM225" s="7">
        <f>(I225*1.03*Tabla_master_rend[[#This Row],[%MG_Leche]])+(I225*1.03*Tabla_master_rend[[#This Row],[%MP_Leche]])</f>
        <v>8430.7559999999994</v>
      </c>
      <c r="AN225" s="137">
        <v>0.2253</v>
      </c>
      <c r="AO225" s="137">
        <v>0.27910000000000001</v>
      </c>
      <c r="AP225" s="64">
        <v>0.54679999999999995</v>
      </c>
      <c r="AQ225" s="38">
        <f>+Tabla_master_rend[[#This Row],[Kg_Queso_Blan]]*Tabla_master_rend[[#This Row],[ES_QUESO]]/(Tabla_master_rend[[#This Row],[Kg_Solidos_leche]])</f>
        <v>0.7284002781251514</v>
      </c>
      <c r="AR225" s="7">
        <f t="shared" ref="AR225:AR229" si="68">R225*0.4</f>
        <v>1868.8000000000002</v>
      </c>
      <c r="AS225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0.96807551675380554</v>
      </c>
      <c r="AT225" s="62">
        <f>+Tabla_master_rend[[#This Row],[Kg_Queso_Blan]]*Tabla_master_rend[[#This Row],[%PT_QUESO]]/(Tabla_master_rend[[#This Row],[Litros_Leche_Total]]*1.03*Tabla_master_rend[[#This Row],[%MP_Leche]])</f>
        <v>0.8064879521752264</v>
      </c>
      <c r="AU225" s="7">
        <f t="shared" ref="AU225:AU229" si="69">AR225*$CO$3</f>
        <v>14016.000000000002</v>
      </c>
      <c r="AV225" s="8">
        <f>59.86/(114000+161904)*114000</f>
        <v>24.733385525400138</v>
      </c>
      <c r="AW225" s="8">
        <v>8</v>
      </c>
      <c r="AX225" s="8">
        <v>0</v>
      </c>
      <c r="AY225" s="8">
        <f>SUM(Tabla_master_rend[[#This Row],[Kg_Finos]:[Kg_Desmoldeo]])</f>
        <v>32.733385525400138</v>
      </c>
      <c r="AZ225" s="60">
        <f>+(Tabla_master_rend[[#This Row],[Kg_Finos]]+Tabla_master_rend[[#This Row],[Kg_Llenadora]]+Tabla_master_rend[[#This Row],[Kg_Desmoldeo]])/(Tabla_master_rend[[#This Row],[Kg_Queso_Blan]])</f>
        <v>2.9146258219955768E-3</v>
      </c>
      <c r="BA225" s="8">
        <v>55</v>
      </c>
      <c r="BB225" s="60">
        <f>+Tabla_master_rend[[#This Row],[L_Agua]]/(Tabla_master_rend[[#This Row],[L_Agua]]+Tabla_master_rend[[#This Row],[Kg_SalidaSecadero]])</f>
        <v>4.911591355599214E-3</v>
      </c>
      <c r="BC225" s="8">
        <v>1474</v>
      </c>
      <c r="BD225" s="8">
        <v>1461</v>
      </c>
      <c r="BE225" s="8">
        <v>11107</v>
      </c>
      <c r="BF225" s="8">
        <v>0</v>
      </c>
      <c r="BG225" s="8">
        <v>0</v>
      </c>
      <c r="BH225" s="8">
        <v>0</v>
      </c>
      <c r="BI225" s="8">
        <v>0</v>
      </c>
      <c r="BJ225" s="8">
        <v>91</v>
      </c>
      <c r="BK225" s="8">
        <v>11143</v>
      </c>
      <c r="BL225" s="8">
        <v>0</v>
      </c>
      <c r="BM225" s="8">
        <v>13.07</v>
      </c>
      <c r="BN225" s="8">
        <v>10.3</v>
      </c>
      <c r="BO225" s="68">
        <f>+SUM(Tabla_master_rend[[#This Row],[B_altas]:[B_lab]])/Tabla_master_rend[[#This Row],[Kg_SalidaSecadero]]</f>
        <v>8.1665619671542674E-3</v>
      </c>
      <c r="BP225" s="68">
        <f>+(Tabla_master_rend[[#This Row],[Kg_mer_env_real]]+Tabla_master_rend[[#This Row],[kg_mer_lab_real]])/Tabla_master_rend[[#This Row],[Kg_SalidaSecadero]]</f>
        <v>2.0972808040922554E-3</v>
      </c>
      <c r="BQ225" s="64">
        <f>+Tabla_master_rend[[#This Row],[Merma_TOT]]/Tabla_master_rend[[#This Row],[Kg_Queso_Blan]]</f>
        <v>9.8927987791602688E-3</v>
      </c>
      <c r="BR225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111.10338552540014</v>
      </c>
      <c r="BS225" s="138">
        <v>11143</v>
      </c>
      <c r="BT225" s="63">
        <f>IF(+Tabla_master_rend[[#This Row],[Kg_Env_Total]]=0,0,Tabla_master_rend[[#This Row],[Kg_Env_Total]]-Tabla_master_rend[[#This Row],[Kg_SalidaSecadero]])</f>
        <v>0</v>
      </c>
      <c r="BU225" s="60">
        <f>+Tabla_master_rend[[#This Row],[Diferencia_Env_vs_Sec_kg]]/Tabla_master_rend[[#This Row],[Kg_SalidaSecadero]]</f>
        <v>0</v>
      </c>
      <c r="BV225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25" s="65">
        <f>+(Tabla_master_rend[[#This Row],[Coste_Leche_€]]-Tabla_master_rend[[#This Row],[Kg_MG_Nata]]*$CO$3)/Tabla_master_rend[[#This Row],[Kg_Queso_Blan]]</f>
        <v>-1.2480039832540553</v>
      </c>
      <c r="BX225" s="8">
        <f>SUM(Tabla_master_rend[[#This Row],[Kg_Finos]:[Kg_Desmoldeo]])+Tabla_master_rend[[#This Row],[L_Agua]]+SUM(Tabla_master_rend[[#This Row],[B_altas]:[B_lab]])</f>
        <v>178.73338552540014</v>
      </c>
      <c r="BY225" s="8">
        <f>+BX225-Tabla_master_rend[[#This Row],[Merma_TOT]]</f>
        <v>67.63</v>
      </c>
      <c r="BZ225" s="62">
        <f t="shared" ref="BZ225:BZ229" si="70">+BY225/BX225</f>
        <v>0.37838482050343619</v>
      </c>
      <c r="CA225" s="8">
        <f>+Tabla_master_rend[[#This Row],[Kg_Queso_Blan]]*$CA$1</f>
        <v>72.999767005915103</v>
      </c>
      <c r="CB225" s="8">
        <f>+Tabla_master_rend[[#This Row],[Kg_Queso_Blan]]*($CB$1-$CA$1)</f>
        <v>39.307566849338905</v>
      </c>
      <c r="CC225" s="8">
        <f>+(Tabla_master_rend[[#This Row],[Kg_Queso_Blan]]-CA225-CB225)*$CC$1</f>
        <v>116.74347354253655</v>
      </c>
      <c r="CD225" s="8">
        <f t="shared" ref="CD225:CD229" si="71">+CA225+CB225+CC225</f>
        <v>229.05080739779055</v>
      </c>
      <c r="CE225" s="80">
        <f>+CD225/Tabla_master_rend[[#This Row],[Kg_Queso_Blan]]</f>
        <v>2.0395E-2</v>
      </c>
      <c r="CF225" s="62">
        <f>+Tabla_master_rend[[#This Row],[Merma_TOT]]/Tabla_master_rend[[#This Row],[Kg_Queso_Blan]]</f>
        <v>9.8927987791602688E-3</v>
      </c>
      <c r="CG225" s="8">
        <f>CD225-Tabla_master_rend[[#This Row],[Merma_TOT]]</f>
        <v>117.94742187239041</v>
      </c>
      <c r="CH225" s="81" cm="1">
        <f t="array" ref="CH225">-BR225 * IFERROR(INDEX('Precio Leche_EBITDA_Ventas'!$BD$87:$BD$110,MATCH(1,('Precio Leche_EBITDA_Ventas'!$AZ$87:$AZ$110=YEAR(A225))*('Precio Leche_EBITDA_Ventas'!$BB$87:$BB$110=C225),0)),1.3)</f>
        <v>-247.46676922946466</v>
      </c>
      <c r="CI225" s="81">
        <f t="shared" ref="CI225:CI229" si="72">+CG225*$CM$2</f>
        <v>153.33164843410754</v>
      </c>
    </row>
    <row r="226" spans="1:87" x14ac:dyDescent="0.35">
      <c r="A226" s="9">
        <v>46174</v>
      </c>
      <c r="B226" s="7">
        <v>6</v>
      </c>
      <c r="C226" s="7" t="str">
        <f>+UPPER(TEXT(Tabla_master_rend[[#This Row],[Fecha]],"MMM"))</f>
        <v>JUN</v>
      </c>
      <c r="D226" s="7" t="str">
        <f>+UPPER(TEXT(Tabla_master_rend[[#This Row],[Fecha]],"ddd"))</f>
        <v>LU</v>
      </c>
      <c r="E226" s="139" t="s">
        <v>600</v>
      </c>
      <c r="F226" s="3" t="s">
        <v>244</v>
      </c>
      <c r="G226" t="s">
        <v>301</v>
      </c>
      <c r="H226">
        <v>10</v>
      </c>
      <c r="I226" s="8">
        <f>+Tabla_master_rend[[#This Row],[L_Leche_ent]]+Tabla_master_rend[[#This Row],[L_desn_ext]]+Tabla_master_rend[[#This Row],[L_cabra]]+Tabla_master_rend[[#This Row],[L_oveja]]</f>
        <v>161904</v>
      </c>
      <c r="J226" s="8">
        <v>161904</v>
      </c>
      <c r="K226" s="66">
        <v>3.9399999999999998E-2</v>
      </c>
      <c r="L226" s="66">
        <v>3.3399999999999999E-2</v>
      </c>
      <c r="M226" s="5">
        <f t="shared" si="67"/>
        <v>0.109358</v>
      </c>
      <c r="N226" s="3" t="s">
        <v>188</v>
      </c>
      <c r="O226" s="8">
        <v>0</v>
      </c>
      <c r="P226" s="8">
        <v>0</v>
      </c>
      <c r="Q226" s="8">
        <v>0</v>
      </c>
      <c r="R226" s="8">
        <v>2700</v>
      </c>
      <c r="S226" s="8">
        <f>494.6/(114000+161904)*161904</f>
        <v>290.23761308281144</v>
      </c>
      <c r="T226" s="8">
        <f>237460/(114000+161904)*161904</f>
        <v>139344.56854558107</v>
      </c>
      <c r="U226" s="38">
        <f>+Tabla_master_rend[[#This Row],[L_suero Total]]/Tabla_master_rend[[#This Row],[Litros_Leche_Total]]</f>
        <v>0.86066167942472749</v>
      </c>
      <c r="V226" s="66">
        <v>2.0000000000000001E-4</v>
      </c>
      <c r="W226" s="66">
        <v>8.6999999999999994E-3</v>
      </c>
      <c r="X226" s="8">
        <f>236228/(98115+139345)*139345</f>
        <v>138622.04438642299</v>
      </c>
      <c r="Y226" s="8">
        <f>72198/(98115+139345)*139345</f>
        <v>42366.842036553528</v>
      </c>
      <c r="Z226" s="58">
        <f>IF(Tabla_master_rend[[#This Row],[L_suero para con]]=0,0,+Tabla_master_rend[[#This Row],[L_suero para con]]/Tabla_master_rend[[#This Row],[L_suero_con]])</f>
        <v>3.271946591318319</v>
      </c>
      <c r="AA226" s="8">
        <f>+Tabla_master_rend[[#This Row],[L_suero Total]]-Tabla_master_rend[[#This Row],[L_suero para con]]</f>
        <v>722.52415915808524</v>
      </c>
      <c r="AD226" s="8">
        <v>0</v>
      </c>
      <c r="AE226" s="8">
        <v>0</v>
      </c>
      <c r="AF226" s="8">
        <v>0</v>
      </c>
      <c r="AG226" s="66">
        <v>0</v>
      </c>
      <c r="AH226" s="66">
        <v>0</v>
      </c>
      <c r="AI226" s="7">
        <f>+Tabla_master_rend[[#This Row],[Kg_Finos]]+Tabla_master_rend[[#This Row],[Kg_Llenadora]]+Tabla_master_rend[[#This Row],[Kg_Desmoldeo]]+Tabla_master_rend[[#This Row],[L_Agua]]+Tabla_master_rend[[#This Row],[Kg_SalidaSecadero]]</f>
        <v>18863.126614474601</v>
      </c>
      <c r="AJ226" s="59">
        <f>+Tabla_master_rend[[#This Row],[Litros_Leche_Total]]/Tabla_master_rend[[#This Row],[Kg_Queso_Blan]]</f>
        <v>8.5830945902554205</v>
      </c>
      <c r="AK226" s="59">
        <f>+Tabla_master_rend[[#This Row],[Litros_Leche_Total]]/(Tabla_master_rend[[#This Row],[Kg_Queso_Blan]]-Tabla_master_rend[[#This Row],[Merma_TOT]])</f>
        <v>8.8291495432295886</v>
      </c>
      <c r="AL226" s="59">
        <f>VLOOKUP(G226,REND_TARGET[#All],8,FALSE)</f>
        <v>9.3549429999999987</v>
      </c>
      <c r="AM226" s="7">
        <f>(I226*1.03*Tabla_master_rend[[#This Row],[%MG_Leche]])+(I226*1.03*Tabla_master_rend[[#This Row],[%MP_Leche]])</f>
        <v>12140.209535999998</v>
      </c>
      <c r="AN226" s="137">
        <v>0.28039999999999998</v>
      </c>
      <c r="AO226" s="137">
        <v>0.2397</v>
      </c>
      <c r="AP226" s="64">
        <v>0.56769999999999998</v>
      </c>
      <c r="AQ226" s="38">
        <f>+Tabla_master_rend[[#This Row],[Kg_Queso_Blan]]*Tabla_master_rend[[#This Row],[ES_QUESO]]/(Tabla_master_rend[[#This Row],[Kg_Solidos_leche]])</f>
        <v>0.88207678354170649</v>
      </c>
      <c r="AR226" s="7">
        <f t="shared" si="68"/>
        <v>1080</v>
      </c>
      <c r="AS226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0.96938271813136312</v>
      </c>
      <c r="AT226" s="62">
        <f>+Tabla_master_rend[[#This Row],[Kg_Queso_Blan]]*Tabla_master_rend[[#This Row],[%PT_QUESO]]/(Tabla_master_rend[[#This Row],[Litros_Leche_Total]]*1.03*Tabla_master_rend[[#This Row],[%MP_Leche]])</f>
        <v>0.81178391877974598</v>
      </c>
      <c r="AU226" s="7">
        <f t="shared" si="69"/>
        <v>8100</v>
      </c>
      <c r="AV226" s="8">
        <f>59.86/(114000+161904)*161904</f>
        <v>35.126614474599862</v>
      </c>
      <c r="AW226" s="8">
        <v>48</v>
      </c>
      <c r="AX226" s="8">
        <v>3</v>
      </c>
      <c r="AY226" s="8">
        <f>SUM(Tabla_master_rend[[#This Row],[Kg_Finos]:[Kg_Desmoldeo]])</f>
        <v>86.126614474599862</v>
      </c>
      <c r="AZ226" s="60">
        <f>+(Tabla_master_rend[[#This Row],[Kg_Finos]]+Tabla_master_rend[[#This Row],[Kg_Llenadora]]+Tabla_master_rend[[#This Row],[Kg_Desmoldeo]])/(Tabla_master_rend[[#This Row],[Kg_Queso_Blan]])</f>
        <v>4.5658716200585054E-3</v>
      </c>
      <c r="BA226" s="8">
        <v>380</v>
      </c>
      <c r="BB226" s="60">
        <f>+Tabla_master_rend[[#This Row],[L_Agua]]/(Tabla_master_rend[[#This Row],[L_Agua]]+Tabla_master_rend[[#This Row],[Kg_SalidaSecadero]])</f>
        <v>2.0237524631197743E-2</v>
      </c>
      <c r="BC226" s="8">
        <v>2561</v>
      </c>
      <c r="BD226" s="8">
        <v>2549</v>
      </c>
      <c r="BE226" s="8">
        <v>18700</v>
      </c>
      <c r="BF226" s="8">
        <v>0</v>
      </c>
      <c r="BG226" s="8">
        <v>0</v>
      </c>
      <c r="BH226" s="8">
        <v>0</v>
      </c>
      <c r="BI226" s="8">
        <v>13</v>
      </c>
      <c r="BJ226" s="8">
        <v>64</v>
      </c>
      <c r="BK226" s="8">
        <v>18397</v>
      </c>
      <c r="BL226" s="8">
        <v>0</v>
      </c>
      <c r="BM226" s="8">
        <v>45.92</v>
      </c>
      <c r="BN226" s="8">
        <v>13.64</v>
      </c>
      <c r="BO226" s="68">
        <f>+SUM(Tabla_master_rend[[#This Row],[B_altas]:[B_lab]])/Tabla_master_rend[[#This Row],[Kg_SalidaSecadero]]</f>
        <v>4.1854650214708921E-3</v>
      </c>
      <c r="BP226" s="68">
        <f>+(Tabla_master_rend[[#This Row],[Kg_mer_env_real]]+Tabla_master_rend[[#This Row],[kg_mer_lab_real]])/Tabla_master_rend[[#This Row],[Kg_SalidaSecadero]]</f>
        <v>3.2374843724520303E-3</v>
      </c>
      <c r="BQ226" s="64">
        <f>+Tabla_master_rend[[#This Row],[Merma_TOT]]/Tabla_master_rend[[#This Row],[Kg_Queso_Blan]]</f>
        <v>2.7868477226421988E-2</v>
      </c>
      <c r="BR226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525.68661447459988</v>
      </c>
      <c r="BS226" s="138">
        <v>18216.8</v>
      </c>
      <c r="BT226" s="63">
        <f>IF(+Tabla_master_rend[[#This Row],[Kg_Env_Total]]=0,0,Tabla_master_rend[[#This Row],[Kg_Env_Total]]-Tabla_master_rend[[#This Row],[Kg_SalidaSecadero]])</f>
        <v>-180.20000000000073</v>
      </c>
      <c r="BU226" s="60">
        <f>+Tabla_master_rend[[#This Row],[Diferencia_Env_vs_Sec_kg]]/Tabla_master_rend[[#This Row],[Kg_SalidaSecadero]]</f>
        <v>-9.7950752840137382E-3</v>
      </c>
      <c r="BV226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26" s="65">
        <f>+(Tabla_master_rend[[#This Row],[Coste_Leche_€]]-Tabla_master_rend[[#This Row],[Kg_MG_Nata]]*$CO$3)/Tabla_master_rend[[#This Row],[Kg_Queso_Blan]]</f>
        <v>-0.42940919422045726</v>
      </c>
      <c r="BX226" s="8">
        <f>SUM(Tabla_master_rend[[#This Row],[Kg_Finos]:[Kg_Desmoldeo]])+Tabla_master_rend[[#This Row],[L_Agua]]+SUM(Tabla_master_rend[[#This Row],[B_altas]:[B_lab]])</f>
        <v>543.12661447459982</v>
      </c>
      <c r="BY226" s="8">
        <f>+BX226-Tabla_master_rend[[#This Row],[Merma_TOT]]</f>
        <v>17.439999999999941</v>
      </c>
      <c r="BZ226" s="62">
        <f t="shared" si="70"/>
        <v>3.2110376356479488E-2</v>
      </c>
      <c r="CA226" s="8">
        <f>+Tabla_master_rend[[#This Row],[Kg_Queso_Blan]]*$CA$1</f>
        <v>122.6103229940849</v>
      </c>
      <c r="CB226" s="8">
        <f>+Tabla_master_rend[[#This Row],[Kg_Queso_Blan]]*($CB$1-$CA$1)</f>
        <v>66.020943150661111</v>
      </c>
      <c r="CC226" s="8">
        <f>+(Tabla_master_rend[[#This Row],[Kg_Queso_Blan]]-CA226-CB226)*$CC$1</f>
        <v>196.08220115746346</v>
      </c>
      <c r="CD226" s="8">
        <f t="shared" si="71"/>
        <v>384.71346730220944</v>
      </c>
      <c r="CE226" s="80">
        <f>+CD226/Tabla_master_rend[[#This Row],[Kg_Queso_Blan]]</f>
        <v>2.0394999999999996E-2</v>
      </c>
      <c r="CF226" s="62">
        <f>+Tabla_master_rend[[#This Row],[Merma_TOT]]/Tabla_master_rend[[#This Row],[Kg_Queso_Blan]]</f>
        <v>2.7868477226421988E-2</v>
      </c>
      <c r="CG226" s="8">
        <f>CD226-Tabla_master_rend[[#This Row],[Merma_TOT]]</f>
        <v>-140.97314717239044</v>
      </c>
      <c r="CH226" s="81" cm="1">
        <f t="array" ref="CH226">-BR226 * IFERROR(INDEX('Precio Leche_EBITDA_Ventas'!$BD$87:$BD$110,MATCH(1,('Precio Leche_EBITDA_Ventas'!$AZ$87:$AZ$110=YEAR(A226))*('Precio Leche_EBITDA_Ventas'!$BB$87:$BB$110=C226),0)),1.3)</f>
        <v>-1170.8911253785652</v>
      </c>
      <c r="CI226" s="81">
        <f t="shared" si="72"/>
        <v>-183.26509132410757</v>
      </c>
    </row>
    <row r="227" spans="1:87" x14ac:dyDescent="0.35">
      <c r="A227" s="9">
        <v>46176</v>
      </c>
      <c r="B227" s="7">
        <v>6</v>
      </c>
      <c r="C227" s="7" t="str">
        <f>+UPPER(TEXT(Tabla_master_rend[[#This Row],[Fecha]],"MMM"))</f>
        <v>JUN</v>
      </c>
      <c r="D227" s="7" t="str">
        <f>+UPPER(TEXT(Tabla_master_rend[[#This Row],[Fecha]],"ddd"))</f>
        <v>MI</v>
      </c>
      <c r="E227" s="139" t="s">
        <v>601</v>
      </c>
      <c r="F227" s="3" t="s">
        <v>244</v>
      </c>
      <c r="G227" t="s">
        <v>301</v>
      </c>
      <c r="H227">
        <v>17</v>
      </c>
      <c r="I227" s="8">
        <f>+Tabla_master_rend[[#This Row],[L_Leche_ent]]+Tabla_master_rend[[#This Row],[L_desn_ext]]+Tabla_master_rend[[#This Row],[L_cabra]]+Tabla_master_rend[[#This Row],[L_oveja]]</f>
        <v>256853</v>
      </c>
      <c r="J227" s="8">
        <v>256853</v>
      </c>
      <c r="K227" s="66">
        <v>3.2599999999999997E-2</v>
      </c>
      <c r="L227" s="66">
        <v>3.3599999999999998E-2</v>
      </c>
      <c r="M227" s="5">
        <f t="shared" si="67"/>
        <v>0.103182</v>
      </c>
      <c r="N227" s="3" t="s">
        <v>188</v>
      </c>
      <c r="O227" s="8">
        <v>0</v>
      </c>
      <c r="P227" s="8">
        <v>0</v>
      </c>
      <c r="Q227" s="8">
        <v>0</v>
      </c>
      <c r="R227" s="8">
        <v>5422</v>
      </c>
      <c r="S227" s="8">
        <v>0</v>
      </c>
      <c r="T227" s="8">
        <v>234600</v>
      </c>
      <c r="U227" s="38">
        <f>+Tabla_master_rend[[#This Row],[L_suero Total]]/Tabla_master_rend[[#This Row],[Litros_Leche_Total]]</f>
        <v>0.91336289628698131</v>
      </c>
      <c r="V227" s="66">
        <v>2.2000000000000001E-3</v>
      </c>
      <c r="W227" s="66">
        <v>8.2000000000000007E-3</v>
      </c>
      <c r="X227" s="8">
        <v>145611</v>
      </c>
      <c r="Y227" s="57">
        <v>38194</v>
      </c>
      <c r="Z227" s="58">
        <f>IF(Tabla_master_rend[[#This Row],[L_suero para con]]=0,0,+Tabla_master_rend[[#This Row],[L_suero para con]]/Tabla_master_rend[[#This Row],[L_suero_con]])</f>
        <v>3.8124050898046815</v>
      </c>
      <c r="AA227" s="8">
        <f>+Tabla_master_rend[[#This Row],[L_suero Total]]-Tabla_master_rend[[#This Row],[L_suero para con]]</f>
        <v>88989</v>
      </c>
      <c r="AD227" s="8">
        <v>32494</v>
      </c>
      <c r="AE227" s="8">
        <v>0</v>
      </c>
      <c r="AF227" s="8">
        <v>0</v>
      </c>
      <c r="AG227" s="140"/>
      <c r="AH227" s="140"/>
      <c r="AI227" s="7">
        <f>+Tabla_master_rend[[#This Row],[Kg_Finos]]+Tabla_master_rend[[#This Row],[Kg_Llenadora]]+Tabla_master_rend[[#This Row],[Kg_Desmoldeo]]+Tabla_master_rend[[#This Row],[L_Agua]]+Tabla_master_rend[[#This Row],[Kg_SalidaSecadero]]</f>
        <v>29544.12</v>
      </c>
      <c r="AJ227" s="59">
        <f>+Tabla_master_rend[[#This Row],[Litros_Leche_Total]]/Tabla_master_rend[[#This Row],[Kg_Queso_Blan]]</f>
        <v>8.693878849666195</v>
      </c>
      <c r="AK227" s="59">
        <f>+Tabla_master_rend[[#This Row],[Litros_Leche_Total]]/(Tabla_master_rend[[#This Row],[Kg_Queso_Blan]]-Tabla_master_rend[[#This Row],[Merma_TOT]])</f>
        <v>8.8199258976921158</v>
      </c>
      <c r="AL227" s="59">
        <f>VLOOKUP(G227,REND_TARGET[#All],8,FALSE)</f>
        <v>9.3549429999999987</v>
      </c>
      <c r="AM227" s="7">
        <f>(I227*1.03*Tabla_master_rend[[#This Row],[%MG_Leche]])+(I227*1.03*Tabla_master_rend[[#This Row],[%MP_Leche]])</f>
        <v>17513.778657999999</v>
      </c>
      <c r="AN227" s="137">
        <v>0.29020000000000001</v>
      </c>
      <c r="AO227" s="137">
        <v>0.246</v>
      </c>
      <c r="AP227" s="64">
        <v>0.58079999999999998</v>
      </c>
      <c r="AQ227" s="38">
        <f>+Tabla_master_rend[[#This Row],[Kg_Queso_Blan]]*Tabla_master_rend[[#This Row],[ES_QUESO]]/(Tabla_master_rend[[#This Row],[Kg_Solidos_leche]])</f>
        <v>0.97975572439714231</v>
      </c>
      <c r="AR227" s="7">
        <f t="shared" si="68"/>
        <v>2168.8000000000002</v>
      </c>
      <c r="AS227" s="61">
        <f>+(Tabla_master_rend[[#This Row],[Kg_Queso_Blan]]*Tabla_master_rend[[#This Row],[%MG_QUESO]]+(Tabla_master_rend[[#This Row],[Kg_MG_Nata]]))/(Tabla_master_rend[[#This Row],[Litros_Leche_Total]]*1.03*Tabla_master_rend[[#This Row],[%MG_Leche]])</f>
        <v>1.2455639827946801</v>
      </c>
      <c r="AT227" s="62">
        <f>+Tabla_master_rend[[#This Row],[Kg_Queso_Blan]]*Tabla_master_rend[[#This Row],[%PT_QUESO]]/(Tabla_master_rend[[#This Row],[Litros_Leche_Total]]*1.03*Tabla_master_rend[[#This Row],[%MP_Leche]])</f>
        <v>0.81760779071930445</v>
      </c>
      <c r="AU227" s="7">
        <f t="shared" si="69"/>
        <v>16266.000000000002</v>
      </c>
      <c r="AV227" s="8">
        <v>25.22</v>
      </c>
      <c r="AW227" s="8">
        <v>67.7</v>
      </c>
      <c r="AX227" s="8">
        <v>11.2</v>
      </c>
      <c r="AY227" s="8">
        <f>SUM(Tabla_master_rend[[#This Row],[Kg_Finos]:[Kg_Desmoldeo]])</f>
        <v>104.12</v>
      </c>
      <c r="AZ227" s="60">
        <f>+(Tabla_master_rend[[#This Row],[Kg_Finos]]+Tabla_master_rend[[#This Row],[Kg_Llenadora]]+Tabla_master_rend[[#This Row],[Kg_Desmoldeo]])/(Tabla_master_rend[[#This Row],[Kg_Queso_Blan]])</f>
        <v>3.5242207248007392E-3</v>
      </c>
      <c r="BA227" s="8">
        <v>230</v>
      </c>
      <c r="BB227" s="60">
        <f>+Tabla_master_rend[[#This Row],[L_Agua]]/(Tabla_master_rend[[#This Row],[L_Agua]]+Tabla_master_rend[[#This Row],[Kg_SalidaSecadero]])</f>
        <v>7.8125E-3</v>
      </c>
      <c r="BC227" s="8">
        <v>3951</v>
      </c>
      <c r="BD227" s="8">
        <v>3931</v>
      </c>
      <c r="BE227" s="8">
        <v>29309</v>
      </c>
      <c r="BF227" s="8">
        <v>0</v>
      </c>
      <c r="BG227" s="8">
        <v>0</v>
      </c>
      <c r="BH227" s="8">
        <v>0</v>
      </c>
      <c r="BI227" s="8">
        <v>23</v>
      </c>
      <c r="BJ227" s="8">
        <v>108</v>
      </c>
      <c r="BK227" s="8">
        <v>29210</v>
      </c>
      <c r="BL227" s="8">
        <v>0</v>
      </c>
      <c r="BM227" s="8">
        <v>69.02</v>
      </c>
      <c r="BN227" s="8">
        <v>19.079999999999998</v>
      </c>
      <c r="BO227" s="68">
        <f>+SUM(Tabla_master_rend[[#This Row],[B_altas]:[B_lab]])/Tabla_master_rend[[#This Row],[Kg_SalidaSecadero]]</f>
        <v>4.4847654912701131E-3</v>
      </c>
      <c r="BP227" s="68">
        <f>+(Tabla_master_rend[[#This Row],[Kg_mer_env_real]]+Tabla_master_rend[[#This Row],[kg_mer_lab_real]])/Tabla_master_rend[[#This Row],[Kg_SalidaSecadero]]</f>
        <v>3.0160903800068467E-3</v>
      </c>
      <c r="BQ227" s="64">
        <f>+Tabla_master_rend[[#This Row],[Merma_TOT]]/Tabla_master_rend[[#This Row],[Kg_Queso_Blan]]</f>
        <v>1.4291168598015444E-2</v>
      </c>
      <c r="BR227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422.22</v>
      </c>
      <c r="BS227" s="138">
        <v>28949.100000000006</v>
      </c>
      <c r="BT227" s="63">
        <f>IF(+Tabla_master_rend[[#This Row],[Kg_Env_Total]]=0,0,Tabla_master_rend[[#This Row],[Kg_Env_Total]]-Tabla_master_rend[[#This Row],[Kg_SalidaSecadero]])</f>
        <v>-260.89999999999418</v>
      </c>
      <c r="BU227" s="60">
        <f>+Tabla_master_rend[[#This Row],[Diferencia_Env_vs_Sec_kg]]/Tabla_master_rend[[#This Row],[Kg_SalidaSecadero]]</f>
        <v>-8.9318726463537886E-3</v>
      </c>
      <c r="BV227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27" s="65">
        <f>+(Tabla_master_rend[[#This Row],[Coste_Leche_€]]-Tabla_master_rend[[#This Row],[Kg_MG_Nata]]*$CO$3)/Tabla_master_rend[[#This Row],[Kg_Queso_Blan]]</f>
        <v>-0.5505664071226356</v>
      </c>
      <c r="BX227" s="8">
        <f>SUM(Tabla_master_rend[[#This Row],[Kg_Finos]:[Kg_Desmoldeo]])+Tabla_master_rend[[#This Row],[L_Agua]]+SUM(Tabla_master_rend[[#This Row],[B_altas]:[B_lab]])</f>
        <v>465.12</v>
      </c>
      <c r="BY227" s="8">
        <f>+BX227-Tabla_master_rend[[#This Row],[Merma_TOT]]</f>
        <v>42.899999999999977</v>
      </c>
      <c r="BZ227" s="62">
        <f t="shared" si="70"/>
        <v>9.2234262125902938E-2</v>
      </c>
      <c r="CA227" s="8">
        <f>+Tabla_master_rend[[#This Row],[Kg_Queso_Blan]]*$CA$1</f>
        <v>192.03677999999999</v>
      </c>
      <c r="CB227" s="8">
        <f>+Tabla_master_rend[[#This Row],[Kg_Queso_Blan]]*($CB$1-$CA$1)</f>
        <v>103.40442000000002</v>
      </c>
      <c r="CC227" s="8">
        <f>+(Tabla_master_rend[[#This Row],[Kg_Queso_Blan]]-CA227-CB227)*$CC$1</f>
        <v>307.11112740000004</v>
      </c>
      <c r="CD227" s="8">
        <f t="shared" si="71"/>
        <v>602.55232739999997</v>
      </c>
      <c r="CE227" s="80">
        <f>+CD227/Tabla_master_rend[[#This Row],[Kg_Queso_Blan]]</f>
        <v>2.0395E-2</v>
      </c>
      <c r="CF227" s="62">
        <f>+Tabla_master_rend[[#This Row],[Merma_TOT]]/Tabla_master_rend[[#This Row],[Kg_Queso_Blan]]</f>
        <v>1.4291168598015444E-2</v>
      </c>
      <c r="CG227" s="8">
        <f>CD227-Tabla_master_rend[[#This Row],[Merma_TOT]]</f>
        <v>180.33232739999994</v>
      </c>
      <c r="CH227" s="81" cm="1">
        <f t="array" ref="CH227">-BR227 * IFERROR(INDEX('Precio Leche_EBITDA_Ventas'!$BD$87:$BD$110,MATCH(1,('Precio Leche_EBITDA_Ventas'!$AZ$87:$AZ$110=YEAR(A227))*('Precio Leche_EBITDA_Ventas'!$BB$87:$BB$110=C227),0)),1.3)</f>
        <v>-940.43416237912402</v>
      </c>
      <c r="CI227" s="81">
        <f t="shared" si="72"/>
        <v>234.43202561999993</v>
      </c>
    </row>
    <row r="228" spans="1:87" x14ac:dyDescent="0.35">
      <c r="A228" s="9">
        <v>46182</v>
      </c>
      <c r="B228" s="7">
        <v>6</v>
      </c>
      <c r="C228" s="7" t="str">
        <f>+UPPER(TEXT(Tabla_master_rend[[#This Row],[Fecha]],"MMM"))</f>
        <v>JUN</v>
      </c>
      <c r="D228" s="7" t="str">
        <f>+UPPER(TEXT(Tabla_master_rend[[#This Row],[Fecha]],"ddd"))</f>
        <v>MA</v>
      </c>
      <c r="E228" s="139" t="s">
        <v>602</v>
      </c>
      <c r="F228" s="3" t="s">
        <v>244</v>
      </c>
      <c r="G228" t="s">
        <v>40</v>
      </c>
      <c r="H228">
        <v>8</v>
      </c>
      <c r="I228" s="8">
        <f>+Tabla_master_rend[[#This Row],[L_Leche_ent]]+Tabla_master_rend[[#This Row],[L_desn_ext]]+Tabla_master_rend[[#This Row],[L_cabra]]+Tabla_master_rend[[#This Row],[L_oveja]]</f>
        <v>134632</v>
      </c>
      <c r="J228" s="8">
        <v>134632</v>
      </c>
      <c r="K228" s="66">
        <v>3.8699999999999998E-2</v>
      </c>
      <c r="L228" s="66">
        <v>3.2500000000000001E-2</v>
      </c>
      <c r="M228" s="5">
        <f t="shared" si="67"/>
        <v>0.108041</v>
      </c>
      <c r="N228" s="3" t="s">
        <v>188</v>
      </c>
      <c r="O228" s="8">
        <v>0</v>
      </c>
      <c r="P228" s="8">
        <v>0</v>
      </c>
      <c r="Q228" s="8">
        <v>0</v>
      </c>
      <c r="R228" s="8">
        <v>1845</v>
      </c>
      <c r="S228" s="8">
        <v>0</v>
      </c>
      <c r="T228" s="8">
        <v>112190</v>
      </c>
      <c r="U228" s="38">
        <f>+Tabla_master_rend[[#This Row],[L_suero Total]]/Tabla_master_rend[[#This Row],[Litros_Leche_Total]]</f>
        <v>0.83330857448452078</v>
      </c>
      <c r="V228" s="66">
        <v>2E-3</v>
      </c>
      <c r="W228" s="66">
        <v>1.03E-2</v>
      </c>
      <c r="X228" s="8">
        <v>59384</v>
      </c>
      <c r="Y228" s="57">
        <v>14515</v>
      </c>
      <c r="Z228" s="58">
        <f>IF(Tabla_master_rend[[#This Row],[L_suero para con]]=0,0,+Tabla_master_rend[[#This Row],[L_suero para con]]/Tabla_master_rend[[#This Row],[L_suero_con]])</f>
        <v>4.0912159834653803</v>
      </c>
      <c r="AA228" s="8">
        <f>+Tabla_master_rend[[#This Row],[L_suero Total]]-Tabla_master_rend[[#This Row],[L_suero para con]]</f>
        <v>52806</v>
      </c>
      <c r="AD228" s="8">
        <v>20624</v>
      </c>
      <c r="AE228" s="8">
        <v>0</v>
      </c>
      <c r="AF228" s="8">
        <v>0</v>
      </c>
      <c r="AG228" s="140"/>
      <c r="AH228" s="140"/>
      <c r="AI228" s="7">
        <f>+Tabla_master_rend[[#This Row],[Kg_Finos]]+Tabla_master_rend[[#This Row],[Kg_Llenadora]]+Tabla_master_rend[[#This Row],[Kg_Desmoldeo]]+Tabla_master_rend[[#This Row],[L_Agua]]+Tabla_master_rend[[#This Row],[Kg_SalidaSecadero]]</f>
        <v>15210.9</v>
      </c>
      <c r="AJ228" s="59">
        <f>+Tabla_master_rend[[#This Row],[Litros_Leche_Total]]/Tabla_master_rend[[#This Row],[Kg_Queso_Blan]]</f>
        <v>8.8510213070889954</v>
      </c>
      <c r="AK228" s="59">
        <f>+Tabla_master_rend[[#This Row],[Litros_Leche_Total]]/(Tabla_master_rend[[#This Row],[Kg_Queso_Blan]]-Tabla_master_rend[[#This Row],[Merma_TOT]])</f>
        <v>9.1213226974811903</v>
      </c>
      <c r="AL228" s="59">
        <f>VLOOKUP(G228,REND_TARGET[#All],8,FALSE)</f>
        <v>8.9338729999999984</v>
      </c>
      <c r="AM228" s="7">
        <f>(I228*1.03*Tabla_master_rend[[#This Row],[%MG_Leche]])+(I228*1.03*Tabla_master_rend[[#This Row],[%MP_Leche]])</f>
        <v>9873.3723519999985</v>
      </c>
      <c r="AN228" s="137">
        <v>0.30659999999999998</v>
      </c>
      <c r="AO228" s="137">
        <v>0.2369</v>
      </c>
      <c r="AP228" s="64">
        <v>0.58620000000000005</v>
      </c>
      <c r="AQ228" s="38">
        <f>+Tabla_master_rend[[#This Row],[Kg_Queso_Blan]]*Tabla_master_rend[[#This Row],[ES_QUESO]]/(Tabla_master_rend[[#This Row],[Kg_Solidos_leche]])</f>
        <v>0.90309868422958894</v>
      </c>
      <c r="AR228" s="7">
        <f t="shared" si="68"/>
        <v>738</v>
      </c>
      <c r="AS228" s="61">
        <f>+(Tabla_master_rend[[#This Row],[Kg_Queso_Blan]]*Tabla_master_rend[[#This Row],[%MG_QUESO]]+(Tabla_master_rend[[#This Row],[Kg_MG_Nata]]))/(Tabla_master_rend[[#This Row],[Litros_Leche_Total]]*1.03*Tabla_master_rend[[#This Row],[%MG_Leche]])</f>
        <v>1.0065397103112055</v>
      </c>
      <c r="AT228" s="62">
        <f>+Tabla_master_rend[[#This Row],[Kg_Queso_Blan]]*Tabla_master_rend[[#This Row],[%PT_QUESO]]/(Tabla_master_rend[[#This Row],[Litros_Leche_Total]]*1.03*Tabla_master_rend[[#This Row],[%MP_Leche]])</f>
        <v>0.79956005430186894</v>
      </c>
      <c r="AU228" s="7">
        <f t="shared" si="69"/>
        <v>5535</v>
      </c>
      <c r="AV228" s="8">
        <v>31.8</v>
      </c>
      <c r="AW228" s="8">
        <v>55</v>
      </c>
      <c r="AX228" s="8">
        <v>22.1</v>
      </c>
      <c r="AY228" s="8">
        <f>SUM(Tabla_master_rend[[#This Row],[Kg_Finos]:[Kg_Desmoldeo]])</f>
        <v>108.9</v>
      </c>
      <c r="AZ228" s="60">
        <f>+(Tabla_master_rend[[#This Row],[Kg_Finos]]+Tabla_master_rend[[#This Row],[Kg_Llenadora]]+Tabla_master_rend[[#This Row],[Kg_Desmoldeo]])/(Tabla_master_rend[[#This Row],[Kg_Queso_Blan]])</f>
        <v>7.1593396840423651E-3</v>
      </c>
      <c r="BA228" s="8">
        <v>150</v>
      </c>
      <c r="BB228" s="60">
        <f>+Tabla_master_rend[[#This Row],[L_Agua]]/(Tabla_master_rend[[#This Row],[L_Agua]]+Tabla_master_rend[[#This Row],[Kg_SalidaSecadero]])</f>
        <v>9.9324592769169644E-3</v>
      </c>
      <c r="BC228" s="8">
        <v>2049</v>
      </c>
      <c r="BD228" s="8">
        <v>2014</v>
      </c>
      <c r="BE228" s="8">
        <v>14869</v>
      </c>
      <c r="BF228" s="8">
        <v>283</v>
      </c>
      <c r="BG228" s="8">
        <v>13</v>
      </c>
      <c r="BH228" s="8">
        <v>35</v>
      </c>
      <c r="BI228" s="8">
        <v>77</v>
      </c>
      <c r="BJ228" s="8">
        <v>108</v>
      </c>
      <c r="BK228" s="8">
        <v>14952</v>
      </c>
      <c r="BL228" s="8">
        <v>0</v>
      </c>
      <c r="BM228" s="8">
        <v>166.21</v>
      </c>
      <c r="BN228" s="8">
        <v>25.65</v>
      </c>
      <c r="BO228" s="68">
        <f>+SUM(Tabla_master_rend[[#This Row],[B_altas]:[B_lab]])/Tabla_master_rend[[#This Row],[Kg_SalidaSecadero]]</f>
        <v>3.4510433386837881E-2</v>
      </c>
      <c r="BP228" s="68">
        <f>+(Tabla_master_rend[[#This Row],[Kg_mer_env_real]]+Tabla_master_rend[[#This Row],[kg_mer_lab_real]])/Tabla_master_rend[[#This Row],[Kg_SalidaSecadero]]</f>
        <v>1.2831728196896737E-2</v>
      </c>
      <c r="BQ228" s="64">
        <f>+Tabla_master_rend[[#This Row],[Merma_TOT]]/Tabla_master_rend[[#This Row],[Kg_Queso_Blan]]</f>
        <v>2.9634012451597212E-2</v>
      </c>
      <c r="BR228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450.76000000000005</v>
      </c>
      <c r="BS228" s="138">
        <v>14591.370000000003</v>
      </c>
      <c r="BT228" s="63">
        <f>IF(+Tabla_master_rend[[#This Row],[Kg_Env_Total]]=0,0,Tabla_master_rend[[#This Row],[Kg_Env_Total]]-Tabla_master_rend[[#This Row],[Kg_SalidaSecadero]])</f>
        <v>-360.62999999999738</v>
      </c>
      <c r="BU228" s="60">
        <f>+Tabla_master_rend[[#This Row],[Diferencia_Env_vs_Sec_kg]]/Tabla_master_rend[[#This Row],[Kg_SalidaSecadero]]</f>
        <v>-2.411918138041716E-2</v>
      </c>
      <c r="BV228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28" s="65">
        <f>+(Tabla_master_rend[[#This Row],[Coste_Leche_€]]-Tabla_master_rend[[#This Row],[Kg_MG_Nata]]*$CO$3)/Tabla_master_rend[[#This Row],[Kg_Queso_Blan]]</f>
        <v>-0.36388379385835157</v>
      </c>
      <c r="BX228" s="8">
        <f>SUM(Tabla_master_rend[[#This Row],[Kg_Finos]:[Kg_Desmoldeo]])+Tabla_master_rend[[#This Row],[L_Agua]]+SUM(Tabla_master_rend[[#This Row],[B_altas]:[B_lab]])</f>
        <v>774.9</v>
      </c>
      <c r="BY228" s="8">
        <f>+BX228-Tabla_master_rend[[#This Row],[Merma_TOT]]</f>
        <v>324.13999999999993</v>
      </c>
      <c r="BZ228" s="62">
        <f t="shared" si="70"/>
        <v>0.41829913537230601</v>
      </c>
      <c r="CA228" s="8">
        <f>+Tabla_master_rend[[#This Row],[Kg_Queso_Blan]]*$CA$1</f>
        <v>98.87084999999999</v>
      </c>
      <c r="CB228" s="8">
        <f>+Tabla_master_rend[[#This Row],[Kg_Queso_Blan]]*($CB$1-$CA$1)</f>
        <v>53.238150000000005</v>
      </c>
      <c r="CC228" s="8">
        <f>+(Tabla_master_rend[[#This Row],[Kg_Queso_Blan]]-CA228-CB228)*$CC$1</f>
        <v>158.11730550000001</v>
      </c>
      <c r="CD228" s="8">
        <f t="shared" si="71"/>
        <v>310.22630549999997</v>
      </c>
      <c r="CE228" s="80">
        <f>+CD228/Tabla_master_rend[[#This Row],[Kg_Queso_Blan]]</f>
        <v>2.0395E-2</v>
      </c>
      <c r="CF228" s="62">
        <f>+Tabla_master_rend[[#This Row],[Merma_TOT]]/Tabla_master_rend[[#This Row],[Kg_Queso_Blan]]</f>
        <v>2.9634012451597212E-2</v>
      </c>
      <c r="CG228" s="8">
        <f>CD228-Tabla_master_rend[[#This Row],[Merma_TOT]]</f>
        <v>-140.53369450000008</v>
      </c>
      <c r="CH228" s="81" cm="1">
        <f t="array" ref="CH228">-BR228 * IFERROR(INDEX('Precio Leche_EBITDA_Ventas'!$BD$87:$BD$110,MATCH(1,('Precio Leche_EBITDA_Ventas'!$AZ$87:$AZ$110=YEAR(A228))*('Precio Leche_EBITDA_Ventas'!$BB$87:$BB$110=C228),0)),1.3)</f>
        <v>-1004.0028966747525</v>
      </c>
      <c r="CI228" s="81">
        <f t="shared" si="72"/>
        <v>-182.69380285000011</v>
      </c>
    </row>
    <row r="229" spans="1:87" x14ac:dyDescent="0.35">
      <c r="A229" s="9">
        <v>46184</v>
      </c>
      <c r="B229" s="7">
        <v>6</v>
      </c>
      <c r="C229" s="7" t="str">
        <f>+UPPER(TEXT(Tabla_master_rend[[#This Row],[Fecha]],"MMM"))</f>
        <v>JUN</v>
      </c>
      <c r="D229" s="7" t="str">
        <f>+UPPER(TEXT(Tabla_master_rend[[#This Row],[Fecha]],"ddd"))</f>
        <v>JU</v>
      </c>
      <c r="E229" s="139" t="s">
        <v>603</v>
      </c>
      <c r="F229" s="3" t="s">
        <v>244</v>
      </c>
      <c r="G229" t="s">
        <v>40</v>
      </c>
      <c r="H229">
        <v>8</v>
      </c>
      <c r="I229" s="8">
        <f>+Tabla_master_rend[[#This Row],[L_Leche_ent]]+Tabla_master_rend[[#This Row],[L_desn_ext]]+Tabla_master_rend[[#This Row],[L_cabra]]+Tabla_master_rend[[#This Row],[L_oveja]]</f>
        <v>124279</v>
      </c>
      <c r="J229" s="8">
        <v>124279</v>
      </c>
      <c r="K229" s="66">
        <v>4.1099999999999998E-2</v>
      </c>
      <c r="L229" s="66">
        <v>3.3700000000000001E-2</v>
      </c>
      <c r="M229" s="5">
        <f t="shared" si="67"/>
        <v>0.111161</v>
      </c>
      <c r="N229" s="3" t="s">
        <v>188</v>
      </c>
      <c r="O229">
        <v>0</v>
      </c>
      <c r="P229" s="8">
        <v>0</v>
      </c>
      <c r="Q229" s="8">
        <v>0</v>
      </c>
      <c r="R229" s="8">
        <v>2013</v>
      </c>
      <c r="S229" s="8">
        <v>276.5</v>
      </c>
      <c r="T229" s="8">
        <v>111200</v>
      </c>
      <c r="U229" s="38">
        <f>+Tabla_master_rend[[#This Row],[L_suero Total]]/Tabla_master_rend[[#This Row],[Litros_Leche_Total]]</f>
        <v>0.8947609813403713</v>
      </c>
      <c r="V229" s="66">
        <v>1E-4</v>
      </c>
      <c r="W229" s="66">
        <v>9.4000000000000004E-3</v>
      </c>
      <c r="X229" s="8">
        <v>110336</v>
      </c>
      <c r="Y229" s="57">
        <v>30353</v>
      </c>
      <c r="Z229" s="58">
        <f>IF(Tabla_master_rend[[#This Row],[L_suero para con]]=0,0,+Tabla_master_rend[[#This Row],[L_suero para con]]/Tabla_master_rend[[#This Row],[L_suero_con]])</f>
        <v>3.6350937304385069</v>
      </c>
      <c r="AA229" s="8">
        <f>+Tabla_master_rend[[#This Row],[L_suero Total]]-Tabla_master_rend[[#This Row],[L_suero para con]]</f>
        <v>864</v>
      </c>
      <c r="AD229" s="8">
        <v>0</v>
      </c>
      <c r="AE229" s="8">
        <v>0</v>
      </c>
      <c r="AF229" s="8">
        <v>0</v>
      </c>
      <c r="AG229" s="66">
        <v>0</v>
      </c>
      <c r="AH229" s="66">
        <v>0</v>
      </c>
      <c r="AI229" s="7">
        <f>+Tabla_master_rend[[#This Row],[Kg_Finos]]+Tabla_master_rend[[#This Row],[Kg_Llenadora]]+Tabla_master_rend[[#This Row],[Kg_Desmoldeo]]+Tabla_master_rend[[#This Row],[L_Agua]]+Tabla_master_rend[[#This Row],[Kg_SalidaSecadero]]</f>
        <v>14613.53</v>
      </c>
      <c r="AJ229" s="59">
        <f>+Tabla_master_rend[[#This Row],[Litros_Leche_Total]]/Tabla_master_rend[[#This Row],[Kg_Queso_Blan]]</f>
        <v>8.5043791609556347</v>
      </c>
      <c r="AK229" s="59">
        <f>+Tabla_master_rend[[#This Row],[Litros_Leche_Total]]/(Tabla_master_rend[[#This Row],[Kg_Queso_Blan]]-Tabla_master_rend[[#This Row],[Merma_TOT]])</f>
        <v>8.7012806976763724</v>
      </c>
      <c r="AL229" s="59">
        <f>VLOOKUP(G229,REND_TARGET[#All],8,FALSE)</f>
        <v>8.9338729999999984</v>
      </c>
      <c r="AM229" s="7">
        <f>(I229*1.03*Tabla_master_rend[[#This Row],[%MG_Leche]])+(I229*1.03*Tabla_master_rend[[#This Row],[%MP_Leche]])</f>
        <v>9574.9512759999998</v>
      </c>
      <c r="AN229" s="137">
        <v>0.3024</v>
      </c>
      <c r="AO229" s="137">
        <v>0.2319</v>
      </c>
      <c r="AP229" s="64">
        <v>0.57750000000000001</v>
      </c>
      <c r="AQ229" s="38">
        <f>+Tabla_master_rend[[#This Row],[Kg_Queso_Blan]]*Tabla_master_rend[[#This Row],[ES_QUESO]]/(Tabla_master_rend[[#This Row],[Kg_Solidos_leche]])</f>
        <v>0.88139493682369729</v>
      </c>
      <c r="AR229" s="7">
        <f t="shared" si="68"/>
        <v>805.2</v>
      </c>
      <c r="AS229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0.99301069839347267</v>
      </c>
      <c r="AT229" s="62">
        <f>+Tabla_master_rend[[#This Row],[Kg_Queso_Blan]]*Tabla_master_rend[[#This Row],[%PT_QUESO]]/(Tabla_master_rend[[#This Row],[Litros_Leche_Total]]*1.03*Tabla_master_rend[[#This Row],[%MP_Leche]])</f>
        <v>0.78558106755745349</v>
      </c>
      <c r="AU229" s="7">
        <f t="shared" si="69"/>
        <v>6039</v>
      </c>
      <c r="AV229" s="8">
        <v>27.73</v>
      </c>
      <c r="AW229" s="8">
        <v>13.8</v>
      </c>
      <c r="AX229" s="8">
        <v>0</v>
      </c>
      <c r="AY229" s="8">
        <f>SUM(Tabla_master_rend[[#This Row],[Kg_Finos]:[Kg_Desmoldeo]])</f>
        <v>41.53</v>
      </c>
      <c r="AZ229" s="60">
        <f>+(Tabla_master_rend[[#This Row],[Kg_Finos]]+Tabla_master_rend[[#This Row],[Kg_Llenadora]]+Tabla_master_rend[[#This Row],[Kg_Desmoldeo]])/(Tabla_master_rend[[#This Row],[Kg_Queso_Blan]])</f>
        <v>2.8418869362843886E-3</v>
      </c>
      <c r="BA229" s="8">
        <v>140</v>
      </c>
      <c r="BB229" s="60">
        <f>+Tabla_master_rend[[#This Row],[L_Agua]]/(Tabla_master_rend[[#This Row],[L_Agua]]+Tabla_master_rend[[#This Row],[Kg_SalidaSecadero]])</f>
        <v>9.6074663738676923E-3</v>
      </c>
      <c r="BC229" s="8">
        <v>1967</v>
      </c>
      <c r="BD229" s="8">
        <v>1929</v>
      </c>
      <c r="BE229" s="8">
        <v>14324</v>
      </c>
      <c r="BF229" s="8">
        <v>202</v>
      </c>
      <c r="BG229" s="8">
        <v>0</v>
      </c>
      <c r="BH229" s="8">
        <v>42</v>
      </c>
      <c r="BI229" s="8">
        <v>117</v>
      </c>
      <c r="BJ229" s="8">
        <v>89</v>
      </c>
      <c r="BK229" s="8">
        <v>14432</v>
      </c>
      <c r="BL229" s="8">
        <v>0</v>
      </c>
      <c r="BM229" s="8">
        <v>135.86000000000001</v>
      </c>
      <c r="BN229" s="8">
        <v>13.3</v>
      </c>
      <c r="BO229" s="68">
        <f>+SUM(Tabla_master_rend[[#This Row],[B_altas]:[B_lab]])/Tabla_master_rend[[#This Row],[Kg_SalidaSecadero]]</f>
        <v>3.1180709534368072E-2</v>
      </c>
      <c r="BP229" s="68">
        <f>+(Tabla_master_rend[[#This Row],[Kg_mer_env_real]]+Tabla_master_rend[[#This Row],[kg_mer_lab_real]])/Tabla_master_rend[[#This Row],[Kg_SalidaSecadero]]</f>
        <v>1.0335365853658539E-2</v>
      </c>
      <c r="BQ229" s="64">
        <f>+Tabla_master_rend[[#This Row],[Merma_TOT]]/Tabla_master_rend[[#This Row],[Kg_Queso_Blan]]</f>
        <v>2.2629029399467482E-2</v>
      </c>
      <c r="BR229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330.69000000000005</v>
      </c>
      <c r="BS229" s="138">
        <v>14028.799999999997</v>
      </c>
      <c r="BT229" s="63">
        <f>IF(+Tabla_master_rend[[#This Row],[Kg_Env_Total]]=0,0,Tabla_master_rend[[#This Row],[Kg_Env_Total]]-Tabla_master_rend[[#This Row],[Kg_SalidaSecadero]])</f>
        <v>-403.20000000000255</v>
      </c>
      <c r="BU229" s="60">
        <f>+Tabla_master_rend[[#This Row],[Diferencia_Env_vs_Sec_kg]]/Tabla_master_rend[[#This Row],[Kg_SalidaSecadero]]</f>
        <v>-2.7937915742793969E-2</v>
      </c>
      <c r="BV229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29" s="65">
        <f>+(Tabla_master_rend[[#This Row],[Coste_Leche_€]]-Tabla_master_rend[[#This Row],[Kg_MG_Nata]]*$CO$3)/Tabla_master_rend[[#This Row],[Kg_Queso_Blan]]</f>
        <v>-0.41324717573372072</v>
      </c>
      <c r="BX229" s="8">
        <f>SUM(Tabla_master_rend[[#This Row],[Kg_Finos]:[Kg_Desmoldeo]])+Tabla_master_rend[[#This Row],[L_Agua]]+SUM(Tabla_master_rend[[#This Row],[B_altas]:[B_lab]])</f>
        <v>631.53</v>
      </c>
      <c r="BY229" s="8">
        <f>+BX229-Tabla_master_rend[[#This Row],[Merma_TOT]]</f>
        <v>300.83999999999992</v>
      </c>
      <c r="BZ229" s="62">
        <f t="shared" si="70"/>
        <v>0.47636691843617868</v>
      </c>
      <c r="CA229" s="8">
        <f>+Tabla_master_rend[[#This Row],[Kg_Queso_Blan]]*$CA$1</f>
        <v>94.987944999999996</v>
      </c>
      <c r="CB229" s="8">
        <f>+Tabla_master_rend[[#This Row],[Kg_Queso_Blan]]*($CB$1-$CA$1)</f>
        <v>51.147355000000012</v>
      </c>
      <c r="CC229" s="8">
        <f>+(Tabla_master_rend[[#This Row],[Kg_Queso_Blan]]-CA229-CB229)*$CC$1</f>
        <v>151.90764435000003</v>
      </c>
      <c r="CD229" s="8">
        <f t="shared" si="71"/>
        <v>298.04294435000003</v>
      </c>
      <c r="CE229" s="80">
        <f>+CD229/Tabla_master_rend[[#This Row],[Kg_Queso_Blan]]</f>
        <v>2.0395E-2</v>
      </c>
      <c r="CF229" s="62">
        <f>+Tabla_master_rend[[#This Row],[Merma_TOT]]/Tabla_master_rend[[#This Row],[Kg_Queso_Blan]]</f>
        <v>2.2629029399467482E-2</v>
      </c>
      <c r="CG229" s="8">
        <f>CD229-Tabla_master_rend[[#This Row],[Merma_TOT]]</f>
        <v>-32.647055650000027</v>
      </c>
      <c r="CH229" s="81" cm="1">
        <f t="array" ref="CH229">-BR229 * IFERROR(INDEX('Precio Leche_EBITDA_Ventas'!$BD$87:$BD$110,MATCH(1,('Precio Leche_EBITDA_Ventas'!$AZ$87:$AZ$110=YEAR(A229))*('Precio Leche_EBITDA_Ventas'!$BB$87:$BB$110=C229),0)),1.3)</f>
        <v>-736.56428676318637</v>
      </c>
      <c r="CI229" s="81">
        <f t="shared" si="72"/>
        <v>-42.441172345000034</v>
      </c>
    </row>
    <row r="230" spans="1:87" x14ac:dyDescent="0.35">
      <c r="A230" s="9">
        <v>46189</v>
      </c>
      <c r="B230" s="7">
        <v>6</v>
      </c>
      <c r="C230" s="7" t="str">
        <f>+UPPER(TEXT(Tabla_master_rend[[#This Row],[Fecha]],"MMM"))</f>
        <v>JUN</v>
      </c>
      <c r="D230" s="7" t="str">
        <f>+UPPER(TEXT(Tabla_master_rend[[#This Row],[Fecha]],"ddd"))</f>
        <v>MA</v>
      </c>
      <c r="E230" s="189">
        <v>160626326</v>
      </c>
      <c r="F230" s="3" t="s">
        <v>244</v>
      </c>
      <c r="G230" t="s">
        <v>301</v>
      </c>
      <c r="H230">
        <v>8</v>
      </c>
      <c r="I230" s="8">
        <f>+Tabla_master_rend[[#This Row],[L_Leche_ent]]+Tabla_master_rend[[#This Row],[L_desn_ext]]+Tabla_master_rend[[#This Row],[L_cabra]]+Tabla_master_rend[[#This Row],[L_oveja]]</f>
        <v>126445</v>
      </c>
      <c r="J230" s="8">
        <v>126445</v>
      </c>
      <c r="K230" s="66">
        <v>3.9100000000000003E-2</v>
      </c>
      <c r="L230" s="66">
        <v>3.32E-2</v>
      </c>
      <c r="M230" s="5">
        <f t="shared" ref="M230:M231" si="73">0.93*K230+0.74*L230+0.048</f>
        <v>0.108931</v>
      </c>
      <c r="N230" s="35" t="s">
        <v>188</v>
      </c>
      <c r="O230">
        <v>0</v>
      </c>
      <c r="P230" s="8">
        <v>0</v>
      </c>
      <c r="Q230" s="8">
        <v>0</v>
      </c>
      <c r="R230" s="8">
        <v>2105</v>
      </c>
      <c r="S230" s="8">
        <v>190.5</v>
      </c>
      <c r="T230" s="8">
        <v>111890</v>
      </c>
      <c r="U230" s="38">
        <f>+Tabla_master_rend[[#This Row],[L_suero Total]]/Tabla_master_rend[[#This Row],[Litros_Leche_Total]]</f>
        <v>0.88489066392502669</v>
      </c>
      <c r="V230" s="66">
        <v>2.9999999999999997E-4</v>
      </c>
      <c r="W230" s="66">
        <v>8.9999999999999993E-3</v>
      </c>
      <c r="X230" s="8">
        <v>110100</v>
      </c>
      <c r="Y230" s="57">
        <v>30500</v>
      </c>
      <c r="Z230" s="58">
        <f>IF(Tabla_master_rend[[#This Row],[L_suero para con]]=0,0,+Tabla_master_rend[[#This Row],[L_suero para con]]/Tabla_master_rend[[#This Row],[L_suero_con]])</f>
        <v>3.6098360655737705</v>
      </c>
      <c r="AA230" s="8">
        <f>+Tabla_master_rend[[#This Row],[L_suero Total]]-Tabla_master_rend[[#This Row],[L_suero para con]]</f>
        <v>1790</v>
      </c>
      <c r="AD230" s="8">
        <v>0</v>
      </c>
      <c r="AE230" s="8">
        <v>0</v>
      </c>
      <c r="AF230" s="8">
        <v>0</v>
      </c>
      <c r="AG230" s="66">
        <v>0</v>
      </c>
      <c r="AH230" s="66">
        <v>0</v>
      </c>
      <c r="AI230" s="7">
        <f>+Tabla_master_rend[[#This Row],[Kg_Finos]]+Tabla_master_rend[[#This Row],[Kg_Llenadora]]+Tabla_master_rend[[#This Row],[Kg_Desmoldeo]]+Tabla_master_rend[[#This Row],[L_Agua]]+Tabla_master_rend[[#This Row],[Kg_SalidaSecadero]]</f>
        <v>13872.07</v>
      </c>
      <c r="AJ230" s="59">
        <f>+Tabla_master_rend[[#This Row],[Litros_Leche_Total]]/Tabla_master_rend[[#This Row],[Kg_Queso_Blan]]</f>
        <v>9.115077994848642</v>
      </c>
      <c r="AK230" s="59">
        <f>+Tabla_master_rend[[#This Row],[Litros_Leche_Total]]/(Tabla_master_rend[[#This Row],[Kg_Queso_Blan]]-Tabla_master_rend[[#This Row],[Merma_TOT]])</f>
        <v>9.4232195223740458</v>
      </c>
      <c r="AL230" s="59">
        <f>VLOOKUP(G230,REND_TARGET[#All],8,FALSE)</f>
        <v>9.3549429999999987</v>
      </c>
      <c r="AM230" s="7">
        <f>(I230*1.03*Tabla_master_rend[[#This Row],[%MG_Leche]])+(I230*1.03*Tabla_master_rend[[#This Row],[%MP_Leche]])</f>
        <v>9416.2327050000022</v>
      </c>
      <c r="AN230" s="137">
        <v>0.2954</v>
      </c>
      <c r="AO230" s="137">
        <v>0.24510000000000001</v>
      </c>
      <c r="AP230" s="64">
        <v>0.5867</v>
      </c>
      <c r="AQ230" s="38">
        <f>+Tabla_master_rend[[#This Row],[Kg_Queso_Blan]]*Tabla_master_rend[[#This Row],[ES_QUESO]]/(Tabla_master_rend[[#This Row],[Kg_Solidos_leche]])</f>
        <v>0.86433117404568205</v>
      </c>
      <c r="AR230" s="7">
        <f t="shared" ref="AR230:AR231" si="74">R230*0.4</f>
        <v>842</v>
      </c>
      <c r="AS230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0.97005097432530774</v>
      </c>
      <c r="AT230" s="62">
        <f>+Tabla_master_rend[[#This Row],[Kg_Queso_Blan]]*Tabla_master_rend[[#This Row],[%PT_QUESO]]/(Tabla_master_rend[[#This Row],[Litros_Leche_Total]]*1.03*Tabla_master_rend[[#This Row],[%MP_Leche]])</f>
        <v>0.78633501275495066</v>
      </c>
      <c r="AU230" s="7">
        <f t="shared" ref="AU230:AU231" si="75">AR230*$CO$3</f>
        <v>6315</v>
      </c>
      <c r="AV230" s="8">
        <v>14.77</v>
      </c>
      <c r="AW230" s="8">
        <v>139.30000000000001</v>
      </c>
      <c r="AX230" s="8">
        <v>10</v>
      </c>
      <c r="AY230" s="8">
        <f>SUM(Tabla_master_rend[[#This Row],[Kg_Finos]:[Kg_Desmoldeo]])</f>
        <v>164.07000000000002</v>
      </c>
      <c r="AZ230" s="60">
        <f>+(Tabla_master_rend[[#This Row],[Kg_Finos]]+Tabla_master_rend[[#This Row],[Kg_Llenadora]]+Tabla_master_rend[[#This Row],[Kg_Desmoldeo]])/(Tabla_master_rend[[#This Row],[Kg_Queso_Blan]])</f>
        <v>1.1827362462848013E-2</v>
      </c>
      <c r="BA230" s="8">
        <f>25+75</f>
        <v>100</v>
      </c>
      <c r="BB230" s="60">
        <f>+Tabla_master_rend[[#This Row],[L_Agua]]/(Tabla_master_rend[[#This Row],[L_Agua]]+Tabla_master_rend[[#This Row],[Kg_SalidaSecadero]])</f>
        <v>7.2950102130142983E-3</v>
      </c>
      <c r="BC230" s="8">
        <f>444+1388</f>
        <v>1832</v>
      </c>
      <c r="BD230" s="8">
        <f>434+1376</f>
        <v>1810</v>
      </c>
      <c r="BE230" s="8">
        <f>3305+10257</f>
        <v>13562</v>
      </c>
      <c r="BF230" s="8">
        <v>444</v>
      </c>
      <c r="BG230" s="8">
        <v>0</v>
      </c>
      <c r="BH230" s="8">
        <v>44</v>
      </c>
      <c r="BI230" s="8">
        <v>30</v>
      </c>
      <c r="BJ230" s="8">
        <f>27+45</f>
        <v>72</v>
      </c>
      <c r="BK230" s="8">
        <f>3351+10257</f>
        <v>13608</v>
      </c>
      <c r="BL230" s="8">
        <v>0</v>
      </c>
      <c r="BM230" s="8">
        <v>172.66</v>
      </c>
      <c r="BN230" s="8">
        <v>16.89</v>
      </c>
      <c r="BO230" s="68">
        <f>+SUM(Tabla_master_rend[[#This Row],[B_altas]:[B_lab]])/Tabla_master_rend[[#This Row],[Kg_SalidaSecadero]]</f>
        <v>4.3356848912404468E-2</v>
      </c>
      <c r="BP230" s="68">
        <f>+(Tabla_master_rend[[#This Row],[Kg_mer_env_real]]+Tabla_master_rend[[#This Row],[kg_mer_lab_real]])/Tabla_master_rend[[#This Row],[Kg_SalidaSecadero]]</f>
        <v>1.3929306290417403E-2</v>
      </c>
      <c r="BQ230" s="64">
        <f>+Tabla_master_rend[[#This Row],[Merma_TOT]]/Tabla_master_rend[[#This Row],[Kg_Queso_Blan]]</f>
        <v>3.2700238681033188E-2</v>
      </c>
      <c r="BR230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453.62</v>
      </c>
      <c r="BS230" s="138">
        <v>13332.98</v>
      </c>
      <c r="BT230" s="63">
        <f>IF(+Tabla_master_rend[[#This Row],[Kg_Env_Total]]=0,0,Tabla_master_rend[[#This Row],[Kg_Env_Total]]-Tabla_master_rend[[#This Row],[Kg_SalidaSecadero]])</f>
        <v>-275.02000000000044</v>
      </c>
      <c r="BU230" s="60">
        <f>+Tabla_master_rend[[#This Row],[Diferencia_Env_vs_Sec_kg]]/Tabla_master_rend[[#This Row],[Kg_SalidaSecadero]]</f>
        <v>-2.0210170487948299E-2</v>
      </c>
      <c r="BV230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30" s="65">
        <f>+(Tabla_master_rend[[#This Row],[Coste_Leche_€]]-Tabla_master_rend[[#This Row],[Kg_MG_Nata]]*$CO$3)/Tabla_master_rend[[#This Row],[Kg_Queso_Blan]]</f>
        <v>-0.45523126685491061</v>
      </c>
      <c r="BX230" s="8">
        <f>SUM(Tabla_master_rend[[#This Row],[Kg_Finos]:[Kg_Desmoldeo]])+Tabla_master_rend[[#This Row],[L_Agua]]+SUM(Tabla_master_rend[[#This Row],[B_altas]:[B_lab]])</f>
        <v>854.07</v>
      </c>
      <c r="BY230" s="8">
        <f>+BX230-Tabla_master_rend[[#This Row],[Merma_TOT]]</f>
        <v>400.45000000000005</v>
      </c>
      <c r="BZ230" s="62">
        <f t="shared" ref="BZ230:BZ231" si="76">+BY230/BX230</f>
        <v>0.46887257484749495</v>
      </c>
      <c r="CA230" s="8">
        <f>+Tabla_master_rend[[#This Row],[Kg_Queso_Blan]]*$CA$1</f>
        <v>90.168454999999994</v>
      </c>
      <c r="CB230" s="8">
        <f>+Tabla_master_rend[[#This Row],[Kg_Queso_Blan]]*($CB$1-$CA$1)</f>
        <v>48.552245000000006</v>
      </c>
      <c r="CC230" s="8">
        <f>+(Tabla_master_rend[[#This Row],[Kg_Queso_Blan]]-CA230-CB230)*$CC$1</f>
        <v>144.20016765</v>
      </c>
      <c r="CD230" s="8">
        <f t="shared" ref="CD230:CD231" si="77">+CA230+CB230+CC230</f>
        <v>282.92086764999999</v>
      </c>
      <c r="CE230" s="80">
        <f>+CD230/Tabla_master_rend[[#This Row],[Kg_Queso_Blan]]</f>
        <v>2.0395E-2</v>
      </c>
      <c r="CF230" s="62">
        <f>+Tabla_master_rend[[#This Row],[Merma_TOT]]/Tabla_master_rend[[#This Row],[Kg_Queso_Blan]]</f>
        <v>3.2700238681033188E-2</v>
      </c>
      <c r="CG230" s="8">
        <f>CD230-Tabla_master_rend[[#This Row],[Merma_TOT]]</f>
        <v>-170.69913235000001</v>
      </c>
      <c r="CH230" s="81" cm="1">
        <f t="array" ref="CH230">-BR230 * IFERROR(INDEX('Precio Leche_EBITDA_Ventas'!$BD$87:$BD$110,MATCH(1,('Precio Leche_EBITDA_Ventas'!$AZ$87:$AZ$110=YEAR(A230))*('Precio Leche_EBITDA_Ventas'!$BB$87:$BB$110=C230),0)),1.3)</f>
        <v>-1010.3731342390655</v>
      </c>
      <c r="CI230" s="81">
        <f t="shared" ref="CI230:CI231" si="78">+CG230*$CM$2</f>
        <v>-221.90887205500002</v>
      </c>
    </row>
    <row r="231" spans="1:87" x14ac:dyDescent="0.35">
      <c r="A231" s="9">
        <v>46191</v>
      </c>
      <c r="B231" s="7">
        <v>6</v>
      </c>
      <c r="C231" s="7" t="str">
        <f>+UPPER(TEXT(Tabla_master_rend[[#This Row],[Fecha]],"MMM"))</f>
        <v>JUN</v>
      </c>
      <c r="D231" s="7" t="str">
        <f>+UPPER(TEXT(Tabla_master_rend[[#This Row],[Fecha]],"ddd"))</f>
        <v>JU</v>
      </c>
      <c r="E231" s="189">
        <v>180626326</v>
      </c>
      <c r="F231" s="3" t="s">
        <v>244</v>
      </c>
      <c r="G231" t="s">
        <v>301</v>
      </c>
      <c r="H231">
        <v>9</v>
      </c>
      <c r="I231" s="8">
        <f>+Tabla_master_rend[[#This Row],[L_Leche_ent]]+Tabla_master_rend[[#This Row],[L_desn_ext]]+Tabla_master_rend[[#This Row],[L_cabra]]+Tabla_master_rend[[#This Row],[L_oveja]]</f>
        <v>133110</v>
      </c>
      <c r="J231" s="8">
        <v>133110</v>
      </c>
      <c r="K231" s="66">
        <v>4.1300000000000003E-2</v>
      </c>
      <c r="L231" s="66">
        <v>3.3799999999999997E-2</v>
      </c>
      <c r="M231" s="5">
        <f t="shared" si="73"/>
        <v>0.11142100000000001</v>
      </c>
      <c r="N231" s="35" t="s">
        <v>43</v>
      </c>
      <c r="O231">
        <v>0</v>
      </c>
      <c r="P231" s="8">
        <v>0</v>
      </c>
      <c r="Q231" s="8">
        <v>0</v>
      </c>
      <c r="R231" s="8">
        <v>2765</v>
      </c>
      <c r="S231" s="8">
        <v>0</v>
      </c>
      <c r="T231" s="8">
        <v>121800</v>
      </c>
      <c r="U231" s="38">
        <f>+Tabla_master_rend[[#This Row],[L_suero Total]]/Tabla_master_rend[[#This Row],[Litros_Leche_Total]]</f>
        <v>0.91503267973856206</v>
      </c>
      <c r="V231" s="66">
        <v>2.0999999999999999E-3</v>
      </c>
      <c r="W231" s="66">
        <v>8.2000000000000007E-3</v>
      </c>
      <c r="X231" s="8">
        <v>110336</v>
      </c>
      <c r="Y231" s="57">
        <v>30353</v>
      </c>
      <c r="Z231" s="58">
        <f>IF(Tabla_master_rend[[#This Row],[L_suero para con]]=0,0,+Tabla_master_rend[[#This Row],[L_suero para con]]/Tabla_master_rend[[#This Row],[L_suero_con]])</f>
        <v>3.6350937304385069</v>
      </c>
      <c r="AA231" s="8">
        <f>+Tabla_master_rend[[#This Row],[L_suero Total]]-Tabla_master_rend[[#This Row],[L_suero para con]]</f>
        <v>11464</v>
      </c>
      <c r="AD231" s="8">
        <v>19606</v>
      </c>
      <c r="AE231" s="8">
        <v>0</v>
      </c>
      <c r="AF231" s="8">
        <v>0</v>
      </c>
      <c r="AG231" s="140"/>
      <c r="AH231" s="140"/>
      <c r="AI231" s="7">
        <f>+Tabla_master_rend[[#This Row],[Kg_Finos]]+Tabla_master_rend[[#This Row],[Kg_Llenadora]]+Tabla_master_rend[[#This Row],[Kg_Desmoldeo]]+Tabla_master_rend[[#This Row],[L_Agua]]+Tabla_master_rend[[#This Row],[Kg_SalidaSecadero]]</f>
        <v>15274.6</v>
      </c>
      <c r="AJ231" s="59">
        <f>+Tabla_master_rend[[#This Row],[Litros_Leche_Total]]/Tabla_master_rend[[#This Row],[Kg_Queso_Blan]]</f>
        <v>8.7144671546227066</v>
      </c>
      <c r="AK231" s="59">
        <f>+Tabla_master_rend[[#This Row],[Litros_Leche_Total]]/(Tabla_master_rend[[#This Row],[Kg_Queso_Blan]]-Tabla_master_rend[[#This Row],[Merma_TOT]])</f>
        <v>8.8170068676077822</v>
      </c>
      <c r="AL231" s="59">
        <f>VLOOKUP(G231,REND_TARGET[#All],8,FALSE)</f>
        <v>9.3549429999999987</v>
      </c>
      <c r="AM231" s="7">
        <f>(I231*1.03*Tabla_master_rend[[#This Row],[%MG_Leche]])+(I231*1.03*Tabla_master_rend[[#This Row],[%MP_Leche]])</f>
        <v>10296.457830000001</v>
      </c>
      <c r="AN231" s="137">
        <v>0.29720000000000002</v>
      </c>
      <c r="AO231" s="137">
        <v>0.24729999999999999</v>
      </c>
      <c r="AP231" s="64">
        <v>0.58789999999999998</v>
      </c>
      <c r="AQ231" s="38">
        <f>+Tabla_master_rend[[#This Row],[Kg_Queso_Blan]]*Tabla_master_rend[[#This Row],[ES_QUESO]]/(Tabla_master_rend[[#This Row],[Kg_Solidos_leche]])</f>
        <v>0.8721385051309436</v>
      </c>
      <c r="AR231" s="7">
        <f t="shared" si="74"/>
        <v>1106</v>
      </c>
      <c r="AS231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0.99704095970803042</v>
      </c>
      <c r="AT231" s="62">
        <f>+Tabla_master_rend[[#This Row],[Kg_Queso_Blan]]*Tabla_master_rend[[#This Row],[%PT_QUESO]]/(Tabla_master_rend[[#This Row],[Litros_Leche_Total]]*1.03*Tabla_master_rend[[#This Row],[%MP_Leche]])</f>
        <v>0.81513464880756314</v>
      </c>
      <c r="AU231" s="7">
        <f t="shared" si="75"/>
        <v>8295</v>
      </c>
      <c r="AV231" s="8">
        <v>16.5</v>
      </c>
      <c r="AW231" s="8">
        <v>10.1</v>
      </c>
      <c r="AX231" s="8">
        <v>0</v>
      </c>
      <c r="AY231" s="8">
        <f>SUM(Tabla_master_rend[[#This Row],[Kg_Finos]:[Kg_Desmoldeo]])</f>
        <v>26.6</v>
      </c>
      <c r="AZ231" s="60">
        <f>+(Tabla_master_rend[[#This Row],[Kg_Finos]]+Tabla_master_rend[[#This Row],[Kg_Llenadora]]+Tabla_master_rend[[#This Row],[Kg_Desmoldeo]])/(Tabla_master_rend[[#This Row],[Kg_Queso_Blan]])</f>
        <v>1.7414531313422283E-3</v>
      </c>
      <c r="BA231" s="8">
        <v>125</v>
      </c>
      <c r="BB231" s="60">
        <f>+Tabla_master_rend[[#This Row],[L_Agua]]/(Tabla_master_rend[[#This Row],[L_Agua]]+Tabla_master_rend[[#This Row],[Kg_SalidaSecadero]])</f>
        <v>8.1977964323189934E-3</v>
      </c>
      <c r="BC231" s="8">
        <v>2050</v>
      </c>
      <c r="BD231" s="8">
        <v>2042</v>
      </c>
      <c r="BE231" s="8">
        <v>15197</v>
      </c>
      <c r="BF231" s="8">
        <v>0</v>
      </c>
      <c r="BG231" s="8">
        <v>0</v>
      </c>
      <c r="BH231" s="8">
        <v>0</v>
      </c>
      <c r="BI231" s="8">
        <v>0</v>
      </c>
      <c r="BJ231" s="8">
        <v>51</v>
      </c>
      <c r="BK231" s="8">
        <v>15123</v>
      </c>
      <c r="BL231" s="8">
        <v>0</v>
      </c>
      <c r="BM231" s="8">
        <v>18.559999999999999</v>
      </c>
      <c r="BN231" s="8">
        <v>7.48</v>
      </c>
      <c r="BO231" s="68">
        <f>+SUM(Tabla_master_rend[[#This Row],[B_altas]:[B_lab]])/Tabla_master_rend[[#This Row],[Kg_SalidaSecadero]]</f>
        <v>3.3723467565959135E-3</v>
      </c>
      <c r="BP231" s="68">
        <f>+(Tabla_master_rend[[#This Row],[Kg_mer_env_real]]+Tabla_master_rend[[#This Row],[kg_mer_lab_real]])/Tabla_master_rend[[#This Row],[Kg_SalidaSecadero]]</f>
        <v>1.7218805792501488E-3</v>
      </c>
      <c r="BQ231" s="64">
        <f>+Tabla_master_rend[[#This Row],[Merma_TOT]]/Tabla_master_rend[[#This Row],[Kg_Queso_Blan]]</f>
        <v>1.1629764445550127E-2</v>
      </c>
      <c r="BR231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177.64</v>
      </c>
      <c r="BS231" s="138">
        <v>14897.300000000003</v>
      </c>
      <c r="BT231" s="63">
        <f>IF(+Tabla_master_rend[[#This Row],[Kg_Env_Total]]=0,0,Tabla_master_rend[[#This Row],[Kg_Env_Total]]-Tabla_master_rend[[#This Row],[Kg_SalidaSecadero]])</f>
        <v>-225.69999999999709</v>
      </c>
      <c r="BU231" s="60">
        <f>+Tabla_master_rend[[#This Row],[Diferencia_Env_vs_Sec_kg]]/Tabla_master_rend[[#This Row],[Kg_SalidaSecadero]]</f>
        <v>-1.4924287509091919E-2</v>
      </c>
      <c r="BV231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31" s="65">
        <f>+(Tabla_master_rend[[#This Row],[Coste_Leche_€]]-Tabla_master_rend[[#This Row],[Kg_MG_Nata]]*$CO$3)/Tabla_master_rend[[#This Row],[Kg_Queso_Blan]]</f>
        <v>-0.54305841069487903</v>
      </c>
      <c r="BX231" s="8">
        <f>SUM(Tabla_master_rend[[#This Row],[Kg_Finos]:[Kg_Desmoldeo]])+Tabla_master_rend[[#This Row],[L_Agua]]+SUM(Tabla_master_rend[[#This Row],[B_altas]:[B_lab]])</f>
        <v>202.6</v>
      </c>
      <c r="BY231" s="8">
        <f>+BX231-Tabla_master_rend[[#This Row],[Merma_TOT]]</f>
        <v>24.960000000000008</v>
      </c>
      <c r="BZ231" s="62">
        <f t="shared" si="76"/>
        <v>0.12319842053307013</v>
      </c>
      <c r="CA231" s="8">
        <f>+Tabla_master_rend[[#This Row],[Kg_Queso_Blan]]*$CA$1</f>
        <v>99.284899999999993</v>
      </c>
      <c r="CB231" s="8">
        <f>+Tabla_master_rend[[#This Row],[Kg_Queso_Blan]]*($CB$1-$CA$1)</f>
        <v>53.461100000000009</v>
      </c>
      <c r="CC231" s="8">
        <f>+(Tabla_master_rend[[#This Row],[Kg_Queso_Blan]]-CA231-CB231)*$CC$1</f>
        <v>158.77946700000001</v>
      </c>
      <c r="CD231" s="8">
        <f t="shared" si="77"/>
        <v>311.52546700000005</v>
      </c>
      <c r="CE231" s="80">
        <f>+CD231/Tabla_master_rend[[#This Row],[Kg_Queso_Blan]]</f>
        <v>2.0395000000000003E-2</v>
      </c>
      <c r="CF231" s="62">
        <f>+Tabla_master_rend[[#This Row],[Merma_TOT]]/Tabla_master_rend[[#This Row],[Kg_Queso_Blan]]</f>
        <v>1.1629764445550127E-2</v>
      </c>
      <c r="CG231" s="8">
        <f>CD231-Tabla_master_rend[[#This Row],[Merma_TOT]]</f>
        <v>133.88546700000006</v>
      </c>
      <c r="CH231" s="81" cm="1">
        <f t="array" ref="CH231">-BR231 * IFERROR(INDEX('Precio Leche_EBITDA_Ventas'!$BD$87:$BD$110,MATCH(1,('Precio Leche_EBITDA_Ventas'!$AZ$87:$AZ$110=YEAR(A231))*('Precio Leche_EBITDA_Ventas'!$BB$87:$BB$110=C231),0)),1.3)</f>
        <v>-395.66748284076448</v>
      </c>
      <c r="CI231" s="81">
        <f t="shared" si="78"/>
        <v>174.05110710000008</v>
      </c>
    </row>
    <row r="232" spans="1:87" x14ac:dyDescent="0.35">
      <c r="A232" s="9">
        <v>46196</v>
      </c>
      <c r="B232" s="7">
        <v>6</v>
      </c>
      <c r="C232" s="7" t="str">
        <f>+UPPER(TEXT(Tabla_master_rend[[#This Row],[Fecha]],"MMM"))</f>
        <v>JUN</v>
      </c>
      <c r="D232" s="7" t="str">
        <f>+UPPER(TEXT(Tabla_master_rend[[#This Row],[Fecha]],"ddd"))</f>
        <v>MA</v>
      </c>
      <c r="E232" s="139">
        <v>180626326</v>
      </c>
      <c r="F232" s="3" t="s">
        <v>244</v>
      </c>
      <c r="G232" t="s">
        <v>40</v>
      </c>
      <c r="H232">
        <v>10</v>
      </c>
      <c r="I232" s="8">
        <f>+Tabla_master_rend[[#This Row],[L_Leche_ent]]+Tabla_master_rend[[#This Row],[L_desn_ext]]+Tabla_master_rend[[#This Row],[L_cabra]]+Tabla_master_rend[[#This Row],[L_oveja]]</f>
        <v>170232</v>
      </c>
      <c r="J232" s="8">
        <v>170232</v>
      </c>
      <c r="K232" s="66">
        <v>3.9600000000000003E-2</v>
      </c>
      <c r="L232" s="66">
        <v>3.2399999999999998E-2</v>
      </c>
      <c r="M232" s="5">
        <f t="shared" ref="M232:M233" si="79">0.93*K232+0.74*L232+0.048</f>
        <v>0.10880400000000001</v>
      </c>
      <c r="N232" s="3" t="s">
        <v>188</v>
      </c>
      <c r="O232">
        <v>0</v>
      </c>
      <c r="P232" s="8">
        <v>0</v>
      </c>
      <c r="Q232" s="8">
        <v>0</v>
      </c>
      <c r="R232" s="8">
        <v>1903</v>
      </c>
      <c r="S232" s="8">
        <v>0</v>
      </c>
      <c r="T232" s="8">
        <v>143000</v>
      </c>
      <c r="U232" s="38">
        <f>+Tabla_master_rend[[#This Row],[L_suero Total]]/Tabla_master_rend[[#This Row],[Litros_Leche_Total]]</f>
        <v>0.8400300766013441</v>
      </c>
      <c r="V232" s="66">
        <v>2.3999999999999998E-3</v>
      </c>
      <c r="W232" s="66">
        <v>9.4000000000000004E-3</v>
      </c>
      <c r="X232" s="8">
        <v>93621</v>
      </c>
      <c r="Y232" s="57">
        <v>25024</v>
      </c>
      <c r="Z232" s="58">
        <f>IF(Tabla_master_rend[[#This Row],[L_suero para con]]=0,0,+Tabla_master_rend[[#This Row],[L_suero para con]]/Tabla_master_rend[[#This Row],[L_suero_con]])</f>
        <v>3.7412484015345266</v>
      </c>
      <c r="AA232" s="8">
        <f>+Tabla_master_rend[[#This Row],[L_suero Total]]-Tabla_master_rend[[#This Row],[L_suero para con]]</f>
        <v>49379</v>
      </c>
      <c r="AD232" s="8">
        <v>20427</v>
      </c>
      <c r="AE232" s="8">
        <v>0</v>
      </c>
      <c r="AF232" s="8">
        <v>0</v>
      </c>
      <c r="AG232" s="140"/>
      <c r="AH232" s="140"/>
      <c r="AI232" s="7">
        <f>+Tabla_master_rend[[#This Row],[Kg_Finos]]+Tabla_master_rend[[#This Row],[Kg_Llenadora]]+Tabla_master_rend[[#This Row],[Kg_Desmoldeo]]+Tabla_master_rend[[#This Row],[L_Agua]]+Tabla_master_rend[[#This Row],[Kg_SalidaSecadero]]</f>
        <v>19248.830000000002</v>
      </c>
      <c r="AJ232" s="59">
        <f>+Tabla_master_rend[[#This Row],[Litros_Leche_Total]]/Tabla_master_rend[[#This Row],[Kg_Queso_Blan]]</f>
        <v>8.8437582959587662</v>
      </c>
      <c r="AK232" s="59">
        <f>+Tabla_master_rend[[#This Row],[Litros_Leche_Total]]/(Tabla_master_rend[[#This Row],[Kg_Queso_Blan]]-Tabla_master_rend[[#This Row],[Merma_TOT]])</f>
        <v>9.0430991069094979</v>
      </c>
      <c r="AL232" s="59">
        <f>VLOOKUP(G232,REND_TARGET[#All],8,FALSE)</f>
        <v>8.9338729999999984</v>
      </c>
      <c r="AM232" s="7">
        <f>(I232*1.03*Tabla_master_rend[[#This Row],[%MG_Leche]])+(I232*1.03*Tabla_master_rend[[#This Row],[%MP_Leche]])</f>
        <v>12624.405119999999</v>
      </c>
      <c r="AN232" s="137">
        <v>0.30049999999999999</v>
      </c>
      <c r="AO232" s="137">
        <v>0.2364</v>
      </c>
      <c r="AP232" s="64">
        <v>0.5796</v>
      </c>
      <c r="AQ232" s="38">
        <f>+Tabla_master_rend[[#This Row],[Kg_Queso_Blan]]*Tabla_master_rend[[#This Row],[ES_QUESO]]/(Tabla_master_rend[[#This Row],[Kg_Solidos_leche]])</f>
        <v>0.88373446209558926</v>
      </c>
      <c r="AR232" s="7">
        <f t="shared" ref="AR232:AR233" si="80">R232*0.4</f>
        <v>761.2</v>
      </c>
      <c r="AS232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0.94268685466150937</v>
      </c>
      <c r="AT232" s="62">
        <f>+Tabla_master_rend[[#This Row],[Kg_Queso_Blan]]*Tabla_master_rend[[#This Row],[%PT_QUESO]]/(Tabla_master_rend[[#This Row],[Litros_Leche_Total]]*1.03*Tabla_master_rend[[#This Row],[%MP_Leche]])</f>
        <v>0.80099235809906177</v>
      </c>
      <c r="AU232" s="7">
        <f t="shared" ref="AU232:AU233" si="81">AR232*$CO$3</f>
        <v>5709</v>
      </c>
      <c r="AV232" s="8">
        <v>33.729999999999997</v>
      </c>
      <c r="AW232" s="8">
        <v>14.1</v>
      </c>
      <c r="AX232" s="8">
        <f>8+1</f>
        <v>9</v>
      </c>
      <c r="AY232" s="8">
        <f>SUM(Tabla_master_rend[[#This Row],[Kg_Finos]:[Kg_Desmoldeo]])</f>
        <v>56.83</v>
      </c>
      <c r="AZ232" s="60">
        <f>+(Tabla_master_rend[[#This Row],[Kg_Finos]]+Tabla_master_rend[[#This Row],[Kg_Llenadora]]+Tabla_master_rend[[#This Row],[Kg_Desmoldeo]])/(Tabla_master_rend[[#This Row],[Kg_Queso_Blan]])</f>
        <v>2.9523872360034346E-3</v>
      </c>
      <c r="BA232" s="8">
        <v>180</v>
      </c>
      <c r="BB232" s="60">
        <f>+Tabla_master_rend[[#This Row],[L_Agua]]/(Tabla_master_rend[[#This Row],[L_Agua]]+Tabla_master_rend[[#This Row],[Kg_SalidaSecadero]])</f>
        <v>9.3789078782826173E-3</v>
      </c>
      <c r="BC232" s="8">
        <v>2604</v>
      </c>
      <c r="BD232" s="8">
        <v>2551</v>
      </c>
      <c r="BE232" s="8">
        <v>18843</v>
      </c>
      <c r="BF232" s="8">
        <v>206</v>
      </c>
      <c r="BG232" s="8">
        <v>54</v>
      </c>
      <c r="BH232" s="8">
        <v>35</v>
      </c>
      <c r="BI232" s="8">
        <v>133</v>
      </c>
      <c r="BJ232" s="8">
        <v>127</v>
      </c>
      <c r="BK232" s="8">
        <v>19012</v>
      </c>
      <c r="BL232" s="8">
        <v>0</v>
      </c>
      <c r="BM232" s="8">
        <v>157.28</v>
      </c>
      <c r="BN232" s="8">
        <v>30.2</v>
      </c>
      <c r="BO232" s="68">
        <f>+SUM(Tabla_master_rend[[#This Row],[B_altas]:[B_lab]])/Tabla_master_rend[[#This Row],[Kg_SalidaSecadero]]</f>
        <v>2.9192089206816749E-2</v>
      </c>
      <c r="BP232" s="68">
        <f>+(Tabla_master_rend[[#This Row],[Kg_mer_env_real]]+Tabla_master_rend[[#This Row],[kg_mer_lab_real]])/Tabla_master_rend[[#This Row],[Kg_SalidaSecadero]]</f>
        <v>9.8611403324216276E-3</v>
      </c>
      <c r="BQ232" s="64">
        <f>+Tabla_master_rend[[#This Row],[Merma_TOT]]/Tabla_master_rend[[#This Row],[Kg_Queso_Blan]]</f>
        <v>2.2043417703829272E-2</v>
      </c>
      <c r="BR232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424.31000000000006</v>
      </c>
      <c r="BS232" s="138">
        <v>18597.900000000001</v>
      </c>
      <c r="BT232" s="63">
        <f>IF(+Tabla_master_rend[[#This Row],[Kg_Env_Total]]=0,0,Tabla_master_rend[[#This Row],[Kg_Env_Total]]-Tabla_master_rend[[#This Row],[Kg_SalidaSecadero]])</f>
        <v>-414.09999999999854</v>
      </c>
      <c r="BU232" s="60">
        <f>+Tabla_master_rend[[#This Row],[Diferencia_Env_vs_Sec_kg]]/Tabla_master_rend[[#This Row],[Kg_SalidaSecadero]]</f>
        <v>-2.17809804334104E-2</v>
      </c>
      <c r="BV232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32" s="65">
        <f>+(Tabla_master_rend[[#This Row],[Coste_Leche_€]]-Tabla_master_rend[[#This Row],[Kg_MG_Nata]]*$CO$3)/Tabla_master_rend[[#This Row],[Kg_Queso_Blan]]</f>
        <v>-0.29658945504739764</v>
      </c>
      <c r="BX232" s="8">
        <f>SUM(Tabla_master_rend[[#This Row],[Kg_Finos]:[Kg_Desmoldeo]])+Tabla_master_rend[[#This Row],[L_Agua]]+SUM(Tabla_master_rend[[#This Row],[B_altas]:[B_lab]])</f>
        <v>791.82999999999993</v>
      </c>
      <c r="BY232" s="8">
        <f>+BX232-Tabla_master_rend[[#This Row],[Merma_TOT]]</f>
        <v>367.51999999999987</v>
      </c>
      <c r="BZ232" s="62">
        <f t="shared" ref="BZ232:BZ233" si="82">+BY232/BX232</f>
        <v>0.46414003005695653</v>
      </c>
      <c r="CA232" s="8">
        <f>+Tabla_master_rend[[#This Row],[Kg_Queso_Blan]]*$CA$1</f>
        <v>125.117395</v>
      </c>
      <c r="CB232" s="8">
        <f>+Tabla_master_rend[[#This Row],[Kg_Queso_Blan]]*($CB$1-$CA$1)</f>
        <v>67.370905000000022</v>
      </c>
      <c r="CC232" s="8">
        <f>+(Tabla_master_rend[[#This Row],[Kg_Queso_Blan]]-CA232-CB232)*$CC$1</f>
        <v>200.09158785000002</v>
      </c>
      <c r="CD232" s="8">
        <f t="shared" ref="CD232:CD233" si="83">+CA232+CB232+CC232</f>
        <v>392.57988785000009</v>
      </c>
      <c r="CE232" s="80">
        <f>+CD232/Tabla_master_rend[[#This Row],[Kg_Queso_Blan]]</f>
        <v>2.0395000000000003E-2</v>
      </c>
      <c r="CF232" s="62">
        <f>+Tabla_master_rend[[#This Row],[Merma_TOT]]/Tabla_master_rend[[#This Row],[Kg_Queso_Blan]]</f>
        <v>2.2043417703829272E-2</v>
      </c>
      <c r="CG232" s="8">
        <f>CD232-Tabla_master_rend[[#This Row],[Merma_TOT]]</f>
        <v>-31.730112149999968</v>
      </c>
      <c r="CH232" s="81" cm="1">
        <f t="array" ref="CH232">-BR232 * IFERROR(INDEX('Precio Leche_EBITDA_Ventas'!$BD$87:$BD$110,MATCH(1,('Precio Leche_EBITDA_Ventas'!$AZ$87:$AZ$110=YEAR(A232))*('Precio Leche_EBITDA_Ventas'!$BB$87:$BB$110=C232),0)),1.3)</f>
        <v>-945.08933598381452</v>
      </c>
      <c r="CI232" s="81">
        <f t="shared" ref="CI232:CI233" si="84">+CG232*$CM$2</f>
        <v>-41.249145794999961</v>
      </c>
    </row>
    <row r="233" spans="1:87" x14ac:dyDescent="0.35">
      <c r="A233" s="9">
        <v>46198</v>
      </c>
      <c r="B233" s="7">
        <v>6</v>
      </c>
      <c r="C233" s="7" t="str">
        <f>+UPPER(TEXT(Tabla_master_rend[[#This Row],[Fecha]],"MMM"))</f>
        <v>JUN</v>
      </c>
      <c r="D233" s="7" t="str">
        <f>+UPPER(TEXT(Tabla_master_rend[[#This Row],[Fecha]],"ddd"))</f>
        <v>JU</v>
      </c>
      <c r="E233" s="139">
        <v>180626326</v>
      </c>
      <c r="F233" s="3" t="s">
        <v>244</v>
      </c>
      <c r="G233" t="s">
        <v>301</v>
      </c>
      <c r="H233">
        <v>12</v>
      </c>
      <c r="I233" s="8">
        <f>+Tabla_master_rend[[#This Row],[L_Leche_ent]]+Tabla_master_rend[[#This Row],[L_desn_ext]]+Tabla_master_rend[[#This Row],[L_cabra]]+Tabla_master_rend[[#This Row],[L_oveja]]</f>
        <v>188526</v>
      </c>
      <c r="J233" s="8">
        <v>188526</v>
      </c>
      <c r="K233" s="66">
        <v>3.7499999999999999E-2</v>
      </c>
      <c r="L233" s="66">
        <v>3.3599999999999998E-2</v>
      </c>
      <c r="M233" s="5">
        <f t="shared" si="79"/>
        <v>0.107739</v>
      </c>
      <c r="N233" s="3" t="s">
        <v>43</v>
      </c>
      <c r="O233">
        <v>0</v>
      </c>
      <c r="P233" s="8">
        <v>0</v>
      </c>
      <c r="Q233" s="8">
        <v>0</v>
      </c>
      <c r="R233" s="8">
        <v>2143</v>
      </c>
      <c r="S233" s="8">
        <v>0</v>
      </c>
      <c r="T233" s="8">
        <v>170740</v>
      </c>
      <c r="U233" s="38">
        <f>+Tabla_master_rend[[#This Row],[L_suero Total]]/Tabla_master_rend[[#This Row],[Litros_Leche_Total]]</f>
        <v>0.90565757508248201</v>
      </c>
      <c r="V233" s="66">
        <v>2E-3</v>
      </c>
      <c r="W233" s="66">
        <v>8.0999999999999996E-3</v>
      </c>
      <c r="X233" s="8">
        <v>171231</v>
      </c>
      <c r="Y233" s="57">
        <v>48891</v>
      </c>
      <c r="Z233" s="58">
        <f>IF(Tabla_master_rend[[#This Row],[L_suero para con]]=0,0,+Tabla_master_rend[[#This Row],[L_suero para con]]/Tabla_master_rend[[#This Row],[L_suero_con]])</f>
        <v>3.5023010370006751</v>
      </c>
      <c r="AA233" s="8">
        <f>+Tabla_master_rend[[#This Row],[L_suero Total]]-Tabla_master_rend[[#This Row],[L_suero para con]]</f>
        <v>-491</v>
      </c>
      <c r="AD233" s="8">
        <v>0</v>
      </c>
      <c r="AE233" s="8">
        <v>0</v>
      </c>
      <c r="AF233" s="8">
        <v>0</v>
      </c>
      <c r="AG233" s="66">
        <v>0</v>
      </c>
      <c r="AH233" s="66">
        <v>0</v>
      </c>
      <c r="AI233" s="7">
        <f>+Tabla_master_rend[[#This Row],[Kg_Finos]]+Tabla_master_rend[[#This Row],[Kg_Llenadora]]+Tabla_master_rend[[#This Row],[Kg_Desmoldeo]]+Tabla_master_rend[[#This Row],[L_Agua]]+Tabla_master_rend[[#This Row],[Kg_SalidaSecadero]]</f>
        <v>21539.24</v>
      </c>
      <c r="AJ233" s="59">
        <f>+Tabla_master_rend[[#This Row],[Litros_Leche_Total]]/Tabla_master_rend[[#This Row],[Kg_Queso_Blan]]</f>
        <v>8.7526765104061237</v>
      </c>
      <c r="AK233" s="59">
        <f>+Tabla_master_rend[[#This Row],[Litros_Leche_Total]]/(Tabla_master_rend[[#This Row],[Kg_Queso_Blan]]-Tabla_master_rend[[#This Row],[Merma_TOT]])</f>
        <v>8.8559793573747445</v>
      </c>
      <c r="AL233" s="59">
        <f>VLOOKUP(G233,REND_TARGET[#All],8,FALSE)</f>
        <v>9.3549429999999987</v>
      </c>
      <c r="AM233" s="7">
        <f>(I233*1.03*Tabla_master_rend[[#This Row],[%MG_Leche]])+(I233*1.03*Tabla_master_rend[[#This Row],[%MP_Leche]])</f>
        <v>13806.324558</v>
      </c>
      <c r="AN233" s="137">
        <v>0.2954</v>
      </c>
      <c r="AO233" s="137">
        <v>0.2462</v>
      </c>
      <c r="AP233" s="64">
        <v>0.58499999999999996</v>
      </c>
      <c r="AQ233" s="38">
        <f>+Tabla_master_rend[[#This Row],[Kg_Queso_Blan]]*Tabla_master_rend[[#This Row],[ES_QUESO]]/(Tabla_master_rend[[#This Row],[Kg_Solidos_leche]])</f>
        <v>0.91265820581472101</v>
      </c>
      <c r="AR233" s="7">
        <f t="shared" si="80"/>
        <v>857.2</v>
      </c>
      <c r="AS233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0.99149590601823379</v>
      </c>
      <c r="AT233" s="62">
        <f>+Tabla_master_rend[[#This Row],[Kg_Queso_Blan]]*Tabla_master_rend[[#This Row],[%PT_QUESO]]/(Tabla_master_rend[[#This Row],[Litros_Leche_Total]]*1.03*Tabla_master_rend[[#This Row],[%MP_Leche]])</f>
        <v>0.81277562140362469</v>
      </c>
      <c r="AU233" s="7">
        <f t="shared" si="81"/>
        <v>6429</v>
      </c>
      <c r="AV233" s="8">
        <v>28.24</v>
      </c>
      <c r="AW233" s="8">
        <v>31</v>
      </c>
      <c r="AX233" s="8">
        <v>5</v>
      </c>
      <c r="AY233" s="8">
        <f>SUM(Tabla_master_rend[[#This Row],[Kg_Finos]:[Kg_Desmoldeo]])</f>
        <v>64.239999999999995</v>
      </c>
      <c r="AZ233" s="60">
        <f>+(Tabla_master_rend[[#This Row],[Kg_Finos]]+Tabla_master_rend[[#This Row],[Kg_Llenadora]]+Tabla_master_rend[[#This Row],[Kg_Desmoldeo]])/(Tabla_master_rend[[#This Row],[Kg_Queso_Blan]])</f>
        <v>2.9824636338143776E-3</v>
      </c>
      <c r="BA233" s="8">
        <v>140</v>
      </c>
      <c r="BB233" s="60">
        <f>+Tabla_master_rend[[#This Row],[L_Agua]]/(Tabla_master_rend[[#This Row],[L_Agua]]+Tabla_master_rend[[#This Row],[Kg_SalidaSecadero]])</f>
        <v>6.5192083818393478E-3</v>
      </c>
      <c r="BC233" s="8">
        <v>2876</v>
      </c>
      <c r="BD233" s="8">
        <v>2863</v>
      </c>
      <c r="BE233" s="8">
        <v>21391</v>
      </c>
      <c r="BF233" s="8">
        <v>0</v>
      </c>
      <c r="BG233" s="8">
        <v>0</v>
      </c>
      <c r="BH233" s="8">
        <v>7</v>
      </c>
      <c r="BI233" s="8">
        <v>0</v>
      </c>
      <c r="BJ233" s="8">
        <v>77</v>
      </c>
      <c r="BK233" s="8">
        <v>21335</v>
      </c>
      <c r="BL233" s="8">
        <v>0</v>
      </c>
      <c r="BM233" s="8">
        <v>35.15</v>
      </c>
      <c r="BN233" s="8">
        <v>11.86</v>
      </c>
      <c r="BO233" s="68">
        <f>+SUM(Tabla_master_rend[[#This Row],[B_altas]:[B_lab]])/Tabla_master_rend[[#This Row],[Kg_SalidaSecadero]]</f>
        <v>3.9371924068432153E-3</v>
      </c>
      <c r="BP233" s="68">
        <f>+(Tabla_master_rend[[#This Row],[Kg_mer_env_real]]+Tabla_master_rend[[#This Row],[kg_mer_lab_real]])/Tabla_master_rend[[#This Row],[Kg_SalidaSecadero]]</f>
        <v>2.2034216076868992E-3</v>
      </c>
      <c r="BQ233" s="64">
        <f>+Tabla_master_rend[[#This Row],[Merma_TOT]]/Tabla_master_rend[[#This Row],[Kg_Queso_Blan]]</f>
        <v>1.1664756973783661E-2</v>
      </c>
      <c r="BR233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251.25</v>
      </c>
      <c r="BS233" s="138">
        <v>21012.799999999996</v>
      </c>
      <c r="BT233" s="63">
        <f>IF(+Tabla_master_rend[[#This Row],[Kg_Env_Total]]=0,0,Tabla_master_rend[[#This Row],[Kg_Env_Total]]-Tabla_master_rend[[#This Row],[Kg_SalidaSecadero]])</f>
        <v>-322.20000000000437</v>
      </c>
      <c r="BU233" s="60">
        <f>+Tabla_master_rend[[#This Row],[Diferencia_Env_vs_Sec_kg]]/Tabla_master_rend[[#This Row],[Kg_SalidaSecadero]]</f>
        <v>-1.5101945160534537E-2</v>
      </c>
      <c r="BV233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33" s="65">
        <f>+(Tabla_master_rend[[#This Row],[Coste_Leche_€]]-Tabla_master_rend[[#This Row],[Kg_MG_Nata]]*$CO$3)/Tabla_master_rend[[#This Row],[Kg_Queso_Blan]]</f>
        <v>-0.29847849784857772</v>
      </c>
      <c r="BX233" s="8">
        <f>SUM(Tabla_master_rend[[#This Row],[Kg_Finos]:[Kg_Desmoldeo]])+Tabla_master_rend[[#This Row],[L_Agua]]+SUM(Tabla_master_rend[[#This Row],[B_altas]:[B_lab]])</f>
        <v>288.24</v>
      </c>
      <c r="BY233" s="8">
        <f>+BX233-Tabla_master_rend[[#This Row],[Merma_TOT]]</f>
        <v>36.990000000000009</v>
      </c>
      <c r="BZ233" s="62">
        <f t="shared" si="82"/>
        <v>0.128330557868443</v>
      </c>
      <c r="CA233" s="8">
        <f>+Tabla_master_rend[[#This Row],[Kg_Queso_Blan]]*$CA$1</f>
        <v>140.00506000000001</v>
      </c>
      <c r="CB233" s="8">
        <f>+Tabla_master_rend[[#This Row],[Kg_Queso_Blan]]*($CB$1-$CA$1)</f>
        <v>75.387340000000023</v>
      </c>
      <c r="CC233" s="8">
        <f>+(Tabla_master_rend[[#This Row],[Kg_Queso_Blan]]-CA233-CB233)*$CC$1</f>
        <v>223.90039980000003</v>
      </c>
      <c r="CD233" s="8">
        <f t="shared" si="83"/>
        <v>439.29279980000007</v>
      </c>
      <c r="CE233" s="80">
        <f>+CD233/Tabla_master_rend[[#This Row],[Kg_Queso_Blan]]</f>
        <v>2.0395E-2</v>
      </c>
      <c r="CF233" s="62">
        <f>+Tabla_master_rend[[#This Row],[Merma_TOT]]/Tabla_master_rend[[#This Row],[Kg_Queso_Blan]]</f>
        <v>1.1664756973783661E-2</v>
      </c>
      <c r="CG233" s="8">
        <f>CD233-Tabla_master_rend[[#This Row],[Merma_TOT]]</f>
        <v>188.04279980000007</v>
      </c>
      <c r="CH233" s="81" cm="1">
        <f t="array" ref="CH233">-BR233 * IFERROR(INDEX('Precio Leche_EBITDA_Ventas'!$BD$87:$BD$110,MATCH(1,('Precio Leche_EBITDA_Ventas'!$AZ$87:$AZ$110=YEAR(A233))*('Precio Leche_EBITDA_Ventas'!$BB$87:$BB$110=C233),0)),1.3)</f>
        <v>-559.62314266911778</v>
      </c>
      <c r="CI233" s="81">
        <f t="shared" si="84"/>
        <v>244.45563974000009</v>
      </c>
    </row>
    <row r="234" spans="1:87" x14ac:dyDescent="0.35">
      <c r="A234" s="9">
        <v>46204</v>
      </c>
      <c r="B234" s="7">
        <v>7</v>
      </c>
      <c r="C234" s="7" t="str">
        <f>+UPPER(TEXT(Tabla_master_rend[[#This Row],[Fecha]],"MMM"))</f>
        <v>JUL</v>
      </c>
      <c r="D234" s="7" t="str">
        <f>+UPPER(TEXT(Tabla_master_rend[[#This Row],[Fecha]],"ddd"))</f>
        <v>MI</v>
      </c>
      <c r="E234" s="139" t="s">
        <v>609</v>
      </c>
      <c r="F234" s="3" t="s">
        <v>244</v>
      </c>
      <c r="G234" t="s">
        <v>301</v>
      </c>
      <c r="H234">
        <v>1</v>
      </c>
      <c r="I234" s="8">
        <f>+Tabla_master_rend[[#This Row],[L_Leche_ent]]+Tabla_master_rend[[#This Row],[L_desn_ext]]+Tabla_master_rend[[#This Row],[L_cabra]]+Tabla_master_rend[[#This Row],[L_oveja]]</f>
        <v>16742</v>
      </c>
      <c r="J234" s="8">
        <v>16742</v>
      </c>
      <c r="K234" s="66">
        <v>3.9600000000000003E-2</v>
      </c>
      <c r="L234" s="66">
        <v>3.0599999999999999E-2</v>
      </c>
      <c r="M234" s="5">
        <f t="shared" ref="M234:M239" si="85">0.93*K234+0.74*L234+0.048</f>
        <v>0.10747200000000001</v>
      </c>
      <c r="N234" s="3" t="s">
        <v>43</v>
      </c>
      <c r="O234" s="8">
        <v>0</v>
      </c>
      <c r="P234" s="8">
        <v>0</v>
      </c>
      <c r="Q234" s="8">
        <v>0</v>
      </c>
      <c r="R234" s="8">
        <v>406</v>
      </c>
      <c r="S234">
        <v>0</v>
      </c>
      <c r="T234" s="8">
        <v>13800</v>
      </c>
      <c r="U234" s="38">
        <f>+Tabla_master_rend[[#This Row],[L_suero Total]]/Tabla_master_rend[[#This Row],[Litros_Leche_Total]]</f>
        <v>0.82427428025325533</v>
      </c>
      <c r="V234" s="66">
        <v>1.2999999999999999E-3</v>
      </c>
      <c r="W234" s="66">
        <v>8.3000000000000001E-3</v>
      </c>
      <c r="X234" s="8">
        <f>138400/(13800+191530)*13800</f>
        <v>9301.7094433351194</v>
      </c>
      <c r="Y234" s="57">
        <f>39800/(9302+129098)*9302</f>
        <v>2674.9971098265896</v>
      </c>
      <c r="Z234" s="58">
        <f>IF(Tabla_master_rend[[#This Row],[L_suero para con]]=0,0,+Tabla_master_rend[[#This Row],[L_suero para con]]/Tabla_master_rend[[#This Row],[L_suero_con]])</f>
        <v>3.4772783152420361</v>
      </c>
      <c r="AA234" s="8">
        <f>+Tabla_master_rend[[#This Row],[L_suero Total]]-Tabla_master_rend[[#This Row],[L_suero para con]]</f>
        <v>4498.2905566648806</v>
      </c>
      <c r="AD234" s="8">
        <v>0</v>
      </c>
      <c r="AE234" s="8">
        <v>0</v>
      </c>
      <c r="AF234" s="8">
        <v>0</v>
      </c>
      <c r="AG234" s="66">
        <v>0</v>
      </c>
      <c r="AH234" s="66">
        <v>0</v>
      </c>
      <c r="AI234" s="7">
        <f>+Tabla_master_rend[[#This Row],[Kg_Finos]]+Tabla_master_rend[[#This Row],[Kg_Llenadora]]+Tabla_master_rend[[#This Row],[Kg_Desmoldeo]]+Tabla_master_rend[[#This Row],[L_Agua]]+Tabla_master_rend[[#This Row],[Kg_SalidaSecadero]]</f>
        <v>1770.617113914187</v>
      </c>
      <c r="AJ234" s="59">
        <f>+Tabla_master_rend[[#This Row],[Litros_Leche_Total]]/Tabla_master_rend[[#This Row],[Kg_Queso_Blan]]</f>
        <v>9.4554603976404366</v>
      </c>
      <c r="AK234" s="59">
        <f>+Tabla_master_rend[[#This Row],[Litros_Leche_Total]]/(Tabla_master_rend[[#This Row],[Kg_Queso_Blan]]-Tabla_master_rend[[#This Row],[Merma_TOT]])</f>
        <v>9.5436796351717259</v>
      </c>
      <c r="AL234" s="59">
        <f>VLOOKUP(G234,REND_TARGET[#All],8,FALSE)</f>
        <v>9.3549429999999987</v>
      </c>
      <c r="AM234" s="7">
        <f>(I234*1.03*Tabla_master_rend[[#This Row],[%MG_Leche]])+(I234*1.03*Tabla_master_rend[[#This Row],[%MP_Leche]])</f>
        <v>1210.5470520000001</v>
      </c>
      <c r="AN234" s="137">
        <v>0.28270000000000001</v>
      </c>
      <c r="AO234" s="137">
        <v>0.2324</v>
      </c>
      <c r="AP234" s="64">
        <v>0.56569999999999998</v>
      </c>
      <c r="AQ234" s="38">
        <f>+Tabla_master_rend[[#This Row],[Kg_Queso_Blan]]*Tabla_master_rend[[#This Row],[ES_QUESO]]/(Tabla_master_rend[[#This Row],[Kg_Solidos_leche]])</f>
        <v>0.82742599693783359</v>
      </c>
      <c r="AR234" s="7">
        <f t="shared" ref="AR234:AR239" si="86">R234*0.4</f>
        <v>162.4</v>
      </c>
      <c r="AS234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0.97083023232128263</v>
      </c>
      <c r="AT234" s="62">
        <f>+Tabla_master_rend[[#This Row],[Kg_Queso_Blan]]*Tabla_master_rend[[#This Row],[%PT_QUESO]]/(Tabla_master_rend[[#This Row],[Litros_Leche_Total]]*1.03*Tabla_master_rend[[#This Row],[%MP_Leche]])</f>
        <v>0.77982075989619837</v>
      </c>
      <c r="AU234" s="7">
        <f t="shared" ref="AU234:AU239" si="87">AR234*$CO$3</f>
        <v>1218</v>
      </c>
      <c r="AV234" s="8">
        <f>38.94/(13800+191530)*13800</f>
        <v>2.6171139141869184</v>
      </c>
      <c r="AW234" s="8">
        <v>0</v>
      </c>
      <c r="AX234" s="8">
        <v>0</v>
      </c>
      <c r="AY234" s="8">
        <f>SUM(Tabla_master_rend[[#This Row],[Kg_Finos]:[Kg_Desmoldeo]])</f>
        <v>2.6171139141869184</v>
      </c>
      <c r="AZ234" s="60">
        <f>+(Tabla_master_rend[[#This Row],[Kg_Finos]]+Tabla_master_rend[[#This Row],[Kg_Llenadora]]+Tabla_master_rend[[#This Row],[Kg_Desmoldeo]])/(Tabla_master_rend[[#This Row],[Kg_Queso_Blan]])</f>
        <v>1.4780800962673609E-3</v>
      </c>
      <c r="BA234" s="7">
        <v>11</v>
      </c>
      <c r="BB234" s="60">
        <f>+Tabla_master_rend[[#This Row],[L_Agua]]/(Tabla_master_rend[[#This Row],[L_Agua]]+Tabla_master_rend[[#This Row],[Kg_SalidaSecadero]])</f>
        <v>6.2217194570135742E-3</v>
      </c>
      <c r="BC234" s="8">
        <v>243</v>
      </c>
      <c r="BD234" s="8">
        <v>241</v>
      </c>
      <c r="BE234" s="8">
        <v>1755</v>
      </c>
      <c r="BF234" s="8">
        <v>0</v>
      </c>
      <c r="BG234" s="8">
        <v>0</v>
      </c>
      <c r="BH234" s="8">
        <v>0</v>
      </c>
      <c r="BI234" s="8">
        <v>0</v>
      </c>
      <c r="BJ234" s="8">
        <v>13</v>
      </c>
      <c r="BK234" s="8">
        <v>1757</v>
      </c>
      <c r="BL234" s="8">
        <v>0</v>
      </c>
      <c r="BM234" s="8">
        <v>0</v>
      </c>
      <c r="BN234" s="8">
        <v>2.75</v>
      </c>
      <c r="BO234" s="68">
        <f>+SUM(Tabla_master_rend[[#This Row],[B_altas]:[B_lab]])/Tabla_master_rend[[#This Row],[Kg_SalidaSecadero]]</f>
        <v>7.3989755264655659E-3</v>
      </c>
      <c r="BP234" s="68">
        <f>+(Tabla_master_rend[[#This Row],[Kg_mer_env_real]]+Tabla_master_rend[[#This Row],[kg_mer_lab_real]])/Tabla_master_rend[[#This Row],[Kg_SalidaSecadero]]</f>
        <v>1.5651678998292544E-3</v>
      </c>
      <c r="BQ234" s="64">
        <f>+Tabla_master_rend[[#This Row],[Merma_TOT]]/Tabla_master_rend[[#This Row],[Kg_Queso_Blan]]</f>
        <v>9.2437341679168662E-3</v>
      </c>
      <c r="BR234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16.36711391418692</v>
      </c>
      <c r="BS234" s="138">
        <v>1732.4</v>
      </c>
      <c r="BT234" s="63">
        <f>IF(+Tabla_master_rend[[#This Row],[Kg_Env_Total]]=0,0,Tabla_master_rend[[#This Row],[Kg_Env_Total]]-Tabla_master_rend[[#This Row],[Kg_SalidaSecadero]])</f>
        <v>-24.599999999999909</v>
      </c>
      <c r="BU234" s="60">
        <f>+Tabla_master_rend[[#This Row],[Diferencia_Env_vs_Sec_kg]]/Tabla_master_rend[[#This Row],[Kg_SalidaSecadero]]</f>
        <v>-1.4001138303927097E-2</v>
      </c>
      <c r="BV234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34" s="65">
        <f>+(Tabla_master_rend[[#This Row],[Coste_Leche_€]]-Tabla_master_rend[[#This Row],[Kg_MG_Nata]]*$CO$3)/Tabla_master_rend[[#This Row],[Kg_Queso_Blan]]</f>
        <v>-0.68789575703775241</v>
      </c>
      <c r="BX234" s="8">
        <f>SUM(Tabla_master_rend[[#This Row],[Kg_Finos]:[Kg_Desmoldeo]])+Tabla_master_rend[[#This Row],[L_Agua]]+SUM(Tabla_master_rend[[#This Row],[B_altas]:[B_lab]])</f>
        <v>26.617113914186916</v>
      </c>
      <c r="BY234" s="8">
        <f>+BX234-Tabla_master_rend[[#This Row],[Merma_TOT]]</f>
        <v>10.249999999999996</v>
      </c>
      <c r="BZ234" s="62">
        <f t="shared" ref="BZ234:BZ239" si="88">+BY234/BX234</f>
        <v>0.38509058619374764</v>
      </c>
      <c r="CA234" s="8">
        <f>+Tabla_master_rend[[#This Row],[Kg_Queso_Blan]]*$CA$1</f>
        <v>11.509011240442215</v>
      </c>
      <c r="CB234" s="8">
        <f>+Tabla_master_rend[[#This Row],[Kg_Queso_Blan]]*($CB$1-$CA$1)</f>
        <v>6.1971598986996552</v>
      </c>
      <c r="CC234" s="8">
        <f>+(Tabla_master_rend[[#This Row],[Kg_Queso_Blan]]-CA234-CB234)*$CC$1</f>
        <v>18.405564899137975</v>
      </c>
      <c r="CD234" s="8">
        <f t="shared" ref="CD234:CD239" si="89">+CA234+CB234+CC234</f>
        <v>36.111736038279844</v>
      </c>
      <c r="CE234" s="80">
        <f>+CD234/Tabla_master_rend[[#This Row],[Kg_Queso_Blan]]</f>
        <v>2.0395E-2</v>
      </c>
      <c r="CF234" s="62">
        <f>+Tabla_master_rend[[#This Row],[Merma_TOT]]/Tabla_master_rend[[#This Row],[Kg_Queso_Blan]]</f>
        <v>9.2437341679168662E-3</v>
      </c>
      <c r="CG234" s="8">
        <f>CD234-Tabla_master_rend[[#This Row],[Merma_TOT]]</f>
        <v>19.744622124092924</v>
      </c>
      <c r="CH234" s="81" cm="1">
        <f t="array" ref="CH234">-BR234 * IFERROR(INDEX('Precio Leche_EBITDA_Ventas'!$BD$87:$BD$110,MATCH(1,('Precio Leche_EBITDA_Ventas'!$AZ$87:$AZ$110=YEAR(A234))*('Precio Leche_EBITDA_Ventas'!$BB$87:$BB$110=C234),0)),1.3)</f>
        <v>0</v>
      </c>
      <c r="CI234" s="81">
        <f t="shared" ref="CI234:CI239" si="90">+CG234*$CM$2</f>
        <v>25.668008761320802</v>
      </c>
    </row>
    <row r="235" spans="1:87" x14ac:dyDescent="0.35">
      <c r="A235" s="9">
        <v>46204</v>
      </c>
      <c r="B235" s="7">
        <v>7</v>
      </c>
      <c r="C235" s="7" t="str">
        <f>+UPPER(TEXT(Tabla_master_rend[[#This Row],[Fecha]],"MMM"))</f>
        <v>JUL</v>
      </c>
      <c r="D235" s="7" t="str">
        <f>+UPPER(TEXT(Tabla_master_rend[[#This Row],[Fecha]],"ddd"))</f>
        <v>MI</v>
      </c>
      <c r="E235" s="139" t="s">
        <v>610</v>
      </c>
      <c r="F235" s="3" t="s">
        <v>244</v>
      </c>
      <c r="G235" s="84" t="s">
        <v>299</v>
      </c>
      <c r="H235">
        <v>14</v>
      </c>
      <c r="I235" s="8">
        <f>+Tabla_master_rend[[#This Row],[L_Leche_ent]]+Tabla_master_rend[[#This Row],[L_desn_ext]]+Tabla_master_rend[[#This Row],[L_cabra]]+Tabla_master_rend[[#This Row],[L_oveja]]</f>
        <v>225505</v>
      </c>
      <c r="J235" s="8">
        <v>225505</v>
      </c>
      <c r="K235" s="66">
        <v>3.7199999999999997E-2</v>
      </c>
      <c r="L235" s="66">
        <v>3.1399999999999997E-2</v>
      </c>
      <c r="M235" s="5">
        <f t="shared" si="85"/>
        <v>0.105832</v>
      </c>
      <c r="N235" s="3" t="s">
        <v>43</v>
      </c>
      <c r="O235" s="8">
        <v>0</v>
      </c>
      <c r="P235" s="8">
        <v>0</v>
      </c>
      <c r="Q235" s="8">
        <v>0</v>
      </c>
      <c r="R235" s="8">
        <v>8473</v>
      </c>
      <c r="S235">
        <v>0</v>
      </c>
      <c r="T235" s="8">
        <v>191530</v>
      </c>
      <c r="U235" s="38">
        <f>+Tabla_master_rend[[#This Row],[L_suero Total]]/Tabla_master_rend[[#This Row],[Litros_Leche_Total]]</f>
        <v>0.84933815214740249</v>
      </c>
      <c r="V235" s="66">
        <v>1.2999999999999999E-3</v>
      </c>
      <c r="W235" s="66">
        <v>8.3000000000000001E-3</v>
      </c>
      <c r="X235" s="8">
        <f>138400/(13800+191530)*191530</f>
        <v>129098.29055666488</v>
      </c>
      <c r="Y235" s="57">
        <f>39800/(9302+129098)*129098</f>
        <v>37125.002890173411</v>
      </c>
      <c r="Z235" s="58">
        <f>IF(Tabla_master_rend[[#This Row],[L_suero para con]]=0,0,+Tabla_master_rend[[#This Row],[L_suero para con]]/Tabla_master_rend[[#This Row],[L_suero_con]])</f>
        <v>3.4773947611149092</v>
      </c>
      <c r="AA235" s="8">
        <f>+Tabla_master_rend[[#This Row],[L_suero Total]]-Tabla_master_rend[[#This Row],[L_suero para con]]</f>
        <v>62431.709443335116</v>
      </c>
      <c r="AD235" s="8">
        <v>25246</v>
      </c>
      <c r="AE235" s="8">
        <v>0</v>
      </c>
      <c r="AF235" s="8">
        <v>0</v>
      </c>
      <c r="AG235" s="140"/>
      <c r="AH235" s="140"/>
      <c r="AI235" s="7">
        <f>+Tabla_master_rend[[#This Row],[Kg_Finos]]+Tabla_master_rend[[#This Row],[Kg_Llenadora]]+Tabla_master_rend[[#This Row],[Kg_Desmoldeo]]+Tabla_master_rend[[#This Row],[L_Agua]]+Tabla_master_rend[[#This Row],[Kg_SalidaSecadero]]</f>
        <v>22801.022886085811</v>
      </c>
      <c r="AJ235" s="59">
        <f>+Tabla_master_rend[[#This Row],[Litros_Leche_Total]]/Tabla_master_rend[[#This Row],[Kg_Queso_Blan]]</f>
        <v>9.8901264704932643</v>
      </c>
      <c r="AK235" s="59">
        <f>+Tabla_master_rend[[#This Row],[Litros_Leche_Total]]/(Tabla_master_rend[[#This Row],[Kg_Queso_Blan]]-Tabla_master_rend[[#This Row],[Merma_TOT]])</f>
        <v>10.043169081798574</v>
      </c>
      <c r="AL235" s="59">
        <f>VLOOKUP(G235,REND_TARGET[#All],8,FALSE)</f>
        <v>9.8078500000000002</v>
      </c>
      <c r="AM235" s="7">
        <f>(I235*1.03*Tabla_master_rend[[#This Row],[%MG_Leche]])+(I235*1.03*Tabla_master_rend[[#This Row],[%MP_Leche]])</f>
        <v>15933.732289999998</v>
      </c>
      <c r="AN235" s="137">
        <v>0.2238</v>
      </c>
      <c r="AO235" s="137">
        <v>0.25650000000000001</v>
      </c>
      <c r="AP235" s="64">
        <v>0.53559999999999997</v>
      </c>
      <c r="AQ235" s="38">
        <f>+Tabla_master_rend[[#This Row],[Kg_Queso_Blan]]*Tabla_master_rend[[#This Row],[ES_QUESO]]/(Tabla_master_rend[[#This Row],[Kg_Solidos_leche]])</f>
        <v>0.76643862439260058</v>
      </c>
      <c r="AR235" s="7">
        <f t="shared" si="86"/>
        <v>3389.2000000000003</v>
      </c>
      <c r="AS235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0.98282720630215237</v>
      </c>
      <c r="AT235" s="62">
        <f>+Tabla_master_rend[[#This Row],[Kg_Queso_Blan]]*Tabla_master_rend[[#This Row],[%PT_QUESO]]/(Tabla_master_rend[[#This Row],[Litros_Leche_Total]]*1.03*Tabla_master_rend[[#This Row],[%MP_Leche]])</f>
        <v>0.80189711585731338</v>
      </c>
      <c r="AU235" s="7">
        <f t="shared" si="87"/>
        <v>25419.000000000004</v>
      </c>
      <c r="AV235" s="8">
        <f>38.94/(13800+191530)*191530</f>
        <v>36.322886085813082</v>
      </c>
      <c r="AW235" s="8">
        <v>49.7</v>
      </c>
      <c r="AX235" s="8">
        <v>0</v>
      </c>
      <c r="AY235" s="8">
        <f>SUM(Tabla_master_rend[[#This Row],[Kg_Finos]:[Kg_Desmoldeo]])</f>
        <v>86.022886085813084</v>
      </c>
      <c r="AZ235" s="60">
        <f>+(Tabla_master_rend[[#This Row],[Kg_Finos]]+Tabla_master_rend[[#This Row],[Kg_Llenadora]]+Tabla_master_rend[[#This Row],[Kg_Desmoldeo]])/(Tabla_master_rend[[#This Row],[Kg_Queso_Blan]])</f>
        <v>3.7727643411255922E-3</v>
      </c>
      <c r="BA235" s="7">
        <v>130</v>
      </c>
      <c r="BB235" s="60">
        <f>+Tabla_master_rend[[#This Row],[L_Agua]]/(Tabla_master_rend[[#This Row],[L_Agua]]+Tabla_master_rend[[#This Row],[Kg_SalidaSecadero]])</f>
        <v>5.7230904688531804E-3</v>
      </c>
      <c r="BC235" s="8">
        <v>3091</v>
      </c>
      <c r="BD235" s="8">
        <v>3034</v>
      </c>
      <c r="BE235" s="8">
        <v>22358</v>
      </c>
      <c r="BF235" s="8">
        <v>0</v>
      </c>
      <c r="BG235" s="8">
        <v>198</v>
      </c>
      <c r="BH235" s="8">
        <v>0</v>
      </c>
      <c r="BI235" s="8">
        <v>70</v>
      </c>
      <c r="BJ235" s="8">
        <v>89</v>
      </c>
      <c r="BK235" s="8">
        <v>22585</v>
      </c>
      <c r="BL235" s="8">
        <v>0</v>
      </c>
      <c r="BM235" s="8">
        <v>107.82</v>
      </c>
      <c r="BN235" s="8">
        <v>23.61</v>
      </c>
      <c r="BO235" s="68">
        <f>+SUM(Tabla_master_rend[[#This Row],[B_altas]:[B_lab]])/Tabla_master_rend[[#This Row],[Kg_SalidaSecadero]]</f>
        <v>1.5806951516493247E-2</v>
      </c>
      <c r="BP235" s="68">
        <f>+(Tabla_master_rend[[#This Row],[Kg_mer_env_real]]+Tabla_master_rend[[#This Row],[kg_mer_lab_real]])/Tabla_master_rend[[#This Row],[Kg_SalidaSecadero]]</f>
        <v>5.8193491255257917E-3</v>
      </c>
      <c r="BQ235" s="64">
        <f>+Tabla_master_rend[[#This Row],[Merma_TOT]]/Tabla_master_rend[[#This Row],[Kg_Queso_Blan]]</f>
        <v>1.5238478020117428E-2</v>
      </c>
      <c r="BR235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347.45288608581308</v>
      </c>
      <c r="BS235" s="138">
        <v>22421.35999999999</v>
      </c>
      <c r="BT235" s="63">
        <f>IF(+Tabla_master_rend[[#This Row],[Kg_Env_Total]]=0,0,Tabla_master_rend[[#This Row],[Kg_Env_Total]]-Tabla_master_rend[[#This Row],[Kg_SalidaSecadero]])</f>
        <v>-163.64000000001033</v>
      </c>
      <c r="BU235" s="60">
        <f>+Tabla_master_rend[[#This Row],[Diferencia_Env_vs_Sec_kg]]/Tabla_master_rend[[#This Row],[Kg_SalidaSecadero]]</f>
        <v>-7.2455169360199391E-3</v>
      </c>
      <c r="BV235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35" s="65">
        <f>+(Tabla_master_rend[[#This Row],[Coste_Leche_€]]-Tabla_master_rend[[#This Row],[Kg_MG_Nata]]*$CO$3)/Tabla_master_rend[[#This Row],[Kg_Queso_Blan]]</f>
        <v>-1.1148184064808688</v>
      </c>
      <c r="BX235" s="8">
        <f>SUM(Tabla_master_rend[[#This Row],[Kg_Finos]:[Kg_Desmoldeo]])+Tabla_master_rend[[#This Row],[L_Agua]]+SUM(Tabla_master_rend[[#This Row],[B_altas]:[B_lab]])</f>
        <v>573.02288608581307</v>
      </c>
      <c r="BY235" s="8">
        <f>+BX235-Tabla_master_rend[[#This Row],[Merma_TOT]]</f>
        <v>225.57</v>
      </c>
      <c r="BZ235" s="62">
        <f t="shared" si="88"/>
        <v>0.39364919879695653</v>
      </c>
      <c r="CA235" s="8">
        <f>+Tabla_master_rend[[#This Row],[Kg_Queso_Blan]]*$CA$1</f>
        <v>148.20664875955777</v>
      </c>
      <c r="CB235" s="8">
        <f>+Tabla_master_rend[[#This Row],[Kg_Queso_Blan]]*($CB$1-$CA$1)</f>
        <v>79.803580101300355</v>
      </c>
      <c r="CC235" s="8">
        <f>+(Tabla_master_rend[[#This Row],[Kg_Queso_Blan]]-CA235-CB235)*$CC$1</f>
        <v>237.01663290086202</v>
      </c>
      <c r="CD235" s="8">
        <f t="shared" si="89"/>
        <v>465.02686176172017</v>
      </c>
      <c r="CE235" s="80">
        <f>+CD235/Tabla_master_rend[[#This Row],[Kg_Queso_Blan]]</f>
        <v>2.0395000000000003E-2</v>
      </c>
      <c r="CF235" s="62">
        <f>+Tabla_master_rend[[#This Row],[Merma_TOT]]/Tabla_master_rend[[#This Row],[Kg_Queso_Blan]]</f>
        <v>1.5238478020117428E-2</v>
      </c>
      <c r="CG235" s="8">
        <f>CD235-Tabla_master_rend[[#This Row],[Merma_TOT]]</f>
        <v>117.57397567590709</v>
      </c>
      <c r="CH235" s="81" cm="1">
        <f t="array" ref="CH235">-BR235 * IFERROR(INDEX('Precio Leche_EBITDA_Ventas'!$BD$87:$BD$110,MATCH(1,('Precio Leche_EBITDA_Ventas'!$AZ$87:$AZ$110=YEAR(A235))*('Precio Leche_EBITDA_Ventas'!$BB$87:$BB$110=C235),0)),1.3)</f>
        <v>0</v>
      </c>
      <c r="CI235" s="81">
        <f t="shared" si="90"/>
        <v>152.84616837867924</v>
      </c>
    </row>
    <row r="236" spans="1:87" x14ac:dyDescent="0.35">
      <c r="A236" s="9">
        <v>46212</v>
      </c>
      <c r="B236" s="7">
        <v>7</v>
      </c>
      <c r="C236" s="7" t="str">
        <f>+UPPER(TEXT(Tabla_master_rend[[#This Row],[Fecha]],"MMM"))</f>
        <v>JUL</v>
      </c>
      <c r="D236" s="7" t="str">
        <f>+UPPER(TEXT(Tabla_master_rend[[#This Row],[Fecha]],"ddd"))</f>
        <v>JU</v>
      </c>
      <c r="E236" s="139" t="s">
        <v>613</v>
      </c>
      <c r="F236" s="3" t="s">
        <v>244</v>
      </c>
      <c r="G236" t="s">
        <v>301</v>
      </c>
      <c r="H236">
        <v>11</v>
      </c>
      <c r="I236" s="8">
        <f>+Tabla_master_rend[[#This Row],[L_Leche_ent]]+Tabla_master_rend[[#This Row],[L_desn_ext]]+Tabla_master_rend[[#This Row],[L_cabra]]+Tabla_master_rend[[#This Row],[L_oveja]]</f>
        <v>182556</v>
      </c>
      <c r="J236" s="8">
        <v>182556</v>
      </c>
      <c r="K236" s="66">
        <v>3.9399999999999998E-2</v>
      </c>
      <c r="L236" s="66">
        <v>3.1800000000000002E-2</v>
      </c>
      <c r="M236" s="5">
        <f t="shared" si="85"/>
        <v>0.10817400000000001</v>
      </c>
      <c r="N236" s="3" t="s">
        <v>43</v>
      </c>
      <c r="O236" s="8">
        <v>0</v>
      </c>
      <c r="P236" s="8">
        <v>0</v>
      </c>
      <c r="Q236" s="8">
        <v>0</v>
      </c>
      <c r="R236" s="8">
        <v>4008</v>
      </c>
      <c r="S236">
        <v>0</v>
      </c>
      <c r="T236" s="8">
        <v>153730</v>
      </c>
      <c r="U236" s="38">
        <f>+Tabla_master_rend[[#This Row],[L_suero Total]]/Tabla_master_rend[[#This Row],[Litros_Leche_Total]]</f>
        <v>0.84209776726045704</v>
      </c>
      <c r="V236" s="66">
        <v>1.2999999999999999E-3</v>
      </c>
      <c r="W236" s="66">
        <v>8.2000000000000007E-3</v>
      </c>
      <c r="X236" s="8">
        <f>209155/(153730+52200)*153730</f>
        <v>156137.51347545284</v>
      </c>
      <c r="Y236" s="57">
        <f>65337/(156138+53017)*156138</f>
        <v>48775.255222203632</v>
      </c>
      <c r="Z236" s="58">
        <f>IF(Tabla_master_rend[[#This Row],[L_suero para con]]=0,0,+Tabla_master_rend[[#This Row],[L_suero para con]]/Tabla_master_rend[[#This Row],[L_suero_con]])</f>
        <v>3.2011624083593806</v>
      </c>
      <c r="AA236" s="8">
        <f>+Tabla_master_rend[[#This Row],[L_suero Total]]-Tabla_master_rend[[#This Row],[L_suero para con]]</f>
        <v>-2407.5134754528408</v>
      </c>
      <c r="AD236" s="8">
        <v>0</v>
      </c>
      <c r="AE236" s="8">
        <v>0</v>
      </c>
      <c r="AF236" s="8">
        <v>0</v>
      </c>
      <c r="AG236" s="66">
        <v>0</v>
      </c>
      <c r="AH236" s="66">
        <v>0</v>
      </c>
      <c r="AI236" s="7">
        <f>+Tabla_master_rend[[#This Row],[Kg_Finos]]+Tabla_master_rend[[#This Row],[Kg_Llenadora]]+Tabla_master_rend[[#This Row],[Kg_Desmoldeo]]+Tabla_master_rend[[#This Row],[L_Agua]]+Tabla_master_rend[[#This Row],[Kg_SalidaSecadero]]</f>
        <v>19683.688436020482</v>
      </c>
      <c r="AJ236" s="59">
        <f>+Tabla_master_rend[[#This Row],[Litros_Leche_Total]]/Tabla_master_rend[[#This Row],[Kg_Queso_Blan]]</f>
        <v>9.2744812840020732</v>
      </c>
      <c r="AK236" s="59">
        <f>+Tabla_master_rend[[#This Row],[Litros_Leche_Total]]/(Tabla_master_rend[[#This Row],[Kg_Queso_Blan]]-Tabla_master_rend[[#This Row],[Merma_TOT]])</f>
        <v>9.4380377385023095</v>
      </c>
      <c r="AL236" s="59">
        <f>VLOOKUP(G236,REND_TARGET[#All],8,FALSE)</f>
        <v>9.3549429999999987</v>
      </c>
      <c r="AM236" s="7">
        <f>(I236*1.03*Tabla_master_rend[[#This Row],[%MG_Leche]])+(I236*1.03*Tabla_master_rend[[#This Row],[%MP_Leche]])</f>
        <v>13387.926815999999</v>
      </c>
      <c r="AN236" s="137">
        <v>0.2863</v>
      </c>
      <c r="AO236" s="137">
        <v>0.23799999999999999</v>
      </c>
      <c r="AP236" s="64">
        <v>0.57509999999999994</v>
      </c>
      <c r="AQ236" s="38">
        <f>+Tabla_master_rend[[#This Row],[Kg_Queso_Blan]]*Tabla_master_rend[[#This Row],[ES_QUESO]]/(Tabla_master_rend[[#This Row],[Kg_Solidos_leche]])</f>
        <v>0.84554459963335515</v>
      </c>
      <c r="AR236" s="7">
        <f t="shared" si="86"/>
        <v>1603.2</v>
      </c>
      <c r="AS236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0.97707391817045841</v>
      </c>
      <c r="AT236" s="62">
        <f>+Tabla_master_rend[[#This Row],[Kg_Queso_Blan]]*Tabla_master_rend[[#This Row],[%PT_QUESO]]/(Tabla_master_rend[[#This Row],[Litros_Leche_Total]]*1.03*Tabla_master_rend[[#This Row],[%MP_Leche]])</f>
        <v>0.78347110360609884</v>
      </c>
      <c r="AU236" s="7">
        <f t="shared" si="87"/>
        <v>12024</v>
      </c>
      <c r="AV236" s="8">
        <f>42.3/(182556+65836)*182556</f>
        <v>31.088436020483748</v>
      </c>
      <c r="AW236" s="8">
        <v>48.7</v>
      </c>
      <c r="AX236" s="8">
        <v>7.9</v>
      </c>
      <c r="AY236" s="8">
        <f>SUM(Tabla_master_rend[[#This Row],[Kg_Finos]:[Kg_Desmoldeo]])</f>
        <v>87.688436020483749</v>
      </c>
      <c r="AZ236" s="60">
        <f>+(Tabla_master_rend[[#This Row],[Kg_Finos]]+Tabla_master_rend[[#This Row],[Kg_Llenadora]]+Tabla_master_rend[[#This Row],[Kg_Desmoldeo]])/(Tabla_master_rend[[#This Row],[Kg_Queso_Blan]])</f>
        <v>4.4548782767774809E-3</v>
      </c>
      <c r="BA236" s="8">
        <v>140</v>
      </c>
      <c r="BB236" s="60">
        <f>+Tabla_master_rend[[#This Row],[L_Agua]]/(Tabla_master_rend[[#This Row],[L_Agua]]+Tabla_master_rend[[#This Row],[Kg_SalidaSecadero]])</f>
        <v>7.1443151663604819E-3</v>
      </c>
      <c r="BC236" s="8">
        <v>2612</v>
      </c>
      <c r="BD236" s="8">
        <v>2589</v>
      </c>
      <c r="BE236" s="8">
        <v>19448</v>
      </c>
      <c r="BF236" s="8">
        <v>202</v>
      </c>
      <c r="BG236" s="8">
        <v>42</v>
      </c>
      <c r="BH236" s="8">
        <v>42</v>
      </c>
      <c r="BI236" s="8">
        <v>0</v>
      </c>
      <c r="BJ236" s="8">
        <v>64</v>
      </c>
      <c r="BK236" s="8">
        <v>19456</v>
      </c>
      <c r="BL236" s="8">
        <v>0</v>
      </c>
      <c r="BM236" s="8">
        <v>92.92</v>
      </c>
      <c r="BN236" s="8">
        <v>20.5</v>
      </c>
      <c r="BO236" s="68">
        <f>+SUM(Tabla_master_rend[[#This Row],[B_altas]:[B_lab]])/Tabla_master_rend[[#This Row],[Kg_SalidaSecadero]]</f>
        <v>1.7989309210526317E-2</v>
      </c>
      <c r="BP236" s="68">
        <f>+(Tabla_master_rend[[#This Row],[Kg_mer_env_real]]+Tabla_master_rend[[#This Row],[kg_mer_lab_real]])/Tabla_master_rend[[#This Row],[Kg_SalidaSecadero]]</f>
        <v>5.8295641447368421E-3</v>
      </c>
      <c r="BQ236" s="64">
        <f>+Tabla_master_rend[[#This Row],[Merma_TOT]]/Tabla_master_rend[[#This Row],[Kg_Queso_Blan]]</f>
        <v>1.732949782908913E-2</v>
      </c>
      <c r="BR236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341.10843602048374</v>
      </c>
      <c r="BS236" s="138">
        <v>19144.57</v>
      </c>
      <c r="BT236" s="63">
        <f>IF(+Tabla_master_rend[[#This Row],[Kg_Env_Total]]=0,0,Tabla_master_rend[[#This Row],[Kg_Env_Total]]-Tabla_master_rend[[#This Row],[Kg_SalidaSecadero]])</f>
        <v>-311.43000000000029</v>
      </c>
      <c r="BU236" s="60">
        <f>+Tabla_master_rend[[#This Row],[Diferencia_Env_vs_Sec_kg]]/Tabla_master_rend[[#This Row],[Kg_SalidaSecadero]]</f>
        <v>-1.600688733552633E-2</v>
      </c>
      <c r="BV236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36" s="65">
        <f>+(Tabla_master_rend[[#This Row],[Coste_Leche_€]]-Tabla_master_rend[[#This Row],[Kg_MG_Nata]]*$CO$3)/Tabla_master_rend[[#This Row],[Kg_Queso_Blan]]</f>
        <v>-0.61086112184119357</v>
      </c>
      <c r="BX236" s="8">
        <f>SUM(Tabla_master_rend[[#This Row],[Kg_Finos]:[Kg_Desmoldeo]])+Tabla_master_rend[[#This Row],[L_Agua]]+SUM(Tabla_master_rend[[#This Row],[B_altas]:[B_lab]])</f>
        <v>577.68843602048378</v>
      </c>
      <c r="BY236" s="8">
        <f>+BX236-Tabla_master_rend[[#This Row],[Merma_TOT]]</f>
        <v>236.58000000000004</v>
      </c>
      <c r="BZ236" s="62">
        <f t="shared" si="88"/>
        <v>0.409528710025297</v>
      </c>
      <c r="CA236" s="8">
        <f>+Tabla_master_rend[[#This Row],[Kg_Queso_Blan]]*$CA$1</f>
        <v>127.94397483413313</v>
      </c>
      <c r="CB236" s="8">
        <f>+Tabla_master_rend[[#This Row],[Kg_Queso_Blan]]*($CB$1-$CA$1)</f>
        <v>68.892909526071691</v>
      </c>
      <c r="CC236" s="8">
        <f>+(Tabla_master_rend[[#This Row],[Kg_Queso_Blan]]-CA236-CB236)*$CC$1</f>
        <v>204.61194129243293</v>
      </c>
      <c r="CD236" s="8">
        <f t="shared" si="89"/>
        <v>401.44882565263777</v>
      </c>
      <c r="CE236" s="80">
        <f>+CD236/Tabla_master_rend[[#This Row],[Kg_Queso_Blan]]</f>
        <v>2.0395E-2</v>
      </c>
      <c r="CF236" s="62">
        <f>+Tabla_master_rend[[#This Row],[Merma_TOT]]/Tabla_master_rend[[#This Row],[Kg_Queso_Blan]]</f>
        <v>1.732949782908913E-2</v>
      </c>
      <c r="CG236" s="8">
        <f>CD236-Tabla_master_rend[[#This Row],[Merma_TOT]]</f>
        <v>60.340389632154029</v>
      </c>
      <c r="CH236" s="81" cm="1">
        <f t="array" ref="CH236">-BR236 * IFERROR(INDEX('Precio Leche_EBITDA_Ventas'!$BD$87:$BD$110,MATCH(1,('Precio Leche_EBITDA_Ventas'!$AZ$87:$AZ$110=YEAR(A236))*('Precio Leche_EBITDA_Ventas'!$BB$87:$BB$110=C236),0)),1.3)</f>
        <v>0</v>
      </c>
      <c r="CI236" s="81">
        <f t="shared" si="90"/>
        <v>78.44250652180024</v>
      </c>
    </row>
    <row r="237" spans="1:87" x14ac:dyDescent="0.35">
      <c r="A237" s="9">
        <v>46212</v>
      </c>
      <c r="B237" s="7">
        <v>7</v>
      </c>
      <c r="C237" s="7" t="str">
        <f>+UPPER(TEXT(Tabla_master_rend[[#This Row],[Fecha]],"MMM"))</f>
        <v>JUL</v>
      </c>
      <c r="D237" s="7" t="str">
        <f>+UPPER(TEXT(Tabla_master_rend[[#This Row],[Fecha]],"ddd"))</f>
        <v>JU</v>
      </c>
      <c r="E237" s="139" t="s">
        <v>614</v>
      </c>
      <c r="F237" s="3" t="s">
        <v>244</v>
      </c>
      <c r="G237" s="84" t="s">
        <v>299</v>
      </c>
      <c r="H237">
        <v>4</v>
      </c>
      <c r="I237" s="8">
        <f>+Tabla_master_rend[[#This Row],[L_Leche_ent]]+Tabla_master_rend[[#This Row],[L_desn_ext]]+Tabla_master_rend[[#This Row],[L_cabra]]+Tabla_master_rend[[#This Row],[L_oveja]]</f>
        <v>65836</v>
      </c>
      <c r="J237" s="8">
        <v>65836</v>
      </c>
      <c r="K237" s="66">
        <v>3.39E-2</v>
      </c>
      <c r="L237" s="66">
        <v>3.1899999999999998E-2</v>
      </c>
      <c r="M237" s="5">
        <f t="shared" si="85"/>
        <v>0.103133</v>
      </c>
      <c r="N237" s="3" t="s">
        <v>43</v>
      </c>
      <c r="O237" s="8">
        <v>0</v>
      </c>
      <c r="P237" s="8">
        <v>0</v>
      </c>
      <c r="Q237" s="8">
        <v>0</v>
      </c>
      <c r="R237" s="8">
        <v>1815</v>
      </c>
      <c r="S237">
        <v>0</v>
      </c>
      <c r="T237" s="8">
        <v>52200</v>
      </c>
      <c r="U237" s="38">
        <f>+Tabla_master_rend[[#This Row],[L_suero Total]]/Tabla_master_rend[[#This Row],[Litros_Leche_Total]]</f>
        <v>0.79287927577617112</v>
      </c>
      <c r="V237" s="66">
        <v>1.2999999999999999E-3</v>
      </c>
      <c r="W237" s="66">
        <v>8.2000000000000007E-3</v>
      </c>
      <c r="X237" s="8">
        <f>209155/(153730+52200)*52200</f>
        <v>53017.486524547181</v>
      </c>
      <c r="Y237" s="57">
        <f>65337/(156138+53017)*53017</f>
        <v>16561.744777796372</v>
      </c>
      <c r="Z237" s="58">
        <f>IF(Tabla_master_rend[[#This Row],[L_suero para con]]=0,0,+Tabla_master_rend[[#This Row],[L_suero para con]]/Tabla_master_rend[[#This Row],[L_suero_con]])</f>
        <v>3.2012017595890909</v>
      </c>
      <c r="AA237" s="8">
        <f>+Tabla_master_rend[[#This Row],[L_suero Total]]-Tabla_master_rend[[#This Row],[L_suero para con]]</f>
        <v>-817.48652454718103</v>
      </c>
      <c r="AD237" s="8">
        <v>0</v>
      </c>
      <c r="AE237" s="8">
        <v>0</v>
      </c>
      <c r="AF237" s="8">
        <v>0</v>
      </c>
      <c r="AG237" s="66">
        <v>0</v>
      </c>
      <c r="AH237" s="66">
        <v>0</v>
      </c>
      <c r="AI237" s="7">
        <f>+Tabla_master_rend[[#This Row],[Kg_Finos]]+Tabla_master_rend[[#This Row],[Kg_Llenadora]]+Tabla_master_rend[[#This Row],[Kg_Desmoldeo]]+Tabla_master_rend[[#This Row],[L_Agua]]+Tabla_master_rend[[#This Row],[Kg_SalidaSecadero]]</f>
        <v>6822.2115639795165</v>
      </c>
      <c r="AJ237" s="59">
        <f>+Tabla_master_rend[[#This Row],[Litros_Leche_Total]]/Tabla_master_rend[[#This Row],[Kg_Queso_Blan]]</f>
        <v>9.6502430894413216</v>
      </c>
      <c r="AK237" s="59">
        <f>+Tabla_master_rend[[#This Row],[Litros_Leche_Total]]/(Tabla_master_rend[[#This Row],[Kg_Queso_Blan]]-Tabla_master_rend[[#This Row],[Merma_TOT]])</f>
        <v>9.859275155483207</v>
      </c>
      <c r="AL237" s="59">
        <f>VLOOKUP(G237,REND_TARGET[#All],8,FALSE)</f>
        <v>9.8078500000000002</v>
      </c>
      <c r="AM237" s="7">
        <f>(I237*1.03*Tabla_master_rend[[#This Row],[%MG_Leche]])+(I237*1.03*Tabla_master_rend[[#This Row],[%MP_Leche]])</f>
        <v>4461.9690639999999</v>
      </c>
      <c r="AN237" s="137">
        <v>0.22500000000000001</v>
      </c>
      <c r="AO237" s="137">
        <v>0.25269999999999998</v>
      </c>
      <c r="AP237" s="64">
        <v>0.53480000000000005</v>
      </c>
      <c r="AQ237" s="38">
        <f>+Tabla_master_rend[[#This Row],[Kg_Queso_Blan]]*Tabla_master_rend[[#This Row],[ES_QUESO]]/(Tabla_master_rend[[#This Row],[Kg_Solidos_leche]])</f>
        <v>0.81769252365579503</v>
      </c>
      <c r="AR237" s="7">
        <f t="shared" si="86"/>
        <v>726</v>
      </c>
      <c r="AS237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0.98355747248372216</v>
      </c>
      <c r="AT237" s="62">
        <f>+Tabla_master_rend[[#This Row],[Kg_Queso_Blan]]*Tabla_master_rend[[#This Row],[%PT_QUESO]]/(Tabla_master_rend[[#This Row],[Litros_Leche_Total]]*1.03*Tabla_master_rend[[#This Row],[%MP_Leche]])</f>
        <v>0.79696469121498059</v>
      </c>
      <c r="AU237" s="7">
        <f t="shared" si="87"/>
        <v>5445</v>
      </c>
      <c r="AV237" s="8">
        <f>42.3/(182556+65836)*65836</f>
        <v>11.211563979516248</v>
      </c>
      <c r="AW237" s="8">
        <v>3</v>
      </c>
      <c r="AX237" s="8">
        <v>0</v>
      </c>
      <c r="AY237" s="8">
        <f>SUM(Tabla_master_rend[[#This Row],[Kg_Finos]:[Kg_Desmoldeo]])</f>
        <v>14.211563979516248</v>
      </c>
      <c r="AZ237" s="60">
        <f>+(Tabla_master_rend[[#This Row],[Kg_Finos]]+Tabla_master_rend[[#This Row],[Kg_Llenadora]]+Tabla_master_rend[[#This Row],[Kg_Desmoldeo]])/(Tabla_master_rend[[#This Row],[Kg_Queso_Blan]])</f>
        <v>2.0831315250543756E-3</v>
      </c>
      <c r="BA237" s="8">
        <v>70</v>
      </c>
      <c r="BB237" s="60">
        <f>+Tabla_master_rend[[#This Row],[L_Agua]]/(Tabla_master_rend[[#This Row],[L_Agua]]+Tabla_master_rend[[#This Row],[Kg_SalidaSecadero]])</f>
        <v>1.0282021151586369E-2</v>
      </c>
      <c r="BC237" s="8">
        <v>924</v>
      </c>
      <c r="BD237" s="8">
        <v>896</v>
      </c>
      <c r="BE237" s="8">
        <v>6626</v>
      </c>
      <c r="BF237" s="8">
        <v>0</v>
      </c>
      <c r="BG237" s="8">
        <v>136</v>
      </c>
      <c r="BH237" s="8">
        <v>0</v>
      </c>
      <c r="BI237" s="8">
        <v>14</v>
      </c>
      <c r="BJ237" s="8">
        <v>32</v>
      </c>
      <c r="BK237" s="8">
        <v>6738</v>
      </c>
      <c r="BL237" s="8">
        <v>0</v>
      </c>
      <c r="BM237" s="8">
        <v>52.65</v>
      </c>
      <c r="BN237" s="8">
        <v>7.78</v>
      </c>
      <c r="BO237" s="68">
        <f>+SUM(Tabla_master_rend[[#This Row],[B_altas]:[B_lab]])/Tabla_master_rend[[#This Row],[Kg_SalidaSecadero]]</f>
        <v>2.7010982487384982E-2</v>
      </c>
      <c r="BP237" s="68">
        <f>+(Tabla_master_rend[[#This Row],[Kg_mer_env_real]]+Tabla_master_rend[[#This Row],[kg_mer_lab_real]])/Tabla_master_rend[[#This Row],[Kg_SalidaSecadero]]</f>
        <v>8.9685366577619465E-3</v>
      </c>
      <c r="BQ237" s="64">
        <f>+Tabla_master_rend[[#This Row],[Merma_TOT]]/Tabla_master_rend[[#This Row],[Kg_Queso_Blan]]</f>
        <v>2.1201565302255782E-2</v>
      </c>
      <c r="BR237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144.64156397951626</v>
      </c>
      <c r="BS237" s="138">
        <v>6644.07</v>
      </c>
      <c r="BT237" s="63">
        <f>IF(+Tabla_master_rend[[#This Row],[Kg_Env_Total]]=0,0,Tabla_master_rend[[#This Row],[Kg_Env_Total]]-Tabla_master_rend[[#This Row],[Kg_SalidaSecadero]])</f>
        <v>-93.930000000000291</v>
      </c>
      <c r="BU237" s="60">
        <f>+Tabla_master_rend[[#This Row],[Diferencia_Env_vs_Sec_kg]]/Tabla_master_rend[[#This Row],[Kg_SalidaSecadero]]</f>
        <v>-1.3940338379341093E-2</v>
      </c>
      <c r="BV237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37" s="65">
        <f>+(Tabla_master_rend[[#This Row],[Coste_Leche_€]]-Tabla_master_rend[[#This Row],[Kg_MG_Nata]]*$CO$3)/Tabla_master_rend[[#This Row],[Kg_Queso_Blan]]</f>
        <v>-0.79812828273297276</v>
      </c>
      <c r="BX237" s="8">
        <f>SUM(Tabla_master_rend[[#This Row],[Kg_Finos]:[Kg_Desmoldeo]])+Tabla_master_rend[[#This Row],[L_Agua]]+SUM(Tabla_master_rend[[#This Row],[B_altas]:[B_lab]])</f>
        <v>266.21156397951626</v>
      </c>
      <c r="BY237" s="8">
        <f>+BX237-Tabla_master_rend[[#This Row],[Merma_TOT]]</f>
        <v>121.57</v>
      </c>
      <c r="BZ237" s="62">
        <f t="shared" si="88"/>
        <v>0.45666686368798853</v>
      </c>
      <c r="CA237" s="8">
        <f>+Tabla_master_rend[[#This Row],[Kg_Queso_Blan]]*$CA$1</f>
        <v>44.344375165866857</v>
      </c>
      <c r="CB237" s="8">
        <f>+Tabla_master_rend[[#This Row],[Kg_Queso_Blan]]*($CB$1-$CA$1)</f>
        <v>23.877740473928313</v>
      </c>
      <c r="CC237" s="8">
        <f>+(Tabla_master_rend[[#This Row],[Kg_Queso_Blan]]-CA237-CB237)*$CC$1</f>
        <v>70.916889207567081</v>
      </c>
      <c r="CD237" s="8">
        <f t="shared" si="89"/>
        <v>139.13900484736223</v>
      </c>
      <c r="CE237" s="80">
        <f>+CD237/Tabla_master_rend[[#This Row],[Kg_Queso_Blan]]</f>
        <v>2.0395E-2</v>
      </c>
      <c r="CF237" s="62">
        <f>+Tabla_master_rend[[#This Row],[Merma_TOT]]/Tabla_master_rend[[#This Row],[Kg_Queso_Blan]]</f>
        <v>2.1201565302255782E-2</v>
      </c>
      <c r="CG237" s="8">
        <f>CD237-Tabla_master_rend[[#This Row],[Merma_TOT]]</f>
        <v>-5.5025591321540333</v>
      </c>
      <c r="CH237" s="81" cm="1">
        <f t="array" ref="CH237">-BR237 * IFERROR(INDEX('Precio Leche_EBITDA_Ventas'!$BD$87:$BD$110,MATCH(1,('Precio Leche_EBITDA_Ventas'!$AZ$87:$AZ$110=YEAR(A237))*('Precio Leche_EBITDA_Ventas'!$BB$87:$BB$110=C237),0)),1.3)</f>
        <v>0</v>
      </c>
      <c r="CI237" s="81">
        <f t="shared" si="90"/>
        <v>-7.1533268718002434</v>
      </c>
    </row>
    <row r="238" spans="1:87" x14ac:dyDescent="0.35">
      <c r="A238" s="9">
        <v>46219</v>
      </c>
      <c r="B238" s="7">
        <v>7</v>
      </c>
      <c r="C238" s="7" t="str">
        <f>+UPPER(TEXT(Tabla_master_rend[[#This Row],[Fecha]],"MMM"))</f>
        <v>JUL</v>
      </c>
      <c r="D238" s="7" t="str">
        <f>+UPPER(TEXT(Tabla_master_rend[[#This Row],[Fecha]],"ddd"))</f>
        <v>JU</v>
      </c>
      <c r="E238" s="122" t="s">
        <v>615</v>
      </c>
      <c r="F238" s="3" t="s">
        <v>244</v>
      </c>
      <c r="G238" t="s">
        <v>301</v>
      </c>
      <c r="H238">
        <v>9</v>
      </c>
      <c r="I238" s="8">
        <f>+Tabla_master_rend[[#This Row],[L_Leche_ent]]+Tabla_master_rend[[#This Row],[L_desn_ext]]+Tabla_master_rend[[#This Row],[L_cabra]]+Tabla_master_rend[[#This Row],[L_oveja]]</f>
        <v>149514</v>
      </c>
      <c r="J238" s="8">
        <v>149514</v>
      </c>
      <c r="K238" s="66">
        <v>3.5299999999999998E-2</v>
      </c>
      <c r="L238" s="66">
        <v>3.1E-2</v>
      </c>
      <c r="M238" s="5">
        <f t="shared" si="85"/>
        <v>0.103769</v>
      </c>
      <c r="N238" s="3" t="s">
        <v>43</v>
      </c>
      <c r="O238" s="8">
        <v>0</v>
      </c>
      <c r="P238" s="8">
        <v>0</v>
      </c>
      <c r="Q238" s="8">
        <v>0</v>
      </c>
      <c r="R238" s="8">
        <v>2157</v>
      </c>
      <c r="S238">
        <v>0</v>
      </c>
      <c r="T238" s="8">
        <v>125600</v>
      </c>
      <c r="U238" s="38">
        <f>+Tabla_master_rend[[#This Row],[L_suero Total]]/Tabla_master_rend[[#This Row],[Litros_Leche_Total]]</f>
        <v>0.84005511189587601</v>
      </c>
      <c r="V238" s="66">
        <v>2.7000000000000001E-3</v>
      </c>
      <c r="W238" s="66">
        <v>8.6E-3</v>
      </c>
      <c r="X238" s="57">
        <v>73146</v>
      </c>
      <c r="Y238" s="57">
        <v>18334</v>
      </c>
      <c r="Z238" s="58">
        <f>IF(Tabla_master_rend[[#This Row],[L_suero para con]]=0,0,+Tabla_master_rend[[#This Row],[L_suero para con]]/Tabla_master_rend[[#This Row],[L_suero_con]])</f>
        <v>3.9896367404821644</v>
      </c>
      <c r="AA238" s="8">
        <f>+Tabla_master_rend[[#This Row],[L_suero Total]]-Tabla_master_rend[[#This Row],[L_suero para con]]</f>
        <v>52454</v>
      </c>
      <c r="AD238" s="8">
        <v>20572</v>
      </c>
      <c r="AE238" s="8">
        <v>0</v>
      </c>
      <c r="AF238" s="8">
        <v>0</v>
      </c>
      <c r="AG238" s="140"/>
      <c r="AH238" s="140"/>
      <c r="AI238" s="7">
        <f>+Tabla_master_rend[[#This Row],[Kg_Finos]]+Tabla_master_rend[[#This Row],[Kg_Llenadora]]+Tabla_master_rend[[#This Row],[Kg_Desmoldeo]]+Tabla_master_rend[[#This Row],[L_Agua]]+Tabla_master_rend[[#This Row],[Kg_SalidaSecadero]]</f>
        <v>15759.9</v>
      </c>
      <c r="AJ238" s="59">
        <f>+Tabla_master_rend[[#This Row],[Litros_Leche_Total]]/Tabla_master_rend[[#This Row],[Kg_Queso_Blan]]</f>
        <v>9.4869891306416925</v>
      </c>
      <c r="AK238" s="59">
        <f>+Tabla_master_rend[[#This Row],[Litros_Leche_Total]]/(Tabla_master_rend[[#This Row],[Kg_Queso_Blan]]-Tabla_master_rend[[#This Row],[Merma_TOT]])</f>
        <v>9.6187967786803092</v>
      </c>
      <c r="AL238" s="59">
        <f>VLOOKUP(G238,REND_TARGET[#All],8,FALSE)</f>
        <v>9.3549429999999987</v>
      </c>
      <c r="AM238" s="7">
        <f>(I238*1.03*Tabla_master_rend[[#This Row],[%MG_Leche]])+(I238*1.03*Tabla_master_rend[[#This Row],[%MP_Leche]])</f>
        <v>10210.161545999999</v>
      </c>
      <c r="AN238" s="137">
        <v>0.29110000000000003</v>
      </c>
      <c r="AO238" s="137">
        <v>0.23769999999999999</v>
      </c>
      <c r="AP238" s="64">
        <v>0.57799999999999996</v>
      </c>
      <c r="AQ238" s="38">
        <f>+Tabla_master_rend[[#This Row],[Kg_Queso_Blan]]*Tabla_master_rend[[#This Row],[ES_QUESO]]/(Tabla_master_rend[[#This Row],[Kg_Solidos_leche]])</f>
        <v>0.89217219129786318</v>
      </c>
      <c r="AR238" s="7">
        <f t="shared" si="86"/>
        <v>862.80000000000007</v>
      </c>
      <c r="AS238" s="61">
        <f>+(Tabla_master_rend[[#This Row],[Kg_Queso_Blan]]*Tabla_master_rend[[#This Row],[%MG_QUESO]]+(Tabla_master_rend[[#This Row],[Kg_MG_Nata]]))/(Tabla_master_rend[[#This Row],[Litros_Leche_Total]]*1.03*Tabla_master_rend[[#This Row],[%MG_Leche]])</f>
        <v>1.0026355575513053</v>
      </c>
      <c r="AT238" s="62">
        <f>+Tabla_master_rend[[#This Row],[Kg_Queso_Blan]]*Tabla_master_rend[[#This Row],[%PT_QUESO]]/(Tabla_master_rend[[#This Row],[Litros_Leche_Total]]*1.03*Tabla_master_rend[[#This Row],[%MP_Leche]])</f>
        <v>0.78469676138411593</v>
      </c>
      <c r="AU238" s="7">
        <f t="shared" si="87"/>
        <v>6471.0000000000009</v>
      </c>
      <c r="AV238" s="8">
        <v>15.8</v>
      </c>
      <c r="AW238" s="8">
        <v>28.8</v>
      </c>
      <c r="AX238" s="8">
        <v>4.3</v>
      </c>
      <c r="AY238" s="8">
        <f>SUM(Tabla_master_rend[[#This Row],[Kg_Finos]:[Kg_Desmoldeo]])</f>
        <v>48.9</v>
      </c>
      <c r="AZ238" s="60">
        <f>+(Tabla_master_rend[[#This Row],[Kg_Finos]]+Tabla_master_rend[[#This Row],[Kg_Llenadora]]+Tabla_master_rend[[#This Row],[Kg_Desmoldeo]])/(Tabla_master_rend[[#This Row],[Kg_Queso_Blan]])</f>
        <v>3.1028115660632362E-3</v>
      </c>
      <c r="BA238" s="7">
        <v>100</v>
      </c>
      <c r="BB238" s="60">
        <f>+Tabla_master_rend[[#This Row],[L_Agua]]/(Tabla_master_rend[[#This Row],[L_Agua]]+Tabla_master_rend[[#This Row],[Kg_SalidaSecadero]])</f>
        <v>6.3649672204188152E-3</v>
      </c>
      <c r="BC238" s="8">
        <v>2100</v>
      </c>
      <c r="BD238" s="8">
        <v>2083</v>
      </c>
      <c r="BE238" s="8">
        <v>15608</v>
      </c>
      <c r="BF238" s="8">
        <v>81</v>
      </c>
      <c r="BG238" s="8">
        <v>45</v>
      </c>
      <c r="BH238" s="8">
        <v>0</v>
      </c>
      <c r="BI238" s="8">
        <v>5</v>
      </c>
      <c r="BJ238" s="8">
        <v>53</v>
      </c>
      <c r="BK238" s="8">
        <v>15611</v>
      </c>
      <c r="BL238" s="8">
        <v>0</v>
      </c>
      <c r="BM238" s="8">
        <v>48.6</v>
      </c>
      <c r="BN238" s="8">
        <v>18.46</v>
      </c>
      <c r="BO238" s="68">
        <f>+SUM(Tabla_master_rend[[#This Row],[B_altas]:[B_lab]])/Tabla_master_rend[[#This Row],[Kg_SalidaSecadero]]</f>
        <v>1.1786560758439563E-2</v>
      </c>
      <c r="BP238" s="68">
        <f>+(Tabla_master_rend[[#This Row],[Kg_mer_env_real]]+Tabla_master_rend[[#This Row],[kg_mer_lab_real]])/Tabla_master_rend[[#This Row],[Kg_SalidaSecadero]]</f>
        <v>4.2956889372878096E-3</v>
      </c>
      <c r="BQ238" s="64">
        <f>+Tabla_master_rend[[#This Row],[Merma_TOT]]/Tabla_master_rend[[#This Row],[Kg_Queso_Blan]]</f>
        <v>1.370313263409032E-2</v>
      </c>
      <c r="BR238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215.96000000000004</v>
      </c>
      <c r="BS238" s="138">
        <v>15278.83</v>
      </c>
      <c r="BT238" s="63">
        <f>IF(+Tabla_master_rend[[#This Row],[Kg_Env_Total]]=0,0,Tabla_master_rend[[#This Row],[Kg_Env_Total]]-Tabla_master_rend[[#This Row],[Kg_SalidaSecadero]])</f>
        <v>-332.17000000000007</v>
      </c>
      <c r="BU238" s="60">
        <f>+Tabla_master_rend[[#This Row],[Diferencia_Env_vs_Sec_kg]]/Tabla_master_rend[[#This Row],[Kg_SalidaSecadero]]</f>
        <v>-2.1277945038754728E-2</v>
      </c>
      <c r="BV238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38" s="65">
        <f>+(Tabla_master_rend[[#This Row],[Coste_Leche_€]]-Tabla_master_rend[[#This Row],[Kg_MG_Nata]]*$CO$3)/Tabla_master_rend[[#This Row],[Kg_Queso_Blan]]</f>
        <v>-0.41059905202444186</v>
      </c>
      <c r="BX238" s="8">
        <f>SUM(Tabla_master_rend[[#This Row],[Kg_Finos]:[Kg_Desmoldeo]])+Tabla_master_rend[[#This Row],[L_Agua]]+SUM(Tabla_master_rend[[#This Row],[B_altas]:[B_lab]])</f>
        <v>332.9</v>
      </c>
      <c r="BY238" s="8">
        <f>+BX238-Tabla_master_rend[[#This Row],[Merma_TOT]]</f>
        <v>116.93999999999994</v>
      </c>
      <c r="BZ238" s="62">
        <f t="shared" si="88"/>
        <v>0.35127665965755467</v>
      </c>
      <c r="CA238" s="8">
        <f>+Tabla_master_rend[[#This Row],[Kg_Queso_Blan]]*$CA$1</f>
        <v>102.43934999999999</v>
      </c>
      <c r="CB238" s="8">
        <f>+Tabla_master_rend[[#This Row],[Kg_Queso_Blan]]*($CB$1-$CA$1)</f>
        <v>55.159650000000006</v>
      </c>
      <c r="CC238" s="8">
        <f>+(Tabla_master_rend[[#This Row],[Kg_Queso_Blan]]-CA238-CB238)*$CC$1</f>
        <v>163.8241605</v>
      </c>
      <c r="CD238" s="8">
        <f t="shared" si="89"/>
        <v>321.42316049999999</v>
      </c>
      <c r="CE238" s="80">
        <f>+CD238/Tabla_master_rend[[#This Row],[Kg_Queso_Blan]]</f>
        <v>2.0395E-2</v>
      </c>
      <c r="CF238" s="62">
        <f>+Tabla_master_rend[[#This Row],[Merma_TOT]]/Tabla_master_rend[[#This Row],[Kg_Queso_Blan]]</f>
        <v>1.370313263409032E-2</v>
      </c>
      <c r="CG238" s="8">
        <f>CD238-Tabla_master_rend[[#This Row],[Merma_TOT]]</f>
        <v>105.46316049999996</v>
      </c>
      <c r="CH238" s="81" cm="1">
        <f t="array" ref="CH238">-BR238 * IFERROR(INDEX('Precio Leche_EBITDA_Ventas'!$BD$87:$BD$110,MATCH(1,('Precio Leche_EBITDA_Ventas'!$AZ$87:$AZ$110=YEAR(A238))*('Precio Leche_EBITDA_Ventas'!$BB$87:$BB$110=C238),0)),1.3)</f>
        <v>0</v>
      </c>
      <c r="CI238" s="81">
        <f t="shared" si="90"/>
        <v>137.10210864999996</v>
      </c>
    </row>
    <row r="239" spans="1:87" x14ac:dyDescent="0.35">
      <c r="A239" s="9">
        <v>46226</v>
      </c>
      <c r="B239" s="7">
        <v>7</v>
      </c>
      <c r="C239" s="7" t="str">
        <f>+UPPER(TEXT(Tabla_master_rend[[#This Row],[Fecha]],"MMM"))</f>
        <v>JUL</v>
      </c>
      <c r="D239" s="7" t="str">
        <f>+UPPER(TEXT(Tabla_master_rend[[#This Row],[Fecha]],"ddd"))</f>
        <v>JU</v>
      </c>
      <c r="E239" s="122">
        <v>230726326</v>
      </c>
      <c r="F239" s="3" t="s">
        <v>244</v>
      </c>
      <c r="G239" t="s">
        <v>301</v>
      </c>
      <c r="H239">
        <v>11</v>
      </c>
      <c r="I239" s="8">
        <f>+Tabla_master_rend[[#This Row],[L_Leche_ent]]+Tabla_master_rend[[#This Row],[L_desn_ext]]+Tabla_master_rend[[#This Row],[L_cabra]]+Tabla_master_rend[[#This Row],[L_oveja]]</f>
        <v>185514</v>
      </c>
      <c r="J239" s="8">
        <v>185514</v>
      </c>
      <c r="K239" s="66">
        <v>3.5999999999999997E-2</v>
      </c>
      <c r="L239" s="66">
        <v>3.1099999999999999E-2</v>
      </c>
      <c r="M239" s="5">
        <f t="shared" si="85"/>
        <v>0.104494</v>
      </c>
      <c r="N239" s="3" t="s">
        <v>43</v>
      </c>
      <c r="O239" s="8">
        <v>0</v>
      </c>
      <c r="P239" s="8">
        <v>0</v>
      </c>
      <c r="Q239" s="8">
        <v>0</v>
      </c>
      <c r="R239" s="8">
        <v>2786</v>
      </c>
      <c r="S239">
        <v>0</v>
      </c>
      <c r="T239" s="8">
        <v>158250</v>
      </c>
      <c r="U239" s="38">
        <f>+Tabla_master_rend[[#This Row],[L_suero Total]]/Tabla_master_rend[[#This Row],[Litros_Leche_Total]]</f>
        <v>0.85303535043177336</v>
      </c>
      <c r="V239" s="66">
        <v>2.0999999999999999E-3</v>
      </c>
      <c r="W239" s="66">
        <v>8.3999999999999995E-3</v>
      </c>
      <c r="X239" s="57">
        <v>105066</v>
      </c>
      <c r="Y239" s="57">
        <v>27964</v>
      </c>
      <c r="Z239" s="58">
        <f>IF(Tabla_master_rend[[#This Row],[L_suero para con]]=0,0,+Tabla_master_rend[[#This Row],[L_suero para con]]/Tabla_master_rend[[#This Row],[L_suero_con]])</f>
        <v>3.7571878129023029</v>
      </c>
      <c r="AA239" s="8">
        <f>+Tabla_master_rend[[#This Row],[L_suero Total]]-Tabla_master_rend[[#This Row],[L_suero para con]]</f>
        <v>53184</v>
      </c>
      <c r="AD239" s="8">
        <v>20628</v>
      </c>
      <c r="AE239" s="8">
        <v>0</v>
      </c>
      <c r="AF239" s="8">
        <v>0</v>
      </c>
      <c r="AG239" s="140"/>
      <c r="AH239" s="140"/>
      <c r="AI239" s="7">
        <f>+Tabla_master_rend[[#This Row],[Kg_Finos]]+Tabla_master_rend[[#This Row],[Kg_Llenadora]]+Tabla_master_rend[[#This Row],[Kg_Desmoldeo]]+Tabla_master_rend[[#This Row],[L_Agua]]+Tabla_master_rend[[#This Row],[Kg_SalidaSecadero]]</f>
        <v>20092.78</v>
      </c>
      <c r="AJ239" s="59">
        <f>+Tabla_master_rend[[#This Row],[Litros_Leche_Total]]/Tabla_master_rend[[#This Row],[Kg_Queso_Blan]]</f>
        <v>9.2328687219986492</v>
      </c>
      <c r="AK239" s="59">
        <f>+Tabla_master_rend[[#This Row],[Litros_Leche_Total]]/(Tabla_master_rend[[#This Row],[Kg_Queso_Blan]]-Tabla_master_rend[[#This Row],[Merma_TOT]])</f>
        <v>9.3732426496334114</v>
      </c>
      <c r="AL239" s="59">
        <f>VLOOKUP(G239,REND_TARGET[#All],8,FALSE)</f>
        <v>9.3549429999999987</v>
      </c>
      <c r="AM239" s="7">
        <f>(I239*1.03*Tabla_master_rend[[#This Row],[%MG_Leche]])+(I239*1.03*Tabla_master_rend[[#This Row],[%MP_Leche]])</f>
        <v>12821.429082000001</v>
      </c>
      <c r="AN239" s="137">
        <v>0.29060000000000002</v>
      </c>
      <c r="AO239" s="137">
        <v>0.2356</v>
      </c>
      <c r="AP239" s="64">
        <v>0.57499999999999996</v>
      </c>
      <c r="AQ239" s="38">
        <f>+Tabla_master_rend[[#This Row],[Kg_Queso_Blan]]*Tabla_master_rend[[#This Row],[ES_QUESO]]/(Tabla_master_rend[[#This Row],[Kg_Solidos_leche]])</f>
        <v>0.9010967830582739</v>
      </c>
      <c r="AR239" s="7">
        <f t="shared" si="86"/>
        <v>1114.4000000000001</v>
      </c>
      <c r="AS239" s="61">
        <f>+(Tabla_master_rend[[#This Row],[Kg_Queso_Blan]]*Tabla_master_rend[[#This Row],[%MG_QUESO]]+(Tabla_master_rend[[#This Row],[Kg_MG_Nata]]))/(Tabla_master_rend[[#This Row],[Litros_Leche_Total]]*1.03*Tabla_master_rend[[#This Row],[%MG_Leche]])</f>
        <v>1.0108306837951349</v>
      </c>
      <c r="AT239" s="62">
        <f>+Tabla_master_rend[[#This Row],[Kg_Queso_Blan]]*Tabla_master_rend[[#This Row],[%PT_QUESO]]/(Tabla_master_rend[[#This Row],[Litros_Leche_Total]]*1.03*Tabla_master_rend[[#This Row],[%MP_Leche]])</f>
        <v>0.79660130183924605</v>
      </c>
      <c r="AU239" s="7">
        <f t="shared" si="87"/>
        <v>8358</v>
      </c>
      <c r="AV239" s="8">
        <v>25.78</v>
      </c>
      <c r="AW239" s="8">
        <v>32.200000000000003</v>
      </c>
      <c r="AX239" s="8">
        <v>6.8</v>
      </c>
      <c r="AY239" s="8">
        <f>SUM(Tabla_master_rend[[#This Row],[Kg_Finos]:[Kg_Desmoldeo]])</f>
        <v>64.78</v>
      </c>
      <c r="AZ239" s="60">
        <f>+(Tabla_master_rend[[#This Row],[Kg_Finos]]+Tabla_master_rend[[#This Row],[Kg_Llenadora]]+Tabla_master_rend[[#This Row],[Kg_Desmoldeo]])/(Tabla_master_rend[[#This Row],[Kg_Queso_Blan]])</f>
        <v>3.2240436614545129E-3</v>
      </c>
      <c r="BA239" s="7">
        <v>150</v>
      </c>
      <c r="BB239" s="60">
        <f>+Tabla_master_rend[[#This Row],[L_Agua]]/(Tabla_master_rend[[#This Row],[L_Agua]]+Tabla_master_rend[[#This Row],[Kg_SalidaSecadero]])</f>
        <v>7.4895146794487716E-3</v>
      </c>
      <c r="BC239" s="8">
        <v>2660</v>
      </c>
      <c r="BD239" s="8">
        <v>2637</v>
      </c>
      <c r="BE239" s="8">
        <v>19877</v>
      </c>
      <c r="BF239" s="8">
        <v>439</v>
      </c>
      <c r="BG239" s="8">
        <v>68</v>
      </c>
      <c r="BH239" s="8">
        <v>0</v>
      </c>
      <c r="BI239" s="8">
        <v>19</v>
      </c>
      <c r="BJ239" s="8">
        <v>64</v>
      </c>
      <c r="BK239" s="8">
        <v>19878</v>
      </c>
      <c r="BL239" s="8">
        <v>0</v>
      </c>
      <c r="BM239" s="8">
        <v>67.290000000000006</v>
      </c>
      <c r="BN239" s="8">
        <v>18.84</v>
      </c>
      <c r="BO239" s="68">
        <f>+SUM(Tabla_master_rend[[#This Row],[B_altas]:[B_lab]])/Tabla_master_rend[[#This Row],[Kg_SalidaSecadero]]</f>
        <v>2.9681054432035416E-2</v>
      </c>
      <c r="BP239" s="68">
        <f>+(Tabla_master_rend[[#This Row],[Kg_mer_env_real]]+Tabla_master_rend[[#This Row],[kg_mer_lab_real]])/Tabla_master_rend[[#This Row],[Kg_SalidaSecadero]]</f>
        <v>4.332930878357984E-3</v>
      </c>
      <c r="BQ239" s="64">
        <f>+Tabla_master_rend[[#This Row],[Merma_TOT]]/Tabla_master_rend[[#This Row],[Kg_Queso_Blan]]</f>
        <v>1.4976026214391437E-2</v>
      </c>
      <c r="BR239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300.90999999999997</v>
      </c>
      <c r="BS239" s="138">
        <v>19608.310000000001</v>
      </c>
      <c r="BT239" s="63">
        <f>IF(+Tabla_master_rend[[#This Row],[Kg_Env_Total]]=0,0,Tabla_master_rend[[#This Row],[Kg_Env_Total]]-Tabla_master_rend[[#This Row],[Kg_SalidaSecadero]])</f>
        <v>-269.68999999999869</v>
      </c>
      <c r="BU239" s="60">
        <f>+Tabla_master_rend[[#This Row],[Diferencia_Env_vs_Sec_kg]]/Tabla_master_rend[[#This Row],[Kg_SalidaSecadero]]</f>
        <v>-1.3567260287755241E-2</v>
      </c>
      <c r="BV239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39" s="65">
        <f>+(Tabla_master_rend[[#This Row],[Coste_Leche_€]]-Tabla_master_rend[[#This Row],[Kg_MG_Nata]]*$CO$3)/Tabla_master_rend[[#This Row],[Kg_Queso_Blan]]</f>
        <v>-0.41597031371467763</v>
      </c>
      <c r="BX239" s="8">
        <f>SUM(Tabla_master_rend[[#This Row],[Kg_Finos]:[Kg_Desmoldeo]])+Tabla_master_rend[[#This Row],[L_Agua]]+SUM(Tabla_master_rend[[#This Row],[B_altas]:[B_lab]])</f>
        <v>804.78</v>
      </c>
      <c r="BY239" s="8">
        <f>+BX239-Tabla_master_rend[[#This Row],[Merma_TOT]]</f>
        <v>503.87</v>
      </c>
      <c r="BZ239" s="62">
        <f t="shared" si="88"/>
        <v>0.62609657297646559</v>
      </c>
      <c r="CA239" s="8">
        <f>+Tabla_master_rend[[#This Row],[Kg_Queso_Blan]]*$CA$1</f>
        <v>130.60306999999997</v>
      </c>
      <c r="CB239" s="8">
        <f>+Tabla_master_rend[[#This Row],[Kg_Queso_Blan]]*($CB$1-$CA$1)</f>
        <v>70.324730000000002</v>
      </c>
      <c r="CC239" s="8">
        <f>+(Tabla_master_rend[[#This Row],[Kg_Queso_Blan]]-CA239-CB239)*$CC$1</f>
        <v>208.86444809999998</v>
      </c>
      <c r="CD239" s="8">
        <f t="shared" si="89"/>
        <v>409.79224809999994</v>
      </c>
      <c r="CE239" s="80">
        <f>+CD239/Tabla_master_rend[[#This Row],[Kg_Queso_Blan]]</f>
        <v>2.0394999999999996E-2</v>
      </c>
      <c r="CF239" s="62">
        <f>+Tabla_master_rend[[#This Row],[Merma_TOT]]/Tabla_master_rend[[#This Row],[Kg_Queso_Blan]]</f>
        <v>1.4976026214391437E-2</v>
      </c>
      <c r="CG239" s="8">
        <f>CD239-Tabla_master_rend[[#This Row],[Merma_TOT]]</f>
        <v>108.88224809999997</v>
      </c>
      <c r="CH239" s="81" cm="1">
        <f t="array" ref="CH239">-BR239 * IFERROR(INDEX('Precio Leche_EBITDA_Ventas'!$BD$87:$BD$110,MATCH(1,('Precio Leche_EBITDA_Ventas'!$AZ$87:$AZ$110=YEAR(A239))*('Precio Leche_EBITDA_Ventas'!$BB$87:$BB$110=C239),0)),1.3)</f>
        <v>0</v>
      </c>
      <c r="CI239" s="81">
        <f t="shared" si="90"/>
        <v>141.54692252999996</v>
      </c>
    </row>
    <row r="240" spans="1:87" x14ac:dyDescent="0.35">
      <c r="A240" s="9">
        <v>46231</v>
      </c>
      <c r="B240" s="7">
        <v>7</v>
      </c>
      <c r="C240" s="7" t="str">
        <f>+UPPER(TEXT(Tabla_master_rend[[#This Row],[Fecha]],"MMM"))</f>
        <v>JUL</v>
      </c>
      <c r="D240" s="7" t="str">
        <f>+UPPER(TEXT(Tabla_master_rend[[#This Row],[Fecha]],"ddd"))</f>
        <v>MA</v>
      </c>
      <c r="E240" s="122">
        <v>280726326</v>
      </c>
      <c r="F240" s="3" t="s">
        <v>244</v>
      </c>
      <c r="G240" t="s">
        <v>301</v>
      </c>
      <c r="H240">
        <v>9</v>
      </c>
      <c r="I240" s="8">
        <f>+Tabla_master_rend[[#This Row],[L_Leche_ent]]+Tabla_master_rend[[#This Row],[L_desn_ext]]+Tabla_master_rend[[#This Row],[L_cabra]]+Tabla_master_rend[[#This Row],[L_oveja]]</f>
        <v>148400</v>
      </c>
      <c r="J240" s="8">
        <v>148400</v>
      </c>
      <c r="K240" s="66">
        <v>3.5999999999999997E-2</v>
      </c>
      <c r="L240" s="66">
        <v>3.2099999999999997E-2</v>
      </c>
      <c r="M240" s="5">
        <f t="shared" ref="M240:M245" si="91">0.93*K240+0.74*L240+0.048</f>
        <v>0.10523399999999999</v>
      </c>
      <c r="N240" s="3" t="s">
        <v>188</v>
      </c>
      <c r="O240" s="8">
        <v>0</v>
      </c>
      <c r="P240" s="8">
        <v>0</v>
      </c>
      <c r="Q240" s="8">
        <v>0</v>
      </c>
      <c r="R240" s="8">
        <v>1839</v>
      </c>
      <c r="S240">
        <v>0</v>
      </c>
      <c r="T240" s="8">
        <v>125690</v>
      </c>
      <c r="U240" s="38">
        <f>+Tabla_master_rend[[#This Row],[L_suero Total]]/Tabla_master_rend[[#This Row],[Litros_Leche_Total]]</f>
        <v>0.84696765498652293</v>
      </c>
      <c r="V240" s="66">
        <v>2.5000000000000001E-3</v>
      </c>
      <c r="W240" s="66">
        <v>8.6999999999999994E-3</v>
      </c>
      <c r="X240" s="8">
        <v>0</v>
      </c>
      <c r="Y240" s="57">
        <v>0</v>
      </c>
      <c r="Z240" s="58">
        <f>IF(Tabla_master_rend[[#This Row],[L_suero para con]]=0,0,+Tabla_master_rend[[#This Row],[L_suero para con]]/Tabla_master_rend[[#This Row],[L_suero_con]])</f>
        <v>0</v>
      </c>
      <c r="AA240" s="8">
        <f>+Tabla_master_rend[[#This Row],[L_suero Total]]-Tabla_master_rend[[#This Row],[L_suero para con]]</f>
        <v>125690</v>
      </c>
      <c r="AD240" s="8">
        <v>18325</v>
      </c>
      <c r="AE240" s="8">
        <v>0</v>
      </c>
      <c r="AF240" s="8">
        <v>0</v>
      </c>
      <c r="AG240" s="140"/>
      <c r="AH240" s="140"/>
      <c r="AI240" s="7">
        <f>+Tabla_master_rend[[#This Row],[Kg_Finos]]+Tabla_master_rend[[#This Row],[Kg_Llenadora]]+Tabla_master_rend[[#This Row],[Kg_Desmoldeo]]+Tabla_master_rend[[#This Row],[L_Agua]]+Tabla_master_rend[[#This Row],[Kg_SalidaSecadero]]</f>
        <v>16307.07</v>
      </c>
      <c r="AJ240" s="59">
        <f>+Tabla_master_rend[[#This Row],[Litros_Leche_Total]]/Tabla_master_rend[[#This Row],[Kg_Queso_Blan]]</f>
        <v>9.1003472726860188</v>
      </c>
      <c r="AK240" s="59">
        <f>+Tabla_master_rend[[#This Row],[Litros_Leche_Total]]/(Tabla_master_rend[[#This Row],[Kg_Queso_Blan]]-Tabla_master_rend[[#This Row],[Merma_TOT]])</f>
        <v>9.3052362018834955</v>
      </c>
      <c r="AL240" s="59">
        <f>VLOOKUP(G240,REND_TARGET[#All],8,FALSE)</f>
        <v>9.3549429999999987</v>
      </c>
      <c r="AM240" s="7">
        <f>(I240*1.03*Tabla_master_rend[[#This Row],[%MG_Leche]])+(I240*1.03*Tabla_master_rend[[#This Row],[%MP_Leche]])</f>
        <v>10409.2212</v>
      </c>
      <c r="AN240" s="137">
        <v>0.28870000000000001</v>
      </c>
      <c r="AO240" s="137">
        <v>0.23799999999999999</v>
      </c>
      <c r="AP240" s="64">
        <v>0.57530000000000003</v>
      </c>
      <c r="AQ240" s="38">
        <f>+Tabla_master_rend[[#This Row],[Kg_Queso_Blan]]*Tabla_master_rend[[#This Row],[ES_QUESO]]/(Tabla_master_rend[[#This Row],[Kg_Solidos_leche]])</f>
        <v>0.90126409946980479</v>
      </c>
      <c r="AR240" s="7">
        <f t="shared" ref="AR240:AR245" si="92">R240*0.4</f>
        <v>735.6</v>
      </c>
      <c r="AS240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0.98923779374820109</v>
      </c>
      <c r="AT240" s="62">
        <f>+Tabla_master_rend[[#This Row],[Kg_Queso_Blan]]*Tabla_master_rend[[#This Row],[%PT_QUESO]]/(Tabla_master_rend[[#This Row],[Litros_Leche_Total]]*1.03*Tabla_master_rend[[#This Row],[%MP_Leche]])</f>
        <v>0.79100045710333444</v>
      </c>
      <c r="AU240" s="7">
        <f t="shared" ref="AU240:AU245" si="93">AR240*$CO$3</f>
        <v>5517</v>
      </c>
      <c r="AV240" s="8">
        <v>20.97</v>
      </c>
      <c r="AW240" s="8">
        <v>31.3</v>
      </c>
      <c r="AX240" s="8">
        <v>22.8</v>
      </c>
      <c r="AY240" s="8">
        <f>SUM(Tabla_master_rend[[#This Row],[Kg_Finos]:[Kg_Desmoldeo]])</f>
        <v>75.069999999999993</v>
      </c>
      <c r="AZ240" s="60">
        <f>+(Tabla_master_rend[[#This Row],[Kg_Finos]]+Tabla_master_rend[[#This Row],[Kg_Llenadora]]+Tabla_master_rend[[#This Row],[Kg_Desmoldeo]])/(Tabla_master_rend[[#This Row],[Kg_Queso_Blan]])</f>
        <v>4.6035247288446048E-3</v>
      </c>
      <c r="BA240" s="8">
        <v>175</v>
      </c>
      <c r="BB240" s="60">
        <f>+Tabla_master_rend[[#This Row],[L_Agua]]/(Tabla_master_rend[[#This Row],[L_Agua]]+Tabla_master_rend[[#This Row],[Kg_SalidaSecadero]])</f>
        <v>1.0781172991621488E-2</v>
      </c>
      <c r="BC240" s="8">
        <v>2159</v>
      </c>
      <c r="BD240" s="8">
        <v>2141</v>
      </c>
      <c r="BE240" s="8">
        <v>16116</v>
      </c>
      <c r="BF240" s="8">
        <v>317</v>
      </c>
      <c r="BG240" s="8">
        <v>32</v>
      </c>
      <c r="BH240" s="8">
        <v>0</v>
      </c>
      <c r="BI240" s="8">
        <v>26</v>
      </c>
      <c r="BJ240" s="8">
        <v>58</v>
      </c>
      <c r="BK240" s="8">
        <v>16057</v>
      </c>
      <c r="BL240" s="8">
        <v>0</v>
      </c>
      <c r="BM240" s="8">
        <v>89.69</v>
      </c>
      <c r="BN240" s="8">
        <v>19.3</v>
      </c>
      <c r="BO240" s="68">
        <f>+SUM(Tabla_master_rend[[#This Row],[B_altas]:[B_lab]])/Tabla_master_rend[[#This Row],[Kg_SalidaSecadero]]</f>
        <v>2.6966432085694714E-2</v>
      </c>
      <c r="BP240" s="68">
        <f>+(Tabla_master_rend[[#This Row],[Kg_mer_env_real]]+Tabla_master_rend[[#This Row],[kg_mer_lab_real]])/Tabla_master_rend[[#This Row],[Kg_SalidaSecadero]]</f>
        <v>6.7876938406925321E-3</v>
      </c>
      <c r="BQ240" s="64">
        <f>+Tabla_master_rend[[#This Row],[Merma_TOT]]/Tabla_master_rend[[#This Row],[Kg_Queso_Blan]]</f>
        <v>2.201867042945177E-2</v>
      </c>
      <c r="BR240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359.06000000000006</v>
      </c>
      <c r="BS240" s="138">
        <v>15802.76</v>
      </c>
      <c r="BT240" s="63">
        <f>IF(+Tabla_master_rend[[#This Row],[Kg_Env_Total]]=0,0,Tabla_master_rend[[#This Row],[Kg_Env_Total]]-Tabla_master_rend[[#This Row],[Kg_SalidaSecadero]])</f>
        <v>-254.23999999999978</v>
      </c>
      <c r="BU240" s="60">
        <f>+Tabla_master_rend[[#This Row],[Diferencia_Env_vs_Sec_kg]]/Tabla_master_rend[[#This Row],[Kg_SalidaSecadero]]</f>
        <v>-1.5833592825558934E-2</v>
      </c>
      <c r="BV240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40" s="65">
        <f>+(Tabla_master_rend[[#This Row],[Coste_Leche_€]]-Tabla_master_rend[[#This Row],[Kg_MG_Nata]]*$CO$3)/Tabla_master_rend[[#This Row],[Kg_Queso_Blan]]</f>
        <v>-0.33831951417391354</v>
      </c>
      <c r="BX240" s="8">
        <f>SUM(Tabla_master_rend[[#This Row],[Kg_Finos]:[Kg_Desmoldeo]])+Tabla_master_rend[[#This Row],[L_Agua]]+SUM(Tabla_master_rend[[#This Row],[B_altas]:[B_lab]])</f>
        <v>683.06999999999994</v>
      </c>
      <c r="BY240" s="8">
        <f>+BX240-Tabla_master_rend[[#This Row],[Merma_TOT]]</f>
        <v>324.00999999999988</v>
      </c>
      <c r="BZ240" s="62">
        <f t="shared" ref="BZ240:BZ245" si="94">+BY240/BX240</f>
        <v>0.47434377150218854</v>
      </c>
      <c r="CA240" s="8">
        <f>+Tabla_master_rend[[#This Row],[Kg_Queso_Blan]]*$CA$1</f>
        <v>105.995955</v>
      </c>
      <c r="CB240" s="8">
        <f>+Tabla_master_rend[[#This Row],[Kg_Queso_Blan]]*($CB$1-$CA$1)</f>
        <v>57.074745000000007</v>
      </c>
      <c r="CC240" s="8">
        <f>+(Tabla_master_rend[[#This Row],[Kg_Queso_Blan]]-CA240-CB240)*$CC$1</f>
        <v>169.51199265</v>
      </c>
      <c r="CD240" s="8">
        <f t="shared" ref="CD240:CD245" si="95">+CA240+CB240+CC240</f>
        <v>332.58269265000001</v>
      </c>
      <c r="CE240" s="80">
        <f>+CD240/Tabla_master_rend[[#This Row],[Kg_Queso_Blan]]</f>
        <v>2.0395E-2</v>
      </c>
      <c r="CF240" s="62">
        <f>+Tabla_master_rend[[#This Row],[Merma_TOT]]/Tabla_master_rend[[#This Row],[Kg_Queso_Blan]]</f>
        <v>2.201867042945177E-2</v>
      </c>
      <c r="CG240" s="8">
        <f>CD240-Tabla_master_rend[[#This Row],[Merma_TOT]]</f>
        <v>-26.477307350000046</v>
      </c>
      <c r="CH240" s="81" cm="1">
        <f t="array" ref="CH240">-BR240 * IFERROR(INDEX('Precio Leche_EBITDA_Ventas'!$BD$87:$BD$110,MATCH(1,('Precio Leche_EBITDA_Ventas'!$AZ$87:$AZ$110=YEAR(A240))*('Precio Leche_EBITDA_Ventas'!$BB$87:$BB$110=C240),0)),1.3)</f>
        <v>0</v>
      </c>
      <c r="CI240" s="81">
        <f t="shared" ref="CI240:CI245" si="96">+CG240*$CM$2</f>
        <v>-34.420499555000063</v>
      </c>
    </row>
    <row r="241" spans="1:87" x14ac:dyDescent="0.35">
      <c r="A241" s="9">
        <v>46233</v>
      </c>
      <c r="B241" s="7">
        <v>7</v>
      </c>
      <c r="C241" s="7" t="str">
        <f>+UPPER(TEXT(Tabla_master_rend[[#This Row],[Fecha]],"MMM"))</f>
        <v>JUL</v>
      </c>
      <c r="D241" s="7" t="str">
        <f>+UPPER(TEXT(Tabla_master_rend[[#This Row],[Fecha]],"ddd"))</f>
        <v>JU</v>
      </c>
      <c r="E241" s="122">
        <v>300726326</v>
      </c>
      <c r="F241" s="3" t="s">
        <v>244</v>
      </c>
      <c r="G241" t="s">
        <v>301</v>
      </c>
      <c r="H241">
        <v>8</v>
      </c>
      <c r="I241" s="8">
        <f>+Tabla_master_rend[[#This Row],[L_Leche_ent]]+Tabla_master_rend[[#This Row],[L_desn_ext]]+Tabla_master_rend[[#This Row],[L_cabra]]+Tabla_master_rend[[#This Row],[L_oveja]]</f>
        <v>120279</v>
      </c>
      <c r="J241" s="8">
        <v>120279</v>
      </c>
      <c r="K241" s="66">
        <v>3.49E-2</v>
      </c>
      <c r="L241" s="66">
        <v>3.2199999999999999E-2</v>
      </c>
      <c r="M241" s="5">
        <f t="shared" si="91"/>
        <v>0.104285</v>
      </c>
      <c r="N241" s="3" t="s">
        <v>43</v>
      </c>
      <c r="O241" s="8">
        <v>0</v>
      </c>
      <c r="P241" s="8">
        <v>0</v>
      </c>
      <c r="Q241" s="8">
        <v>0</v>
      </c>
      <c r="R241" s="8">
        <v>1371</v>
      </c>
      <c r="S241">
        <v>0</v>
      </c>
      <c r="T241" s="8">
        <v>106650</v>
      </c>
      <c r="U241" s="38">
        <f>+Tabla_master_rend[[#This Row],[L_suero Total]]/Tabla_master_rend[[#This Row],[Litros_Leche_Total]]</f>
        <v>0.88668844935524904</v>
      </c>
      <c r="V241" s="66">
        <v>0</v>
      </c>
      <c r="W241" s="66">
        <v>8.6E-3</v>
      </c>
      <c r="X241" s="8">
        <v>105734</v>
      </c>
      <c r="Y241" s="57">
        <v>28901</v>
      </c>
      <c r="Z241" s="58">
        <f>IF(Tabla_master_rend[[#This Row],[L_suero para con]]=0,0,+Tabla_master_rend[[#This Row],[L_suero para con]]/Tabla_master_rend[[#This Row],[L_suero_con]])</f>
        <v>3.6584893256288709</v>
      </c>
      <c r="AA241" s="8">
        <f>+Tabla_master_rend[[#This Row],[L_suero Total]]-Tabla_master_rend[[#This Row],[L_suero para con]]</f>
        <v>916</v>
      </c>
      <c r="AD241" s="8">
        <v>0</v>
      </c>
      <c r="AE241" s="8">
        <v>0</v>
      </c>
      <c r="AF241" s="8">
        <v>0</v>
      </c>
      <c r="AG241" s="66">
        <v>0</v>
      </c>
      <c r="AH241" s="66">
        <v>0</v>
      </c>
      <c r="AI241" s="7">
        <f>+Tabla_master_rend[[#This Row],[Kg_Finos]]+Tabla_master_rend[[#This Row],[Kg_Llenadora]]+Tabla_master_rend[[#This Row],[Kg_Desmoldeo]]+Tabla_master_rend[[#This Row],[L_Agua]]+Tabla_master_rend[[#This Row],[Kg_SalidaSecadero]]</f>
        <v>13334.9</v>
      </c>
      <c r="AJ241" s="59">
        <f>+Tabla_master_rend[[#This Row],[Litros_Leche_Total]]/Tabla_master_rend[[#This Row],[Kg_Queso_Blan]]</f>
        <v>9.0198651658430133</v>
      </c>
      <c r="AK241" s="59">
        <f>+Tabla_master_rend[[#This Row],[Litros_Leche_Total]]/(Tabla_master_rend[[#This Row],[Kg_Queso_Blan]]-Tabla_master_rend[[#This Row],[Merma_TOT]])</f>
        <v>9.222392781508443</v>
      </c>
      <c r="AL241" s="59">
        <f>VLOOKUP(G241,REND_TARGET[#All],8,FALSE)</f>
        <v>9.3549429999999987</v>
      </c>
      <c r="AM241" s="7">
        <f>(I241*1.03*Tabla_master_rend[[#This Row],[%MG_Leche]])+(I241*1.03*Tabla_master_rend[[#This Row],[%MP_Leche]])</f>
        <v>8312.8425270000007</v>
      </c>
      <c r="AN241" s="137">
        <v>0.28699999999999998</v>
      </c>
      <c r="AO241" s="137">
        <v>0.23980000000000001</v>
      </c>
      <c r="AP241" s="64">
        <v>0.57540000000000002</v>
      </c>
      <c r="AQ241" s="38">
        <f>+Tabla_master_rend[[#This Row],[Kg_Queso_Blan]]*Tabla_master_rend[[#This Row],[ES_QUESO]]/(Tabla_master_rend[[#This Row],[Kg_Solidos_leche]])</f>
        <v>0.923017780630214</v>
      </c>
      <c r="AR241" s="7">
        <f t="shared" si="92"/>
        <v>548.4</v>
      </c>
      <c r="AS241" s="61">
        <f>+(Tabla_master_rend[[#This Row],[Kg_Queso_Blan]]*Tabla_master_rend[[#This Row],[%MG_QUESO]]+(Tabla_master_rend[[#This Row],[Kg_MG_Nata]]))/(Tabla_master_rend[[#This Row],[Litros_Leche_Total]]*1.03*Tabla_master_rend[[#This Row],[%MG_Leche]])</f>
        <v>1.0119914555082314</v>
      </c>
      <c r="AT241" s="62">
        <f>+Tabla_master_rend[[#This Row],[Kg_Queso_Blan]]*Tabla_master_rend[[#This Row],[%PT_QUESO]]/(Tabla_master_rend[[#This Row],[Litros_Leche_Total]]*1.03*Tabla_master_rend[[#This Row],[%MP_Leche]])</f>
        <v>0.8015969145230275</v>
      </c>
      <c r="AU241" s="7">
        <f t="shared" si="93"/>
        <v>4113</v>
      </c>
      <c r="AV241" s="8">
        <v>18.399999999999999</v>
      </c>
      <c r="AW241" s="8">
        <v>23.5</v>
      </c>
      <c r="AX241" s="8">
        <v>12</v>
      </c>
      <c r="AY241" s="8">
        <f>SUM(Tabla_master_rend[[#This Row],[Kg_Finos]:[Kg_Desmoldeo]])</f>
        <v>53.9</v>
      </c>
      <c r="AZ241" s="60">
        <f>+(Tabla_master_rend[[#This Row],[Kg_Finos]]+Tabla_master_rend[[#This Row],[Kg_Llenadora]]+Tabla_master_rend[[#This Row],[Kg_Desmoldeo]])/(Tabla_master_rend[[#This Row],[Kg_Queso_Blan]])</f>
        <v>4.0420250620552085E-3</v>
      </c>
      <c r="BA241" s="8">
        <v>150</v>
      </c>
      <c r="BB241" s="60">
        <f>+Tabla_master_rend[[#This Row],[L_Agua]]/(Tabla_master_rend[[#This Row],[L_Agua]]+Tabla_master_rend[[#This Row],[Kg_SalidaSecadero]])</f>
        <v>1.12943302462164E-2</v>
      </c>
      <c r="BC241" s="8">
        <v>1789</v>
      </c>
      <c r="BD241" s="8">
        <v>1770</v>
      </c>
      <c r="BE241" s="8">
        <v>13160</v>
      </c>
      <c r="BF241" s="8">
        <v>88</v>
      </c>
      <c r="BG241" s="8">
        <v>52</v>
      </c>
      <c r="BH241" s="8">
        <v>13</v>
      </c>
      <c r="BI241" s="8">
        <v>7</v>
      </c>
      <c r="BJ241" s="8">
        <v>49</v>
      </c>
      <c r="BK241" s="8">
        <v>13131</v>
      </c>
      <c r="BL241" s="8">
        <v>0</v>
      </c>
      <c r="BM241" s="8">
        <v>78.56</v>
      </c>
      <c r="BN241" s="8">
        <v>10.38</v>
      </c>
      <c r="BO241" s="68">
        <f>+SUM(Tabla_master_rend[[#This Row],[B_altas]:[B_lab]])/Tabla_master_rend[[#This Row],[Kg_SalidaSecadero]]</f>
        <v>1.5916533394257863E-2</v>
      </c>
      <c r="BP241" s="68">
        <f>+(Tabla_master_rend[[#This Row],[Kg_mer_env_real]]+Tabla_master_rend[[#This Row],[kg_mer_lab_real]])/Tabla_master_rend[[#This Row],[Kg_SalidaSecadero]]</f>
        <v>6.7732845937095425E-3</v>
      </c>
      <c r="BQ241" s="64">
        <f>+Tabla_master_rend[[#This Row],[Merma_TOT]]/Tabla_master_rend[[#This Row],[Kg_Queso_Blan]]</f>
        <v>2.1960419650691041E-2</v>
      </c>
      <c r="BR241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292.83999999999997</v>
      </c>
      <c r="BS241" s="138">
        <v>12926.450000000004</v>
      </c>
      <c r="BT241" s="63">
        <f>IF(+Tabla_master_rend[[#This Row],[Kg_Env_Total]]=0,0,Tabla_master_rend[[#This Row],[Kg_Env_Total]]-Tabla_master_rend[[#This Row],[Kg_SalidaSecadero]])</f>
        <v>-204.54999999999563</v>
      </c>
      <c r="BU241" s="60">
        <f>+Tabla_master_rend[[#This Row],[Diferencia_Env_vs_Sec_kg]]/Tabla_master_rend[[#This Row],[Kg_SalidaSecadero]]</f>
        <v>-1.5577640697585533E-2</v>
      </c>
      <c r="BV241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41" s="65">
        <f>+(Tabla_master_rend[[#This Row],[Coste_Leche_€]]-Tabla_master_rend[[#This Row],[Kg_MG_Nata]]*$CO$3)/Tabla_master_rend[[#This Row],[Kg_Queso_Blan]]</f>
        <v>-0.30843875844588264</v>
      </c>
      <c r="BX241" s="8">
        <f>SUM(Tabla_master_rend[[#This Row],[Kg_Finos]:[Kg_Desmoldeo]])+Tabla_master_rend[[#This Row],[L_Agua]]+SUM(Tabla_master_rend[[#This Row],[B_altas]:[B_lab]])</f>
        <v>412.9</v>
      </c>
      <c r="BY241" s="8">
        <f>+BX241-Tabla_master_rend[[#This Row],[Merma_TOT]]</f>
        <v>120.06</v>
      </c>
      <c r="BZ241" s="62">
        <f t="shared" si="94"/>
        <v>0.29077258416081375</v>
      </c>
      <c r="CA241" s="8">
        <f>+Tabla_master_rend[[#This Row],[Kg_Queso_Blan]]*$CA$1</f>
        <v>86.676849999999988</v>
      </c>
      <c r="CB241" s="8">
        <f>+Tabla_master_rend[[#This Row],[Kg_Queso_Blan]]*($CB$1-$CA$1)</f>
        <v>46.672150000000002</v>
      </c>
      <c r="CC241" s="8">
        <f>+(Tabla_master_rend[[#This Row],[Kg_Queso_Blan]]-CA241-CB241)*$CC$1</f>
        <v>138.6162855</v>
      </c>
      <c r="CD241" s="8">
        <f t="shared" si="95"/>
        <v>271.96528549999999</v>
      </c>
      <c r="CE241" s="80">
        <f>+CD241/Tabla_master_rend[[#This Row],[Kg_Queso_Blan]]</f>
        <v>2.0395E-2</v>
      </c>
      <c r="CF241" s="62">
        <f>+Tabla_master_rend[[#This Row],[Merma_TOT]]/Tabla_master_rend[[#This Row],[Kg_Queso_Blan]]</f>
        <v>2.1960419650691041E-2</v>
      </c>
      <c r="CG241" s="8">
        <f>CD241-Tabla_master_rend[[#This Row],[Merma_TOT]]</f>
        <v>-20.874714499999982</v>
      </c>
      <c r="CH241" s="81" cm="1">
        <f t="array" ref="CH241">-BR241 * IFERROR(INDEX('Precio Leche_EBITDA_Ventas'!$BD$87:$BD$110,MATCH(1,('Precio Leche_EBITDA_Ventas'!$AZ$87:$AZ$110=YEAR(A241))*('Precio Leche_EBITDA_Ventas'!$BB$87:$BB$110=C241),0)),1.3)</f>
        <v>0</v>
      </c>
      <c r="CI241" s="81">
        <f t="shared" si="96"/>
        <v>-27.137128849999979</v>
      </c>
    </row>
    <row r="242" spans="1:87" x14ac:dyDescent="0.35">
      <c r="A242" s="9">
        <v>46240</v>
      </c>
      <c r="B242" s="7">
        <v>8</v>
      </c>
      <c r="C242" s="7" t="str">
        <f>+UPPER(TEXT(Tabla_master_rend[[#This Row],[Fecha]],"MMM"))</f>
        <v>AGO</v>
      </c>
      <c r="D242" s="7" t="str">
        <f>+UPPER(TEXT(Tabla_master_rend[[#This Row],[Fecha]],"ddd"))</f>
        <v>JU</v>
      </c>
      <c r="E242" s="139" t="s">
        <v>621</v>
      </c>
      <c r="F242" s="122" t="s">
        <v>244</v>
      </c>
      <c r="G242" t="s">
        <v>301</v>
      </c>
      <c r="H242">
        <v>9</v>
      </c>
      <c r="I242" s="8">
        <f>+Tabla_master_rend[[#This Row],[L_Leche_ent]]+Tabla_master_rend[[#This Row],[L_desn_ext]]+Tabla_master_rend[[#This Row],[L_cabra]]+Tabla_master_rend[[#This Row],[L_oveja]]</f>
        <v>132835</v>
      </c>
      <c r="J242" s="8">
        <v>132835</v>
      </c>
      <c r="K242" s="66">
        <v>3.6200000000000003E-2</v>
      </c>
      <c r="L242" s="66">
        <v>3.2399999999999998E-2</v>
      </c>
      <c r="M242" s="5">
        <f t="shared" si="91"/>
        <v>0.105642</v>
      </c>
      <c r="N242" s="3" t="s">
        <v>43</v>
      </c>
      <c r="O242" s="8">
        <v>0</v>
      </c>
      <c r="P242" s="8">
        <v>0</v>
      </c>
      <c r="Q242" s="8">
        <v>0</v>
      </c>
      <c r="R242" s="8">
        <v>1534</v>
      </c>
      <c r="S242">
        <v>0</v>
      </c>
      <c r="T242" s="8">
        <v>117560</v>
      </c>
      <c r="U242" s="38">
        <f>+Tabla_master_rend[[#This Row],[L_suero Total]]/Tabla_master_rend[[#This Row],[Litros_Leche_Total]]</f>
        <v>0.88500771633982012</v>
      </c>
      <c r="V242" s="66">
        <v>0</v>
      </c>
      <c r="W242" s="66">
        <v>9.7000000000000003E-3</v>
      </c>
      <c r="X242" s="8">
        <v>116803</v>
      </c>
      <c r="Y242" s="57">
        <v>33001</v>
      </c>
      <c r="Z242" s="58">
        <f>IF(Tabla_master_rend[[#This Row],[L_suero para con]]=0,0,+Tabla_master_rend[[#This Row],[L_suero para con]]/Tabla_master_rend[[#This Row],[L_suero_con]])</f>
        <v>3.5393775946183448</v>
      </c>
      <c r="AA242" s="8">
        <f>+Tabla_master_rend[[#This Row],[L_suero Total]]-Tabla_master_rend[[#This Row],[L_suero para con]]</f>
        <v>757</v>
      </c>
      <c r="AD242" s="8">
        <v>0</v>
      </c>
      <c r="AE242" s="8">
        <v>0</v>
      </c>
      <c r="AF242" s="8">
        <v>0</v>
      </c>
      <c r="AG242" s="66">
        <v>0</v>
      </c>
      <c r="AH242" s="66">
        <v>0</v>
      </c>
      <c r="AI242" s="7">
        <f>+Tabla_master_rend[[#This Row],[Kg_Finos]]+Tabla_master_rend[[#This Row],[Kg_Llenadora]]+Tabla_master_rend[[#This Row],[Kg_Desmoldeo]]+Tabla_master_rend[[#This Row],[L_Agua]]+Tabla_master_rend[[#This Row],[Kg_SalidaSecadero]]</f>
        <v>14860.96</v>
      </c>
      <c r="AJ242" s="59">
        <f>+Tabla_master_rend[[#This Row],[Litros_Leche_Total]]/Tabla_master_rend[[#This Row],[Kg_Queso_Blan]]</f>
        <v>8.9385207954264061</v>
      </c>
      <c r="AK242" s="59">
        <f>+Tabla_master_rend[[#This Row],[Litros_Leche_Total]]/(Tabla_master_rend[[#This Row],[Kg_Queso_Blan]]-Tabla_master_rend[[#This Row],[Merma_TOT]])</f>
        <v>9.0828468316191238</v>
      </c>
      <c r="AL242" s="59">
        <f>VLOOKUP(G242,REND_TARGET[#All],8,FALSE)</f>
        <v>9.3549429999999987</v>
      </c>
      <c r="AM242" s="7">
        <f>(I242*1.03*Tabla_master_rend[[#This Row],[%MG_Leche]])+(I242*1.03*Tabla_master_rend[[#This Row],[%MP_Leche]])</f>
        <v>9385.8554300000014</v>
      </c>
      <c r="AN242" s="137">
        <v>0.29530000000000001</v>
      </c>
      <c r="AO242" s="137">
        <v>0.24099999999999999</v>
      </c>
      <c r="AP242" s="64">
        <v>0.58079999999999998</v>
      </c>
      <c r="AQ242" s="38">
        <f>+Tabla_master_rend[[#This Row],[Kg_Queso_Blan]]*Tabla_master_rend[[#This Row],[ES_QUESO]]/(Tabla_master_rend[[#This Row],[Kg_Solidos_leche]])</f>
        <v>0.91960137596110381</v>
      </c>
      <c r="AR242" s="7">
        <f t="shared" si="92"/>
        <v>613.6</v>
      </c>
      <c r="AS242" s="61">
        <f>+(Tabla_master_rend[[#This Row],[Kg_Queso_Blan]]*Tabla_master_rend[[#This Row],[%MG_QUESO]]+(Tabla_master_rend[[#This Row],[Kg_MG_Nata]]))/(Tabla_master_rend[[#This Row],[Litros_Leche_Total]]*1.03*Tabla_master_rend[[#This Row],[%MG_Leche]])</f>
        <v>1.0099246540069131</v>
      </c>
      <c r="AT242" s="62">
        <f>+Tabla_master_rend[[#This Row],[Kg_Queso_Blan]]*Tabla_master_rend[[#This Row],[%PT_QUESO]]/(Tabla_master_rend[[#This Row],[Litros_Leche_Total]]*1.03*Tabla_master_rend[[#This Row],[%MP_Leche]])</f>
        <v>0.80792147634884959</v>
      </c>
      <c r="AU242" s="7">
        <f t="shared" si="93"/>
        <v>4602</v>
      </c>
      <c r="AV242" s="8">
        <v>19.559999999999999</v>
      </c>
      <c r="AW242" s="8">
        <v>23.9</v>
      </c>
      <c r="AX242" s="8">
        <f>6+2.5</f>
        <v>8.5</v>
      </c>
      <c r="AY242" s="8">
        <f>SUM(Tabla_master_rend[[#This Row],[Kg_Finos]:[Kg_Desmoldeo]])</f>
        <v>51.959999999999994</v>
      </c>
      <c r="AZ242" s="60">
        <f>+(Tabla_master_rend[[#This Row],[Kg_Finos]]+Tabla_master_rend[[#This Row],[Kg_Llenadora]]+Tabla_master_rend[[#This Row],[Kg_Desmoldeo]])/(Tabla_master_rend[[#This Row],[Kg_Queso_Blan]])</f>
        <v>3.496409384050559E-3</v>
      </c>
      <c r="BA242" s="7">
        <v>100</v>
      </c>
      <c r="BB242" s="60">
        <f>+Tabla_master_rend[[#This Row],[L_Agua]]/(Tabla_master_rend[[#This Row],[L_Agua]]+Tabla_master_rend[[#This Row],[Kg_SalidaSecadero]])</f>
        <v>6.7526504152880008E-3</v>
      </c>
      <c r="BC242" s="8">
        <v>1977</v>
      </c>
      <c r="BD242" s="8">
        <v>1961</v>
      </c>
      <c r="BE242" s="8">
        <v>14708</v>
      </c>
      <c r="BF242" s="8">
        <v>159</v>
      </c>
      <c r="BG242" s="8">
        <v>13</v>
      </c>
      <c r="BH242" s="8">
        <v>12</v>
      </c>
      <c r="BI242" s="8">
        <v>24</v>
      </c>
      <c r="BJ242" s="8">
        <v>52</v>
      </c>
      <c r="BK242" s="8">
        <v>14709</v>
      </c>
      <c r="BL242" s="8">
        <v>0</v>
      </c>
      <c r="BM242" s="8">
        <v>67.83</v>
      </c>
      <c r="BN242" s="8">
        <v>16.350000000000001</v>
      </c>
      <c r="BO242" s="68">
        <f>+SUM(Tabla_master_rend[[#This Row],[B_altas]:[B_lab]])/Tabla_master_rend[[#This Row],[Kg_SalidaSecadero]]</f>
        <v>1.7676252634441499E-2</v>
      </c>
      <c r="BP242" s="68">
        <f>+(Tabla_master_rend[[#This Row],[Kg_mer_env_real]]+Tabla_master_rend[[#This Row],[kg_mer_lab_real]])/Tabla_master_rend[[#This Row],[Kg_SalidaSecadero]]</f>
        <v>5.7230267183357129E-3</v>
      </c>
      <c r="BQ242" s="64">
        <f>+Tabla_master_rend[[#This Row],[Merma_TOT]]/Tabla_master_rend[[#This Row],[Kg_Queso_Blan]]</f>
        <v>1.5889955965159724E-2</v>
      </c>
      <c r="BR242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236.14000000000001</v>
      </c>
      <c r="BS242" s="138">
        <v>14387.86</v>
      </c>
      <c r="BT242" s="63">
        <f>IF(+Tabla_master_rend[[#This Row],[Kg_Env_Total]]=0,0,Tabla_master_rend[[#This Row],[Kg_Env_Total]]-Tabla_master_rend[[#This Row],[Kg_SalidaSecadero]])</f>
        <v>-321.13999999999942</v>
      </c>
      <c r="BU242" s="60">
        <f>+Tabla_master_rend[[#This Row],[Diferencia_Env_vs_Sec_kg]]/Tabla_master_rend[[#This Row],[Kg_SalidaSecadero]]</f>
        <v>-2.1832891427017432E-2</v>
      </c>
      <c r="BV242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42" s="65">
        <f>+(Tabla_master_rend[[#This Row],[Coste_Leche_€]]-Tabla_master_rend[[#This Row],[Kg_MG_Nata]]*$CO$3)/Tabla_master_rend[[#This Row],[Kg_Queso_Blan]]</f>
        <v>-0.30967043851810383</v>
      </c>
      <c r="BX242" s="8">
        <f>SUM(Tabla_master_rend[[#This Row],[Kg_Finos]:[Kg_Desmoldeo]])+Tabla_master_rend[[#This Row],[L_Agua]]+SUM(Tabla_master_rend[[#This Row],[B_altas]:[B_lab]])</f>
        <v>411.96</v>
      </c>
      <c r="BY242" s="8">
        <f>+BX242-Tabla_master_rend[[#This Row],[Merma_TOT]]</f>
        <v>175.81999999999996</v>
      </c>
      <c r="BZ242" s="62">
        <f t="shared" si="94"/>
        <v>0.42678900864161562</v>
      </c>
      <c r="CA242" s="8">
        <f>+Tabla_master_rend[[#This Row],[Kg_Queso_Blan]]*$CA$1</f>
        <v>96.596239999999995</v>
      </c>
      <c r="CB242" s="8">
        <f>+Tabla_master_rend[[#This Row],[Kg_Queso_Blan]]*($CB$1-$CA$1)</f>
        <v>52.013360000000006</v>
      </c>
      <c r="CC242" s="8">
        <f>+(Tabla_master_rend[[#This Row],[Kg_Queso_Blan]]-CA242-CB242)*$CC$1</f>
        <v>154.47967919999999</v>
      </c>
      <c r="CD242" s="8">
        <f t="shared" si="95"/>
        <v>303.08927919999996</v>
      </c>
      <c r="CE242" s="80">
        <f>+CD242/Tabla_master_rend[[#This Row],[Kg_Queso_Blan]]</f>
        <v>2.0395E-2</v>
      </c>
      <c r="CF242" s="62">
        <f>+Tabla_master_rend[[#This Row],[Merma_TOT]]/Tabla_master_rend[[#This Row],[Kg_Queso_Blan]]</f>
        <v>1.5889955965159724E-2</v>
      </c>
      <c r="CG242" s="8">
        <f>CD242-Tabla_master_rend[[#This Row],[Merma_TOT]]</f>
        <v>66.94927919999995</v>
      </c>
      <c r="CH242" s="81" cm="1">
        <f t="array" ref="CH242">-BR242 * IFERROR(INDEX('Precio Leche_EBITDA_Ventas'!$BD$87:$BD$110,MATCH(1,('Precio Leche_EBITDA_Ventas'!$AZ$87:$AZ$110=YEAR(A242))*('Precio Leche_EBITDA_Ventas'!$BB$87:$BB$110=C242),0)),1.3)</f>
        <v>-826.49</v>
      </c>
      <c r="CI242" s="81">
        <f t="shared" si="96"/>
        <v>87.034062959999943</v>
      </c>
    </row>
    <row r="243" spans="1:87" x14ac:dyDescent="0.35">
      <c r="A243" s="9">
        <v>46247</v>
      </c>
      <c r="B243" s="7">
        <v>8</v>
      </c>
      <c r="C243" s="7" t="str">
        <f>+UPPER(TEXT(Tabla_master_rend[[#This Row],[Fecha]],"MMM"))</f>
        <v>AGO</v>
      </c>
      <c r="D243" s="7" t="str">
        <f>+UPPER(TEXT(Tabla_master_rend[[#This Row],[Fecha]],"ddd"))</f>
        <v>JU</v>
      </c>
      <c r="E243" s="139">
        <v>130826316</v>
      </c>
      <c r="F243" s="122" t="s">
        <v>244</v>
      </c>
      <c r="G243" s="84" t="s">
        <v>299</v>
      </c>
      <c r="H243">
        <v>11</v>
      </c>
      <c r="I243" s="8">
        <f>+Tabla_master_rend[[#This Row],[L_Leche_ent]]+Tabla_master_rend[[#This Row],[L_desn_ext]]+Tabla_master_rend[[#This Row],[L_cabra]]+Tabla_master_rend[[#This Row],[L_oveja]]</f>
        <v>178990</v>
      </c>
      <c r="J243" s="8">
        <v>178990</v>
      </c>
      <c r="K243" s="66">
        <v>3.61E-2</v>
      </c>
      <c r="L243" s="66">
        <v>3.2300000000000002E-2</v>
      </c>
      <c r="M243" s="5">
        <f t="shared" si="91"/>
        <v>0.105475</v>
      </c>
      <c r="N243" s="3" t="s">
        <v>43</v>
      </c>
      <c r="O243" s="8">
        <v>0</v>
      </c>
      <c r="P243" s="8">
        <v>0</v>
      </c>
      <c r="Q243" s="8">
        <v>0</v>
      </c>
      <c r="R243" s="8">
        <v>6245</v>
      </c>
      <c r="S243">
        <v>0</v>
      </c>
      <c r="T243" s="8">
        <v>156390</v>
      </c>
      <c r="U243" s="38">
        <f>+Tabla_master_rend[[#This Row],[L_suero Total]]/Tabla_master_rend[[#This Row],[Litros_Leche_Total]]</f>
        <v>0.87373596290295552</v>
      </c>
      <c r="V243" s="66">
        <v>1.5E-3</v>
      </c>
      <c r="W243" s="66">
        <v>8.0999999999999996E-3</v>
      </c>
      <c r="X243" s="8">
        <v>78384</v>
      </c>
      <c r="Y243" s="57">
        <v>20358</v>
      </c>
      <c r="Z243" s="58">
        <f>IF(Tabla_master_rend[[#This Row],[L_suero para con]]=0,0,+Tabla_master_rend[[#This Row],[L_suero para con]]/Tabla_master_rend[[#This Row],[L_suero_con]])</f>
        <v>3.8502799882110228</v>
      </c>
      <c r="AA243" s="8">
        <f>+Tabla_master_rend[[#This Row],[L_suero Total]]-Tabla_master_rend[[#This Row],[L_suero para con]]</f>
        <v>78006</v>
      </c>
      <c r="AD243" s="8">
        <v>27354</v>
      </c>
      <c r="AE243" s="8">
        <v>0</v>
      </c>
      <c r="AF243" s="8">
        <v>0</v>
      </c>
      <c r="AG243" s="140"/>
      <c r="AH243" s="140"/>
      <c r="AI243" s="7">
        <f>+Tabla_master_rend[[#This Row],[Kg_Finos]]+Tabla_master_rend[[#This Row],[Kg_Llenadora]]+Tabla_master_rend[[#This Row],[Kg_Desmoldeo]]+Tabla_master_rend[[#This Row],[L_Agua]]+Tabla_master_rend[[#This Row],[Kg_SalidaSecadero]]</f>
        <v>18769.53</v>
      </c>
      <c r="AJ243" s="59">
        <f>+Tabla_master_rend[[#This Row],[Litros_Leche_Total]]/Tabla_master_rend[[#This Row],[Kg_Queso_Blan]]</f>
        <v>9.5362004269686036</v>
      </c>
      <c r="AK243" s="59">
        <f>+Tabla_master_rend[[#This Row],[Litros_Leche_Total]]/(Tabla_master_rend[[#This Row],[Kg_Queso_Blan]]-Tabla_master_rend[[#This Row],[Merma_TOT]])</f>
        <v>9.7040532137119975</v>
      </c>
      <c r="AL243" s="59">
        <f>VLOOKUP(G243,REND_TARGET[#All],8,FALSE)</f>
        <v>9.8078500000000002</v>
      </c>
      <c r="AM243" s="7">
        <f>(I243*1.03*Tabla_master_rend[[#This Row],[%MG_Leche]])+(I243*1.03*Tabla_master_rend[[#This Row],[%MP_Leche]])</f>
        <v>12610.20348</v>
      </c>
      <c r="AN243" s="137">
        <v>0.22520000000000001</v>
      </c>
      <c r="AO243" s="137">
        <v>0.25390000000000001</v>
      </c>
      <c r="AP243" s="64">
        <v>0.53280000000000005</v>
      </c>
      <c r="AQ243" s="38">
        <f>+Tabla_master_rend[[#This Row],[Kg_Queso_Blan]]*Tabla_master_rend[[#This Row],[ES_QUESO]]/(Tabla_master_rend[[#This Row],[Kg_Solidos_leche]])</f>
        <v>0.79304077843476639</v>
      </c>
      <c r="AR243" s="7">
        <f t="shared" si="92"/>
        <v>2498</v>
      </c>
      <c r="AS243" s="61">
        <f>+(Tabla_master_rend[[#This Row],[Kg_Queso_Blan]]*Tabla_master_rend[[#This Row],[%MG_QUESO]]+(Tabla_master_rend[[#This Row],[Kg_MG_Nata]]))/(Tabla_master_rend[[#This Row],[Litros_Leche_Total]]*1.03*Tabla_master_rend[[#This Row],[%MG_Leche]])</f>
        <v>1.0104446225461658</v>
      </c>
      <c r="AT243" s="62">
        <f>+Tabla_master_rend[[#This Row],[Kg_Queso_Blan]]*Tabla_master_rend[[#This Row],[%PT_QUESO]]/(Tabla_master_rend[[#This Row],[Litros_Leche_Total]]*1.03*Tabla_master_rend[[#This Row],[%MP_Leche]])</f>
        <v>0.80029035629804113</v>
      </c>
      <c r="AU243" s="7">
        <f t="shared" si="93"/>
        <v>18735</v>
      </c>
      <c r="AV243" s="8">
        <v>27.63</v>
      </c>
      <c r="AW243" s="8">
        <v>44.9</v>
      </c>
      <c r="AX243" s="8">
        <v>3</v>
      </c>
      <c r="AY243" s="8">
        <f>SUM(Tabla_master_rend[[#This Row],[Kg_Finos]:[Kg_Desmoldeo]])</f>
        <v>75.53</v>
      </c>
      <c r="AZ243" s="60">
        <f>+(Tabla_master_rend[[#This Row],[Kg_Finos]]+Tabla_master_rend[[#This Row],[Kg_Llenadora]]+Tabla_master_rend[[#This Row],[Kg_Desmoldeo]])/(Tabla_master_rend[[#This Row],[Kg_Queso_Blan]])</f>
        <v>4.0240751899488164E-3</v>
      </c>
      <c r="BA243" s="7">
        <v>125</v>
      </c>
      <c r="BB243" s="60">
        <f>+Tabla_master_rend[[#This Row],[L_Agua]]/(Tabla_master_rend[[#This Row],[L_Agua]]+Tabla_master_rend[[#This Row],[Kg_SalidaSecadero]])</f>
        <v>6.6866374237723337E-3</v>
      </c>
      <c r="BC243" s="8">
        <v>2526</v>
      </c>
      <c r="BD243" s="8">
        <v>2474</v>
      </c>
      <c r="BE243" s="8">
        <v>18369</v>
      </c>
      <c r="BF243" s="8">
        <v>253</v>
      </c>
      <c r="BG243" s="8">
        <v>180</v>
      </c>
      <c r="BH243" s="8">
        <v>21</v>
      </c>
      <c r="BI243" s="8">
        <v>63</v>
      </c>
      <c r="BJ243" s="8">
        <v>61</v>
      </c>
      <c r="BK243" s="8">
        <v>18569</v>
      </c>
      <c r="BL243" s="8">
        <v>0</v>
      </c>
      <c r="BM243" s="8">
        <v>105.57</v>
      </c>
      <c r="BN243" s="8">
        <v>18.559999999999999</v>
      </c>
      <c r="BO243" s="68">
        <f>+SUM(Tabla_master_rend[[#This Row],[B_altas]:[B_lab]])/Tabla_master_rend[[#This Row],[Kg_SalidaSecadero]]</f>
        <v>3.1127147396197964E-2</v>
      </c>
      <c r="BP243" s="68">
        <f>+(Tabla_master_rend[[#This Row],[Kg_mer_env_real]]+Tabla_master_rend[[#This Row],[kg_mer_lab_real]])/Tabla_master_rend[[#This Row],[Kg_SalidaSecadero]]</f>
        <v>6.684797242716355E-3</v>
      </c>
      <c r="BQ243" s="64">
        <f>+Tabla_master_rend[[#This Row],[Merma_TOT]]/Tabla_master_rend[[#This Row],[Kg_Queso_Blan]]</f>
        <v>1.7297183253922713E-2</v>
      </c>
      <c r="BR243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324.65999999999997</v>
      </c>
      <c r="BS243" s="138">
        <v>18110.669999999998</v>
      </c>
      <c r="BT243" s="63">
        <f>IF(+Tabla_master_rend[[#This Row],[Kg_Env_Total]]=0,0,Tabla_master_rend[[#This Row],[Kg_Env_Total]]-Tabla_master_rend[[#This Row],[Kg_SalidaSecadero]])</f>
        <v>-458.33000000000175</v>
      </c>
      <c r="BU243" s="60">
        <f>+Tabla_master_rend[[#This Row],[Diferencia_Env_vs_Sec_kg]]/Tabla_master_rend[[#This Row],[Kg_SalidaSecadero]]</f>
        <v>-2.4682535408476588E-2</v>
      </c>
      <c r="BV243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43" s="65">
        <f>+(Tabla_master_rend[[#This Row],[Coste_Leche_€]]-Tabla_master_rend[[#This Row],[Kg_MG_Nata]]*$CO$3)/Tabla_master_rend[[#This Row],[Kg_Queso_Blan]]</f>
        <v>-0.99816031621463086</v>
      </c>
      <c r="BX243" s="8">
        <f>SUM(Tabla_master_rend[[#This Row],[Kg_Finos]:[Kg_Desmoldeo]])+Tabla_master_rend[[#This Row],[L_Agua]]+SUM(Tabla_master_rend[[#This Row],[B_altas]:[B_lab]])</f>
        <v>778.53</v>
      </c>
      <c r="BY243" s="8">
        <f>+BX243-Tabla_master_rend[[#This Row],[Merma_TOT]]</f>
        <v>453.87</v>
      </c>
      <c r="BZ243" s="62">
        <f t="shared" si="94"/>
        <v>0.58298331470848908</v>
      </c>
      <c r="CA243" s="8">
        <f>+Tabla_master_rend[[#This Row],[Kg_Queso_Blan]]*$CA$1</f>
        <v>122.00194499999999</v>
      </c>
      <c r="CB243" s="8">
        <f>+Tabla_master_rend[[#This Row],[Kg_Queso_Blan]]*($CB$1-$CA$1)</f>
        <v>65.693355000000011</v>
      </c>
      <c r="CC243" s="8">
        <f>+(Tabla_master_rend[[#This Row],[Kg_Queso_Blan]]-CA243-CB243)*$CC$1</f>
        <v>195.10926435000002</v>
      </c>
      <c r="CD243" s="8">
        <f t="shared" si="95"/>
        <v>382.80456435000002</v>
      </c>
      <c r="CE243" s="80">
        <f>+CD243/Tabla_master_rend[[#This Row],[Kg_Queso_Blan]]</f>
        <v>2.0395000000000003E-2</v>
      </c>
      <c r="CF243" s="62">
        <f>+Tabla_master_rend[[#This Row],[Merma_TOT]]/Tabla_master_rend[[#This Row],[Kg_Queso_Blan]]</f>
        <v>1.7297183253922713E-2</v>
      </c>
      <c r="CG243" s="8">
        <f>CD243-Tabla_master_rend[[#This Row],[Merma_TOT]]</f>
        <v>58.144564350000053</v>
      </c>
      <c r="CH243" s="81" cm="1">
        <f t="array" ref="CH243">-BR243 * IFERROR(INDEX('Precio Leche_EBITDA_Ventas'!$BD$87:$BD$110,MATCH(1,('Precio Leche_EBITDA_Ventas'!$AZ$87:$AZ$110=YEAR(A243))*('Precio Leche_EBITDA_Ventas'!$BB$87:$BB$110=C243),0)),1.3)</f>
        <v>-1136.31</v>
      </c>
      <c r="CI243" s="81">
        <f t="shared" si="96"/>
        <v>75.587933655000072</v>
      </c>
    </row>
    <row r="244" spans="1:87" x14ac:dyDescent="0.35">
      <c r="A244" s="9">
        <v>46254</v>
      </c>
      <c r="B244" s="7">
        <v>8</v>
      </c>
      <c r="C244" s="7" t="str">
        <f>+UPPER(TEXT(Tabla_master_rend[[#This Row],[Fecha]],"MMM"))</f>
        <v>AGO</v>
      </c>
      <c r="D244" s="7" t="str">
        <f>+UPPER(TEXT(Tabla_master_rend[[#This Row],[Fecha]],"ddd"))</f>
        <v>JU</v>
      </c>
      <c r="E244" s="139">
        <v>200826916</v>
      </c>
      <c r="F244" s="122" t="s">
        <v>244</v>
      </c>
      <c r="G244" t="s">
        <v>445</v>
      </c>
      <c r="H244">
        <v>4</v>
      </c>
      <c r="I244" s="8">
        <f>+Tabla_master_rend[[#This Row],[L_Leche_ent]]+Tabla_master_rend[[#This Row],[L_desn_ext]]+Tabla_master_rend[[#This Row],[L_cabra]]+Tabla_master_rend[[#This Row],[L_oveja]]</f>
        <v>64195</v>
      </c>
      <c r="J244" s="8">
        <v>64195</v>
      </c>
      <c r="K244" s="66">
        <v>3.5000000000000003E-2</v>
      </c>
      <c r="L244" s="66">
        <v>3.2300000000000002E-2</v>
      </c>
      <c r="M244" s="5">
        <f t="shared" si="91"/>
        <v>0.104452</v>
      </c>
      <c r="N244" s="3" t="s">
        <v>43</v>
      </c>
      <c r="O244" s="8">
        <v>0</v>
      </c>
      <c r="P244" s="8">
        <v>0</v>
      </c>
      <c r="Q244" s="8">
        <v>0</v>
      </c>
      <c r="R244" s="8">
        <v>1954</v>
      </c>
      <c r="S244">
        <v>0</v>
      </c>
      <c r="T244" s="8">
        <v>55200</v>
      </c>
      <c r="U244" s="38">
        <f>+Tabla_master_rend[[#This Row],[L_suero Total]]/Tabla_master_rend[[#This Row],[Litros_Leche_Total]]</f>
        <v>0.85988005296362646</v>
      </c>
      <c r="V244" s="66">
        <v>1.6000000000000001E-3</v>
      </c>
      <c r="W244" s="66">
        <v>8.0999999999999996E-3</v>
      </c>
      <c r="X244" s="8">
        <f>114148/2</f>
        <v>57074</v>
      </c>
      <c r="Y244" s="57">
        <f>31314/2</f>
        <v>15657</v>
      </c>
      <c r="Z244" s="58">
        <f>IF(Tabla_master_rend[[#This Row],[L_suero para con]]=0,0,+Tabla_master_rend[[#This Row],[L_suero para con]]/Tabla_master_rend[[#This Row],[L_suero_con]])</f>
        <v>3.6452704860445806</v>
      </c>
      <c r="AA244" s="8">
        <f>+Tabla_master_rend[[#This Row],[L_suero Total]]-Tabla_master_rend[[#This Row],[L_suero para con]]</f>
        <v>-1874</v>
      </c>
      <c r="AD244" s="8">
        <f>59589/2</f>
        <v>29794.5</v>
      </c>
      <c r="AE244" s="8">
        <v>0</v>
      </c>
      <c r="AF244" s="8">
        <v>0</v>
      </c>
      <c r="AG244" s="140"/>
      <c r="AH244" s="140"/>
      <c r="AI244" s="7">
        <f>+Tabla_master_rend[[#This Row],[Kg_Finos]]+Tabla_master_rend[[#This Row],[Kg_Llenadora]]+Tabla_master_rend[[#This Row],[Kg_Desmoldeo]]+Tabla_master_rend[[#This Row],[L_Agua]]+Tabla_master_rend[[#This Row],[Kg_SalidaSecadero]]</f>
        <v>6700.62</v>
      </c>
      <c r="AJ244" s="59">
        <f>+Tabla_master_rend[[#This Row],[Litros_Leche_Total]]/Tabla_master_rend[[#This Row],[Kg_Queso_Blan]]</f>
        <v>9.5804567338544793</v>
      </c>
      <c r="AK244" s="59">
        <f>+Tabla_master_rend[[#This Row],[Litros_Leche_Total]]/(Tabla_master_rend[[#This Row],[Kg_Queso_Blan]]-Tabla_master_rend[[#This Row],[Merma_TOT]])</f>
        <v>9.7436699158214921</v>
      </c>
      <c r="AL244" s="59">
        <f>VLOOKUP(G244,REND_TARGET[#All],8,FALSE)</f>
        <v>9.8078500000000002</v>
      </c>
      <c r="AM244" s="7">
        <f>(I244*1.03*Tabla_master_rend[[#This Row],[%MG_Leche]])+(I244*1.03*Tabla_master_rend[[#This Row],[%MP_Leche]])</f>
        <v>4449.9332050000012</v>
      </c>
      <c r="AN244" s="137">
        <v>0.22869999999999999</v>
      </c>
      <c r="AO244" s="137">
        <v>0.2576</v>
      </c>
      <c r="AP244" s="64">
        <v>0.54179999999999995</v>
      </c>
      <c r="AQ244" s="38">
        <f>+Tabla_master_rend[[#This Row],[Kg_Queso_Blan]]*Tabla_master_rend[[#This Row],[ES_QUESO]]/(Tabla_master_rend[[#This Row],[Kg_Solidos_leche]])</f>
        <v>0.81583155268956409</v>
      </c>
      <c r="AR244" s="7">
        <f t="shared" si="92"/>
        <v>781.6</v>
      </c>
      <c r="AS244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0.99991446138828677</v>
      </c>
      <c r="AT244" s="62">
        <f>+Tabla_master_rend[[#This Row],[Kg_Queso_Blan]]*Tabla_master_rend[[#This Row],[%PT_QUESO]]/(Tabla_master_rend[[#This Row],[Litros_Leche_Total]]*1.03*Tabla_master_rend[[#This Row],[%MP_Leche]])</f>
        <v>0.80820195704557674</v>
      </c>
      <c r="AU244" s="7">
        <f t="shared" si="93"/>
        <v>5862</v>
      </c>
      <c r="AV244" s="8">
        <f>19.04/2</f>
        <v>9.52</v>
      </c>
      <c r="AW244" s="8">
        <v>15.1</v>
      </c>
      <c r="AX244" s="8">
        <v>4</v>
      </c>
      <c r="AY244" s="8">
        <f>SUM(Tabla_master_rend[[#This Row],[Kg_Finos]:[Kg_Desmoldeo]])</f>
        <v>28.619999999999997</v>
      </c>
      <c r="AZ244" s="60">
        <f>+(Tabla_master_rend[[#This Row],[Kg_Finos]]+Tabla_master_rend[[#This Row],[Kg_Llenadora]]+Tabla_master_rend[[#This Row],[Kg_Desmoldeo]])/(Tabla_master_rend[[#This Row],[Kg_Queso_Blan]])</f>
        <v>4.2712465413648282E-3</v>
      </c>
      <c r="BA244" s="7">
        <v>40</v>
      </c>
      <c r="BB244" s="60">
        <f>+Tabla_master_rend[[#This Row],[L_Agua]]/(Tabla_master_rend[[#This Row],[L_Agua]]+Tabla_master_rend[[#This Row],[Kg_SalidaSecadero]])</f>
        <v>5.9952038369304557E-3</v>
      </c>
      <c r="BC244" s="8">
        <v>886</v>
      </c>
      <c r="BD244" s="8">
        <v>860</v>
      </c>
      <c r="BE244" s="8">
        <v>6513</v>
      </c>
      <c r="BF244" s="8">
        <v>128</v>
      </c>
      <c r="BG244" s="8">
        <v>102</v>
      </c>
      <c r="BH244" s="8">
        <v>0</v>
      </c>
      <c r="BI244" s="8">
        <v>24</v>
      </c>
      <c r="BJ244" s="8">
        <v>33</v>
      </c>
      <c r="BK244" s="8">
        <v>6632</v>
      </c>
      <c r="BL244" s="8">
        <v>0</v>
      </c>
      <c r="BM244" s="8">
        <v>30.69</v>
      </c>
      <c r="BN244" s="8">
        <v>12.93</v>
      </c>
      <c r="BO244" s="68">
        <f>+SUM(Tabla_master_rend[[#This Row],[B_altas]:[B_lab]])/Tabla_master_rend[[#This Row],[Kg_SalidaSecadero]]</f>
        <v>4.3275030156815442E-2</v>
      </c>
      <c r="BP244" s="68">
        <f>+(Tabla_master_rend[[#This Row],[Kg_mer_env_real]]+Tabla_master_rend[[#This Row],[kg_mer_lab_real]])/Tabla_master_rend[[#This Row],[Kg_SalidaSecadero]]</f>
        <v>6.5772014475271416E-3</v>
      </c>
      <c r="BQ244" s="64">
        <f>+Tabla_master_rend[[#This Row],[Merma_TOT]]/Tabla_master_rend[[#This Row],[Kg_Queso_Blan]]</f>
        <v>1.6750688742235793E-2</v>
      </c>
      <c r="BR244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112.24</v>
      </c>
      <c r="BS244" s="138">
        <v>6442.29</v>
      </c>
      <c r="BT244" s="63">
        <f>IF(+Tabla_master_rend[[#This Row],[Kg_Env_Total]]=0,0,Tabla_master_rend[[#This Row],[Kg_Env_Total]]-Tabla_master_rend[[#This Row],[Kg_SalidaSecadero]])</f>
        <v>-189.71000000000004</v>
      </c>
      <c r="BU244" s="60">
        <f>+Tabla_master_rend[[#This Row],[Diferencia_Env_vs_Sec_kg]]/Tabla_master_rend[[#This Row],[Kg_SalidaSecadero]]</f>
        <v>-2.8605247285886617E-2</v>
      </c>
      <c r="BV244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44" s="65">
        <f>+(Tabla_master_rend[[#This Row],[Coste_Leche_€]]-Tabla_master_rend[[#This Row],[Kg_MG_Nata]]*$CO$3)/Tabla_master_rend[[#This Row],[Kg_Queso_Blan]]</f>
        <v>-0.87484441738227214</v>
      </c>
      <c r="BX244" s="8">
        <f>SUM(Tabla_master_rend[[#This Row],[Kg_Finos]:[Kg_Desmoldeo]])+Tabla_master_rend[[#This Row],[L_Agua]]+SUM(Tabla_master_rend[[#This Row],[B_altas]:[B_lab]])</f>
        <v>355.62</v>
      </c>
      <c r="BY244" s="8">
        <f>+BX244-Tabla_master_rend[[#This Row],[Merma_TOT]]</f>
        <v>243.38</v>
      </c>
      <c r="BZ244" s="62">
        <f t="shared" si="94"/>
        <v>0.68438220572521224</v>
      </c>
      <c r="CA244" s="8">
        <f>+Tabla_master_rend[[#This Row],[Kg_Queso_Blan]]*$CA$1</f>
        <v>43.554029999999997</v>
      </c>
      <c r="CB244" s="8">
        <f>+Tabla_master_rend[[#This Row],[Kg_Queso_Blan]]*($CB$1-$CA$1)</f>
        <v>23.452170000000002</v>
      </c>
      <c r="CC244" s="8">
        <f>+(Tabla_master_rend[[#This Row],[Kg_Queso_Blan]]-CA244-CB244)*$CC$1</f>
        <v>69.652944900000008</v>
      </c>
      <c r="CD244" s="8">
        <f t="shared" si="95"/>
        <v>136.6591449</v>
      </c>
      <c r="CE244" s="80">
        <f>+CD244/Tabla_master_rend[[#This Row],[Kg_Queso_Blan]]</f>
        <v>2.0395E-2</v>
      </c>
      <c r="CF244" s="62">
        <f>+Tabla_master_rend[[#This Row],[Merma_TOT]]/Tabla_master_rend[[#This Row],[Kg_Queso_Blan]]</f>
        <v>1.6750688742235793E-2</v>
      </c>
      <c r="CG244" s="8">
        <f>CD244-Tabla_master_rend[[#This Row],[Merma_TOT]]</f>
        <v>24.419144900000006</v>
      </c>
      <c r="CH244" s="81" cm="1">
        <f t="array" ref="CH244">-BR244 * IFERROR(INDEX('Precio Leche_EBITDA_Ventas'!$BD$87:$BD$110,MATCH(1,('Precio Leche_EBITDA_Ventas'!$AZ$87:$AZ$110=YEAR(A244))*('Precio Leche_EBITDA_Ventas'!$BB$87:$BB$110=C244),0)),1.3)</f>
        <v>-392.84</v>
      </c>
      <c r="CI244" s="81">
        <f t="shared" si="96"/>
        <v>31.744888370000009</v>
      </c>
    </row>
    <row r="245" spans="1:87" x14ac:dyDescent="0.35">
      <c r="A245" s="9">
        <v>46254</v>
      </c>
      <c r="B245" s="7">
        <v>8</v>
      </c>
      <c r="C245" s="7" t="str">
        <f>+UPPER(TEXT(Tabla_master_rend[[#This Row],[Fecha]],"MMM"))</f>
        <v>AGO</v>
      </c>
      <c r="D245" s="7" t="str">
        <f>+UPPER(TEXT(Tabla_master_rend[[#This Row],[Fecha]],"ddd"))</f>
        <v>JU</v>
      </c>
      <c r="E245" s="139">
        <v>200826316</v>
      </c>
      <c r="F245" s="122" t="s">
        <v>244</v>
      </c>
      <c r="G245" s="84" t="s">
        <v>299</v>
      </c>
      <c r="H245">
        <v>4</v>
      </c>
      <c r="I245" s="8">
        <f>+Tabla_master_rend[[#This Row],[L_Leche_ent]]+Tabla_master_rend[[#This Row],[L_desn_ext]]+Tabla_master_rend[[#This Row],[L_cabra]]+Tabla_master_rend[[#This Row],[L_oveja]]</f>
        <v>64193</v>
      </c>
      <c r="J245" s="8">
        <v>64193</v>
      </c>
      <c r="K245" s="66">
        <v>3.49E-2</v>
      </c>
      <c r="L245" s="66">
        <v>3.2300000000000002E-2</v>
      </c>
      <c r="M245" s="5">
        <f t="shared" si="91"/>
        <v>0.10435900000000001</v>
      </c>
      <c r="N245" s="3" t="s">
        <v>43</v>
      </c>
      <c r="O245" s="8">
        <v>0</v>
      </c>
      <c r="P245" s="8">
        <v>0</v>
      </c>
      <c r="Q245" s="8">
        <v>0</v>
      </c>
      <c r="R245" s="8">
        <v>1953</v>
      </c>
      <c r="S245">
        <v>0</v>
      </c>
      <c r="T245" s="8">
        <v>55200</v>
      </c>
      <c r="U245" s="38">
        <f>+Tabla_master_rend[[#This Row],[L_suero Total]]/Tabla_master_rend[[#This Row],[Litros_Leche_Total]]</f>
        <v>0.85990684342529555</v>
      </c>
      <c r="V245" s="66">
        <v>1.6000000000000001E-3</v>
      </c>
      <c r="W245" s="66">
        <v>8.0999999999999996E-3</v>
      </c>
      <c r="X245" s="8">
        <f>114148/2</f>
        <v>57074</v>
      </c>
      <c r="Y245" s="57">
        <f>31314/2</f>
        <v>15657</v>
      </c>
      <c r="Z245" s="58">
        <f>IF(Tabla_master_rend[[#This Row],[L_suero para con]]=0,0,+Tabla_master_rend[[#This Row],[L_suero para con]]/Tabla_master_rend[[#This Row],[L_suero_con]])</f>
        <v>3.6452704860445806</v>
      </c>
      <c r="AA245" s="8">
        <f>+Tabla_master_rend[[#This Row],[L_suero Total]]-Tabla_master_rend[[#This Row],[L_suero para con]]</f>
        <v>-1874</v>
      </c>
      <c r="AD245" s="8">
        <f>59589/2</f>
        <v>29794.5</v>
      </c>
      <c r="AE245" s="8">
        <v>0</v>
      </c>
      <c r="AF245" s="8">
        <v>0</v>
      </c>
      <c r="AG245" s="140"/>
      <c r="AH245" s="140"/>
      <c r="AI245" s="7">
        <f>+Tabla_master_rend[[#This Row],[Kg_Finos]]+Tabla_master_rend[[#This Row],[Kg_Llenadora]]+Tabla_master_rend[[#This Row],[Kg_Desmoldeo]]+Tabla_master_rend[[#This Row],[L_Agua]]+Tabla_master_rend[[#This Row],[Kg_SalidaSecadero]]</f>
        <v>6518.52</v>
      </c>
      <c r="AJ245" s="59">
        <f>+Tabla_master_rend[[#This Row],[Litros_Leche_Total]]/Tabla_master_rend[[#This Row],[Kg_Queso_Blan]]</f>
        <v>9.847787534593742</v>
      </c>
      <c r="AK245" s="59">
        <f>+Tabla_master_rend[[#This Row],[Litros_Leche_Total]]/(Tabla_master_rend[[#This Row],[Kg_Queso_Blan]]-Tabla_master_rend[[#This Row],[Merma_TOT]])</f>
        <v>10.129120926805175</v>
      </c>
      <c r="AL245" s="59">
        <f>VLOOKUP(G245,REND_TARGET[#All],8,FALSE)</f>
        <v>9.8078500000000002</v>
      </c>
      <c r="AM245" s="7">
        <f>(I245*1.03*Tabla_master_rend[[#This Row],[%MG_Leche]])+(I245*1.03*Tabla_master_rend[[#This Row],[%MP_Leche]])</f>
        <v>4443.1826880000008</v>
      </c>
      <c r="AN245" s="137">
        <v>0.23150000000000001</v>
      </c>
      <c r="AO245" s="137">
        <v>0.2631</v>
      </c>
      <c r="AP245" s="64">
        <v>0.54720000000000002</v>
      </c>
      <c r="AQ245" s="38">
        <f>+Tabla_master_rend[[#This Row],[Kg_Queso_Blan]]*Tabla_master_rend[[#This Row],[ES_QUESO]]/(Tabla_master_rend[[#This Row],[Kg_Solidos_leche]])</f>
        <v>0.80278809008539231</v>
      </c>
      <c r="AR245" s="7">
        <f t="shared" si="92"/>
        <v>781.2</v>
      </c>
      <c r="AS245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0.99249922093961362</v>
      </c>
      <c r="AT245" s="62">
        <f>+Tabla_master_rend[[#This Row],[Kg_Queso_Blan]]*Tabla_master_rend[[#This Row],[%PT_QUESO]]/(Tabla_master_rend[[#This Row],[Litros_Leche_Total]]*1.03*Tabla_master_rend[[#This Row],[%MP_Leche]])</f>
        <v>0.80304971240577216</v>
      </c>
      <c r="AU245" s="7">
        <f t="shared" si="93"/>
        <v>5859</v>
      </c>
      <c r="AV245" s="8">
        <f>19.04/2</f>
        <v>9.52</v>
      </c>
      <c r="AW245" s="8">
        <v>15.1</v>
      </c>
      <c r="AX245" s="8">
        <v>3.9</v>
      </c>
      <c r="AY245" s="8">
        <f>SUM(Tabla_master_rend[[#This Row],[Kg_Finos]:[Kg_Desmoldeo]])</f>
        <v>28.519999999999996</v>
      </c>
      <c r="AZ245" s="60">
        <f>+(Tabla_master_rend[[#This Row],[Kg_Finos]]+Tabla_master_rend[[#This Row],[Kg_Llenadora]]+Tabla_master_rend[[#This Row],[Kg_Desmoldeo]])/(Tabla_master_rend[[#This Row],[Kg_Queso_Blan]])</f>
        <v>4.3752262783576627E-3</v>
      </c>
      <c r="BA245" s="7">
        <v>40</v>
      </c>
      <c r="BB245" s="60">
        <f>+Tabla_master_rend[[#This Row],[L_Agua]]/(Tabla_master_rend[[#This Row],[L_Agua]]+Tabla_master_rend[[#This Row],[Kg_SalidaSecadero]])</f>
        <v>6.1633281972265025E-3</v>
      </c>
      <c r="BC245" s="8">
        <v>871</v>
      </c>
      <c r="BD245" s="8">
        <v>834</v>
      </c>
      <c r="BE245" s="8">
        <v>6249</v>
      </c>
      <c r="BF245" s="8">
        <v>33</v>
      </c>
      <c r="BG245" s="8">
        <v>91</v>
      </c>
      <c r="BH245" s="8">
        <v>7</v>
      </c>
      <c r="BI245" s="8">
        <v>104</v>
      </c>
      <c r="BJ245" s="8">
        <v>39</v>
      </c>
      <c r="BK245" s="8">
        <v>6450</v>
      </c>
      <c r="BL245" s="8">
        <v>0</v>
      </c>
      <c r="BM245" s="8">
        <v>106.48</v>
      </c>
      <c r="BN245" s="8">
        <v>6.05</v>
      </c>
      <c r="BO245" s="68">
        <f>+SUM(Tabla_master_rend[[#This Row],[B_altas]:[B_lab]])/Tabla_master_rend[[#This Row],[Kg_SalidaSecadero]]</f>
        <v>4.2480620155038756E-2</v>
      </c>
      <c r="BP245" s="68">
        <f>+(Tabla_master_rend[[#This Row],[Kg_mer_env_real]]+Tabla_master_rend[[#This Row],[kg_mer_lab_real]])/Tabla_master_rend[[#This Row],[Kg_SalidaSecadero]]</f>
        <v>1.7446511627906978E-2</v>
      </c>
      <c r="BQ245" s="64">
        <f>+Tabla_master_rend[[#This Row],[Merma_TOT]]/Tabla_master_rend[[#This Row],[Kg_Queso_Blan]]</f>
        <v>2.7774709596656909E-2</v>
      </c>
      <c r="BR245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181.05</v>
      </c>
      <c r="BS245" s="138">
        <v>6327.8300000000008</v>
      </c>
      <c r="BT245" s="63">
        <f>IF(+Tabla_master_rend[[#This Row],[Kg_Env_Total]]=0,0,Tabla_master_rend[[#This Row],[Kg_Env_Total]]-Tabla_master_rend[[#This Row],[Kg_SalidaSecadero]])</f>
        <v>-122.16999999999916</v>
      </c>
      <c r="BU245" s="60">
        <f>+Tabla_master_rend[[#This Row],[Diferencia_Env_vs_Sec_kg]]/Tabla_master_rend[[#This Row],[Kg_SalidaSecadero]]</f>
        <v>-1.8941085271317701E-2</v>
      </c>
      <c r="BV245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45" s="65">
        <f>+(Tabla_master_rend[[#This Row],[Coste_Leche_€]]-Tabla_master_rend[[#This Row],[Kg_MG_Nata]]*$CO$3)/Tabla_master_rend[[#This Row],[Kg_Queso_Blan]]</f>
        <v>-0.89882365935825914</v>
      </c>
      <c r="BX245" s="8">
        <f>SUM(Tabla_master_rend[[#This Row],[Kg_Finos]:[Kg_Desmoldeo]])+Tabla_master_rend[[#This Row],[L_Agua]]+SUM(Tabla_master_rend[[#This Row],[B_altas]:[B_lab]])</f>
        <v>342.52</v>
      </c>
      <c r="BY245" s="8">
        <f>+BX245-Tabla_master_rend[[#This Row],[Merma_TOT]]</f>
        <v>161.46999999999997</v>
      </c>
      <c r="BZ245" s="62">
        <f t="shared" si="94"/>
        <v>0.47141772743197469</v>
      </c>
      <c r="CA245" s="8">
        <f>+Tabla_master_rend[[#This Row],[Kg_Queso_Blan]]*$CA$1</f>
        <v>42.370380000000004</v>
      </c>
      <c r="CB245" s="8">
        <f>+Tabla_master_rend[[#This Row],[Kg_Queso_Blan]]*($CB$1-$CA$1)</f>
        <v>22.814820000000005</v>
      </c>
      <c r="CC245" s="8">
        <f>+(Tabla_master_rend[[#This Row],[Kg_Queso_Blan]]-CA245-CB245)*$CC$1</f>
        <v>67.760015400000015</v>
      </c>
      <c r="CD245" s="8">
        <f t="shared" si="95"/>
        <v>132.94521540000002</v>
      </c>
      <c r="CE245" s="80">
        <f>+CD245/Tabla_master_rend[[#This Row],[Kg_Queso_Blan]]</f>
        <v>2.0395000000000003E-2</v>
      </c>
      <c r="CF245" s="62">
        <f>+Tabla_master_rend[[#This Row],[Merma_TOT]]/Tabla_master_rend[[#This Row],[Kg_Queso_Blan]]</f>
        <v>2.7774709596656909E-2</v>
      </c>
      <c r="CG245" s="8">
        <f>CD245-Tabla_master_rend[[#This Row],[Merma_TOT]]</f>
        <v>-48.104784599999988</v>
      </c>
      <c r="CH245" s="81" cm="1">
        <f t="array" ref="CH245">-BR245 * IFERROR(INDEX('Precio Leche_EBITDA_Ventas'!$BD$87:$BD$110,MATCH(1,('Precio Leche_EBITDA_Ventas'!$AZ$87:$AZ$110=YEAR(A245))*('Precio Leche_EBITDA_Ventas'!$BB$87:$BB$110=C245),0)),1.3)</f>
        <v>-633.67500000000007</v>
      </c>
      <c r="CI245" s="81">
        <f t="shared" si="96"/>
        <v>-62.536219979999984</v>
      </c>
    </row>
    <row r="246" spans="1:87" x14ac:dyDescent="0.35">
      <c r="A246" s="9">
        <v>46261</v>
      </c>
      <c r="B246" s="7">
        <v>8</v>
      </c>
      <c r="C246" s="7" t="str">
        <f>+UPPER(TEXT(Tabla_master_rend[[#This Row],[Fecha]],"MMM"))</f>
        <v>AGO</v>
      </c>
      <c r="D246" s="7" t="str">
        <f>+UPPER(TEXT(Tabla_master_rend[[#This Row],[Fecha]],"ddd"))</f>
        <v>JU</v>
      </c>
      <c r="E246" s="139">
        <v>270826346</v>
      </c>
      <c r="F246" s="122" t="s">
        <v>244</v>
      </c>
      <c r="G246" t="s">
        <v>40</v>
      </c>
      <c r="H246">
        <v>10</v>
      </c>
      <c r="I246" s="8">
        <f>+Tabla_master_rend[[#This Row],[L_Leche_ent]]+Tabla_master_rend[[#This Row],[L_desn_ext]]+Tabla_master_rend[[#This Row],[L_cabra]]+Tabla_master_rend[[#This Row],[L_oveja]]</f>
        <v>155417</v>
      </c>
      <c r="J246" s="8">
        <v>155417</v>
      </c>
      <c r="K246" s="66">
        <v>3.5499999999999997E-2</v>
      </c>
      <c r="L246" s="66">
        <v>3.3000000000000002E-2</v>
      </c>
      <c r="M246" s="5">
        <f>0.93*K246+0.74*L246+0.048</f>
        <v>0.105435</v>
      </c>
      <c r="N246" s="3" t="s">
        <v>188</v>
      </c>
      <c r="O246" s="8">
        <v>0</v>
      </c>
      <c r="P246" s="8">
        <v>0</v>
      </c>
      <c r="Q246" s="8">
        <v>0</v>
      </c>
      <c r="R246" s="8">
        <v>550</v>
      </c>
      <c r="S246">
        <v>0</v>
      </c>
      <c r="T246" s="8">
        <v>134610</v>
      </c>
      <c r="U246" s="38">
        <f>+Tabla_master_rend[[#This Row],[L_suero Total]]/Tabla_master_rend[[#This Row],[Litros_Leche_Total]]</f>
        <v>0.86612146676361013</v>
      </c>
      <c r="V246" s="66">
        <v>0</v>
      </c>
      <c r="W246" s="66">
        <v>9.4999999999999998E-3</v>
      </c>
      <c r="X246" s="8">
        <v>67461</v>
      </c>
      <c r="Y246" s="57">
        <v>16329</v>
      </c>
      <c r="Z246" s="58">
        <f>IF(Tabla_master_rend[[#This Row],[L_suero para con]]=0,0,+Tabla_master_rend[[#This Row],[L_suero para con]]/Tabla_master_rend[[#This Row],[L_suero_con]])</f>
        <v>4.1313613815910344</v>
      </c>
      <c r="AA246" s="8">
        <f>+Tabla_master_rend[[#This Row],[L_suero Total]]-Tabla_master_rend[[#This Row],[L_suero para con]]</f>
        <v>67149</v>
      </c>
      <c r="AD246" s="8">
        <v>25696</v>
      </c>
      <c r="AE246" s="8">
        <v>0</v>
      </c>
      <c r="AF246" s="8">
        <v>0</v>
      </c>
      <c r="AG246" s="140"/>
      <c r="AH246" s="140"/>
      <c r="AI246" s="7">
        <f>+Tabla_master_rend[[#This Row],[Kg_Finos]]+Tabla_master_rend[[#This Row],[Kg_Llenadora]]+Tabla_master_rend[[#This Row],[Kg_Desmoldeo]]+Tabla_master_rend[[#This Row],[L_Agua]]+Tabla_master_rend[[#This Row],[Kg_SalidaSecadero]]</f>
        <v>18101.36</v>
      </c>
      <c r="AJ246" s="59">
        <f>+Tabla_master_rend[[#This Row],[Litros_Leche_Total]]/Tabla_master_rend[[#This Row],[Kg_Queso_Blan]]</f>
        <v>8.5859294550243739</v>
      </c>
      <c r="AK246" s="59">
        <f>+Tabla_master_rend[[#This Row],[Litros_Leche_Total]]/(Tabla_master_rend[[#This Row],[Kg_Queso_Blan]]-Tabla_master_rend[[#This Row],[Merma_TOT]])</f>
        <v>8.7748905234773211</v>
      </c>
      <c r="AL246" s="59">
        <f>VLOOKUP(G246,REND_TARGET[#All],8,FALSE)</f>
        <v>8.9338729999999984</v>
      </c>
      <c r="AM246" s="7">
        <f>(I246*1.03*Tabla_master_rend[[#This Row],[%MG_Leche]])+(I246*1.03*Tabla_master_rend[[#This Row],[%MP_Leche]])</f>
        <v>10965.446435</v>
      </c>
      <c r="AN246" s="137">
        <v>0.30640000000000001</v>
      </c>
      <c r="AO246" s="137">
        <v>0.23519999999999999</v>
      </c>
      <c r="AP246" s="64">
        <v>0.5857</v>
      </c>
      <c r="AQ246" s="38">
        <f>+Tabla_master_rend[[#This Row],[Kg_Queso_Blan]]*Tabla_master_rend[[#This Row],[ES_QUESO]]/(Tabla_master_rend[[#This Row],[Kg_Solidos_leche]])</f>
        <v>0.96685224945882475</v>
      </c>
      <c r="AR246" s="7">
        <f>R246*0.4</f>
        <v>220</v>
      </c>
      <c r="AS246" s="61">
        <f>+(Tabla_master_rend[[#This Row],[Kg_Queso_Blan]]*Tabla_master_rend[[#This Row],[%MG_QUESO]]+(Tabla_master_rend[[#This Row],[Kg_MG_Nata]]))/(Tabla_master_rend[[#This Row],[Litros_Leche_Total]]*1.03*Tabla_master_rend[[#This Row],[%MG_Leche]])</f>
        <v>1.0146818059966525</v>
      </c>
      <c r="AT246" s="62">
        <f>+Tabla_master_rend[[#This Row],[Kg_Queso_Blan]]*Tabla_master_rend[[#This Row],[%PT_QUESO]]/(Tabla_master_rend[[#This Row],[Litros_Leche_Total]]*1.03*Tabla_master_rend[[#This Row],[%MP_Leche]])</f>
        <v>0.80593281085471491</v>
      </c>
      <c r="AU246" s="7">
        <f>AR246*$CO$3</f>
        <v>1650</v>
      </c>
      <c r="AV246" s="8">
        <v>39.86</v>
      </c>
      <c r="AW246" s="8">
        <v>15.3</v>
      </c>
      <c r="AX246" s="8">
        <v>11.2</v>
      </c>
      <c r="AY246" s="8">
        <f>SUM(Tabla_master_rend[[#This Row],[Kg_Finos]:[Kg_Desmoldeo]])</f>
        <v>66.36</v>
      </c>
      <c r="AZ246" s="60">
        <f>+(Tabla_master_rend[[#This Row],[Kg_Finos]]+Tabla_master_rend[[#This Row],[Kg_Llenadora]]+Tabla_master_rend[[#This Row],[Kg_Desmoldeo]])/(Tabla_master_rend[[#This Row],[Kg_Queso_Blan]])</f>
        <v>3.6660228844683494E-3</v>
      </c>
      <c r="BA246" s="7">
        <v>100</v>
      </c>
      <c r="BB246" s="60">
        <f>+Tabla_master_rend[[#This Row],[L_Agua]]/(Tabla_master_rend[[#This Row],[L_Agua]]+Tabla_master_rend[[#This Row],[Kg_SalidaSecadero]])</f>
        <v>5.5447740504574435E-3</v>
      </c>
      <c r="BC246" s="8">
        <v>2458</v>
      </c>
      <c r="BD246" s="8">
        <v>2385</v>
      </c>
      <c r="BE246" s="8">
        <v>17554</v>
      </c>
      <c r="BF246" s="8">
        <v>237</v>
      </c>
      <c r="BG246" s="8">
        <v>102</v>
      </c>
      <c r="BH246" s="8">
        <v>6</v>
      </c>
      <c r="BI246" s="8">
        <v>245</v>
      </c>
      <c r="BJ246" s="8">
        <v>128</v>
      </c>
      <c r="BK246" s="8">
        <v>17935</v>
      </c>
      <c r="BL246" s="8">
        <v>0</v>
      </c>
      <c r="BM246" s="8">
        <v>192.72</v>
      </c>
      <c r="BN246" s="8">
        <v>30.72</v>
      </c>
      <c r="BO246" s="68">
        <f>+SUM(Tabla_master_rend[[#This Row],[B_altas]:[B_lab]])/Tabla_master_rend[[#This Row],[Kg_SalidaSecadero]]</f>
        <v>4.0033454139949819E-2</v>
      </c>
      <c r="BP246" s="68">
        <f>+(Tabla_master_rend[[#This Row],[Kg_mer_env_real]]+Tabla_master_rend[[#This Row],[kg_mer_lab_real]])/Tabla_master_rend[[#This Row],[Kg_SalidaSecadero]]</f>
        <v>1.2458321717312518E-2</v>
      </c>
      <c r="BQ246" s="64">
        <f>+Tabla_master_rend[[#This Row],[Merma_TOT]]/Tabla_master_rend[[#This Row],[Kg_Queso_Blan]]</f>
        <v>2.1534293555843319E-2</v>
      </c>
      <c r="BR246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389.8</v>
      </c>
      <c r="BS246" s="138">
        <v>17242.150000000001</v>
      </c>
      <c r="BT246" s="63">
        <f>IF(+Tabla_master_rend[[#This Row],[Kg_Env_Total]]=0,0,Tabla_master_rend[[#This Row],[Kg_Env_Total]]-Tabla_master_rend[[#This Row],[Kg_SalidaSecadero]])</f>
        <v>-692.84999999999854</v>
      </c>
      <c r="BU246" s="60">
        <f>+Tabla_master_rend[[#This Row],[Diferencia_Env_vs_Sec_kg]]/Tabla_master_rend[[#This Row],[Kg_SalidaSecadero]]</f>
        <v>-3.8631168107053165E-2</v>
      </c>
      <c r="BV246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46" s="65">
        <f>+(Tabla_master_rend[[#This Row],[Coste_Leche_€]]-Tabla_master_rend[[#This Row],[Kg_MG_Nata]]*$CO$3)/Tabla_master_rend[[#This Row],[Kg_Queso_Blan]]</f>
        <v>-9.1153371901337793E-2</v>
      </c>
      <c r="BX246" s="8">
        <f>SUM(Tabla_master_rend[[#This Row],[Kg_Finos]:[Kg_Desmoldeo]])+Tabla_master_rend[[#This Row],[L_Agua]]+SUM(Tabla_master_rend[[#This Row],[B_altas]:[B_lab]])</f>
        <v>884.36</v>
      </c>
      <c r="BY246" s="8">
        <f>+BX246-Tabla_master_rend[[#This Row],[Merma_TOT]]</f>
        <v>494.56</v>
      </c>
      <c r="BZ246" s="62">
        <f>+BY246/BX246</f>
        <v>0.55922927314668236</v>
      </c>
      <c r="CA246" s="8">
        <f>+Tabla_master_rend[[#This Row],[Kg_Queso_Blan]]*$CA$1</f>
        <v>117.65884</v>
      </c>
      <c r="CB246" s="8">
        <f>+Tabla_master_rend[[#This Row],[Kg_Queso_Blan]]*($CB$1-$CA$1)</f>
        <v>63.354760000000013</v>
      </c>
      <c r="CC246" s="8">
        <f>+(Tabla_master_rend[[#This Row],[Kg_Queso_Blan]]-CA246-CB246)*$CC$1</f>
        <v>188.16363720000004</v>
      </c>
      <c r="CD246" s="8">
        <f>+CA246+CB246+CC246</f>
        <v>369.17723720000004</v>
      </c>
      <c r="CE246" s="80">
        <f>+CD246/Tabla_master_rend[[#This Row],[Kg_Queso_Blan]]</f>
        <v>2.0395E-2</v>
      </c>
      <c r="CF246" s="62">
        <f>+Tabla_master_rend[[#This Row],[Merma_TOT]]/Tabla_master_rend[[#This Row],[Kg_Queso_Blan]]</f>
        <v>2.1534293555843319E-2</v>
      </c>
      <c r="CG246" s="8">
        <f>CD246-Tabla_master_rend[[#This Row],[Merma_TOT]]</f>
        <v>-20.622762799999975</v>
      </c>
      <c r="CH246" s="81" cm="1">
        <f t="array" ref="CH246">-BR246 * IFERROR(INDEX('Precio Leche_EBITDA_Ventas'!$BD$87:$BD$110,MATCH(1,('Precio Leche_EBITDA_Ventas'!$AZ$87:$AZ$110=YEAR(A246))*('Precio Leche_EBITDA_Ventas'!$BB$87:$BB$110=C246),0)),1.3)</f>
        <v>-1364.3</v>
      </c>
      <c r="CI246" s="81">
        <f>+CG246*$CM$2</f>
        <v>-26.809591639999969</v>
      </c>
    </row>
    <row r="247" spans="1:87" x14ac:dyDescent="0.35">
      <c r="A247" s="9">
        <v>46288</v>
      </c>
      <c r="B247" s="7">
        <v>9</v>
      </c>
      <c r="C247" s="7" t="str">
        <f>+UPPER(TEXT(Tabla_master_rend[[#This Row],[Fecha]],"MMM"))</f>
        <v>SEP</v>
      </c>
      <c r="D247" s="7" t="str">
        <f>+UPPER(TEXT(Tabla_master_rend[[#This Row],[Fecha]],"ddd"))</f>
        <v>MI</v>
      </c>
      <c r="E247" s="122">
        <v>230926316</v>
      </c>
      <c r="F247" s="122" t="s">
        <v>244</v>
      </c>
      <c r="G247" s="84" t="s">
        <v>299</v>
      </c>
      <c r="H247">
        <v>10</v>
      </c>
      <c r="I247" s="8">
        <f>+Tabla_master_rend[[#This Row],[L_Leche_ent]]+Tabla_master_rend[[#This Row],[L_desn_ext]]+Tabla_master_rend[[#This Row],[L_cabra]]+Tabla_master_rend[[#This Row],[L_oveja]]</f>
        <v>152718</v>
      </c>
      <c r="J247" s="8">
        <v>152718</v>
      </c>
      <c r="K247" s="66">
        <v>3.4500000000000003E-2</v>
      </c>
      <c r="L247" s="66">
        <v>3.3399999999999999E-2</v>
      </c>
      <c r="M247" s="5">
        <f>0.93*K247+0.74*L247+0.048</f>
        <v>0.10480100000000001</v>
      </c>
      <c r="N247" s="3" t="s">
        <v>43</v>
      </c>
      <c r="O247" s="8">
        <v>0</v>
      </c>
      <c r="P247" s="8">
        <v>0</v>
      </c>
      <c r="Q247" s="8">
        <v>0</v>
      </c>
      <c r="R247" s="8">
        <v>4212</v>
      </c>
      <c r="S247">
        <v>0</v>
      </c>
      <c r="T247" s="8">
        <v>138530</v>
      </c>
      <c r="U247" s="38">
        <f>+Tabla_master_rend[[#This Row],[L_suero Total]]/Tabla_master_rend[[#This Row],[Litros_Leche_Total]]</f>
        <v>0.90709674039733368</v>
      </c>
      <c r="V247" s="66">
        <v>1.4E-3</v>
      </c>
      <c r="W247" s="66">
        <v>7.9000000000000008E-3</v>
      </c>
      <c r="X247" s="8">
        <v>52269</v>
      </c>
      <c r="Y247" s="57">
        <v>12625</v>
      </c>
      <c r="Z247" s="58">
        <f>IF(Tabla_master_rend[[#This Row],[L_suero para con]]=0,0,+Tabla_master_rend[[#This Row],[L_suero para con]]/Tabla_master_rend[[#This Row],[L_suero_con]])</f>
        <v>4.1401188118811882</v>
      </c>
      <c r="AA247" s="8">
        <f>+Tabla_master_rend[[#This Row],[L_suero Total]]-Tabla_master_rend[[#This Row],[L_suero para con]]</f>
        <v>86261</v>
      </c>
      <c r="AD247" s="8">
        <v>30857</v>
      </c>
      <c r="AE247" s="8">
        <v>0</v>
      </c>
      <c r="AF247" s="8">
        <v>0</v>
      </c>
      <c r="AG247" s="140"/>
      <c r="AH247" s="140"/>
      <c r="AI247" s="7">
        <f>+Tabla_master_rend[[#This Row],[Kg_Finos]]+Tabla_master_rend[[#This Row],[Kg_Llenadora]]+Tabla_master_rend[[#This Row],[Kg_Desmoldeo]]+Tabla_master_rend[[#This Row],[L_Agua]]+Tabla_master_rend[[#This Row],[Kg_SalidaSecadero]]</f>
        <v>16440.3</v>
      </c>
      <c r="AJ247" s="59">
        <f>+Tabla_master_rend[[#This Row],[Litros_Leche_Total]]/Tabla_master_rend[[#This Row],[Kg_Queso_Blan]]</f>
        <v>9.2892465465958658</v>
      </c>
      <c r="AK247" s="59">
        <f>+Tabla_master_rend[[#This Row],[Litros_Leche_Total]]/(Tabla_master_rend[[#This Row],[Kg_Queso_Blan]]-Tabla_master_rend[[#This Row],[Merma_TOT]])</f>
        <v>9.4571774117139995</v>
      </c>
      <c r="AL247" s="59">
        <f>VLOOKUP(G247,REND_TARGET[#All],8,FALSE)</f>
        <v>9.8078500000000002</v>
      </c>
      <c r="AM247" s="7">
        <f>(I247*1.03*Tabla_master_rend[[#This Row],[%MG_Leche]])+(I247*1.03*Tabla_master_rend[[#This Row],[%MP_Leche]])</f>
        <v>10680.638766</v>
      </c>
      <c r="AN247" s="137">
        <v>0.22620000000000001</v>
      </c>
      <c r="AO247" s="137">
        <v>0.25419999999999998</v>
      </c>
      <c r="AP247" s="64">
        <v>0.53280000000000005</v>
      </c>
      <c r="AQ247" s="38">
        <f>+Tabla_master_rend[[#This Row],[Kg_Queso_Blan]]*Tabla_master_rend[[#This Row],[ES_QUESO]]/(Tabla_master_rend[[#This Row],[Kg_Solidos_leche]])</f>
        <v>0.82011872434858835</v>
      </c>
      <c r="AR247" s="7">
        <f>R247*0.4</f>
        <v>1684.8000000000002</v>
      </c>
      <c r="AS247" s="61">
        <f>+(Tabla_master_rend[[#This Row],[Kg_Queso_Blan]]*Tabla_master_rend[[#This Row],[%MG_QUESO]]+(Tabla_master_rend[[#This Row],[Kg_MG_Nata]]))/(Tabla_master_rend[[#This Row],[Litros_Leche_Total]]*1.03*Tabla_master_rend[[#This Row],[%MG_Leche]])</f>
        <v>0.99571789565641267</v>
      </c>
      <c r="AT247" s="62">
        <f>+Tabla_master_rend[[#This Row],[Kg_Queso_Blan]]*Tabla_master_rend[[#This Row],[%PT_QUESO]]/(Tabla_master_rend[[#This Row],[Litros_Leche_Total]]*1.03*Tabla_master_rend[[#This Row],[%MP_Leche]])</f>
        <v>0.79544721388456285</v>
      </c>
      <c r="AU247" s="7">
        <f>AR247*$CO$3</f>
        <v>12636.000000000002</v>
      </c>
      <c r="AV247" s="8">
        <v>25.2</v>
      </c>
      <c r="AW247" s="8">
        <v>27.2</v>
      </c>
      <c r="AX247" s="8">
        <v>6.9</v>
      </c>
      <c r="AY247" s="8">
        <f>SUM(Tabla_master_rend[[#This Row],[Kg_Finos]:[Kg_Desmoldeo]])</f>
        <v>59.3</v>
      </c>
      <c r="AZ247" s="60">
        <f>+(Tabla_master_rend[[#This Row],[Kg_Finos]]+Tabla_master_rend[[#This Row],[Kg_Llenadora]]+Tabla_master_rend[[#This Row],[Kg_Desmoldeo]])/(Tabla_master_rend[[#This Row],[Kg_Queso_Blan]])</f>
        <v>3.6069901400826018E-3</v>
      </c>
      <c r="BA247" s="7">
        <v>60</v>
      </c>
      <c r="BB247" s="60">
        <f>+Tabla_master_rend[[#This Row],[L_Agua]]/(Tabla_master_rend[[#This Row],[L_Agua]]+Tabla_master_rend[[#This Row],[Kg_SalidaSecadero]])</f>
        <v>3.6627800500579938E-3</v>
      </c>
      <c r="BC247" s="8">
        <v>2202</v>
      </c>
      <c r="BD247" s="8">
        <v>2164</v>
      </c>
      <c r="BE247" s="8">
        <v>16129</v>
      </c>
      <c r="BF247" s="8">
        <v>180</v>
      </c>
      <c r="BG247" s="8">
        <v>60</v>
      </c>
      <c r="BH247" s="8">
        <v>7</v>
      </c>
      <c r="BI247" s="8">
        <v>119</v>
      </c>
      <c r="BJ247" s="8">
        <v>66</v>
      </c>
      <c r="BK247" s="8">
        <v>16321</v>
      </c>
      <c r="BL247" s="8">
        <v>0</v>
      </c>
      <c r="BM247" s="8">
        <v>149.30000000000001</v>
      </c>
      <c r="BN247" s="8">
        <v>23.33</v>
      </c>
      <c r="BO247" s="68">
        <f>+SUM(Tabla_master_rend[[#This Row],[B_altas]:[B_lab]])/Tabla_master_rend[[#This Row],[Kg_SalidaSecadero]]</f>
        <v>2.6468966362355247E-2</v>
      </c>
      <c r="BP247" s="68">
        <f>+(Tabla_master_rend[[#This Row],[Kg_mer_env_real]]+Tabla_master_rend[[#This Row],[kg_mer_lab_real]])/Tabla_master_rend[[#This Row],[Kg_SalidaSecadero]]</f>
        <v>1.0577170516512469E-2</v>
      </c>
      <c r="BQ247" s="64">
        <f>+Tabla_master_rend[[#This Row],[Merma_TOT]]/Tabla_master_rend[[#This Row],[Kg_Queso_Blan]]</f>
        <v>1.7756975237678146E-2</v>
      </c>
      <c r="BR247" s="7">
        <f>+Tabla_master_rend[[#This Row],[kg_mer_lab_real]]+Tabla_master_rend[[#This Row],[Kg_mer_env_real]]+Tabla_master_rend[[#This Row],[Kg_rebaba]]+Tabla_master_rend[[#This Row],[L_Agua]]+Tabla_master_rend[[#This Row],[Kg_Desmoldeo]]+Tabla_master_rend[[#This Row],[Kg_Llenadora]]+Tabla_master_rend[[#This Row],[Kg_Finos]]</f>
        <v>291.93</v>
      </c>
      <c r="BS247" s="138"/>
      <c r="BT247" s="63">
        <f>IF(+Tabla_master_rend[[#This Row],[Kg_Env_Total]]=0,0,Tabla_master_rend[[#This Row],[Kg_Env_Total]]-Tabla_master_rend[[#This Row],[Kg_SalidaSecadero]])</f>
        <v>0</v>
      </c>
      <c r="BU247" s="60">
        <f>+Tabla_master_rend[[#This Row],[Diferencia_Env_vs_Sec_kg]]/Tabla_master_rend[[#This Row],[Kg_SalidaSecadero]]</f>
        <v>0</v>
      </c>
      <c r="BV247" s="186">
        <f>IFERROR(Tabla_master_rend[[#This Row],[Litros_Leche_Total]]*SUMIFS(tbl_PrecioLeche[PMV_eur_L],tbl_PrecioLeche[AñoMes],TEXT(Tabla_master_rend[[#This Row],[Fecha]],"yyyy-mm"),tbl_PrecioLeche[Tipo_Leche],Tabla_master_rend[[#This Row],[Tipo_Leche]]),"")</f>
        <v>0</v>
      </c>
      <c r="BW247" s="37">
        <f>+(Tabla_master_rend[[#This Row],[Coste_Leche_€]]-Tabla_master_rend[[#This Row],[Kg_MG_Nata]]*$CO$3)/Tabla_master_rend[[#This Row],[Kg_Queso_Blan]]</f>
        <v>-0.76859911315486962</v>
      </c>
      <c r="BX247" s="8">
        <f>SUM(Tabla_master_rend[[#This Row],[Kg_Finos]:[Kg_Desmoldeo]])+Tabla_master_rend[[#This Row],[L_Agua]]+SUM(Tabla_master_rend[[#This Row],[B_altas]:[B_lab]])</f>
        <v>551.29999999999995</v>
      </c>
      <c r="BY247" s="8">
        <f>+BX247-Tabla_master_rend[[#This Row],[Merma_TOT]]</f>
        <v>259.36999999999995</v>
      </c>
      <c r="BZ247" s="62">
        <f>+BY247/BX247</f>
        <v>0.47046979865771804</v>
      </c>
      <c r="CA247" s="8">
        <f>+Tabla_master_rend[[#This Row],[Kg_Queso_Blan]]*$CA$1</f>
        <v>106.86194999999999</v>
      </c>
      <c r="CB247" s="8">
        <f>+Tabla_master_rend[[#This Row],[Kg_Queso_Blan]]*($CB$1-$CA$1)</f>
        <v>57.541050000000006</v>
      </c>
      <c r="CC247" s="8">
        <f>+(Tabla_master_rend[[#This Row],[Kg_Queso_Blan]]-CA247-CB247)*$CC$1</f>
        <v>170.8969185</v>
      </c>
      <c r="CD247" s="8">
        <f>+CA247+CB247+CC247</f>
        <v>335.29991849999999</v>
      </c>
      <c r="CE247" s="80">
        <f>+CD247/Tabla_master_rend[[#This Row],[Kg_Queso_Blan]]</f>
        <v>2.0395E-2</v>
      </c>
      <c r="CF247" s="62">
        <f>+Tabla_master_rend[[#This Row],[Merma_TOT]]/Tabla_master_rend[[#This Row],[Kg_Queso_Blan]]</f>
        <v>1.7756975237678146E-2</v>
      </c>
      <c r="CG247" s="8">
        <f>CD247-Tabla_master_rend[[#This Row],[Merma_TOT]]</f>
        <v>43.369918499999983</v>
      </c>
      <c r="CH247" s="81" cm="1">
        <f t="array" ref="CH247">-BR247 * IFERROR(INDEX('Precio Leche_EBITDA_Ventas'!$BD$87:$BD$110,MATCH(1,('Precio Leche_EBITDA_Ventas'!$AZ$87:$AZ$110=YEAR(A247))*('Precio Leche_EBITDA_Ventas'!$BB$87:$BB$110=C247),0)),1.3)</f>
        <v>0</v>
      </c>
      <c r="CI247" s="81">
        <f>+CG247*$CM$2</f>
        <v>56.380894049999981</v>
      </c>
    </row>
    <row r="248" spans="1:87" x14ac:dyDescent="0.35">
      <c r="G248" s="84" t="s">
        <v>563</v>
      </c>
      <c r="AA248" s="8"/>
      <c r="AJ248">
        <v>7.1</v>
      </c>
      <c r="AK248">
        <v>7.35</v>
      </c>
    </row>
    <row r="249" spans="1:87" x14ac:dyDescent="0.35">
      <c r="AA249" s="8"/>
    </row>
    <row r="250" spans="1:87" x14ac:dyDescent="0.35">
      <c r="AA250" s="8"/>
    </row>
    <row r="251" spans="1:87" x14ac:dyDescent="0.35">
      <c r="AA251" s="8"/>
    </row>
    <row r="252" spans="1:87" x14ac:dyDescent="0.35">
      <c r="AA252" s="8"/>
    </row>
    <row r="253" spans="1:87" x14ac:dyDescent="0.35">
      <c r="AA253" s="8"/>
    </row>
  </sheetData>
  <phoneticPr fontId="48" type="noConversion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489C3-C45B-467E-B7F5-58E00B7A600C}">
  <dimension ref="A1:Q192"/>
  <sheetViews>
    <sheetView workbookViewId="0">
      <selection activeCell="A23" sqref="A23"/>
    </sheetView>
  </sheetViews>
  <sheetFormatPr baseColWidth="10" defaultRowHeight="14.5" x14ac:dyDescent="0.35"/>
  <cols>
    <col min="1" max="1" width="10.7265625" style="9" bestFit="1" customWidth="1"/>
    <col min="2" max="2" width="6.453125" style="7" customWidth="1"/>
    <col min="3" max="3" width="11.453125" style="9" customWidth="1"/>
    <col min="4" max="4" width="7.54296875" style="9" customWidth="1"/>
    <col min="5" max="5" width="13.7265625" bestFit="1" customWidth="1"/>
    <col min="9" max="9" width="14.26953125" customWidth="1"/>
    <col min="11" max="11" width="12.7265625" customWidth="1"/>
    <col min="17" max="17" width="16.7265625" customWidth="1"/>
  </cols>
  <sheetData>
    <row r="1" spans="1:17" s="2" customFormat="1" ht="29" x14ac:dyDescent="0.35">
      <c r="A1" s="144" t="s">
        <v>47</v>
      </c>
      <c r="B1" s="148" t="s">
        <v>42</v>
      </c>
      <c r="C1" s="149" t="s">
        <v>192</v>
      </c>
      <c r="D1" s="149" t="s">
        <v>538</v>
      </c>
      <c r="E1" s="141" t="s">
        <v>48</v>
      </c>
      <c r="F1" s="141" t="s">
        <v>547</v>
      </c>
      <c r="G1" s="141" t="s">
        <v>548</v>
      </c>
      <c r="H1" s="141" t="s">
        <v>549</v>
      </c>
      <c r="I1" s="141" t="s">
        <v>550</v>
      </c>
      <c r="J1" s="141" t="s">
        <v>539</v>
      </c>
      <c r="K1" s="141" t="s">
        <v>540</v>
      </c>
      <c r="L1" s="141" t="s">
        <v>541</v>
      </c>
      <c r="M1" s="141" t="s">
        <v>542</v>
      </c>
      <c r="N1" s="141" t="s">
        <v>543</v>
      </c>
      <c r="O1" s="141" t="s">
        <v>529</v>
      </c>
      <c r="P1" s="141" t="s">
        <v>545</v>
      </c>
      <c r="Q1" s="141" t="s">
        <v>544</v>
      </c>
    </row>
    <row r="2" spans="1:17" x14ac:dyDescent="0.35">
      <c r="A2" s="9">
        <v>46030</v>
      </c>
      <c r="B2" s="7">
        <v>1</v>
      </c>
      <c r="C2" s="7" t="str">
        <f>+UPPER(TEXT(A2,"MMM"))</f>
        <v>ENE</v>
      </c>
      <c r="D2" s="7" t="str">
        <f>+UPPER(TEXT(A2,"ddd"))</f>
        <v>JUE</v>
      </c>
      <c r="E2" s="9" t="s">
        <v>530</v>
      </c>
      <c r="F2" s="9" t="s">
        <v>551</v>
      </c>
      <c r="G2" s="37">
        <v>13</v>
      </c>
      <c r="H2" s="37">
        <v>9</v>
      </c>
      <c r="I2" s="37">
        <v>25</v>
      </c>
      <c r="J2" s="8">
        <v>3167.67</v>
      </c>
      <c r="K2">
        <v>720</v>
      </c>
      <c r="L2" s="8">
        <v>0</v>
      </c>
      <c r="M2" s="8">
        <v>16461</v>
      </c>
      <c r="N2" s="8">
        <v>5</v>
      </c>
      <c r="O2" s="8">
        <f>+Tabla_REQ[[#This Row],[Litr_Suero_conc]]/Tabla_REQ[[#This Row],[Cant_Floc]]</f>
        <v>3292.2</v>
      </c>
      <c r="P2" s="8">
        <f>+(Tabla_REQ[[#This Row],[Litr_Suero_conc]]*1.06+(Tabla_REQ[[#This Row],[Nata_Propia]]+Tabla_REQ[[#This Row],[Nata_Ext]])*0.97)</f>
        <v>18147.060000000001</v>
      </c>
      <c r="Q2" s="150">
        <f>+Tabla_REQ[[#This Row],[Kg_mezcla]]/Tabla_REQ[[#This Row],[KG_RQ]]</f>
        <v>5.7288353900500999</v>
      </c>
    </row>
    <row r="3" spans="1:17" x14ac:dyDescent="0.35">
      <c r="A3" s="9">
        <v>46034</v>
      </c>
      <c r="B3" s="7">
        <v>1</v>
      </c>
      <c r="C3" s="7" t="str">
        <f t="shared" ref="C3:C10" si="0">+UPPER(TEXT(A3,"MMM"))</f>
        <v>ENE</v>
      </c>
      <c r="D3" s="7" t="str">
        <f t="shared" ref="D3:D10" si="1">+UPPER(TEXT(A3,"ddd"))</f>
        <v>LUN</v>
      </c>
      <c r="E3" s="9" t="s">
        <v>546</v>
      </c>
      <c r="F3" s="9" t="s">
        <v>551</v>
      </c>
      <c r="G3" s="37">
        <v>13</v>
      </c>
      <c r="H3" s="37">
        <v>9</v>
      </c>
      <c r="I3" s="37">
        <v>25</v>
      </c>
      <c r="J3" s="8">
        <v>5604.85</v>
      </c>
      <c r="K3">
        <v>1170</v>
      </c>
      <c r="L3" s="8">
        <v>200</v>
      </c>
      <c r="M3" s="8">
        <v>31210</v>
      </c>
      <c r="N3" s="8">
        <v>10</v>
      </c>
      <c r="O3" s="8">
        <f>+Tabla_REQ[[#This Row],[Litr_Suero_conc]]/Tabla_REQ[[#This Row],[Cant_Floc]]</f>
        <v>3121</v>
      </c>
      <c r="P3" s="8">
        <f>+(Tabla_REQ[[#This Row],[Litr_Suero_conc]]*1.06+(Tabla_REQ[[#This Row],[Nata_Propia]]+Tabla_REQ[[#This Row],[Nata_Ext]])*0.97)</f>
        <v>34411.5</v>
      </c>
      <c r="Q3" s="150">
        <f>+Tabla_REQ[[#This Row],[Kg_mezcla]]/Tabla_REQ[[#This Row],[KG_RQ]]</f>
        <v>6.139593387869434</v>
      </c>
    </row>
    <row r="4" spans="1:17" x14ac:dyDescent="0.35">
      <c r="A4" s="9">
        <v>46044</v>
      </c>
      <c r="B4" s="7">
        <v>1</v>
      </c>
      <c r="C4" s="7" t="str">
        <f t="shared" si="0"/>
        <v>ENE</v>
      </c>
      <c r="D4" s="7" t="str">
        <f t="shared" si="1"/>
        <v>JUE</v>
      </c>
      <c r="E4" s="9" t="s">
        <v>531</v>
      </c>
      <c r="F4" s="9" t="s">
        <v>551</v>
      </c>
      <c r="G4" s="37">
        <v>13</v>
      </c>
      <c r="H4" s="37">
        <v>9</v>
      </c>
      <c r="I4" s="37">
        <v>25</v>
      </c>
      <c r="J4" s="8">
        <v>7976.96</v>
      </c>
      <c r="K4">
        <v>1700</v>
      </c>
      <c r="L4" s="8">
        <v>190</v>
      </c>
      <c r="M4" s="8">
        <v>43370</v>
      </c>
      <c r="N4" s="8">
        <v>14</v>
      </c>
      <c r="O4" s="8">
        <f>+Tabla_REQ[[#This Row],[Litr_Suero_conc]]/Tabla_REQ[[#This Row],[Cant_Floc]]</f>
        <v>3097.8571428571427</v>
      </c>
      <c r="P4" s="8">
        <f>+(Tabla_REQ[[#This Row],[Litr_Suero_conc]]*1.06+(Tabla_REQ[[#This Row],[Nata_Propia]]+Tabla_REQ[[#This Row],[Nata_Ext]])*0.97)</f>
        <v>47805.500000000007</v>
      </c>
      <c r="Q4" s="150">
        <f>+Tabla_REQ[[#This Row],[Kg_mezcla]]/Tabla_REQ[[#This Row],[KG_RQ]]</f>
        <v>5.992947187901156</v>
      </c>
    </row>
    <row r="5" spans="1:17" x14ac:dyDescent="0.35">
      <c r="A5" s="9">
        <v>46064</v>
      </c>
      <c r="B5" s="7">
        <v>2</v>
      </c>
      <c r="C5" s="7" t="str">
        <f t="shared" si="0"/>
        <v>FEB</v>
      </c>
      <c r="D5" s="7" t="str">
        <f t="shared" si="1"/>
        <v>MIÉ</v>
      </c>
      <c r="E5" t="s">
        <v>532</v>
      </c>
      <c r="F5" s="9" t="s">
        <v>551</v>
      </c>
      <c r="G5" s="37">
        <v>13</v>
      </c>
      <c r="H5" s="37">
        <v>9</v>
      </c>
      <c r="I5" s="37">
        <v>25</v>
      </c>
      <c r="J5" s="8">
        <v>6558.21</v>
      </c>
      <c r="K5">
        <v>1500</v>
      </c>
      <c r="L5" s="8">
        <v>0</v>
      </c>
      <c r="M5" s="8">
        <v>44073</v>
      </c>
      <c r="N5" s="8">
        <v>14</v>
      </c>
      <c r="O5" s="8">
        <f>+Tabla_REQ[[#This Row],[Litr_Suero_conc]]/Tabla_REQ[[#This Row],[Cant_Floc]]</f>
        <v>3148.0714285714284</v>
      </c>
      <c r="P5" s="8">
        <f>+(Tabla_REQ[[#This Row],[Litr_Suero_conc]]*1.06+(Tabla_REQ[[#This Row],[Nata_Propia]]+Tabla_REQ[[#This Row],[Nata_Ext]])*0.97)</f>
        <v>48172.380000000005</v>
      </c>
      <c r="Q5" s="150">
        <f>+Tabla_REQ[[#This Row],[Kg_mezcla]]/Tabla_REQ[[#This Row],[KG_RQ]]</f>
        <v>7.3453549062930286</v>
      </c>
    </row>
    <row r="6" spans="1:17" x14ac:dyDescent="0.35">
      <c r="A6" s="9">
        <v>46085</v>
      </c>
      <c r="B6" s="7">
        <v>3</v>
      </c>
      <c r="C6" s="7" t="str">
        <f t="shared" si="0"/>
        <v>MAR</v>
      </c>
      <c r="D6" s="7" t="str">
        <f t="shared" si="1"/>
        <v>MIÉ</v>
      </c>
      <c r="E6" t="s">
        <v>533</v>
      </c>
      <c r="F6" s="9" t="s">
        <v>551</v>
      </c>
      <c r="G6" s="37">
        <v>13</v>
      </c>
      <c r="H6" s="37">
        <v>9</v>
      </c>
      <c r="I6" s="37">
        <v>25</v>
      </c>
      <c r="J6" s="8">
        <v>6872.37</v>
      </c>
      <c r="K6">
        <v>1500</v>
      </c>
      <c r="L6">
        <v>0</v>
      </c>
      <c r="M6">
        <v>40580</v>
      </c>
      <c r="N6">
        <v>13</v>
      </c>
      <c r="O6" s="8">
        <f>+Tabla_REQ[[#This Row],[Litr_Suero_conc]]/Tabla_REQ[[#This Row],[Cant_Floc]]</f>
        <v>3121.5384615384614</v>
      </c>
      <c r="P6" s="8">
        <f>+(Tabla_REQ[[#This Row],[Litr_Suero_conc]]*1.06+(Tabla_REQ[[#This Row],[Nata_Propia]]+Tabla_REQ[[#This Row],[Nata_Ext]])*0.97)</f>
        <v>44469.8</v>
      </c>
      <c r="Q6" s="150">
        <f>+Tabla_REQ[[#This Row],[Kg_mezcla]]/Tabla_REQ[[#This Row],[KG_RQ]]</f>
        <v>6.4708099243783446</v>
      </c>
    </row>
    <row r="7" spans="1:17" x14ac:dyDescent="0.35">
      <c r="A7" s="9">
        <v>46091</v>
      </c>
      <c r="B7" s="7">
        <v>3</v>
      </c>
      <c r="C7" s="7" t="str">
        <f t="shared" si="0"/>
        <v>MAR</v>
      </c>
      <c r="D7" s="7" t="str">
        <f t="shared" si="1"/>
        <v>MAR</v>
      </c>
      <c r="E7" s="9" t="s">
        <v>534</v>
      </c>
      <c r="F7" s="9" t="s">
        <v>551</v>
      </c>
      <c r="G7" s="37">
        <v>13</v>
      </c>
      <c r="H7" s="37">
        <v>9</v>
      </c>
      <c r="I7" s="37">
        <v>25</v>
      </c>
      <c r="J7" s="8">
        <v>5056.82</v>
      </c>
      <c r="K7">
        <v>920</v>
      </c>
      <c r="L7" s="8">
        <v>0</v>
      </c>
      <c r="M7" s="8">
        <v>24920</v>
      </c>
      <c r="N7" s="8">
        <v>8</v>
      </c>
      <c r="O7" s="8">
        <f>+Tabla_REQ[[#This Row],[Litr_Suero_conc]]/Tabla_REQ[[#This Row],[Cant_Floc]]</f>
        <v>3115</v>
      </c>
      <c r="P7" s="8">
        <f>+(Tabla_REQ[[#This Row],[Litr_Suero_conc]]*1.06+(Tabla_REQ[[#This Row],[Nata_Propia]]+Tabla_REQ[[#This Row],[Nata_Ext]])*0.97)</f>
        <v>27307.600000000002</v>
      </c>
      <c r="Q7" s="150">
        <f>+Tabla_REQ[[#This Row],[Kg_mezcla]]/Tabla_REQ[[#This Row],[KG_RQ]]</f>
        <v>5.4001526651136489</v>
      </c>
    </row>
    <row r="8" spans="1:17" x14ac:dyDescent="0.35">
      <c r="A8" s="9">
        <v>46099</v>
      </c>
      <c r="B8" s="7">
        <v>3</v>
      </c>
      <c r="C8" s="7" t="str">
        <f t="shared" si="0"/>
        <v>MAR</v>
      </c>
      <c r="D8" s="7" t="str">
        <f t="shared" si="1"/>
        <v>MIÉ</v>
      </c>
      <c r="E8" s="147" t="s">
        <v>535</v>
      </c>
      <c r="F8" s="9" t="s">
        <v>551</v>
      </c>
      <c r="G8" s="37">
        <v>13</v>
      </c>
      <c r="H8" s="37">
        <v>9</v>
      </c>
      <c r="I8" s="37">
        <v>25</v>
      </c>
      <c r="J8" s="8">
        <v>4806.5600000000004</v>
      </c>
      <c r="K8">
        <v>1200</v>
      </c>
      <c r="L8">
        <v>30</v>
      </c>
      <c r="M8">
        <v>28430</v>
      </c>
      <c r="N8">
        <v>9</v>
      </c>
      <c r="O8" s="8">
        <f>+Tabla_REQ[[#This Row],[Litr_Suero_conc]]/Tabla_REQ[[#This Row],[Cant_Floc]]</f>
        <v>3158.8888888888887</v>
      </c>
      <c r="P8" s="8">
        <f>+(Tabla_REQ[[#This Row],[Litr_Suero_conc]]*1.06+(Tabla_REQ[[#This Row],[Nata_Propia]]+Tabla_REQ[[#This Row],[Nata_Ext]])*0.97)</f>
        <v>31328.9</v>
      </c>
      <c r="Q8" s="150">
        <f>+Tabla_REQ[[#This Row],[Kg_mezcla]]/Tabla_REQ[[#This Row],[KG_RQ]]</f>
        <v>6.5179463067141574</v>
      </c>
    </row>
    <row r="9" spans="1:17" x14ac:dyDescent="0.35">
      <c r="A9" s="9">
        <v>46106</v>
      </c>
      <c r="B9" s="7">
        <v>3</v>
      </c>
      <c r="C9" s="7" t="str">
        <f t="shared" si="0"/>
        <v>MAR</v>
      </c>
      <c r="D9" s="7" t="str">
        <f t="shared" si="1"/>
        <v>MIÉ</v>
      </c>
      <c r="E9" s="147" t="s">
        <v>535</v>
      </c>
      <c r="F9" s="9" t="s">
        <v>551</v>
      </c>
      <c r="G9" s="37">
        <v>13</v>
      </c>
      <c r="H9" s="37">
        <v>9</v>
      </c>
      <c r="I9" s="37">
        <v>25</v>
      </c>
      <c r="J9" s="8">
        <v>6473.19</v>
      </c>
      <c r="K9">
        <v>1500</v>
      </c>
      <c r="L9">
        <v>0</v>
      </c>
      <c r="M9">
        <v>37500</v>
      </c>
      <c r="N9">
        <v>12</v>
      </c>
      <c r="O9" s="8">
        <f>+Tabla_REQ[[#This Row],[Litr_Suero_conc]]/Tabla_REQ[[#This Row],[Cant_Floc]]</f>
        <v>3125</v>
      </c>
      <c r="P9" s="8">
        <f>+(Tabla_REQ[[#This Row],[Litr_Suero_conc]]*1.06+(Tabla_REQ[[#This Row],[Nata_Propia]]+Tabla_REQ[[#This Row],[Nata_Ext]])*0.97)</f>
        <v>41205</v>
      </c>
      <c r="Q9" s="150">
        <f>+Tabla_REQ[[#This Row],[Kg_mezcla]]/Tabla_REQ[[#This Row],[KG_RQ]]</f>
        <v>6.3654859505128076</v>
      </c>
    </row>
    <row r="10" spans="1:17" x14ac:dyDescent="0.35">
      <c r="A10" s="9">
        <v>46120</v>
      </c>
      <c r="B10" s="7">
        <v>4</v>
      </c>
      <c r="C10" s="7" t="str">
        <f t="shared" si="0"/>
        <v>ABR</v>
      </c>
      <c r="D10" s="7" t="str">
        <f t="shared" si="1"/>
        <v>MIÉ</v>
      </c>
      <c r="E10" t="s">
        <v>536</v>
      </c>
      <c r="F10" s="9" t="s">
        <v>551</v>
      </c>
      <c r="G10" s="37">
        <v>13</v>
      </c>
      <c r="H10" s="37">
        <v>9</v>
      </c>
      <c r="I10" s="37">
        <v>25</v>
      </c>
      <c r="J10" s="8">
        <v>6672.93</v>
      </c>
      <c r="K10" s="8">
        <v>1490</v>
      </c>
      <c r="L10" s="8">
        <v>360</v>
      </c>
      <c r="M10" s="8">
        <v>44800</v>
      </c>
      <c r="N10" s="8">
        <v>12</v>
      </c>
      <c r="O10" s="8">
        <f>+Tabla_REQ[[#This Row],[Litr_Suero_conc]]/Tabla_REQ[[#This Row],[Cant_Floc]]</f>
        <v>3733.3333333333335</v>
      </c>
      <c r="P10" s="8">
        <f>+(Tabla_REQ[[#This Row],[Litr_Suero_conc]]*1.06+(Tabla_REQ[[#This Row],[Nata_Propia]]+Tabla_REQ[[#This Row],[Nata_Ext]])*0.97)</f>
        <v>49282.5</v>
      </c>
      <c r="Q10" s="150">
        <f>+Tabla_REQ[[#This Row],[Kg_mezcla]]/Tabla_REQ[[#This Row],[KG_RQ]]</f>
        <v>7.3854363825186233</v>
      </c>
    </row>
    <row r="11" spans="1:17" x14ac:dyDescent="0.35">
      <c r="A11" s="9">
        <v>46127</v>
      </c>
      <c r="B11" s="7">
        <v>4</v>
      </c>
      <c r="C11" s="7" t="str">
        <f t="shared" ref="C11" si="2">+UPPER(TEXT(A11,"MMM"))</f>
        <v>ABR</v>
      </c>
      <c r="D11" s="7" t="str">
        <f t="shared" ref="D11" si="3">+UPPER(TEXT(A11,"ddd"))</f>
        <v>MIÉ</v>
      </c>
      <c r="E11" t="s">
        <v>537</v>
      </c>
      <c r="F11" s="9" t="s">
        <v>551</v>
      </c>
      <c r="G11" s="37">
        <v>13</v>
      </c>
      <c r="H11" s="37">
        <v>9</v>
      </c>
      <c r="I11" s="37">
        <v>25</v>
      </c>
      <c r="J11" s="8">
        <v>8109.43</v>
      </c>
      <c r="K11" s="8">
        <v>1490</v>
      </c>
      <c r="L11" s="8">
        <v>600</v>
      </c>
      <c r="M11" s="8">
        <v>43260</v>
      </c>
      <c r="N11" s="8">
        <v>14</v>
      </c>
      <c r="O11" s="8">
        <f>+Tabla_REQ[[#This Row],[Litr_Suero_conc]]/Tabla_REQ[[#This Row],[Cant_Floc]]</f>
        <v>3090</v>
      </c>
      <c r="P11" s="8">
        <f>+(Tabla_REQ[[#This Row],[Litr_Suero_conc]]*1.06+(Tabla_REQ[[#This Row],[Nata_Propia]]+Tabla_REQ[[#This Row],[Nata_Ext]])*0.97)</f>
        <v>47882.900000000009</v>
      </c>
      <c r="Q11" s="150">
        <f>+Tabla_REQ[[#This Row],[Kg_mezcla]]/Tabla_REQ[[#This Row],[KG_RQ]]</f>
        <v>5.9045950208584337</v>
      </c>
    </row>
    <row r="12" spans="1:17" x14ac:dyDescent="0.35">
      <c r="A12" s="9">
        <v>46150</v>
      </c>
      <c r="B12" s="7">
        <v>5</v>
      </c>
      <c r="C12" s="7" t="str">
        <f t="shared" ref="C12" si="4">+UPPER(TEXT(A12,"MMM"))</f>
        <v>MAY</v>
      </c>
      <c r="D12" s="7" t="str">
        <f t="shared" ref="D12" si="5">+UPPER(TEXT(A12,"ddd"))</f>
        <v>VI</v>
      </c>
      <c r="E12" t="s">
        <v>597</v>
      </c>
      <c r="F12" s="9" t="s">
        <v>551</v>
      </c>
      <c r="G12" s="37">
        <v>13</v>
      </c>
      <c r="H12" s="37">
        <v>9</v>
      </c>
      <c r="I12" s="37">
        <v>25</v>
      </c>
      <c r="J12" s="8">
        <v>7996.1</v>
      </c>
      <c r="K12" s="8">
        <v>1820</v>
      </c>
      <c r="L12" s="8">
        <v>0</v>
      </c>
      <c r="M12" s="8">
        <v>42360</v>
      </c>
      <c r="N12" s="8">
        <v>13</v>
      </c>
      <c r="O12" s="8">
        <f>+Tabla_REQ[[#This Row],[Litr_Suero_conc]]/Tabla_REQ[[#This Row],[Cant_Floc]]</f>
        <v>3258.4615384615386</v>
      </c>
      <c r="P12" s="8">
        <f>+(Tabla_REQ[[#This Row],[Litr_Suero_conc]]*1.06+(Tabla_REQ[[#This Row],[Nata_Propia]]+Tabla_REQ[[#This Row],[Nata_Ext]])*0.97)</f>
        <v>46667.000000000007</v>
      </c>
      <c r="Q12" s="150">
        <f>+Tabla_REQ[[#This Row],[Kg_mezcla]]/Tabla_REQ[[#This Row],[KG_RQ]]</f>
        <v>5.8362201573266974</v>
      </c>
    </row>
    <row r="13" spans="1:17" x14ac:dyDescent="0.35">
      <c r="A13" s="9">
        <v>46177</v>
      </c>
      <c r="B13" s="7">
        <v>6</v>
      </c>
      <c r="C13" s="7" t="str">
        <f t="shared" ref="C13:C14" si="6">+UPPER(TEXT(A13,"MMM"))</f>
        <v>JUN</v>
      </c>
      <c r="D13" s="7" t="str">
        <f t="shared" ref="D13:D14" si="7">+UPPER(TEXT(A13,"ddd"))</f>
        <v>JU</v>
      </c>
      <c r="E13" t="s">
        <v>604</v>
      </c>
      <c r="F13" s="9" t="s">
        <v>551</v>
      </c>
      <c r="G13" s="37">
        <v>13</v>
      </c>
      <c r="H13" s="37">
        <v>9</v>
      </c>
      <c r="I13" s="37">
        <v>25</v>
      </c>
      <c r="J13" s="8">
        <v>6117.63</v>
      </c>
      <c r="K13" s="8">
        <v>1390</v>
      </c>
      <c r="L13" s="8">
        <v>0</v>
      </c>
      <c r="M13" s="8">
        <v>34390</v>
      </c>
      <c r="N13" s="8">
        <v>11</v>
      </c>
      <c r="O13" s="8">
        <f>+Tabla_REQ[[#This Row],[Litr_Suero_conc]]/Tabla_REQ[[#This Row],[Cant_Floc]]</f>
        <v>3126.3636363636365</v>
      </c>
      <c r="P13" s="8">
        <f>+(Tabla_REQ[[#This Row],[Litr_Suero_conc]]*1.06+(Tabla_REQ[[#This Row],[Nata_Propia]]+Tabla_REQ[[#This Row],[Nata_Ext]])*0.97)</f>
        <v>37801.700000000004</v>
      </c>
      <c r="Q13" s="150">
        <f>+Tabla_REQ[[#This Row],[Kg_mezcla]]/Tabla_REQ[[#This Row],[KG_RQ]]</f>
        <v>6.1791412687593077</v>
      </c>
    </row>
    <row r="14" spans="1:17" x14ac:dyDescent="0.35">
      <c r="A14" s="9">
        <v>46183</v>
      </c>
      <c r="B14" s="7">
        <v>6</v>
      </c>
      <c r="C14" s="7" t="str">
        <f t="shared" si="6"/>
        <v>JUN</v>
      </c>
      <c r="D14" s="7" t="str">
        <f t="shared" si="7"/>
        <v>MI</v>
      </c>
      <c r="E14" s="147" t="s">
        <v>605</v>
      </c>
      <c r="F14" s="9" t="s">
        <v>551</v>
      </c>
      <c r="G14" s="37">
        <v>13</v>
      </c>
      <c r="H14" s="37">
        <v>9</v>
      </c>
      <c r="I14" s="37">
        <v>25</v>
      </c>
      <c r="J14" s="8">
        <v>4120.37</v>
      </c>
      <c r="K14">
        <v>880</v>
      </c>
      <c r="L14">
        <v>0</v>
      </c>
      <c r="M14" s="8">
        <v>22030</v>
      </c>
      <c r="N14" s="8">
        <v>7</v>
      </c>
      <c r="O14" s="8">
        <f>+Tabla_REQ[[#This Row],[Litr_Suero_conc]]/Tabla_REQ[[#This Row],[Cant_Floc]]</f>
        <v>3147.1428571428573</v>
      </c>
      <c r="P14" s="8">
        <f>+(Tabla_REQ[[#This Row],[Litr_Suero_conc]]*1.06+(Tabla_REQ[[#This Row],[Nata_Propia]]+Tabla_REQ[[#This Row],[Nata_Ext]])*0.97)</f>
        <v>24205.4</v>
      </c>
      <c r="Q14" s="150">
        <f>+Tabla_REQ[[#This Row],[Kg_mezcla]]/Tabla_REQ[[#This Row],[KG_RQ]]</f>
        <v>5.8745695168152379</v>
      </c>
    </row>
    <row r="15" spans="1:17" x14ac:dyDescent="0.35">
      <c r="A15" s="9">
        <v>46192</v>
      </c>
      <c r="B15" s="7">
        <v>6</v>
      </c>
      <c r="C15" s="7" t="str">
        <f t="shared" ref="C15" si="8">+UPPER(TEXT(A15,"MMM"))</f>
        <v>JUN</v>
      </c>
      <c r="D15" s="7" t="str">
        <f t="shared" ref="D15" si="9">+UPPER(TEXT(A15,"ddd"))</f>
        <v>VI</v>
      </c>
      <c r="E15" s="147" t="s">
        <v>606</v>
      </c>
      <c r="F15" s="9" t="s">
        <v>551</v>
      </c>
      <c r="G15" s="37">
        <v>13</v>
      </c>
      <c r="H15" s="37">
        <v>9</v>
      </c>
      <c r="I15" s="37">
        <v>25</v>
      </c>
      <c r="J15" s="8">
        <v>3080.01</v>
      </c>
      <c r="K15">
        <v>760</v>
      </c>
      <c r="L15">
        <v>0</v>
      </c>
      <c r="M15" s="8">
        <v>18790</v>
      </c>
      <c r="N15" s="8">
        <v>6</v>
      </c>
      <c r="O15" s="8">
        <f>+Tabla_REQ[[#This Row],[Litr_Suero_conc]]/Tabla_REQ[[#This Row],[Cant_Floc]]</f>
        <v>3131.6666666666665</v>
      </c>
      <c r="P15" s="8">
        <f>+(Tabla_REQ[[#This Row],[Litr_Suero_conc]]*1.06+(Tabla_REQ[[#This Row],[Nata_Propia]]+Tabla_REQ[[#This Row],[Nata_Ext]])*0.97)</f>
        <v>20654.600000000002</v>
      </c>
      <c r="Q15" s="150">
        <f>+Tabla_REQ[[#This Row],[Kg_mezcla]]/Tabla_REQ[[#This Row],[KG_RQ]]</f>
        <v>6.7060171882558821</v>
      </c>
    </row>
    <row r="16" spans="1:17" x14ac:dyDescent="0.35">
      <c r="A16" s="9">
        <v>46205</v>
      </c>
      <c r="B16" s="7">
        <v>7</v>
      </c>
      <c r="C16" s="7" t="str">
        <f t="shared" ref="C16:C21" si="10">+UPPER(TEXT(A16,"MMM"))</f>
        <v>JUL</v>
      </c>
      <c r="D16" s="7" t="str">
        <f t="shared" ref="D16:D21" si="11">+UPPER(TEXT(A16,"ddd"))</f>
        <v>JU</v>
      </c>
      <c r="E16" s="9" t="s">
        <v>611</v>
      </c>
      <c r="F16" s="9" t="s">
        <v>551</v>
      </c>
      <c r="G16" s="37">
        <v>13</v>
      </c>
      <c r="H16" s="37">
        <v>9</v>
      </c>
      <c r="I16" s="37">
        <v>25</v>
      </c>
      <c r="J16" s="8">
        <v>4403.28</v>
      </c>
      <c r="K16" s="8">
        <v>695</v>
      </c>
      <c r="L16" s="8">
        <v>420</v>
      </c>
      <c r="M16" s="8">
        <v>24810</v>
      </c>
      <c r="N16" s="8">
        <v>8</v>
      </c>
      <c r="O16" s="8">
        <f>+Tabla_REQ[[#This Row],[Litr_Suero_conc]]/Tabla_REQ[[#This Row],[Cant_Floc]]</f>
        <v>3101.25</v>
      </c>
      <c r="P16" s="8">
        <f>+(Tabla_REQ[[#This Row],[Litr_Suero_conc]]*1.06+(Tabla_REQ[[#This Row],[Nata_Propia]]+Tabla_REQ[[#This Row],[Nata_Ext]])*0.97)</f>
        <v>27380.15</v>
      </c>
      <c r="Q16" s="150">
        <f>+Tabla_REQ[[#This Row],[Kg_mezcla]]/Tabla_REQ[[#This Row],[KG_RQ]]</f>
        <v>6.2181260333206163</v>
      </c>
    </row>
    <row r="17" spans="1:17" x14ac:dyDescent="0.35">
      <c r="A17" s="9">
        <v>46220</v>
      </c>
      <c r="B17" s="7">
        <v>7</v>
      </c>
      <c r="C17" s="7" t="str">
        <f t="shared" si="10"/>
        <v>JUL</v>
      </c>
      <c r="D17" s="7" t="str">
        <f t="shared" si="11"/>
        <v>VI</v>
      </c>
      <c r="E17" s="9" t="s">
        <v>616</v>
      </c>
      <c r="F17" s="9" t="s">
        <v>551</v>
      </c>
      <c r="G17" s="37">
        <v>13</v>
      </c>
      <c r="H17" s="37">
        <v>9</v>
      </c>
      <c r="I17" s="37">
        <v>25</v>
      </c>
      <c r="J17" s="8">
        <v>3307.4399999999996</v>
      </c>
      <c r="K17">
        <v>450</v>
      </c>
      <c r="L17">
        <v>300</v>
      </c>
      <c r="M17" s="8">
        <v>18480</v>
      </c>
      <c r="N17" s="8">
        <v>6</v>
      </c>
      <c r="O17" s="8">
        <f>+Tabla_REQ[[#This Row],[Litr_Suero_conc]]/Tabla_REQ[[#This Row],[Cant_Floc]]</f>
        <v>3080</v>
      </c>
      <c r="P17" s="8">
        <f>+(Tabla_REQ[[#This Row],[Litr_Suero_conc]]*1.06+(Tabla_REQ[[#This Row],[Nata_Propia]]+Tabla_REQ[[#This Row],[Nata_Ext]])*0.97)</f>
        <v>20316.3</v>
      </c>
      <c r="Q17" s="150">
        <f>+Tabla_REQ[[#This Row],[Kg_mezcla]]/Tabla_REQ[[#This Row],[KG_RQ]]</f>
        <v>6.1426057615557657</v>
      </c>
    </row>
    <row r="18" spans="1:17" x14ac:dyDescent="0.35">
      <c r="A18" s="9">
        <v>46227</v>
      </c>
      <c r="B18" s="7">
        <v>7</v>
      </c>
      <c r="C18" s="7" t="str">
        <f t="shared" si="10"/>
        <v>JUL</v>
      </c>
      <c r="D18" s="7" t="str">
        <f t="shared" si="11"/>
        <v>VI</v>
      </c>
      <c r="E18" s="147" t="s">
        <v>618</v>
      </c>
      <c r="F18" s="9" t="s">
        <v>551</v>
      </c>
      <c r="G18" s="37">
        <v>13</v>
      </c>
      <c r="H18" s="37">
        <v>9</v>
      </c>
      <c r="I18" s="37">
        <v>25</v>
      </c>
      <c r="J18" s="8">
        <v>3260.23</v>
      </c>
      <c r="K18">
        <v>530</v>
      </c>
      <c r="L18">
        <v>260</v>
      </c>
      <c r="M18" s="8">
        <v>18000</v>
      </c>
      <c r="N18" s="8">
        <v>6</v>
      </c>
      <c r="O18" s="8">
        <f>+Tabla_REQ[[#This Row],[Litr_Suero_conc]]/Tabla_REQ[[#This Row],[Cant_Floc]]</f>
        <v>3000</v>
      </c>
      <c r="P18" s="8">
        <f>+(Tabla_REQ[[#This Row],[Litr_Suero_conc]]*1.06+(Tabla_REQ[[#This Row],[Nata_Propia]]+Tabla_REQ[[#This Row],[Nata_Ext]])*0.97)</f>
        <v>19846.3</v>
      </c>
      <c r="Q18" s="150">
        <f>+Tabla_REQ[[#This Row],[Kg_mezcla]]/Tabla_REQ[[#This Row],[KG_RQ]]</f>
        <v>6.0873926072700391</v>
      </c>
    </row>
    <row r="19" spans="1:17" x14ac:dyDescent="0.35">
      <c r="A19" s="9">
        <v>46232</v>
      </c>
      <c r="B19" s="7">
        <v>7</v>
      </c>
      <c r="C19" s="7" t="str">
        <f t="shared" si="10"/>
        <v>JUL</v>
      </c>
      <c r="D19" s="7" t="str">
        <f t="shared" si="11"/>
        <v>MI</v>
      </c>
      <c r="E19" s="71">
        <v>290726301</v>
      </c>
      <c r="F19" s="9" t="s">
        <v>551</v>
      </c>
      <c r="G19" s="37">
        <v>13</v>
      </c>
      <c r="H19" s="37">
        <v>9</v>
      </c>
      <c r="I19" s="37">
        <v>25</v>
      </c>
      <c r="J19" s="8">
        <v>2347.7800000000002</v>
      </c>
      <c r="K19">
        <v>480</v>
      </c>
      <c r="L19">
        <v>0</v>
      </c>
      <c r="M19" s="8">
        <v>13596</v>
      </c>
      <c r="N19" s="8">
        <v>4</v>
      </c>
      <c r="O19" s="8">
        <f>+Tabla_REQ[[#This Row],[Litr_Suero_conc]]/Tabla_REQ[[#This Row],[Cant_Floc]]</f>
        <v>3399</v>
      </c>
      <c r="P19" s="8">
        <f>+(Tabla_REQ[[#This Row],[Litr_Suero_conc]]*1.06+(Tabla_REQ[[#This Row],[Nata_Propia]]+Tabla_REQ[[#This Row],[Nata_Ext]])*0.97)</f>
        <v>14877.36</v>
      </c>
      <c r="Q19" s="150">
        <f>+Tabla_REQ[[#This Row],[Kg_mezcla]]/Tabla_REQ[[#This Row],[KG_RQ]]</f>
        <v>6.3367777219330597</v>
      </c>
    </row>
    <row r="20" spans="1:17" x14ac:dyDescent="0.35">
      <c r="A20" s="9">
        <v>46248</v>
      </c>
      <c r="B20" s="7">
        <v>8</v>
      </c>
      <c r="C20" s="7" t="str">
        <f t="shared" si="10"/>
        <v>AGO</v>
      </c>
      <c r="D20" s="7" t="str">
        <f t="shared" si="11"/>
        <v>VI</v>
      </c>
      <c r="E20" s="147" t="s">
        <v>622</v>
      </c>
      <c r="F20" s="9" t="s">
        <v>551</v>
      </c>
      <c r="G20" s="37">
        <v>13</v>
      </c>
      <c r="H20" s="37">
        <v>9</v>
      </c>
      <c r="I20" s="37">
        <v>25</v>
      </c>
      <c r="J20" s="8">
        <v>4574.55</v>
      </c>
      <c r="K20">
        <v>980</v>
      </c>
      <c r="L20" s="8">
        <v>120</v>
      </c>
      <c r="M20" s="8">
        <v>26129</v>
      </c>
      <c r="N20" s="8">
        <v>8</v>
      </c>
      <c r="O20" s="8">
        <f>+Tabla_REQ[[#This Row],[Litr_Suero_conc]]/Tabla_REQ[[#This Row],[Cant_Floc]]</f>
        <v>3266.125</v>
      </c>
      <c r="P20" s="8">
        <f>+(Tabla_REQ[[#This Row],[Litr_Suero_conc]]*1.06+(Tabla_REQ[[#This Row],[Nata_Propia]]+Tabla_REQ[[#This Row],[Nata_Ext]])*0.97)</f>
        <v>28763.74</v>
      </c>
      <c r="Q20" s="150">
        <f>+Tabla_REQ[[#This Row],[Kg_mezcla]]/Tabla_REQ[[#This Row],[KG_RQ]]</f>
        <v>6.2877747538009201</v>
      </c>
    </row>
    <row r="21" spans="1:17" x14ac:dyDescent="0.35">
      <c r="A21" s="9">
        <v>46262</v>
      </c>
      <c r="B21" s="7">
        <v>8</v>
      </c>
      <c r="C21" s="7" t="str">
        <f t="shared" si="10"/>
        <v>AGO</v>
      </c>
      <c r="D21" s="7" t="str">
        <f t="shared" si="11"/>
        <v>VI</v>
      </c>
      <c r="E21" s="147" t="s">
        <v>624</v>
      </c>
      <c r="F21" s="9" t="s">
        <v>551</v>
      </c>
      <c r="G21" s="37">
        <v>13</v>
      </c>
      <c r="H21" s="37">
        <v>9</v>
      </c>
      <c r="I21" s="37">
        <v>25</v>
      </c>
      <c r="J21" s="8">
        <v>5736.57</v>
      </c>
      <c r="K21">
        <v>550</v>
      </c>
      <c r="L21" s="8">
        <v>660</v>
      </c>
      <c r="M21" s="8">
        <v>31589</v>
      </c>
      <c r="N21" s="8">
        <v>10</v>
      </c>
      <c r="O21" s="8">
        <f>+Tabla_REQ[[#This Row],[Litr_Suero_conc]]/Tabla_REQ[[#This Row],[Cant_Floc]]</f>
        <v>3158.9</v>
      </c>
      <c r="P21" s="8">
        <f>+(Tabla_REQ[[#This Row],[Litr_Suero_conc]]*1.06+(Tabla_REQ[[#This Row],[Nata_Propia]]+Tabla_REQ[[#This Row],[Nata_Ext]])*0.97)</f>
        <v>34658.04</v>
      </c>
      <c r="Q21" s="150">
        <f>+Tabla_REQ[[#This Row],[Kg_mezcla]]/Tabla_REQ[[#This Row],[KG_RQ]]</f>
        <v>6.0415962848880085</v>
      </c>
    </row>
    <row r="22" spans="1:17" x14ac:dyDescent="0.35">
      <c r="A22" s="9">
        <v>46275</v>
      </c>
      <c r="B22" s="7">
        <v>9</v>
      </c>
      <c r="C22" s="7" t="str">
        <f>+UPPER(TEXT(A22,"MMM"))</f>
        <v>SEP</v>
      </c>
      <c r="D22" s="7" t="str">
        <f>+UPPER(TEXT(A22,"ddd"))</f>
        <v>JU</v>
      </c>
      <c r="E22" s="9" t="s">
        <v>626</v>
      </c>
      <c r="F22" s="9" t="s">
        <v>551</v>
      </c>
      <c r="G22" s="37">
        <v>13</v>
      </c>
      <c r="H22" s="37">
        <v>9</v>
      </c>
      <c r="I22" s="37">
        <v>25</v>
      </c>
      <c r="J22" s="8">
        <v>1366.19</v>
      </c>
      <c r="K22">
        <v>0</v>
      </c>
      <c r="L22" s="8">
        <v>430</v>
      </c>
      <c r="M22" s="8">
        <v>12850</v>
      </c>
      <c r="N22" s="8">
        <v>4</v>
      </c>
      <c r="O22" s="8">
        <f>+Tabla_REQ[[#This Row],[Litr_Suero_conc]]/Tabla_REQ[[#This Row],[Cant_Floc]]</f>
        <v>3212.5</v>
      </c>
      <c r="P22" s="8">
        <f>+(Tabla_REQ[[#This Row],[Litr_Suero_conc]]*1.06+(Tabla_REQ[[#This Row],[Nata_Propia]]+Tabla_REQ[[#This Row],[Nata_Ext]])*0.97)</f>
        <v>14038.1</v>
      </c>
      <c r="Q22" s="150">
        <f>+Tabla_REQ[[#This Row],[Kg_mezcla]]/Tabla_REQ[[#This Row],[KG_RQ]]</f>
        <v>10.275364334389799</v>
      </c>
    </row>
    <row r="23" spans="1:17" x14ac:dyDescent="0.35">
      <c r="A23" s="9">
        <v>46289</v>
      </c>
      <c r="B23" s="7">
        <v>9</v>
      </c>
      <c r="C23" s="7" t="str">
        <f>+UPPER(TEXT(A23,"MMM"))</f>
        <v>SEP</v>
      </c>
      <c r="D23" s="7" t="str">
        <f>+UPPER(TEXT(A23,"ddd"))</f>
        <v>JU</v>
      </c>
      <c r="E23" s="147" t="s">
        <v>628</v>
      </c>
      <c r="F23" s="9" t="s">
        <v>551</v>
      </c>
      <c r="G23" s="37">
        <v>13</v>
      </c>
      <c r="H23" s="37">
        <v>9</v>
      </c>
      <c r="I23" s="37">
        <v>25</v>
      </c>
      <c r="J23" s="8">
        <f>1156.54+4691.67</f>
        <v>5848.21</v>
      </c>
      <c r="K23">
        <v>1670</v>
      </c>
      <c r="L23" s="8">
        <v>0</v>
      </c>
      <c r="M23" s="8">
        <v>34670</v>
      </c>
      <c r="N23" s="8">
        <v>10</v>
      </c>
      <c r="O23" s="8">
        <f>+Tabla_REQ[[#This Row],[Litr_Suero_conc]]/Tabla_REQ[[#This Row],[Cant_Floc]]</f>
        <v>3467</v>
      </c>
      <c r="P23" s="8">
        <f>+(Tabla_REQ[[#This Row],[Litr_Suero_conc]]*1.06+(Tabla_REQ[[#This Row],[Nata_Propia]]+Tabla_REQ[[#This Row],[Nata_Ext]])*0.97)</f>
        <v>38370.100000000006</v>
      </c>
      <c r="Q23" s="150">
        <f>+Tabla_REQ[[#This Row],[Kg_mezcla]]/Tabla_REQ[[#This Row],[KG_RQ]]</f>
        <v>6.5609990065336241</v>
      </c>
    </row>
    <row r="24" spans="1:17" x14ac:dyDescent="0.35">
      <c r="C24" s="7"/>
      <c r="D24" s="7"/>
    </row>
    <row r="25" spans="1:17" x14ac:dyDescent="0.35">
      <c r="C25" s="7"/>
      <c r="D25" s="7"/>
    </row>
    <row r="26" spans="1:17" x14ac:dyDescent="0.35">
      <c r="C26" s="7"/>
      <c r="D26" s="7"/>
    </row>
    <row r="27" spans="1:17" x14ac:dyDescent="0.35">
      <c r="C27" s="7"/>
      <c r="D27" s="7"/>
    </row>
    <row r="28" spans="1:17" x14ac:dyDescent="0.35">
      <c r="C28" s="7"/>
      <c r="D28" s="7"/>
    </row>
    <row r="29" spans="1:17" x14ac:dyDescent="0.35">
      <c r="C29" s="7"/>
      <c r="D29" s="7"/>
    </row>
    <row r="30" spans="1:17" x14ac:dyDescent="0.35">
      <c r="C30" s="7"/>
      <c r="D30" s="7"/>
    </row>
    <row r="31" spans="1:17" x14ac:dyDescent="0.35">
      <c r="C31" s="7"/>
      <c r="D31" s="7"/>
    </row>
    <row r="32" spans="1:17" x14ac:dyDescent="0.35">
      <c r="C32" s="7"/>
      <c r="D32" s="7"/>
    </row>
    <row r="33" spans="3:4" x14ac:dyDescent="0.35">
      <c r="C33" s="7"/>
      <c r="D33" s="7"/>
    </row>
    <row r="34" spans="3:4" x14ac:dyDescent="0.35">
      <c r="C34" s="7"/>
      <c r="D34" s="7"/>
    </row>
    <row r="35" spans="3:4" x14ac:dyDescent="0.35">
      <c r="C35" s="7"/>
      <c r="D35" s="7"/>
    </row>
    <row r="36" spans="3:4" x14ac:dyDescent="0.35">
      <c r="C36" s="7"/>
      <c r="D36" s="7"/>
    </row>
    <row r="37" spans="3:4" x14ac:dyDescent="0.35">
      <c r="C37" s="7"/>
      <c r="D37" s="7"/>
    </row>
    <row r="38" spans="3:4" x14ac:dyDescent="0.35">
      <c r="C38" s="7"/>
      <c r="D38" s="7"/>
    </row>
    <row r="39" spans="3:4" x14ac:dyDescent="0.35">
      <c r="C39" s="7"/>
      <c r="D39" s="7"/>
    </row>
    <row r="40" spans="3:4" x14ac:dyDescent="0.35">
      <c r="C40" s="7"/>
      <c r="D40" s="7"/>
    </row>
    <row r="41" spans="3:4" x14ac:dyDescent="0.35">
      <c r="C41" s="7"/>
      <c r="D41" s="7"/>
    </row>
    <row r="42" spans="3:4" x14ac:dyDescent="0.35">
      <c r="C42" s="7"/>
      <c r="D42" s="7"/>
    </row>
    <row r="43" spans="3:4" x14ac:dyDescent="0.35">
      <c r="C43" s="7"/>
      <c r="D43" s="7"/>
    </row>
    <row r="44" spans="3:4" x14ac:dyDescent="0.35">
      <c r="C44" s="7"/>
      <c r="D44" s="7"/>
    </row>
    <row r="45" spans="3:4" x14ac:dyDescent="0.35">
      <c r="C45" s="7"/>
      <c r="D45" s="7"/>
    </row>
    <row r="46" spans="3:4" x14ac:dyDescent="0.35">
      <c r="C46" s="7"/>
      <c r="D46" s="7"/>
    </row>
    <row r="47" spans="3:4" x14ac:dyDescent="0.35">
      <c r="C47" s="7"/>
      <c r="D47" s="7"/>
    </row>
    <row r="48" spans="3:4" x14ac:dyDescent="0.35">
      <c r="C48" s="7"/>
      <c r="D48" s="7"/>
    </row>
    <row r="49" spans="3:4" x14ac:dyDescent="0.35">
      <c r="C49" s="7"/>
      <c r="D49" s="7"/>
    </row>
    <row r="50" spans="3:4" x14ac:dyDescent="0.35">
      <c r="C50" s="7"/>
      <c r="D50" s="7"/>
    </row>
    <row r="51" spans="3:4" x14ac:dyDescent="0.35">
      <c r="C51" s="7"/>
      <c r="D51" s="7"/>
    </row>
    <row r="52" spans="3:4" x14ac:dyDescent="0.35">
      <c r="C52" s="7"/>
      <c r="D52" s="7"/>
    </row>
    <row r="53" spans="3:4" x14ac:dyDescent="0.35">
      <c r="C53" s="7"/>
      <c r="D53" s="7"/>
    </row>
    <row r="54" spans="3:4" x14ac:dyDescent="0.35">
      <c r="C54" s="7"/>
      <c r="D54" s="7"/>
    </row>
    <row r="55" spans="3:4" x14ac:dyDescent="0.35">
      <c r="C55" s="7"/>
      <c r="D55" s="7"/>
    </row>
    <row r="56" spans="3:4" x14ac:dyDescent="0.35">
      <c r="C56" s="7"/>
      <c r="D56" s="7"/>
    </row>
    <row r="57" spans="3:4" x14ac:dyDescent="0.35">
      <c r="C57" s="7"/>
      <c r="D57" s="7"/>
    </row>
    <row r="58" spans="3:4" x14ac:dyDescent="0.35">
      <c r="C58" s="7"/>
      <c r="D58" s="7"/>
    </row>
    <row r="59" spans="3:4" x14ac:dyDescent="0.35">
      <c r="C59" s="7"/>
      <c r="D59" s="7"/>
    </row>
    <row r="60" spans="3:4" x14ac:dyDescent="0.35">
      <c r="C60" s="7"/>
      <c r="D60" s="7"/>
    </row>
    <row r="61" spans="3:4" x14ac:dyDescent="0.35">
      <c r="C61" s="7"/>
      <c r="D61" s="7"/>
    </row>
    <row r="62" spans="3:4" x14ac:dyDescent="0.35">
      <c r="C62" s="7"/>
      <c r="D62" s="7"/>
    </row>
    <row r="63" spans="3:4" x14ac:dyDescent="0.35">
      <c r="C63" s="7"/>
      <c r="D63" s="7"/>
    </row>
    <row r="64" spans="3:4" x14ac:dyDescent="0.35">
      <c r="C64" s="7"/>
      <c r="D64" s="7"/>
    </row>
    <row r="65" spans="3:4" x14ac:dyDescent="0.35">
      <c r="C65" s="7"/>
      <c r="D65" s="7"/>
    </row>
    <row r="66" spans="3:4" x14ac:dyDescent="0.35">
      <c r="C66" s="7"/>
      <c r="D66" s="7"/>
    </row>
    <row r="67" spans="3:4" x14ac:dyDescent="0.35">
      <c r="C67" s="7"/>
      <c r="D67" s="7"/>
    </row>
    <row r="68" spans="3:4" x14ac:dyDescent="0.35">
      <c r="C68" s="7"/>
      <c r="D68" s="7"/>
    </row>
    <row r="69" spans="3:4" x14ac:dyDescent="0.35">
      <c r="C69" s="7"/>
      <c r="D69" s="7"/>
    </row>
    <row r="70" spans="3:4" x14ac:dyDescent="0.35">
      <c r="C70" s="7"/>
      <c r="D70" s="7"/>
    </row>
    <row r="71" spans="3:4" x14ac:dyDescent="0.35">
      <c r="C71" s="7"/>
      <c r="D71" s="7"/>
    </row>
    <row r="72" spans="3:4" x14ac:dyDescent="0.35">
      <c r="C72" s="7"/>
      <c r="D72" s="7"/>
    </row>
    <row r="73" spans="3:4" x14ac:dyDescent="0.35">
      <c r="C73" s="7"/>
      <c r="D73" s="7"/>
    </row>
    <row r="74" spans="3:4" x14ac:dyDescent="0.35">
      <c r="C74" s="7"/>
      <c r="D74" s="7"/>
    </row>
    <row r="75" spans="3:4" x14ac:dyDescent="0.35">
      <c r="C75" s="7"/>
      <c r="D75" s="7"/>
    </row>
    <row r="76" spans="3:4" x14ac:dyDescent="0.35">
      <c r="C76" s="7"/>
      <c r="D76" s="7"/>
    </row>
    <row r="77" spans="3:4" x14ac:dyDescent="0.35">
      <c r="C77" s="7"/>
      <c r="D77" s="7"/>
    </row>
    <row r="78" spans="3:4" x14ac:dyDescent="0.35">
      <c r="C78" s="7"/>
      <c r="D78" s="7"/>
    </row>
    <row r="79" spans="3:4" x14ac:dyDescent="0.35">
      <c r="C79" s="7"/>
      <c r="D79" s="7"/>
    </row>
    <row r="80" spans="3:4" x14ac:dyDescent="0.35">
      <c r="C80" s="7"/>
      <c r="D80" s="7"/>
    </row>
    <row r="81" spans="3:4" x14ac:dyDescent="0.35">
      <c r="C81" s="7"/>
      <c r="D81" s="7"/>
    </row>
    <row r="82" spans="3:4" x14ac:dyDescent="0.35">
      <c r="C82" s="7"/>
      <c r="D82" s="7"/>
    </row>
    <row r="83" spans="3:4" x14ac:dyDescent="0.35">
      <c r="C83" s="7"/>
      <c r="D83" s="7"/>
    </row>
    <row r="84" spans="3:4" x14ac:dyDescent="0.35">
      <c r="C84" s="7"/>
      <c r="D84" s="7"/>
    </row>
    <row r="85" spans="3:4" x14ac:dyDescent="0.35">
      <c r="C85" s="7"/>
      <c r="D85" s="7"/>
    </row>
    <row r="86" spans="3:4" x14ac:dyDescent="0.35">
      <c r="C86" s="7"/>
      <c r="D86" s="7"/>
    </row>
    <row r="87" spans="3:4" x14ac:dyDescent="0.35">
      <c r="C87" s="7"/>
      <c r="D87" s="7"/>
    </row>
    <row r="88" spans="3:4" x14ac:dyDescent="0.35">
      <c r="C88" s="7"/>
      <c r="D88" s="7"/>
    </row>
    <row r="89" spans="3:4" x14ac:dyDescent="0.35">
      <c r="C89" s="7"/>
      <c r="D89" s="7"/>
    </row>
    <row r="90" spans="3:4" x14ac:dyDescent="0.35">
      <c r="C90" s="7"/>
      <c r="D90" s="7"/>
    </row>
    <row r="91" spans="3:4" x14ac:dyDescent="0.35">
      <c r="C91" s="7"/>
      <c r="D91" s="7"/>
    </row>
    <row r="92" spans="3:4" x14ac:dyDescent="0.35">
      <c r="C92" s="7"/>
      <c r="D92" s="7"/>
    </row>
    <row r="93" spans="3:4" x14ac:dyDescent="0.35">
      <c r="C93" s="7"/>
      <c r="D93" s="7"/>
    </row>
    <row r="94" spans="3:4" x14ac:dyDescent="0.35">
      <c r="C94" s="7"/>
      <c r="D94" s="7"/>
    </row>
    <row r="95" spans="3:4" x14ac:dyDescent="0.35">
      <c r="C95" s="7"/>
      <c r="D95" s="7"/>
    </row>
    <row r="96" spans="3:4" x14ac:dyDescent="0.35">
      <c r="C96" s="7"/>
      <c r="D96" s="7"/>
    </row>
    <row r="97" spans="3:4" x14ac:dyDescent="0.35">
      <c r="C97" s="7"/>
      <c r="D97" s="7"/>
    </row>
    <row r="98" spans="3:4" x14ac:dyDescent="0.35">
      <c r="C98" s="7"/>
      <c r="D98" s="7"/>
    </row>
    <row r="99" spans="3:4" x14ac:dyDescent="0.35">
      <c r="C99" s="7"/>
      <c r="D99" s="7"/>
    </row>
    <row r="100" spans="3:4" x14ac:dyDescent="0.35">
      <c r="C100" s="7"/>
      <c r="D100" s="7"/>
    </row>
    <row r="101" spans="3:4" x14ac:dyDescent="0.35">
      <c r="C101" s="7"/>
      <c r="D101" s="7"/>
    </row>
    <row r="102" spans="3:4" x14ac:dyDescent="0.35">
      <c r="C102" s="7"/>
      <c r="D102" s="7"/>
    </row>
    <row r="103" spans="3:4" x14ac:dyDescent="0.35">
      <c r="C103" s="7"/>
      <c r="D103" s="7"/>
    </row>
    <row r="104" spans="3:4" x14ac:dyDescent="0.35">
      <c r="C104" s="7"/>
      <c r="D104" s="7"/>
    </row>
    <row r="105" spans="3:4" x14ac:dyDescent="0.35">
      <c r="C105" s="7"/>
      <c r="D105" s="7"/>
    </row>
    <row r="106" spans="3:4" x14ac:dyDescent="0.35">
      <c r="C106" s="7"/>
      <c r="D106" s="7"/>
    </row>
    <row r="107" spans="3:4" x14ac:dyDescent="0.35">
      <c r="C107" s="7"/>
      <c r="D107" s="7"/>
    </row>
    <row r="108" spans="3:4" x14ac:dyDescent="0.35">
      <c r="C108" s="7"/>
      <c r="D108" s="7"/>
    </row>
    <row r="109" spans="3:4" x14ac:dyDescent="0.35">
      <c r="C109" s="7"/>
      <c r="D109" s="7"/>
    </row>
    <row r="110" spans="3:4" x14ac:dyDescent="0.35">
      <c r="C110" s="7"/>
      <c r="D110" s="7"/>
    </row>
    <row r="111" spans="3:4" x14ac:dyDescent="0.35">
      <c r="C111" s="7"/>
      <c r="D111" s="7"/>
    </row>
    <row r="112" spans="3:4" x14ac:dyDescent="0.35">
      <c r="C112" s="7"/>
      <c r="D112" s="7"/>
    </row>
    <row r="113" spans="3:4" x14ac:dyDescent="0.35">
      <c r="C113" s="7"/>
      <c r="D113" s="7"/>
    </row>
    <row r="114" spans="3:4" x14ac:dyDescent="0.35">
      <c r="C114" s="7"/>
      <c r="D114" s="7"/>
    </row>
    <row r="115" spans="3:4" x14ac:dyDescent="0.35">
      <c r="C115" s="7"/>
      <c r="D115" s="7"/>
    </row>
    <row r="116" spans="3:4" x14ac:dyDescent="0.35">
      <c r="C116" s="7"/>
      <c r="D116" s="7"/>
    </row>
    <row r="117" spans="3:4" x14ac:dyDescent="0.35">
      <c r="C117" s="7"/>
      <c r="D117" s="7"/>
    </row>
    <row r="118" spans="3:4" x14ac:dyDescent="0.35">
      <c r="C118" s="7"/>
      <c r="D118" s="7"/>
    </row>
    <row r="119" spans="3:4" x14ac:dyDescent="0.35">
      <c r="C119" s="7"/>
      <c r="D119" s="7"/>
    </row>
    <row r="120" spans="3:4" x14ac:dyDescent="0.35">
      <c r="C120" s="7"/>
      <c r="D120" s="7"/>
    </row>
    <row r="121" spans="3:4" x14ac:dyDescent="0.35">
      <c r="C121" s="7"/>
      <c r="D121" s="7"/>
    </row>
    <row r="122" spans="3:4" x14ac:dyDescent="0.35">
      <c r="C122" s="7"/>
      <c r="D122" s="7"/>
    </row>
    <row r="123" spans="3:4" x14ac:dyDescent="0.35">
      <c r="C123" s="7"/>
      <c r="D123" s="7"/>
    </row>
    <row r="124" spans="3:4" x14ac:dyDescent="0.35">
      <c r="C124" s="7"/>
      <c r="D124" s="7"/>
    </row>
    <row r="125" spans="3:4" x14ac:dyDescent="0.35">
      <c r="C125" s="7"/>
      <c r="D125" s="7"/>
    </row>
    <row r="126" spans="3:4" x14ac:dyDescent="0.35">
      <c r="C126" s="7"/>
      <c r="D126" s="7"/>
    </row>
    <row r="127" spans="3:4" x14ac:dyDescent="0.35">
      <c r="C127" s="7"/>
      <c r="D127" s="7"/>
    </row>
    <row r="128" spans="3:4" x14ac:dyDescent="0.35">
      <c r="C128" s="7"/>
      <c r="D128" s="7"/>
    </row>
    <row r="129" spans="3:4" x14ac:dyDescent="0.35">
      <c r="C129" s="7"/>
      <c r="D129" s="7"/>
    </row>
    <row r="130" spans="3:4" x14ac:dyDescent="0.35">
      <c r="C130" s="7"/>
      <c r="D130" s="7"/>
    </row>
    <row r="131" spans="3:4" x14ac:dyDescent="0.35">
      <c r="C131" s="7"/>
      <c r="D131" s="7"/>
    </row>
    <row r="132" spans="3:4" x14ac:dyDescent="0.35">
      <c r="C132" s="7"/>
      <c r="D132" s="7"/>
    </row>
    <row r="133" spans="3:4" x14ac:dyDescent="0.35">
      <c r="C133" s="7"/>
      <c r="D133" s="7"/>
    </row>
    <row r="134" spans="3:4" x14ac:dyDescent="0.35">
      <c r="C134" s="7"/>
      <c r="D134" s="7"/>
    </row>
    <row r="135" spans="3:4" x14ac:dyDescent="0.35">
      <c r="C135" s="7"/>
      <c r="D135" s="7"/>
    </row>
    <row r="136" spans="3:4" x14ac:dyDescent="0.35">
      <c r="C136" s="7"/>
      <c r="D136" s="7"/>
    </row>
    <row r="137" spans="3:4" x14ac:dyDescent="0.35">
      <c r="C137" s="7"/>
      <c r="D137" s="7"/>
    </row>
    <row r="138" spans="3:4" x14ac:dyDescent="0.35">
      <c r="C138" s="7"/>
      <c r="D138" s="7"/>
    </row>
    <row r="139" spans="3:4" x14ac:dyDescent="0.35">
      <c r="C139" s="7"/>
      <c r="D139" s="7"/>
    </row>
    <row r="140" spans="3:4" x14ac:dyDescent="0.35">
      <c r="C140" s="7"/>
      <c r="D140" s="7"/>
    </row>
    <row r="141" spans="3:4" x14ac:dyDescent="0.35">
      <c r="C141" s="7"/>
      <c r="D141" s="7"/>
    </row>
    <row r="142" spans="3:4" x14ac:dyDescent="0.35">
      <c r="C142" s="7"/>
      <c r="D142" s="7"/>
    </row>
    <row r="143" spans="3:4" x14ac:dyDescent="0.35">
      <c r="C143" s="7"/>
      <c r="D143" s="7"/>
    </row>
    <row r="144" spans="3:4" x14ac:dyDescent="0.35">
      <c r="C144" s="7"/>
      <c r="D144" s="7"/>
    </row>
    <row r="145" spans="3:4" x14ac:dyDescent="0.35">
      <c r="C145" s="7"/>
      <c r="D145" s="7"/>
    </row>
    <row r="146" spans="3:4" x14ac:dyDescent="0.35">
      <c r="C146" s="7"/>
      <c r="D146" s="7"/>
    </row>
    <row r="147" spans="3:4" x14ac:dyDescent="0.35">
      <c r="C147" s="7"/>
      <c r="D147" s="7"/>
    </row>
    <row r="148" spans="3:4" x14ac:dyDescent="0.35">
      <c r="C148" s="7"/>
      <c r="D148" s="7"/>
    </row>
    <row r="149" spans="3:4" x14ac:dyDescent="0.35">
      <c r="C149" s="7"/>
      <c r="D149" s="7"/>
    </row>
    <row r="150" spans="3:4" x14ac:dyDescent="0.35">
      <c r="C150" s="7"/>
      <c r="D150" s="7"/>
    </row>
    <row r="151" spans="3:4" x14ac:dyDescent="0.35">
      <c r="C151" s="7"/>
      <c r="D151" s="7"/>
    </row>
    <row r="152" spans="3:4" x14ac:dyDescent="0.35">
      <c r="C152" s="7"/>
      <c r="D152" s="7"/>
    </row>
    <row r="153" spans="3:4" x14ac:dyDescent="0.35">
      <c r="C153" s="7"/>
      <c r="D153" s="7"/>
    </row>
    <row r="154" spans="3:4" x14ac:dyDescent="0.35">
      <c r="C154" s="7"/>
      <c r="D154" s="7"/>
    </row>
    <row r="155" spans="3:4" x14ac:dyDescent="0.35">
      <c r="C155" s="7"/>
      <c r="D155" s="7"/>
    </row>
    <row r="156" spans="3:4" x14ac:dyDescent="0.35">
      <c r="C156" s="7"/>
      <c r="D156" s="7"/>
    </row>
    <row r="157" spans="3:4" x14ac:dyDescent="0.35">
      <c r="C157" s="7"/>
      <c r="D157" s="7"/>
    </row>
    <row r="158" spans="3:4" x14ac:dyDescent="0.35">
      <c r="C158" s="7"/>
      <c r="D158" s="7"/>
    </row>
    <row r="159" spans="3:4" x14ac:dyDescent="0.35">
      <c r="C159" s="7"/>
      <c r="D159" s="7"/>
    </row>
    <row r="160" spans="3:4" x14ac:dyDescent="0.35">
      <c r="C160" s="7"/>
      <c r="D160" s="7"/>
    </row>
    <row r="161" spans="3:4" x14ac:dyDescent="0.35">
      <c r="C161" s="7"/>
      <c r="D161" s="7"/>
    </row>
    <row r="162" spans="3:4" x14ac:dyDescent="0.35">
      <c r="C162" s="7"/>
      <c r="D162" s="7"/>
    </row>
    <row r="163" spans="3:4" x14ac:dyDescent="0.35">
      <c r="C163" s="7"/>
      <c r="D163" s="7"/>
    </row>
    <row r="164" spans="3:4" x14ac:dyDescent="0.35">
      <c r="C164" s="7"/>
      <c r="D164" s="7"/>
    </row>
    <row r="165" spans="3:4" x14ac:dyDescent="0.35">
      <c r="C165" s="7"/>
      <c r="D165" s="7"/>
    </row>
    <row r="166" spans="3:4" x14ac:dyDescent="0.35">
      <c r="C166" s="7"/>
      <c r="D166" s="7"/>
    </row>
    <row r="167" spans="3:4" x14ac:dyDescent="0.35">
      <c r="C167" s="7"/>
      <c r="D167" s="7"/>
    </row>
    <row r="168" spans="3:4" x14ac:dyDescent="0.35">
      <c r="C168" s="7"/>
      <c r="D168" s="7"/>
    </row>
    <row r="169" spans="3:4" x14ac:dyDescent="0.35">
      <c r="C169" s="7"/>
      <c r="D169" s="7"/>
    </row>
    <row r="170" spans="3:4" x14ac:dyDescent="0.35">
      <c r="C170" s="7"/>
      <c r="D170" s="7"/>
    </row>
    <row r="171" spans="3:4" x14ac:dyDescent="0.35">
      <c r="C171" s="7"/>
      <c r="D171" s="7"/>
    </row>
    <row r="172" spans="3:4" x14ac:dyDescent="0.35">
      <c r="C172" s="7"/>
      <c r="D172" s="7"/>
    </row>
    <row r="173" spans="3:4" x14ac:dyDescent="0.35">
      <c r="C173" s="7"/>
      <c r="D173" s="7"/>
    </row>
    <row r="174" spans="3:4" x14ac:dyDescent="0.35">
      <c r="C174" s="7"/>
      <c r="D174" s="7"/>
    </row>
    <row r="175" spans="3:4" x14ac:dyDescent="0.35">
      <c r="C175" s="7"/>
      <c r="D175" s="7"/>
    </row>
    <row r="176" spans="3:4" x14ac:dyDescent="0.35">
      <c r="C176" s="7"/>
      <c r="D176" s="7"/>
    </row>
    <row r="177" spans="3:4" x14ac:dyDescent="0.35">
      <c r="C177" s="7"/>
      <c r="D177" s="7"/>
    </row>
    <row r="178" spans="3:4" x14ac:dyDescent="0.35">
      <c r="C178" s="7"/>
      <c r="D178" s="7"/>
    </row>
    <row r="179" spans="3:4" x14ac:dyDescent="0.35">
      <c r="C179" s="7"/>
      <c r="D179" s="7"/>
    </row>
    <row r="180" spans="3:4" x14ac:dyDescent="0.35">
      <c r="C180" s="7"/>
      <c r="D180" s="7"/>
    </row>
    <row r="181" spans="3:4" x14ac:dyDescent="0.35">
      <c r="C181" s="7"/>
      <c r="D181" s="7"/>
    </row>
    <row r="182" spans="3:4" x14ac:dyDescent="0.35">
      <c r="C182" s="7"/>
      <c r="D182" s="7"/>
    </row>
    <row r="183" spans="3:4" x14ac:dyDescent="0.35">
      <c r="C183" s="7"/>
      <c r="D183" s="7"/>
    </row>
    <row r="184" spans="3:4" x14ac:dyDescent="0.35">
      <c r="C184" s="7"/>
      <c r="D184" s="7"/>
    </row>
    <row r="185" spans="3:4" x14ac:dyDescent="0.35">
      <c r="C185" s="7"/>
      <c r="D185" s="7"/>
    </row>
    <row r="186" spans="3:4" x14ac:dyDescent="0.35">
      <c r="C186" s="7"/>
      <c r="D186" s="7"/>
    </row>
    <row r="187" spans="3:4" x14ac:dyDescent="0.35">
      <c r="C187" s="7"/>
      <c r="D187" s="7"/>
    </row>
    <row r="188" spans="3:4" x14ac:dyDescent="0.35">
      <c r="C188" s="7"/>
      <c r="D188" s="7"/>
    </row>
    <row r="189" spans="3:4" x14ac:dyDescent="0.35">
      <c r="C189" s="7"/>
      <c r="D189" s="7"/>
    </row>
    <row r="190" spans="3:4" x14ac:dyDescent="0.35">
      <c r="C190" s="7"/>
      <c r="D190" s="7"/>
    </row>
    <row r="191" spans="3:4" x14ac:dyDescent="0.35">
      <c r="C191" s="7"/>
      <c r="D191" s="7"/>
    </row>
    <row r="192" spans="3:4" x14ac:dyDescent="0.35">
      <c r="C192" s="7"/>
      <c r="D192" s="7"/>
    </row>
  </sheetData>
  <phoneticPr fontId="4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9C5B3-BE4C-446D-BBBA-4366F1B21ED7}">
  <sheetPr codeName="Hoja8"/>
  <dimension ref="A1:I386"/>
  <sheetViews>
    <sheetView topLeftCell="A328" workbookViewId="0">
      <selection activeCell="A370" sqref="A370"/>
    </sheetView>
  </sheetViews>
  <sheetFormatPr baseColWidth="10" defaultRowHeight="14.5" x14ac:dyDescent="0.35"/>
  <cols>
    <col min="1" max="1" width="16.26953125" customWidth="1"/>
    <col min="3" max="3" width="14.26953125" customWidth="1"/>
    <col min="6" max="6" width="12.26953125" customWidth="1"/>
    <col min="7" max="7" width="12.81640625" customWidth="1"/>
    <col min="8" max="8" width="13.453125" customWidth="1"/>
    <col min="9" max="9" width="12.1796875" style="2" customWidth="1"/>
  </cols>
  <sheetData>
    <row r="1" spans="1:9" x14ac:dyDescent="0.35">
      <c r="A1" t="s">
        <v>47</v>
      </c>
      <c r="B1" t="s">
        <v>131</v>
      </c>
      <c r="C1" t="s">
        <v>132</v>
      </c>
      <c r="D1" t="s">
        <v>42</v>
      </c>
      <c r="E1" t="s">
        <v>133</v>
      </c>
      <c r="F1" t="s">
        <v>134</v>
      </c>
      <c r="G1" t="s">
        <v>135</v>
      </c>
      <c r="H1" t="s">
        <v>136</v>
      </c>
      <c r="I1" s="2" t="s">
        <v>137</v>
      </c>
    </row>
    <row r="2" spans="1:9" x14ac:dyDescent="0.35">
      <c r="A2" s="9">
        <v>46023</v>
      </c>
      <c r="B2">
        <f>+YEAR(A2)</f>
        <v>2026</v>
      </c>
      <c r="C2">
        <f>+MONTH(A2)</f>
        <v>1</v>
      </c>
      <c r="D2" t="str">
        <f t="shared" ref="D2:D65" si="0">+UPPER(TEXT(A2,"mmm"))</f>
        <v>ENE</v>
      </c>
      <c r="E2" t="str">
        <f>+TEXT(A2,"yyyy-mm")</f>
        <v>2026-01</v>
      </c>
      <c r="F2">
        <f>+_xlfn.ISOWEEKNUM(A2)</f>
        <v>1</v>
      </c>
      <c r="G2" t="str">
        <f>TEXT(A2,"yyyy")&amp;"-S"&amp;TEXT(F2,"00")</f>
        <v>2026-S01</v>
      </c>
      <c r="H2">
        <f>+WEEKDAY(A2,2)</f>
        <v>4</v>
      </c>
      <c r="I2" s="2" t="str">
        <f t="shared" ref="I2:I65" si="1">UPPER(TEXT(A2,"ddd"))</f>
        <v>JUE</v>
      </c>
    </row>
    <row r="3" spans="1:9" x14ac:dyDescent="0.35">
      <c r="A3" s="9">
        <v>46024</v>
      </c>
      <c r="B3">
        <f t="shared" ref="B3:B66" si="2">+YEAR(A3)</f>
        <v>2026</v>
      </c>
      <c r="C3">
        <f t="shared" ref="C3:C66" si="3">+MONTH(A3)</f>
        <v>1</v>
      </c>
      <c r="D3" t="str">
        <f t="shared" si="0"/>
        <v>ENE</v>
      </c>
      <c r="E3" t="str">
        <f t="shared" ref="E3:E66" si="4">+TEXT(A3,"yyyy-mm")</f>
        <v>2026-01</v>
      </c>
      <c r="F3">
        <f t="shared" ref="F3:F66" si="5">+_xlfn.ISOWEEKNUM(A3)</f>
        <v>1</v>
      </c>
      <c r="G3" t="str">
        <f t="shared" ref="G3:G66" si="6">TEXT(A3,"yyyy")&amp;"-S"&amp;TEXT(F3,"00")</f>
        <v>2026-S01</v>
      </c>
      <c r="H3">
        <f t="shared" ref="H3:H66" si="7">+WEEKDAY(A3,2)</f>
        <v>5</v>
      </c>
      <c r="I3" s="2" t="str">
        <f t="shared" si="1"/>
        <v>VIE</v>
      </c>
    </row>
    <row r="4" spans="1:9" x14ac:dyDescent="0.35">
      <c r="A4" s="9">
        <v>46025</v>
      </c>
      <c r="B4">
        <f t="shared" si="2"/>
        <v>2026</v>
      </c>
      <c r="C4">
        <f t="shared" si="3"/>
        <v>1</v>
      </c>
      <c r="D4" t="str">
        <f t="shared" si="0"/>
        <v>ENE</v>
      </c>
      <c r="E4" t="str">
        <f t="shared" si="4"/>
        <v>2026-01</v>
      </c>
      <c r="F4">
        <f t="shared" si="5"/>
        <v>1</v>
      </c>
      <c r="G4" t="str">
        <f t="shared" si="6"/>
        <v>2026-S01</v>
      </c>
      <c r="H4">
        <f t="shared" si="7"/>
        <v>6</v>
      </c>
      <c r="I4" s="2" t="str">
        <f t="shared" si="1"/>
        <v>SÁB</v>
      </c>
    </row>
    <row r="5" spans="1:9" x14ac:dyDescent="0.35">
      <c r="A5" s="9">
        <v>46026</v>
      </c>
      <c r="B5">
        <f t="shared" si="2"/>
        <v>2026</v>
      </c>
      <c r="C5">
        <f t="shared" si="3"/>
        <v>1</v>
      </c>
      <c r="D5" t="str">
        <f t="shared" si="0"/>
        <v>ENE</v>
      </c>
      <c r="E5" t="str">
        <f t="shared" si="4"/>
        <v>2026-01</v>
      </c>
      <c r="F5">
        <f t="shared" si="5"/>
        <v>1</v>
      </c>
      <c r="G5" t="str">
        <f t="shared" si="6"/>
        <v>2026-S01</v>
      </c>
      <c r="H5">
        <f t="shared" si="7"/>
        <v>7</v>
      </c>
      <c r="I5" s="2" t="str">
        <f t="shared" si="1"/>
        <v>DOM</v>
      </c>
    </row>
    <row r="6" spans="1:9" x14ac:dyDescent="0.35">
      <c r="A6" s="9">
        <v>46027</v>
      </c>
      <c r="B6">
        <f t="shared" si="2"/>
        <v>2026</v>
      </c>
      <c r="C6">
        <f t="shared" si="3"/>
        <v>1</v>
      </c>
      <c r="D6" t="str">
        <f t="shared" si="0"/>
        <v>ENE</v>
      </c>
      <c r="E6" t="str">
        <f t="shared" si="4"/>
        <v>2026-01</v>
      </c>
      <c r="F6">
        <f t="shared" si="5"/>
        <v>2</v>
      </c>
      <c r="G6" t="str">
        <f t="shared" si="6"/>
        <v>2026-S02</v>
      </c>
      <c r="H6">
        <f t="shared" si="7"/>
        <v>1</v>
      </c>
      <c r="I6" s="2" t="str">
        <f t="shared" si="1"/>
        <v>LUN</v>
      </c>
    </row>
    <row r="7" spans="1:9" x14ac:dyDescent="0.35">
      <c r="A7" s="9">
        <v>46028</v>
      </c>
      <c r="B7">
        <f t="shared" si="2"/>
        <v>2026</v>
      </c>
      <c r="C7">
        <f t="shared" si="3"/>
        <v>1</v>
      </c>
      <c r="D7" t="str">
        <f t="shared" si="0"/>
        <v>ENE</v>
      </c>
      <c r="E7" t="str">
        <f t="shared" si="4"/>
        <v>2026-01</v>
      </c>
      <c r="F7">
        <f t="shared" si="5"/>
        <v>2</v>
      </c>
      <c r="G7" t="str">
        <f t="shared" si="6"/>
        <v>2026-S02</v>
      </c>
      <c r="H7">
        <f t="shared" si="7"/>
        <v>2</v>
      </c>
      <c r="I7" s="2" t="str">
        <f t="shared" si="1"/>
        <v>MAR</v>
      </c>
    </row>
    <row r="8" spans="1:9" x14ac:dyDescent="0.35">
      <c r="A8" s="9">
        <v>46029</v>
      </c>
      <c r="B8">
        <f t="shared" si="2"/>
        <v>2026</v>
      </c>
      <c r="C8">
        <f t="shared" si="3"/>
        <v>1</v>
      </c>
      <c r="D8" t="str">
        <f t="shared" si="0"/>
        <v>ENE</v>
      </c>
      <c r="E8" t="str">
        <f t="shared" si="4"/>
        <v>2026-01</v>
      </c>
      <c r="F8">
        <f t="shared" si="5"/>
        <v>2</v>
      </c>
      <c r="G8" t="str">
        <f t="shared" si="6"/>
        <v>2026-S02</v>
      </c>
      <c r="H8">
        <f t="shared" si="7"/>
        <v>3</v>
      </c>
      <c r="I8" s="2" t="str">
        <f t="shared" si="1"/>
        <v>MIÉ</v>
      </c>
    </row>
    <row r="9" spans="1:9" x14ac:dyDescent="0.35">
      <c r="A9" s="9">
        <v>46030</v>
      </c>
      <c r="B9">
        <f t="shared" si="2"/>
        <v>2026</v>
      </c>
      <c r="C9">
        <f t="shared" si="3"/>
        <v>1</v>
      </c>
      <c r="D9" t="str">
        <f t="shared" si="0"/>
        <v>ENE</v>
      </c>
      <c r="E9" t="str">
        <f t="shared" si="4"/>
        <v>2026-01</v>
      </c>
      <c r="F9">
        <f t="shared" si="5"/>
        <v>2</v>
      </c>
      <c r="G9" t="str">
        <f t="shared" si="6"/>
        <v>2026-S02</v>
      </c>
      <c r="H9">
        <f t="shared" si="7"/>
        <v>4</v>
      </c>
      <c r="I9" s="2" t="str">
        <f t="shared" si="1"/>
        <v>JUE</v>
      </c>
    </row>
    <row r="10" spans="1:9" x14ac:dyDescent="0.35">
      <c r="A10" s="9">
        <v>46031</v>
      </c>
      <c r="B10">
        <f t="shared" si="2"/>
        <v>2026</v>
      </c>
      <c r="C10">
        <f t="shared" si="3"/>
        <v>1</v>
      </c>
      <c r="D10" t="str">
        <f t="shared" si="0"/>
        <v>ENE</v>
      </c>
      <c r="E10" t="str">
        <f t="shared" si="4"/>
        <v>2026-01</v>
      </c>
      <c r="F10">
        <f t="shared" si="5"/>
        <v>2</v>
      </c>
      <c r="G10" t="str">
        <f t="shared" si="6"/>
        <v>2026-S02</v>
      </c>
      <c r="H10">
        <f t="shared" si="7"/>
        <v>5</v>
      </c>
      <c r="I10" s="2" t="str">
        <f t="shared" si="1"/>
        <v>VIE</v>
      </c>
    </row>
    <row r="11" spans="1:9" x14ac:dyDescent="0.35">
      <c r="A11" s="9">
        <v>46032</v>
      </c>
      <c r="B11">
        <f t="shared" si="2"/>
        <v>2026</v>
      </c>
      <c r="C11">
        <f t="shared" si="3"/>
        <v>1</v>
      </c>
      <c r="D11" t="str">
        <f t="shared" si="0"/>
        <v>ENE</v>
      </c>
      <c r="E11" t="str">
        <f t="shared" si="4"/>
        <v>2026-01</v>
      </c>
      <c r="F11">
        <f t="shared" si="5"/>
        <v>2</v>
      </c>
      <c r="G11" t="str">
        <f t="shared" si="6"/>
        <v>2026-S02</v>
      </c>
      <c r="H11">
        <f t="shared" si="7"/>
        <v>6</v>
      </c>
      <c r="I11" s="2" t="str">
        <f t="shared" si="1"/>
        <v>SÁB</v>
      </c>
    </row>
    <row r="12" spans="1:9" x14ac:dyDescent="0.35">
      <c r="A12" s="9">
        <v>46033</v>
      </c>
      <c r="B12">
        <f t="shared" si="2"/>
        <v>2026</v>
      </c>
      <c r="C12">
        <f t="shared" si="3"/>
        <v>1</v>
      </c>
      <c r="D12" t="str">
        <f t="shared" si="0"/>
        <v>ENE</v>
      </c>
      <c r="E12" t="str">
        <f t="shared" si="4"/>
        <v>2026-01</v>
      </c>
      <c r="F12">
        <f t="shared" si="5"/>
        <v>2</v>
      </c>
      <c r="G12" t="str">
        <f t="shared" si="6"/>
        <v>2026-S02</v>
      </c>
      <c r="H12">
        <f t="shared" si="7"/>
        <v>7</v>
      </c>
      <c r="I12" s="2" t="str">
        <f t="shared" si="1"/>
        <v>DOM</v>
      </c>
    </row>
    <row r="13" spans="1:9" x14ac:dyDescent="0.35">
      <c r="A13" s="9">
        <v>46034</v>
      </c>
      <c r="B13">
        <f t="shared" si="2"/>
        <v>2026</v>
      </c>
      <c r="C13">
        <f t="shared" si="3"/>
        <v>1</v>
      </c>
      <c r="D13" t="str">
        <f t="shared" si="0"/>
        <v>ENE</v>
      </c>
      <c r="E13" t="str">
        <f t="shared" si="4"/>
        <v>2026-01</v>
      </c>
      <c r="F13">
        <f t="shared" si="5"/>
        <v>3</v>
      </c>
      <c r="G13" t="str">
        <f t="shared" si="6"/>
        <v>2026-S03</v>
      </c>
      <c r="H13">
        <f t="shared" si="7"/>
        <v>1</v>
      </c>
      <c r="I13" s="2" t="str">
        <f t="shared" si="1"/>
        <v>LUN</v>
      </c>
    </row>
    <row r="14" spans="1:9" x14ac:dyDescent="0.35">
      <c r="A14" s="9">
        <v>46035</v>
      </c>
      <c r="B14">
        <f t="shared" si="2"/>
        <v>2026</v>
      </c>
      <c r="C14">
        <f t="shared" si="3"/>
        <v>1</v>
      </c>
      <c r="D14" t="str">
        <f t="shared" si="0"/>
        <v>ENE</v>
      </c>
      <c r="E14" t="str">
        <f t="shared" si="4"/>
        <v>2026-01</v>
      </c>
      <c r="F14">
        <f t="shared" si="5"/>
        <v>3</v>
      </c>
      <c r="G14" t="str">
        <f t="shared" si="6"/>
        <v>2026-S03</v>
      </c>
      <c r="H14">
        <f t="shared" si="7"/>
        <v>2</v>
      </c>
      <c r="I14" s="2" t="str">
        <f t="shared" si="1"/>
        <v>MAR</v>
      </c>
    </row>
    <row r="15" spans="1:9" x14ac:dyDescent="0.35">
      <c r="A15" s="9">
        <v>46036</v>
      </c>
      <c r="B15">
        <f t="shared" si="2"/>
        <v>2026</v>
      </c>
      <c r="C15">
        <f t="shared" si="3"/>
        <v>1</v>
      </c>
      <c r="D15" t="str">
        <f t="shared" si="0"/>
        <v>ENE</v>
      </c>
      <c r="E15" t="str">
        <f t="shared" si="4"/>
        <v>2026-01</v>
      </c>
      <c r="F15">
        <f t="shared" si="5"/>
        <v>3</v>
      </c>
      <c r="G15" t="str">
        <f t="shared" si="6"/>
        <v>2026-S03</v>
      </c>
      <c r="H15">
        <f t="shared" si="7"/>
        <v>3</v>
      </c>
      <c r="I15" s="2" t="str">
        <f t="shared" si="1"/>
        <v>MIÉ</v>
      </c>
    </row>
    <row r="16" spans="1:9" x14ac:dyDescent="0.35">
      <c r="A16" s="9">
        <v>46037</v>
      </c>
      <c r="B16">
        <f t="shared" si="2"/>
        <v>2026</v>
      </c>
      <c r="C16">
        <f t="shared" si="3"/>
        <v>1</v>
      </c>
      <c r="D16" t="str">
        <f t="shared" si="0"/>
        <v>ENE</v>
      </c>
      <c r="E16" t="str">
        <f t="shared" si="4"/>
        <v>2026-01</v>
      </c>
      <c r="F16">
        <f t="shared" si="5"/>
        <v>3</v>
      </c>
      <c r="G16" t="str">
        <f t="shared" si="6"/>
        <v>2026-S03</v>
      </c>
      <c r="H16">
        <f t="shared" si="7"/>
        <v>4</v>
      </c>
      <c r="I16" s="2" t="str">
        <f t="shared" si="1"/>
        <v>JUE</v>
      </c>
    </row>
    <row r="17" spans="1:9" x14ac:dyDescent="0.35">
      <c r="A17" s="9">
        <v>46038</v>
      </c>
      <c r="B17">
        <f t="shared" si="2"/>
        <v>2026</v>
      </c>
      <c r="C17">
        <f t="shared" si="3"/>
        <v>1</v>
      </c>
      <c r="D17" t="str">
        <f t="shared" si="0"/>
        <v>ENE</v>
      </c>
      <c r="E17" t="str">
        <f t="shared" si="4"/>
        <v>2026-01</v>
      </c>
      <c r="F17">
        <f t="shared" si="5"/>
        <v>3</v>
      </c>
      <c r="G17" t="str">
        <f t="shared" si="6"/>
        <v>2026-S03</v>
      </c>
      <c r="H17">
        <f t="shared" si="7"/>
        <v>5</v>
      </c>
      <c r="I17" s="2" t="str">
        <f t="shared" si="1"/>
        <v>VIE</v>
      </c>
    </row>
    <row r="18" spans="1:9" x14ac:dyDescent="0.35">
      <c r="A18" s="9">
        <v>46039</v>
      </c>
      <c r="B18">
        <f t="shared" si="2"/>
        <v>2026</v>
      </c>
      <c r="C18">
        <f t="shared" si="3"/>
        <v>1</v>
      </c>
      <c r="D18" t="str">
        <f t="shared" si="0"/>
        <v>ENE</v>
      </c>
      <c r="E18" t="str">
        <f t="shared" si="4"/>
        <v>2026-01</v>
      </c>
      <c r="F18">
        <f t="shared" si="5"/>
        <v>3</v>
      </c>
      <c r="G18" t="str">
        <f t="shared" si="6"/>
        <v>2026-S03</v>
      </c>
      <c r="H18">
        <f t="shared" si="7"/>
        <v>6</v>
      </c>
      <c r="I18" s="2" t="str">
        <f t="shared" si="1"/>
        <v>SÁB</v>
      </c>
    </row>
    <row r="19" spans="1:9" x14ac:dyDescent="0.35">
      <c r="A19" s="9">
        <v>46040</v>
      </c>
      <c r="B19">
        <f t="shared" si="2"/>
        <v>2026</v>
      </c>
      <c r="C19">
        <f t="shared" si="3"/>
        <v>1</v>
      </c>
      <c r="D19" t="str">
        <f t="shared" si="0"/>
        <v>ENE</v>
      </c>
      <c r="E19" t="str">
        <f t="shared" si="4"/>
        <v>2026-01</v>
      </c>
      <c r="F19">
        <f t="shared" si="5"/>
        <v>3</v>
      </c>
      <c r="G19" t="str">
        <f t="shared" si="6"/>
        <v>2026-S03</v>
      </c>
      <c r="H19">
        <f t="shared" si="7"/>
        <v>7</v>
      </c>
      <c r="I19" s="2" t="str">
        <f t="shared" si="1"/>
        <v>DOM</v>
      </c>
    </row>
    <row r="20" spans="1:9" x14ac:dyDescent="0.35">
      <c r="A20" s="9">
        <v>46041</v>
      </c>
      <c r="B20">
        <f t="shared" si="2"/>
        <v>2026</v>
      </c>
      <c r="C20">
        <f t="shared" si="3"/>
        <v>1</v>
      </c>
      <c r="D20" t="str">
        <f t="shared" si="0"/>
        <v>ENE</v>
      </c>
      <c r="E20" t="str">
        <f t="shared" si="4"/>
        <v>2026-01</v>
      </c>
      <c r="F20">
        <f t="shared" si="5"/>
        <v>4</v>
      </c>
      <c r="G20" t="str">
        <f t="shared" si="6"/>
        <v>2026-S04</v>
      </c>
      <c r="H20">
        <f t="shared" si="7"/>
        <v>1</v>
      </c>
      <c r="I20" s="2" t="str">
        <f t="shared" si="1"/>
        <v>LUN</v>
      </c>
    </row>
    <row r="21" spans="1:9" x14ac:dyDescent="0.35">
      <c r="A21" s="9">
        <v>46042</v>
      </c>
      <c r="B21">
        <f t="shared" si="2"/>
        <v>2026</v>
      </c>
      <c r="C21">
        <f t="shared" si="3"/>
        <v>1</v>
      </c>
      <c r="D21" t="str">
        <f t="shared" si="0"/>
        <v>ENE</v>
      </c>
      <c r="E21" t="str">
        <f t="shared" si="4"/>
        <v>2026-01</v>
      </c>
      <c r="F21">
        <f t="shared" si="5"/>
        <v>4</v>
      </c>
      <c r="G21" t="str">
        <f t="shared" si="6"/>
        <v>2026-S04</v>
      </c>
      <c r="H21">
        <f t="shared" si="7"/>
        <v>2</v>
      </c>
      <c r="I21" s="2" t="str">
        <f t="shared" si="1"/>
        <v>MAR</v>
      </c>
    </row>
    <row r="22" spans="1:9" x14ac:dyDescent="0.35">
      <c r="A22" s="9">
        <v>46043</v>
      </c>
      <c r="B22">
        <f t="shared" si="2"/>
        <v>2026</v>
      </c>
      <c r="C22">
        <f t="shared" si="3"/>
        <v>1</v>
      </c>
      <c r="D22" t="str">
        <f t="shared" si="0"/>
        <v>ENE</v>
      </c>
      <c r="E22" t="str">
        <f t="shared" si="4"/>
        <v>2026-01</v>
      </c>
      <c r="F22">
        <f t="shared" si="5"/>
        <v>4</v>
      </c>
      <c r="G22" t="str">
        <f t="shared" si="6"/>
        <v>2026-S04</v>
      </c>
      <c r="H22">
        <f t="shared" si="7"/>
        <v>3</v>
      </c>
      <c r="I22" s="2" t="str">
        <f t="shared" si="1"/>
        <v>MIÉ</v>
      </c>
    </row>
    <row r="23" spans="1:9" x14ac:dyDescent="0.35">
      <c r="A23" s="9">
        <v>46044</v>
      </c>
      <c r="B23">
        <f t="shared" si="2"/>
        <v>2026</v>
      </c>
      <c r="C23">
        <f t="shared" si="3"/>
        <v>1</v>
      </c>
      <c r="D23" t="str">
        <f t="shared" si="0"/>
        <v>ENE</v>
      </c>
      <c r="E23" t="str">
        <f t="shared" si="4"/>
        <v>2026-01</v>
      </c>
      <c r="F23">
        <f t="shared" si="5"/>
        <v>4</v>
      </c>
      <c r="G23" t="str">
        <f t="shared" si="6"/>
        <v>2026-S04</v>
      </c>
      <c r="H23">
        <f t="shared" si="7"/>
        <v>4</v>
      </c>
      <c r="I23" s="2" t="str">
        <f t="shared" si="1"/>
        <v>JUE</v>
      </c>
    </row>
    <row r="24" spans="1:9" x14ac:dyDescent="0.35">
      <c r="A24" s="9">
        <v>46045</v>
      </c>
      <c r="B24">
        <f t="shared" si="2"/>
        <v>2026</v>
      </c>
      <c r="C24">
        <f t="shared" si="3"/>
        <v>1</v>
      </c>
      <c r="D24" t="str">
        <f t="shared" si="0"/>
        <v>ENE</v>
      </c>
      <c r="E24" t="str">
        <f t="shared" si="4"/>
        <v>2026-01</v>
      </c>
      <c r="F24">
        <f t="shared" si="5"/>
        <v>4</v>
      </c>
      <c r="G24" t="str">
        <f t="shared" si="6"/>
        <v>2026-S04</v>
      </c>
      <c r="H24">
        <f t="shared" si="7"/>
        <v>5</v>
      </c>
      <c r="I24" s="2" t="str">
        <f t="shared" si="1"/>
        <v>VIE</v>
      </c>
    </row>
    <row r="25" spans="1:9" x14ac:dyDescent="0.35">
      <c r="A25" s="9">
        <v>46046</v>
      </c>
      <c r="B25">
        <f t="shared" si="2"/>
        <v>2026</v>
      </c>
      <c r="C25">
        <f t="shared" si="3"/>
        <v>1</v>
      </c>
      <c r="D25" t="str">
        <f t="shared" si="0"/>
        <v>ENE</v>
      </c>
      <c r="E25" t="str">
        <f t="shared" si="4"/>
        <v>2026-01</v>
      </c>
      <c r="F25">
        <f t="shared" si="5"/>
        <v>4</v>
      </c>
      <c r="G25" t="str">
        <f t="shared" si="6"/>
        <v>2026-S04</v>
      </c>
      <c r="H25">
        <f t="shared" si="7"/>
        <v>6</v>
      </c>
      <c r="I25" s="2" t="str">
        <f t="shared" si="1"/>
        <v>SÁB</v>
      </c>
    </row>
    <row r="26" spans="1:9" x14ac:dyDescent="0.35">
      <c r="A26" s="9">
        <v>46047</v>
      </c>
      <c r="B26">
        <f t="shared" si="2"/>
        <v>2026</v>
      </c>
      <c r="C26">
        <f t="shared" si="3"/>
        <v>1</v>
      </c>
      <c r="D26" t="str">
        <f t="shared" si="0"/>
        <v>ENE</v>
      </c>
      <c r="E26" t="str">
        <f t="shared" si="4"/>
        <v>2026-01</v>
      </c>
      <c r="F26">
        <f t="shared" si="5"/>
        <v>4</v>
      </c>
      <c r="G26" t="str">
        <f t="shared" si="6"/>
        <v>2026-S04</v>
      </c>
      <c r="H26">
        <f t="shared" si="7"/>
        <v>7</v>
      </c>
      <c r="I26" s="2" t="str">
        <f t="shared" si="1"/>
        <v>DOM</v>
      </c>
    </row>
    <row r="27" spans="1:9" x14ac:dyDescent="0.35">
      <c r="A27" s="9">
        <v>46048</v>
      </c>
      <c r="B27">
        <f t="shared" si="2"/>
        <v>2026</v>
      </c>
      <c r="C27">
        <f t="shared" si="3"/>
        <v>1</v>
      </c>
      <c r="D27" t="str">
        <f t="shared" si="0"/>
        <v>ENE</v>
      </c>
      <c r="E27" t="str">
        <f t="shared" si="4"/>
        <v>2026-01</v>
      </c>
      <c r="F27">
        <f t="shared" si="5"/>
        <v>5</v>
      </c>
      <c r="G27" t="str">
        <f t="shared" si="6"/>
        <v>2026-S05</v>
      </c>
      <c r="H27">
        <f t="shared" si="7"/>
        <v>1</v>
      </c>
      <c r="I27" s="2" t="str">
        <f t="shared" si="1"/>
        <v>LUN</v>
      </c>
    </row>
    <row r="28" spans="1:9" x14ac:dyDescent="0.35">
      <c r="A28" s="9">
        <v>46049</v>
      </c>
      <c r="B28">
        <f t="shared" si="2"/>
        <v>2026</v>
      </c>
      <c r="C28">
        <f t="shared" si="3"/>
        <v>1</v>
      </c>
      <c r="D28" t="str">
        <f t="shared" si="0"/>
        <v>ENE</v>
      </c>
      <c r="E28" t="str">
        <f t="shared" si="4"/>
        <v>2026-01</v>
      </c>
      <c r="F28">
        <f t="shared" si="5"/>
        <v>5</v>
      </c>
      <c r="G28" t="str">
        <f t="shared" si="6"/>
        <v>2026-S05</v>
      </c>
      <c r="H28">
        <f t="shared" si="7"/>
        <v>2</v>
      </c>
      <c r="I28" s="2" t="str">
        <f t="shared" si="1"/>
        <v>MAR</v>
      </c>
    </row>
    <row r="29" spans="1:9" x14ac:dyDescent="0.35">
      <c r="A29" s="9">
        <v>46050</v>
      </c>
      <c r="B29">
        <f t="shared" si="2"/>
        <v>2026</v>
      </c>
      <c r="C29">
        <f t="shared" si="3"/>
        <v>1</v>
      </c>
      <c r="D29" t="str">
        <f t="shared" si="0"/>
        <v>ENE</v>
      </c>
      <c r="E29" t="str">
        <f t="shared" si="4"/>
        <v>2026-01</v>
      </c>
      <c r="F29">
        <f t="shared" si="5"/>
        <v>5</v>
      </c>
      <c r="G29" t="str">
        <f t="shared" si="6"/>
        <v>2026-S05</v>
      </c>
      <c r="H29">
        <f t="shared" si="7"/>
        <v>3</v>
      </c>
      <c r="I29" s="2" t="str">
        <f t="shared" si="1"/>
        <v>MIÉ</v>
      </c>
    </row>
    <row r="30" spans="1:9" x14ac:dyDescent="0.35">
      <c r="A30" s="9">
        <v>46051</v>
      </c>
      <c r="B30">
        <f t="shared" si="2"/>
        <v>2026</v>
      </c>
      <c r="C30">
        <f t="shared" si="3"/>
        <v>1</v>
      </c>
      <c r="D30" t="str">
        <f t="shared" si="0"/>
        <v>ENE</v>
      </c>
      <c r="E30" t="str">
        <f t="shared" si="4"/>
        <v>2026-01</v>
      </c>
      <c r="F30">
        <f t="shared" si="5"/>
        <v>5</v>
      </c>
      <c r="G30" t="str">
        <f t="shared" si="6"/>
        <v>2026-S05</v>
      </c>
      <c r="H30">
        <f t="shared" si="7"/>
        <v>4</v>
      </c>
      <c r="I30" s="2" t="str">
        <f t="shared" si="1"/>
        <v>JUE</v>
      </c>
    </row>
    <row r="31" spans="1:9" x14ac:dyDescent="0.35">
      <c r="A31" s="9">
        <v>46052</v>
      </c>
      <c r="B31">
        <f t="shared" si="2"/>
        <v>2026</v>
      </c>
      <c r="C31">
        <f t="shared" si="3"/>
        <v>1</v>
      </c>
      <c r="D31" t="str">
        <f t="shared" si="0"/>
        <v>ENE</v>
      </c>
      <c r="E31" t="str">
        <f t="shared" si="4"/>
        <v>2026-01</v>
      </c>
      <c r="F31">
        <f t="shared" si="5"/>
        <v>5</v>
      </c>
      <c r="G31" t="str">
        <f t="shared" si="6"/>
        <v>2026-S05</v>
      </c>
      <c r="H31">
        <f t="shared" si="7"/>
        <v>5</v>
      </c>
      <c r="I31" s="2" t="str">
        <f t="shared" si="1"/>
        <v>VIE</v>
      </c>
    </row>
    <row r="32" spans="1:9" x14ac:dyDescent="0.35">
      <c r="A32" s="9">
        <v>46053</v>
      </c>
      <c r="B32">
        <f t="shared" si="2"/>
        <v>2026</v>
      </c>
      <c r="C32">
        <f t="shared" si="3"/>
        <v>1</v>
      </c>
      <c r="D32" t="str">
        <f t="shared" si="0"/>
        <v>ENE</v>
      </c>
      <c r="E32" t="str">
        <f t="shared" si="4"/>
        <v>2026-01</v>
      </c>
      <c r="F32">
        <f t="shared" si="5"/>
        <v>5</v>
      </c>
      <c r="G32" t="str">
        <f t="shared" si="6"/>
        <v>2026-S05</v>
      </c>
      <c r="H32">
        <f t="shared" si="7"/>
        <v>6</v>
      </c>
      <c r="I32" s="2" t="str">
        <f t="shared" si="1"/>
        <v>SÁB</v>
      </c>
    </row>
    <row r="33" spans="1:9" x14ac:dyDescent="0.35">
      <c r="A33" s="9">
        <v>46054</v>
      </c>
      <c r="B33">
        <f t="shared" si="2"/>
        <v>2026</v>
      </c>
      <c r="C33">
        <f t="shared" si="3"/>
        <v>2</v>
      </c>
      <c r="D33" t="str">
        <f t="shared" si="0"/>
        <v>FEB</v>
      </c>
      <c r="E33" t="str">
        <f t="shared" si="4"/>
        <v>2026-02</v>
      </c>
      <c r="F33">
        <f t="shared" si="5"/>
        <v>5</v>
      </c>
      <c r="G33" t="str">
        <f t="shared" si="6"/>
        <v>2026-S05</v>
      </c>
      <c r="H33">
        <f t="shared" si="7"/>
        <v>7</v>
      </c>
      <c r="I33" s="2" t="str">
        <f t="shared" si="1"/>
        <v>DOM</v>
      </c>
    </row>
    <row r="34" spans="1:9" x14ac:dyDescent="0.35">
      <c r="A34" s="9">
        <v>46055</v>
      </c>
      <c r="B34">
        <f t="shared" si="2"/>
        <v>2026</v>
      </c>
      <c r="C34">
        <f t="shared" si="3"/>
        <v>2</v>
      </c>
      <c r="D34" t="str">
        <f t="shared" si="0"/>
        <v>FEB</v>
      </c>
      <c r="E34" t="str">
        <f t="shared" si="4"/>
        <v>2026-02</v>
      </c>
      <c r="F34">
        <f t="shared" si="5"/>
        <v>6</v>
      </c>
      <c r="G34" t="str">
        <f t="shared" si="6"/>
        <v>2026-S06</v>
      </c>
      <c r="H34">
        <f t="shared" si="7"/>
        <v>1</v>
      </c>
      <c r="I34" s="2" t="str">
        <f t="shared" si="1"/>
        <v>LUN</v>
      </c>
    </row>
    <row r="35" spans="1:9" x14ac:dyDescent="0.35">
      <c r="A35" s="9">
        <v>46056</v>
      </c>
      <c r="B35">
        <f t="shared" si="2"/>
        <v>2026</v>
      </c>
      <c r="C35">
        <f t="shared" si="3"/>
        <v>2</v>
      </c>
      <c r="D35" t="str">
        <f t="shared" si="0"/>
        <v>FEB</v>
      </c>
      <c r="E35" t="str">
        <f t="shared" si="4"/>
        <v>2026-02</v>
      </c>
      <c r="F35">
        <f t="shared" si="5"/>
        <v>6</v>
      </c>
      <c r="G35" t="str">
        <f t="shared" si="6"/>
        <v>2026-S06</v>
      </c>
      <c r="H35">
        <f t="shared" si="7"/>
        <v>2</v>
      </c>
      <c r="I35" s="2" t="str">
        <f t="shared" si="1"/>
        <v>MAR</v>
      </c>
    </row>
    <row r="36" spans="1:9" x14ac:dyDescent="0.35">
      <c r="A36" s="9">
        <v>46057</v>
      </c>
      <c r="B36">
        <f t="shared" si="2"/>
        <v>2026</v>
      </c>
      <c r="C36">
        <f t="shared" si="3"/>
        <v>2</v>
      </c>
      <c r="D36" t="str">
        <f t="shared" si="0"/>
        <v>FEB</v>
      </c>
      <c r="E36" t="str">
        <f t="shared" si="4"/>
        <v>2026-02</v>
      </c>
      <c r="F36">
        <f t="shared" si="5"/>
        <v>6</v>
      </c>
      <c r="G36" t="str">
        <f t="shared" si="6"/>
        <v>2026-S06</v>
      </c>
      <c r="H36">
        <f t="shared" si="7"/>
        <v>3</v>
      </c>
      <c r="I36" s="2" t="str">
        <f t="shared" si="1"/>
        <v>MIÉ</v>
      </c>
    </row>
    <row r="37" spans="1:9" x14ac:dyDescent="0.35">
      <c r="A37" s="9">
        <v>46058</v>
      </c>
      <c r="B37">
        <f t="shared" si="2"/>
        <v>2026</v>
      </c>
      <c r="C37">
        <f t="shared" si="3"/>
        <v>2</v>
      </c>
      <c r="D37" t="str">
        <f t="shared" si="0"/>
        <v>FEB</v>
      </c>
      <c r="E37" t="str">
        <f t="shared" si="4"/>
        <v>2026-02</v>
      </c>
      <c r="F37">
        <f t="shared" si="5"/>
        <v>6</v>
      </c>
      <c r="G37" t="str">
        <f t="shared" si="6"/>
        <v>2026-S06</v>
      </c>
      <c r="H37">
        <f t="shared" si="7"/>
        <v>4</v>
      </c>
      <c r="I37" s="2" t="str">
        <f t="shared" si="1"/>
        <v>JUE</v>
      </c>
    </row>
    <row r="38" spans="1:9" x14ac:dyDescent="0.35">
      <c r="A38" s="9">
        <v>46059</v>
      </c>
      <c r="B38">
        <f t="shared" si="2"/>
        <v>2026</v>
      </c>
      <c r="C38">
        <f t="shared" si="3"/>
        <v>2</v>
      </c>
      <c r="D38" t="str">
        <f t="shared" si="0"/>
        <v>FEB</v>
      </c>
      <c r="E38" t="str">
        <f t="shared" si="4"/>
        <v>2026-02</v>
      </c>
      <c r="F38">
        <f t="shared" si="5"/>
        <v>6</v>
      </c>
      <c r="G38" t="str">
        <f t="shared" si="6"/>
        <v>2026-S06</v>
      </c>
      <c r="H38">
        <f t="shared" si="7"/>
        <v>5</v>
      </c>
      <c r="I38" s="2" t="str">
        <f t="shared" si="1"/>
        <v>VIE</v>
      </c>
    </row>
    <row r="39" spans="1:9" x14ac:dyDescent="0.35">
      <c r="A39" s="9">
        <v>46060</v>
      </c>
      <c r="B39">
        <f t="shared" si="2"/>
        <v>2026</v>
      </c>
      <c r="C39">
        <f t="shared" si="3"/>
        <v>2</v>
      </c>
      <c r="D39" t="str">
        <f t="shared" si="0"/>
        <v>FEB</v>
      </c>
      <c r="E39" t="str">
        <f t="shared" si="4"/>
        <v>2026-02</v>
      </c>
      <c r="F39">
        <f t="shared" si="5"/>
        <v>6</v>
      </c>
      <c r="G39" t="str">
        <f t="shared" si="6"/>
        <v>2026-S06</v>
      </c>
      <c r="H39">
        <f t="shared" si="7"/>
        <v>6</v>
      </c>
      <c r="I39" s="2" t="str">
        <f t="shared" si="1"/>
        <v>SÁB</v>
      </c>
    </row>
    <row r="40" spans="1:9" x14ac:dyDescent="0.35">
      <c r="A40" s="9">
        <v>46061</v>
      </c>
      <c r="B40">
        <f t="shared" si="2"/>
        <v>2026</v>
      </c>
      <c r="C40">
        <f t="shared" si="3"/>
        <v>2</v>
      </c>
      <c r="D40" t="str">
        <f t="shared" si="0"/>
        <v>FEB</v>
      </c>
      <c r="E40" t="str">
        <f t="shared" si="4"/>
        <v>2026-02</v>
      </c>
      <c r="F40">
        <f t="shared" si="5"/>
        <v>6</v>
      </c>
      <c r="G40" t="str">
        <f t="shared" si="6"/>
        <v>2026-S06</v>
      </c>
      <c r="H40">
        <f t="shared" si="7"/>
        <v>7</v>
      </c>
      <c r="I40" s="2" t="str">
        <f t="shared" si="1"/>
        <v>DOM</v>
      </c>
    </row>
    <row r="41" spans="1:9" x14ac:dyDescent="0.35">
      <c r="A41" s="9">
        <v>46062</v>
      </c>
      <c r="B41">
        <f t="shared" si="2"/>
        <v>2026</v>
      </c>
      <c r="C41">
        <f t="shared" si="3"/>
        <v>2</v>
      </c>
      <c r="D41" t="str">
        <f t="shared" si="0"/>
        <v>FEB</v>
      </c>
      <c r="E41" t="str">
        <f t="shared" si="4"/>
        <v>2026-02</v>
      </c>
      <c r="F41">
        <f t="shared" si="5"/>
        <v>7</v>
      </c>
      <c r="G41" t="str">
        <f t="shared" si="6"/>
        <v>2026-S07</v>
      </c>
      <c r="H41">
        <f t="shared" si="7"/>
        <v>1</v>
      </c>
      <c r="I41" s="2" t="str">
        <f t="shared" si="1"/>
        <v>LUN</v>
      </c>
    </row>
    <row r="42" spans="1:9" x14ac:dyDescent="0.35">
      <c r="A42" s="9">
        <v>46063</v>
      </c>
      <c r="B42">
        <f t="shared" si="2"/>
        <v>2026</v>
      </c>
      <c r="C42">
        <f t="shared" si="3"/>
        <v>2</v>
      </c>
      <c r="D42" t="str">
        <f t="shared" si="0"/>
        <v>FEB</v>
      </c>
      <c r="E42" t="str">
        <f t="shared" si="4"/>
        <v>2026-02</v>
      </c>
      <c r="F42">
        <f t="shared" si="5"/>
        <v>7</v>
      </c>
      <c r="G42" t="str">
        <f t="shared" si="6"/>
        <v>2026-S07</v>
      </c>
      <c r="H42">
        <f t="shared" si="7"/>
        <v>2</v>
      </c>
      <c r="I42" s="2" t="str">
        <f t="shared" si="1"/>
        <v>MAR</v>
      </c>
    </row>
    <row r="43" spans="1:9" x14ac:dyDescent="0.35">
      <c r="A43" s="9">
        <v>46064</v>
      </c>
      <c r="B43">
        <f t="shared" si="2"/>
        <v>2026</v>
      </c>
      <c r="C43">
        <f t="shared" si="3"/>
        <v>2</v>
      </c>
      <c r="D43" t="str">
        <f t="shared" si="0"/>
        <v>FEB</v>
      </c>
      <c r="E43" t="str">
        <f t="shared" si="4"/>
        <v>2026-02</v>
      </c>
      <c r="F43">
        <f t="shared" si="5"/>
        <v>7</v>
      </c>
      <c r="G43" t="str">
        <f t="shared" si="6"/>
        <v>2026-S07</v>
      </c>
      <c r="H43">
        <f t="shared" si="7"/>
        <v>3</v>
      </c>
      <c r="I43" s="2" t="str">
        <f t="shared" si="1"/>
        <v>MIÉ</v>
      </c>
    </row>
    <row r="44" spans="1:9" x14ac:dyDescent="0.35">
      <c r="A44" s="9">
        <v>46065</v>
      </c>
      <c r="B44">
        <f t="shared" si="2"/>
        <v>2026</v>
      </c>
      <c r="C44">
        <f t="shared" si="3"/>
        <v>2</v>
      </c>
      <c r="D44" t="str">
        <f t="shared" si="0"/>
        <v>FEB</v>
      </c>
      <c r="E44" t="str">
        <f t="shared" si="4"/>
        <v>2026-02</v>
      </c>
      <c r="F44">
        <f t="shared" si="5"/>
        <v>7</v>
      </c>
      <c r="G44" t="str">
        <f t="shared" si="6"/>
        <v>2026-S07</v>
      </c>
      <c r="H44">
        <f t="shared" si="7"/>
        <v>4</v>
      </c>
      <c r="I44" s="2" t="str">
        <f t="shared" si="1"/>
        <v>JUE</v>
      </c>
    </row>
    <row r="45" spans="1:9" x14ac:dyDescent="0.35">
      <c r="A45" s="9">
        <v>46066</v>
      </c>
      <c r="B45">
        <f t="shared" si="2"/>
        <v>2026</v>
      </c>
      <c r="C45">
        <f t="shared" si="3"/>
        <v>2</v>
      </c>
      <c r="D45" t="str">
        <f t="shared" si="0"/>
        <v>FEB</v>
      </c>
      <c r="E45" t="str">
        <f t="shared" si="4"/>
        <v>2026-02</v>
      </c>
      <c r="F45">
        <f t="shared" si="5"/>
        <v>7</v>
      </c>
      <c r="G45" t="str">
        <f t="shared" si="6"/>
        <v>2026-S07</v>
      </c>
      <c r="H45">
        <f t="shared" si="7"/>
        <v>5</v>
      </c>
      <c r="I45" s="2" t="str">
        <f t="shared" si="1"/>
        <v>VIE</v>
      </c>
    </row>
    <row r="46" spans="1:9" x14ac:dyDescent="0.35">
      <c r="A46" s="9">
        <v>46067</v>
      </c>
      <c r="B46">
        <f t="shared" si="2"/>
        <v>2026</v>
      </c>
      <c r="C46">
        <f t="shared" si="3"/>
        <v>2</v>
      </c>
      <c r="D46" t="str">
        <f t="shared" si="0"/>
        <v>FEB</v>
      </c>
      <c r="E46" t="str">
        <f t="shared" si="4"/>
        <v>2026-02</v>
      </c>
      <c r="F46">
        <f t="shared" si="5"/>
        <v>7</v>
      </c>
      <c r="G46" t="str">
        <f t="shared" si="6"/>
        <v>2026-S07</v>
      </c>
      <c r="H46">
        <f t="shared" si="7"/>
        <v>6</v>
      </c>
      <c r="I46" s="2" t="str">
        <f t="shared" si="1"/>
        <v>SÁB</v>
      </c>
    </row>
    <row r="47" spans="1:9" x14ac:dyDescent="0.35">
      <c r="A47" s="9">
        <v>46068</v>
      </c>
      <c r="B47">
        <f t="shared" si="2"/>
        <v>2026</v>
      </c>
      <c r="C47">
        <f t="shared" si="3"/>
        <v>2</v>
      </c>
      <c r="D47" t="str">
        <f t="shared" si="0"/>
        <v>FEB</v>
      </c>
      <c r="E47" t="str">
        <f t="shared" si="4"/>
        <v>2026-02</v>
      </c>
      <c r="F47">
        <f t="shared" si="5"/>
        <v>7</v>
      </c>
      <c r="G47" t="str">
        <f t="shared" si="6"/>
        <v>2026-S07</v>
      </c>
      <c r="H47">
        <f t="shared" si="7"/>
        <v>7</v>
      </c>
      <c r="I47" s="2" t="str">
        <f t="shared" si="1"/>
        <v>DOM</v>
      </c>
    </row>
    <row r="48" spans="1:9" x14ac:dyDescent="0.35">
      <c r="A48" s="9">
        <v>46069</v>
      </c>
      <c r="B48">
        <f t="shared" si="2"/>
        <v>2026</v>
      </c>
      <c r="C48">
        <f t="shared" si="3"/>
        <v>2</v>
      </c>
      <c r="D48" t="str">
        <f t="shared" si="0"/>
        <v>FEB</v>
      </c>
      <c r="E48" t="str">
        <f t="shared" si="4"/>
        <v>2026-02</v>
      </c>
      <c r="F48">
        <f t="shared" si="5"/>
        <v>8</v>
      </c>
      <c r="G48" t="str">
        <f t="shared" si="6"/>
        <v>2026-S08</v>
      </c>
      <c r="H48">
        <f t="shared" si="7"/>
        <v>1</v>
      </c>
      <c r="I48" s="2" t="str">
        <f t="shared" si="1"/>
        <v>LUN</v>
      </c>
    </row>
    <row r="49" spans="1:9" x14ac:dyDescent="0.35">
      <c r="A49" s="9">
        <v>46070</v>
      </c>
      <c r="B49">
        <f t="shared" si="2"/>
        <v>2026</v>
      </c>
      <c r="C49">
        <f t="shared" si="3"/>
        <v>2</v>
      </c>
      <c r="D49" t="str">
        <f t="shared" si="0"/>
        <v>FEB</v>
      </c>
      <c r="E49" t="str">
        <f t="shared" si="4"/>
        <v>2026-02</v>
      </c>
      <c r="F49">
        <f t="shared" si="5"/>
        <v>8</v>
      </c>
      <c r="G49" t="str">
        <f t="shared" si="6"/>
        <v>2026-S08</v>
      </c>
      <c r="H49">
        <f t="shared" si="7"/>
        <v>2</v>
      </c>
      <c r="I49" s="2" t="str">
        <f t="shared" si="1"/>
        <v>MAR</v>
      </c>
    </row>
    <row r="50" spans="1:9" x14ac:dyDescent="0.35">
      <c r="A50" s="9">
        <v>46071</v>
      </c>
      <c r="B50">
        <f t="shared" si="2"/>
        <v>2026</v>
      </c>
      <c r="C50">
        <f t="shared" si="3"/>
        <v>2</v>
      </c>
      <c r="D50" t="str">
        <f t="shared" si="0"/>
        <v>FEB</v>
      </c>
      <c r="E50" t="str">
        <f t="shared" si="4"/>
        <v>2026-02</v>
      </c>
      <c r="F50">
        <f t="shared" si="5"/>
        <v>8</v>
      </c>
      <c r="G50" t="str">
        <f t="shared" si="6"/>
        <v>2026-S08</v>
      </c>
      <c r="H50">
        <f t="shared" si="7"/>
        <v>3</v>
      </c>
      <c r="I50" s="2" t="str">
        <f t="shared" si="1"/>
        <v>MIÉ</v>
      </c>
    </row>
    <row r="51" spans="1:9" x14ac:dyDescent="0.35">
      <c r="A51" s="9">
        <v>46072</v>
      </c>
      <c r="B51">
        <f t="shared" si="2"/>
        <v>2026</v>
      </c>
      <c r="C51">
        <f t="shared" si="3"/>
        <v>2</v>
      </c>
      <c r="D51" t="str">
        <f t="shared" si="0"/>
        <v>FEB</v>
      </c>
      <c r="E51" t="str">
        <f t="shared" si="4"/>
        <v>2026-02</v>
      </c>
      <c r="F51">
        <f t="shared" si="5"/>
        <v>8</v>
      </c>
      <c r="G51" t="str">
        <f t="shared" si="6"/>
        <v>2026-S08</v>
      </c>
      <c r="H51">
        <f t="shared" si="7"/>
        <v>4</v>
      </c>
      <c r="I51" s="2" t="str">
        <f t="shared" si="1"/>
        <v>JUE</v>
      </c>
    </row>
    <row r="52" spans="1:9" x14ac:dyDescent="0.35">
      <c r="A52" s="9">
        <v>46073</v>
      </c>
      <c r="B52">
        <f t="shared" si="2"/>
        <v>2026</v>
      </c>
      <c r="C52">
        <f t="shared" si="3"/>
        <v>2</v>
      </c>
      <c r="D52" t="str">
        <f t="shared" si="0"/>
        <v>FEB</v>
      </c>
      <c r="E52" t="str">
        <f t="shared" si="4"/>
        <v>2026-02</v>
      </c>
      <c r="F52">
        <f t="shared" si="5"/>
        <v>8</v>
      </c>
      <c r="G52" t="str">
        <f t="shared" si="6"/>
        <v>2026-S08</v>
      </c>
      <c r="H52">
        <f t="shared" si="7"/>
        <v>5</v>
      </c>
      <c r="I52" s="2" t="str">
        <f t="shared" si="1"/>
        <v>VIE</v>
      </c>
    </row>
    <row r="53" spans="1:9" x14ac:dyDescent="0.35">
      <c r="A53" s="9">
        <v>46074</v>
      </c>
      <c r="B53">
        <f t="shared" si="2"/>
        <v>2026</v>
      </c>
      <c r="C53">
        <f t="shared" si="3"/>
        <v>2</v>
      </c>
      <c r="D53" t="str">
        <f t="shared" si="0"/>
        <v>FEB</v>
      </c>
      <c r="E53" t="str">
        <f t="shared" si="4"/>
        <v>2026-02</v>
      </c>
      <c r="F53">
        <f t="shared" si="5"/>
        <v>8</v>
      </c>
      <c r="G53" t="str">
        <f t="shared" si="6"/>
        <v>2026-S08</v>
      </c>
      <c r="H53">
        <f t="shared" si="7"/>
        <v>6</v>
      </c>
      <c r="I53" s="2" t="str">
        <f t="shared" si="1"/>
        <v>SÁB</v>
      </c>
    </row>
    <row r="54" spans="1:9" x14ac:dyDescent="0.35">
      <c r="A54" s="9">
        <v>46075</v>
      </c>
      <c r="B54">
        <f t="shared" si="2"/>
        <v>2026</v>
      </c>
      <c r="C54">
        <f t="shared" si="3"/>
        <v>2</v>
      </c>
      <c r="D54" t="str">
        <f t="shared" si="0"/>
        <v>FEB</v>
      </c>
      <c r="E54" t="str">
        <f t="shared" si="4"/>
        <v>2026-02</v>
      </c>
      <c r="F54">
        <f t="shared" si="5"/>
        <v>8</v>
      </c>
      <c r="G54" t="str">
        <f t="shared" si="6"/>
        <v>2026-S08</v>
      </c>
      <c r="H54">
        <f t="shared" si="7"/>
        <v>7</v>
      </c>
      <c r="I54" s="2" t="str">
        <f t="shared" si="1"/>
        <v>DOM</v>
      </c>
    </row>
    <row r="55" spans="1:9" x14ac:dyDescent="0.35">
      <c r="A55" s="9">
        <v>46076</v>
      </c>
      <c r="B55">
        <f t="shared" si="2"/>
        <v>2026</v>
      </c>
      <c r="C55">
        <f t="shared" si="3"/>
        <v>2</v>
      </c>
      <c r="D55" t="str">
        <f t="shared" si="0"/>
        <v>FEB</v>
      </c>
      <c r="E55" t="str">
        <f t="shared" si="4"/>
        <v>2026-02</v>
      </c>
      <c r="F55">
        <f t="shared" si="5"/>
        <v>9</v>
      </c>
      <c r="G55" t="str">
        <f t="shared" si="6"/>
        <v>2026-S09</v>
      </c>
      <c r="H55">
        <f t="shared" si="7"/>
        <v>1</v>
      </c>
      <c r="I55" s="2" t="str">
        <f t="shared" si="1"/>
        <v>LUN</v>
      </c>
    </row>
    <row r="56" spans="1:9" x14ac:dyDescent="0.35">
      <c r="A56" s="9">
        <v>46077</v>
      </c>
      <c r="B56">
        <f t="shared" si="2"/>
        <v>2026</v>
      </c>
      <c r="C56">
        <f t="shared" si="3"/>
        <v>2</v>
      </c>
      <c r="D56" t="str">
        <f t="shared" si="0"/>
        <v>FEB</v>
      </c>
      <c r="E56" t="str">
        <f t="shared" si="4"/>
        <v>2026-02</v>
      </c>
      <c r="F56">
        <f t="shared" si="5"/>
        <v>9</v>
      </c>
      <c r="G56" t="str">
        <f t="shared" si="6"/>
        <v>2026-S09</v>
      </c>
      <c r="H56">
        <f t="shared" si="7"/>
        <v>2</v>
      </c>
      <c r="I56" s="2" t="str">
        <f t="shared" si="1"/>
        <v>MAR</v>
      </c>
    </row>
    <row r="57" spans="1:9" x14ac:dyDescent="0.35">
      <c r="A57" s="9">
        <v>46078</v>
      </c>
      <c r="B57">
        <f t="shared" si="2"/>
        <v>2026</v>
      </c>
      <c r="C57">
        <f t="shared" si="3"/>
        <v>2</v>
      </c>
      <c r="D57" t="str">
        <f t="shared" si="0"/>
        <v>FEB</v>
      </c>
      <c r="E57" t="str">
        <f t="shared" si="4"/>
        <v>2026-02</v>
      </c>
      <c r="F57">
        <f t="shared" si="5"/>
        <v>9</v>
      </c>
      <c r="G57" t="str">
        <f t="shared" si="6"/>
        <v>2026-S09</v>
      </c>
      <c r="H57">
        <f t="shared" si="7"/>
        <v>3</v>
      </c>
      <c r="I57" s="2" t="str">
        <f t="shared" si="1"/>
        <v>MIÉ</v>
      </c>
    </row>
    <row r="58" spans="1:9" x14ac:dyDescent="0.35">
      <c r="A58" s="9">
        <v>46079</v>
      </c>
      <c r="B58">
        <f t="shared" si="2"/>
        <v>2026</v>
      </c>
      <c r="C58">
        <f t="shared" si="3"/>
        <v>2</v>
      </c>
      <c r="D58" t="str">
        <f t="shared" si="0"/>
        <v>FEB</v>
      </c>
      <c r="E58" t="str">
        <f t="shared" si="4"/>
        <v>2026-02</v>
      </c>
      <c r="F58">
        <f t="shared" si="5"/>
        <v>9</v>
      </c>
      <c r="G58" t="str">
        <f t="shared" si="6"/>
        <v>2026-S09</v>
      </c>
      <c r="H58">
        <f t="shared" si="7"/>
        <v>4</v>
      </c>
      <c r="I58" s="2" t="str">
        <f t="shared" si="1"/>
        <v>JUE</v>
      </c>
    </row>
    <row r="59" spans="1:9" x14ac:dyDescent="0.35">
      <c r="A59" s="9">
        <v>46080</v>
      </c>
      <c r="B59">
        <f t="shared" si="2"/>
        <v>2026</v>
      </c>
      <c r="C59">
        <f t="shared" si="3"/>
        <v>2</v>
      </c>
      <c r="D59" t="str">
        <f t="shared" si="0"/>
        <v>FEB</v>
      </c>
      <c r="E59" t="str">
        <f t="shared" si="4"/>
        <v>2026-02</v>
      </c>
      <c r="F59">
        <f t="shared" si="5"/>
        <v>9</v>
      </c>
      <c r="G59" t="str">
        <f t="shared" si="6"/>
        <v>2026-S09</v>
      </c>
      <c r="H59">
        <f t="shared" si="7"/>
        <v>5</v>
      </c>
      <c r="I59" s="2" t="str">
        <f t="shared" si="1"/>
        <v>VIE</v>
      </c>
    </row>
    <row r="60" spans="1:9" x14ac:dyDescent="0.35">
      <c r="A60" s="9">
        <v>46081</v>
      </c>
      <c r="B60">
        <f t="shared" si="2"/>
        <v>2026</v>
      </c>
      <c r="C60">
        <f t="shared" si="3"/>
        <v>2</v>
      </c>
      <c r="D60" t="str">
        <f t="shared" si="0"/>
        <v>FEB</v>
      </c>
      <c r="E60" t="str">
        <f t="shared" si="4"/>
        <v>2026-02</v>
      </c>
      <c r="F60">
        <f t="shared" si="5"/>
        <v>9</v>
      </c>
      <c r="G60" t="str">
        <f t="shared" si="6"/>
        <v>2026-S09</v>
      </c>
      <c r="H60">
        <f t="shared" si="7"/>
        <v>6</v>
      </c>
      <c r="I60" s="2" t="str">
        <f t="shared" si="1"/>
        <v>SÁB</v>
      </c>
    </row>
    <row r="61" spans="1:9" x14ac:dyDescent="0.35">
      <c r="A61" s="9">
        <v>46082</v>
      </c>
      <c r="B61">
        <f t="shared" si="2"/>
        <v>2026</v>
      </c>
      <c r="C61">
        <f t="shared" si="3"/>
        <v>3</v>
      </c>
      <c r="D61" t="str">
        <f t="shared" si="0"/>
        <v>MAR</v>
      </c>
      <c r="E61" t="str">
        <f t="shared" si="4"/>
        <v>2026-03</v>
      </c>
      <c r="F61">
        <f t="shared" si="5"/>
        <v>9</v>
      </c>
      <c r="G61" t="str">
        <f t="shared" si="6"/>
        <v>2026-S09</v>
      </c>
      <c r="H61">
        <f t="shared" si="7"/>
        <v>7</v>
      </c>
      <c r="I61" s="2" t="str">
        <f t="shared" si="1"/>
        <v>DOM</v>
      </c>
    </row>
    <row r="62" spans="1:9" x14ac:dyDescent="0.35">
      <c r="A62" s="9">
        <v>46083</v>
      </c>
      <c r="B62">
        <f t="shared" si="2"/>
        <v>2026</v>
      </c>
      <c r="C62">
        <f t="shared" si="3"/>
        <v>3</v>
      </c>
      <c r="D62" t="str">
        <f t="shared" si="0"/>
        <v>MAR</v>
      </c>
      <c r="E62" t="str">
        <f t="shared" si="4"/>
        <v>2026-03</v>
      </c>
      <c r="F62">
        <f t="shared" si="5"/>
        <v>10</v>
      </c>
      <c r="G62" t="str">
        <f t="shared" si="6"/>
        <v>2026-S10</v>
      </c>
      <c r="H62">
        <f t="shared" si="7"/>
        <v>1</v>
      </c>
      <c r="I62" s="2" t="str">
        <f t="shared" si="1"/>
        <v>LUN</v>
      </c>
    </row>
    <row r="63" spans="1:9" x14ac:dyDescent="0.35">
      <c r="A63" s="9">
        <v>46084</v>
      </c>
      <c r="B63">
        <f t="shared" si="2"/>
        <v>2026</v>
      </c>
      <c r="C63">
        <f t="shared" si="3"/>
        <v>3</v>
      </c>
      <c r="D63" t="str">
        <f t="shared" si="0"/>
        <v>MAR</v>
      </c>
      <c r="E63" t="str">
        <f t="shared" si="4"/>
        <v>2026-03</v>
      </c>
      <c r="F63">
        <f t="shared" si="5"/>
        <v>10</v>
      </c>
      <c r="G63" t="str">
        <f t="shared" si="6"/>
        <v>2026-S10</v>
      </c>
      <c r="H63">
        <f t="shared" si="7"/>
        <v>2</v>
      </c>
      <c r="I63" s="2" t="str">
        <f t="shared" si="1"/>
        <v>MAR</v>
      </c>
    </row>
    <row r="64" spans="1:9" x14ac:dyDescent="0.35">
      <c r="A64" s="9">
        <v>46085</v>
      </c>
      <c r="B64">
        <f t="shared" si="2"/>
        <v>2026</v>
      </c>
      <c r="C64">
        <f t="shared" si="3"/>
        <v>3</v>
      </c>
      <c r="D64" t="str">
        <f t="shared" si="0"/>
        <v>MAR</v>
      </c>
      <c r="E64" t="str">
        <f t="shared" si="4"/>
        <v>2026-03</v>
      </c>
      <c r="F64">
        <f t="shared" si="5"/>
        <v>10</v>
      </c>
      <c r="G64" t="str">
        <f t="shared" si="6"/>
        <v>2026-S10</v>
      </c>
      <c r="H64">
        <f t="shared" si="7"/>
        <v>3</v>
      </c>
      <c r="I64" s="2" t="str">
        <f t="shared" si="1"/>
        <v>MIÉ</v>
      </c>
    </row>
    <row r="65" spans="1:9" x14ac:dyDescent="0.35">
      <c r="A65" s="9">
        <v>46086</v>
      </c>
      <c r="B65">
        <f t="shared" si="2"/>
        <v>2026</v>
      </c>
      <c r="C65">
        <f t="shared" si="3"/>
        <v>3</v>
      </c>
      <c r="D65" t="str">
        <f t="shared" si="0"/>
        <v>MAR</v>
      </c>
      <c r="E65" t="str">
        <f t="shared" si="4"/>
        <v>2026-03</v>
      </c>
      <c r="F65">
        <f t="shared" si="5"/>
        <v>10</v>
      </c>
      <c r="G65" t="str">
        <f t="shared" si="6"/>
        <v>2026-S10</v>
      </c>
      <c r="H65">
        <f t="shared" si="7"/>
        <v>4</v>
      </c>
      <c r="I65" s="2" t="str">
        <f t="shared" si="1"/>
        <v>JUE</v>
      </c>
    </row>
    <row r="66" spans="1:9" x14ac:dyDescent="0.35">
      <c r="A66" s="9">
        <v>46087</v>
      </c>
      <c r="B66">
        <f t="shared" si="2"/>
        <v>2026</v>
      </c>
      <c r="C66">
        <f t="shared" si="3"/>
        <v>3</v>
      </c>
      <c r="D66" t="str">
        <f t="shared" ref="D66:D129" si="8">+UPPER(TEXT(A66,"mmm"))</f>
        <v>MAR</v>
      </c>
      <c r="E66" t="str">
        <f t="shared" si="4"/>
        <v>2026-03</v>
      </c>
      <c r="F66">
        <f t="shared" si="5"/>
        <v>10</v>
      </c>
      <c r="G66" t="str">
        <f t="shared" si="6"/>
        <v>2026-S10</v>
      </c>
      <c r="H66">
        <f t="shared" si="7"/>
        <v>5</v>
      </c>
      <c r="I66" s="2" t="str">
        <f t="shared" ref="I66:I129" si="9">UPPER(TEXT(A66,"ddd"))</f>
        <v>VIE</v>
      </c>
    </row>
    <row r="67" spans="1:9" x14ac:dyDescent="0.35">
      <c r="A67" s="9">
        <v>46088</v>
      </c>
      <c r="B67">
        <f t="shared" ref="B67:B130" si="10">+YEAR(A67)</f>
        <v>2026</v>
      </c>
      <c r="C67">
        <f t="shared" ref="C67:C130" si="11">+MONTH(A67)</f>
        <v>3</v>
      </c>
      <c r="D67" t="str">
        <f t="shared" si="8"/>
        <v>MAR</v>
      </c>
      <c r="E67" t="str">
        <f t="shared" ref="E67:E130" si="12">+TEXT(A67,"yyyy-mm")</f>
        <v>2026-03</v>
      </c>
      <c r="F67">
        <f t="shared" ref="F67:F130" si="13">+_xlfn.ISOWEEKNUM(A67)</f>
        <v>10</v>
      </c>
      <c r="G67" t="str">
        <f t="shared" ref="G67:G130" si="14">TEXT(A67,"yyyy")&amp;"-S"&amp;TEXT(F67,"00")</f>
        <v>2026-S10</v>
      </c>
      <c r="H67">
        <f t="shared" ref="H67:H130" si="15">+WEEKDAY(A67,2)</f>
        <v>6</v>
      </c>
      <c r="I67" s="2" t="str">
        <f t="shared" si="9"/>
        <v>SÁB</v>
      </c>
    </row>
    <row r="68" spans="1:9" x14ac:dyDescent="0.35">
      <c r="A68" s="9">
        <v>46089</v>
      </c>
      <c r="B68">
        <f t="shared" si="10"/>
        <v>2026</v>
      </c>
      <c r="C68">
        <f t="shared" si="11"/>
        <v>3</v>
      </c>
      <c r="D68" t="str">
        <f t="shared" si="8"/>
        <v>MAR</v>
      </c>
      <c r="E68" t="str">
        <f t="shared" si="12"/>
        <v>2026-03</v>
      </c>
      <c r="F68">
        <f t="shared" si="13"/>
        <v>10</v>
      </c>
      <c r="G68" t="str">
        <f t="shared" si="14"/>
        <v>2026-S10</v>
      </c>
      <c r="H68">
        <f t="shared" si="15"/>
        <v>7</v>
      </c>
      <c r="I68" s="2" t="str">
        <f t="shared" si="9"/>
        <v>DOM</v>
      </c>
    </row>
    <row r="69" spans="1:9" x14ac:dyDescent="0.35">
      <c r="A69" s="9">
        <v>46090</v>
      </c>
      <c r="B69">
        <f t="shared" si="10"/>
        <v>2026</v>
      </c>
      <c r="C69">
        <f t="shared" si="11"/>
        <v>3</v>
      </c>
      <c r="D69" t="str">
        <f t="shared" si="8"/>
        <v>MAR</v>
      </c>
      <c r="E69" t="str">
        <f t="shared" si="12"/>
        <v>2026-03</v>
      </c>
      <c r="F69">
        <f t="shared" si="13"/>
        <v>11</v>
      </c>
      <c r="G69" t="str">
        <f t="shared" si="14"/>
        <v>2026-S11</v>
      </c>
      <c r="H69">
        <f t="shared" si="15"/>
        <v>1</v>
      </c>
      <c r="I69" s="2" t="str">
        <f t="shared" si="9"/>
        <v>LUN</v>
      </c>
    </row>
    <row r="70" spans="1:9" x14ac:dyDescent="0.35">
      <c r="A70" s="9">
        <v>46091</v>
      </c>
      <c r="B70">
        <f t="shared" si="10"/>
        <v>2026</v>
      </c>
      <c r="C70">
        <f t="shared" si="11"/>
        <v>3</v>
      </c>
      <c r="D70" t="str">
        <f t="shared" si="8"/>
        <v>MAR</v>
      </c>
      <c r="E70" t="str">
        <f t="shared" si="12"/>
        <v>2026-03</v>
      </c>
      <c r="F70">
        <f t="shared" si="13"/>
        <v>11</v>
      </c>
      <c r="G70" t="str">
        <f t="shared" si="14"/>
        <v>2026-S11</v>
      </c>
      <c r="H70">
        <f t="shared" si="15"/>
        <v>2</v>
      </c>
      <c r="I70" s="2" t="str">
        <f t="shared" si="9"/>
        <v>MAR</v>
      </c>
    </row>
    <row r="71" spans="1:9" x14ac:dyDescent="0.35">
      <c r="A71" s="9">
        <v>46092</v>
      </c>
      <c r="B71">
        <f t="shared" si="10"/>
        <v>2026</v>
      </c>
      <c r="C71">
        <f t="shared" si="11"/>
        <v>3</v>
      </c>
      <c r="D71" t="str">
        <f t="shared" si="8"/>
        <v>MAR</v>
      </c>
      <c r="E71" t="str">
        <f t="shared" si="12"/>
        <v>2026-03</v>
      </c>
      <c r="F71">
        <f t="shared" si="13"/>
        <v>11</v>
      </c>
      <c r="G71" t="str">
        <f t="shared" si="14"/>
        <v>2026-S11</v>
      </c>
      <c r="H71">
        <f t="shared" si="15"/>
        <v>3</v>
      </c>
      <c r="I71" s="2" t="str">
        <f t="shared" si="9"/>
        <v>MIÉ</v>
      </c>
    </row>
    <row r="72" spans="1:9" x14ac:dyDescent="0.35">
      <c r="A72" s="9">
        <v>46093</v>
      </c>
      <c r="B72">
        <f t="shared" si="10"/>
        <v>2026</v>
      </c>
      <c r="C72">
        <f t="shared" si="11"/>
        <v>3</v>
      </c>
      <c r="D72" t="str">
        <f t="shared" si="8"/>
        <v>MAR</v>
      </c>
      <c r="E72" t="str">
        <f t="shared" si="12"/>
        <v>2026-03</v>
      </c>
      <c r="F72">
        <f t="shared" si="13"/>
        <v>11</v>
      </c>
      <c r="G72" t="str">
        <f t="shared" si="14"/>
        <v>2026-S11</v>
      </c>
      <c r="H72">
        <f t="shared" si="15"/>
        <v>4</v>
      </c>
      <c r="I72" s="2" t="str">
        <f t="shared" si="9"/>
        <v>JUE</v>
      </c>
    </row>
    <row r="73" spans="1:9" x14ac:dyDescent="0.35">
      <c r="A73" s="9">
        <v>46094</v>
      </c>
      <c r="B73">
        <f t="shared" si="10"/>
        <v>2026</v>
      </c>
      <c r="C73">
        <f t="shared" si="11"/>
        <v>3</v>
      </c>
      <c r="D73" t="str">
        <f t="shared" si="8"/>
        <v>MAR</v>
      </c>
      <c r="E73" t="str">
        <f t="shared" si="12"/>
        <v>2026-03</v>
      </c>
      <c r="F73">
        <f t="shared" si="13"/>
        <v>11</v>
      </c>
      <c r="G73" t="str">
        <f t="shared" si="14"/>
        <v>2026-S11</v>
      </c>
      <c r="H73">
        <f t="shared" si="15"/>
        <v>5</v>
      </c>
      <c r="I73" s="2" t="str">
        <f t="shared" si="9"/>
        <v>VIE</v>
      </c>
    </row>
    <row r="74" spans="1:9" x14ac:dyDescent="0.35">
      <c r="A74" s="9">
        <v>46095</v>
      </c>
      <c r="B74">
        <f t="shared" si="10"/>
        <v>2026</v>
      </c>
      <c r="C74">
        <f t="shared" si="11"/>
        <v>3</v>
      </c>
      <c r="D74" t="str">
        <f t="shared" si="8"/>
        <v>MAR</v>
      </c>
      <c r="E74" t="str">
        <f t="shared" si="12"/>
        <v>2026-03</v>
      </c>
      <c r="F74">
        <f t="shared" si="13"/>
        <v>11</v>
      </c>
      <c r="G74" t="str">
        <f t="shared" si="14"/>
        <v>2026-S11</v>
      </c>
      <c r="H74">
        <f t="shared" si="15"/>
        <v>6</v>
      </c>
      <c r="I74" s="2" t="str">
        <f t="shared" si="9"/>
        <v>SÁB</v>
      </c>
    </row>
    <row r="75" spans="1:9" x14ac:dyDescent="0.35">
      <c r="A75" s="9">
        <v>46096</v>
      </c>
      <c r="B75">
        <f t="shared" si="10"/>
        <v>2026</v>
      </c>
      <c r="C75">
        <f t="shared" si="11"/>
        <v>3</v>
      </c>
      <c r="D75" t="str">
        <f t="shared" si="8"/>
        <v>MAR</v>
      </c>
      <c r="E75" t="str">
        <f t="shared" si="12"/>
        <v>2026-03</v>
      </c>
      <c r="F75">
        <f t="shared" si="13"/>
        <v>11</v>
      </c>
      <c r="G75" t="str">
        <f t="shared" si="14"/>
        <v>2026-S11</v>
      </c>
      <c r="H75">
        <f t="shared" si="15"/>
        <v>7</v>
      </c>
      <c r="I75" s="2" t="str">
        <f t="shared" si="9"/>
        <v>DOM</v>
      </c>
    </row>
    <row r="76" spans="1:9" x14ac:dyDescent="0.35">
      <c r="A76" s="9">
        <v>46097</v>
      </c>
      <c r="B76">
        <f t="shared" si="10"/>
        <v>2026</v>
      </c>
      <c r="C76">
        <f t="shared" si="11"/>
        <v>3</v>
      </c>
      <c r="D76" t="str">
        <f t="shared" si="8"/>
        <v>MAR</v>
      </c>
      <c r="E76" t="str">
        <f t="shared" si="12"/>
        <v>2026-03</v>
      </c>
      <c r="F76">
        <f t="shared" si="13"/>
        <v>12</v>
      </c>
      <c r="G76" t="str">
        <f t="shared" si="14"/>
        <v>2026-S12</v>
      </c>
      <c r="H76">
        <f t="shared" si="15"/>
        <v>1</v>
      </c>
      <c r="I76" s="2" t="str">
        <f t="shared" si="9"/>
        <v>LUN</v>
      </c>
    </row>
    <row r="77" spans="1:9" x14ac:dyDescent="0.35">
      <c r="A77" s="9">
        <v>46098</v>
      </c>
      <c r="B77">
        <f t="shared" si="10"/>
        <v>2026</v>
      </c>
      <c r="C77">
        <f t="shared" si="11"/>
        <v>3</v>
      </c>
      <c r="D77" t="str">
        <f t="shared" si="8"/>
        <v>MAR</v>
      </c>
      <c r="E77" t="str">
        <f t="shared" si="12"/>
        <v>2026-03</v>
      </c>
      <c r="F77">
        <f t="shared" si="13"/>
        <v>12</v>
      </c>
      <c r="G77" t="str">
        <f t="shared" si="14"/>
        <v>2026-S12</v>
      </c>
      <c r="H77">
        <f t="shared" si="15"/>
        <v>2</v>
      </c>
      <c r="I77" s="2" t="str">
        <f t="shared" si="9"/>
        <v>MAR</v>
      </c>
    </row>
    <row r="78" spans="1:9" x14ac:dyDescent="0.35">
      <c r="A78" s="9">
        <v>46099</v>
      </c>
      <c r="B78">
        <f t="shared" si="10"/>
        <v>2026</v>
      </c>
      <c r="C78">
        <f t="shared" si="11"/>
        <v>3</v>
      </c>
      <c r="D78" t="str">
        <f t="shared" si="8"/>
        <v>MAR</v>
      </c>
      <c r="E78" t="str">
        <f t="shared" si="12"/>
        <v>2026-03</v>
      </c>
      <c r="F78">
        <f t="shared" si="13"/>
        <v>12</v>
      </c>
      <c r="G78" t="str">
        <f t="shared" si="14"/>
        <v>2026-S12</v>
      </c>
      <c r="H78">
        <f t="shared" si="15"/>
        <v>3</v>
      </c>
      <c r="I78" s="2" t="str">
        <f t="shared" si="9"/>
        <v>MIÉ</v>
      </c>
    </row>
    <row r="79" spans="1:9" x14ac:dyDescent="0.35">
      <c r="A79" s="9">
        <v>46100</v>
      </c>
      <c r="B79">
        <f t="shared" si="10"/>
        <v>2026</v>
      </c>
      <c r="C79">
        <f t="shared" si="11"/>
        <v>3</v>
      </c>
      <c r="D79" t="str">
        <f t="shared" si="8"/>
        <v>MAR</v>
      </c>
      <c r="E79" t="str">
        <f t="shared" si="12"/>
        <v>2026-03</v>
      </c>
      <c r="F79">
        <f t="shared" si="13"/>
        <v>12</v>
      </c>
      <c r="G79" t="str">
        <f t="shared" si="14"/>
        <v>2026-S12</v>
      </c>
      <c r="H79">
        <f t="shared" si="15"/>
        <v>4</v>
      </c>
      <c r="I79" s="2" t="str">
        <f t="shared" si="9"/>
        <v>JUE</v>
      </c>
    </row>
    <row r="80" spans="1:9" x14ac:dyDescent="0.35">
      <c r="A80" s="9">
        <v>46101</v>
      </c>
      <c r="B80">
        <f t="shared" si="10"/>
        <v>2026</v>
      </c>
      <c r="C80">
        <f t="shared" si="11"/>
        <v>3</v>
      </c>
      <c r="D80" t="str">
        <f t="shared" si="8"/>
        <v>MAR</v>
      </c>
      <c r="E80" t="str">
        <f t="shared" si="12"/>
        <v>2026-03</v>
      </c>
      <c r="F80">
        <f t="shared" si="13"/>
        <v>12</v>
      </c>
      <c r="G80" t="str">
        <f t="shared" si="14"/>
        <v>2026-S12</v>
      </c>
      <c r="H80">
        <f t="shared" si="15"/>
        <v>5</v>
      </c>
      <c r="I80" s="2" t="str">
        <f t="shared" si="9"/>
        <v>VIE</v>
      </c>
    </row>
    <row r="81" spans="1:9" x14ac:dyDescent="0.35">
      <c r="A81" s="9">
        <v>46102</v>
      </c>
      <c r="B81">
        <f t="shared" si="10"/>
        <v>2026</v>
      </c>
      <c r="C81">
        <f t="shared" si="11"/>
        <v>3</v>
      </c>
      <c r="D81" t="str">
        <f t="shared" si="8"/>
        <v>MAR</v>
      </c>
      <c r="E81" t="str">
        <f t="shared" si="12"/>
        <v>2026-03</v>
      </c>
      <c r="F81">
        <f t="shared" si="13"/>
        <v>12</v>
      </c>
      <c r="G81" t="str">
        <f t="shared" si="14"/>
        <v>2026-S12</v>
      </c>
      <c r="H81">
        <f t="shared" si="15"/>
        <v>6</v>
      </c>
      <c r="I81" s="2" t="str">
        <f t="shared" si="9"/>
        <v>SÁB</v>
      </c>
    </row>
    <row r="82" spans="1:9" x14ac:dyDescent="0.35">
      <c r="A82" s="9">
        <v>46103</v>
      </c>
      <c r="B82">
        <f t="shared" si="10"/>
        <v>2026</v>
      </c>
      <c r="C82">
        <f t="shared" si="11"/>
        <v>3</v>
      </c>
      <c r="D82" t="str">
        <f t="shared" si="8"/>
        <v>MAR</v>
      </c>
      <c r="E82" t="str">
        <f t="shared" si="12"/>
        <v>2026-03</v>
      </c>
      <c r="F82">
        <f t="shared" si="13"/>
        <v>12</v>
      </c>
      <c r="G82" t="str">
        <f t="shared" si="14"/>
        <v>2026-S12</v>
      </c>
      <c r="H82">
        <f t="shared" si="15"/>
        <v>7</v>
      </c>
      <c r="I82" s="2" t="str">
        <f t="shared" si="9"/>
        <v>DOM</v>
      </c>
    </row>
    <row r="83" spans="1:9" x14ac:dyDescent="0.35">
      <c r="A83" s="9">
        <v>46104</v>
      </c>
      <c r="B83">
        <f t="shared" si="10"/>
        <v>2026</v>
      </c>
      <c r="C83">
        <f t="shared" si="11"/>
        <v>3</v>
      </c>
      <c r="D83" t="str">
        <f t="shared" si="8"/>
        <v>MAR</v>
      </c>
      <c r="E83" t="str">
        <f t="shared" si="12"/>
        <v>2026-03</v>
      </c>
      <c r="F83">
        <f t="shared" si="13"/>
        <v>13</v>
      </c>
      <c r="G83" t="str">
        <f t="shared" si="14"/>
        <v>2026-S13</v>
      </c>
      <c r="H83">
        <f t="shared" si="15"/>
        <v>1</v>
      </c>
      <c r="I83" s="2" t="str">
        <f t="shared" si="9"/>
        <v>LUN</v>
      </c>
    </row>
    <row r="84" spans="1:9" x14ac:dyDescent="0.35">
      <c r="A84" s="9">
        <v>46105</v>
      </c>
      <c r="B84">
        <f t="shared" si="10"/>
        <v>2026</v>
      </c>
      <c r="C84">
        <f t="shared" si="11"/>
        <v>3</v>
      </c>
      <c r="D84" t="str">
        <f t="shared" si="8"/>
        <v>MAR</v>
      </c>
      <c r="E84" t="str">
        <f t="shared" si="12"/>
        <v>2026-03</v>
      </c>
      <c r="F84">
        <f t="shared" si="13"/>
        <v>13</v>
      </c>
      <c r="G84" t="str">
        <f t="shared" si="14"/>
        <v>2026-S13</v>
      </c>
      <c r="H84">
        <f t="shared" si="15"/>
        <v>2</v>
      </c>
      <c r="I84" s="2" t="str">
        <f t="shared" si="9"/>
        <v>MAR</v>
      </c>
    </row>
    <row r="85" spans="1:9" x14ac:dyDescent="0.35">
      <c r="A85" s="9">
        <v>46106</v>
      </c>
      <c r="B85">
        <f t="shared" si="10"/>
        <v>2026</v>
      </c>
      <c r="C85">
        <f t="shared" si="11"/>
        <v>3</v>
      </c>
      <c r="D85" t="str">
        <f t="shared" si="8"/>
        <v>MAR</v>
      </c>
      <c r="E85" t="str">
        <f t="shared" si="12"/>
        <v>2026-03</v>
      </c>
      <c r="F85">
        <f t="shared" si="13"/>
        <v>13</v>
      </c>
      <c r="G85" t="str">
        <f t="shared" si="14"/>
        <v>2026-S13</v>
      </c>
      <c r="H85">
        <f t="shared" si="15"/>
        <v>3</v>
      </c>
      <c r="I85" s="2" t="str">
        <f t="shared" si="9"/>
        <v>MIÉ</v>
      </c>
    </row>
    <row r="86" spans="1:9" x14ac:dyDescent="0.35">
      <c r="A86" s="9">
        <v>46107</v>
      </c>
      <c r="B86">
        <f t="shared" si="10"/>
        <v>2026</v>
      </c>
      <c r="C86">
        <f t="shared" si="11"/>
        <v>3</v>
      </c>
      <c r="D86" t="str">
        <f t="shared" si="8"/>
        <v>MAR</v>
      </c>
      <c r="E86" t="str">
        <f t="shared" si="12"/>
        <v>2026-03</v>
      </c>
      <c r="F86">
        <f t="shared" si="13"/>
        <v>13</v>
      </c>
      <c r="G86" t="str">
        <f t="shared" si="14"/>
        <v>2026-S13</v>
      </c>
      <c r="H86">
        <f t="shared" si="15"/>
        <v>4</v>
      </c>
      <c r="I86" s="2" t="str">
        <f t="shared" si="9"/>
        <v>JUE</v>
      </c>
    </row>
    <row r="87" spans="1:9" x14ac:dyDescent="0.35">
      <c r="A87" s="9">
        <v>46108</v>
      </c>
      <c r="B87">
        <f t="shared" si="10"/>
        <v>2026</v>
      </c>
      <c r="C87">
        <f t="shared" si="11"/>
        <v>3</v>
      </c>
      <c r="D87" t="str">
        <f t="shared" si="8"/>
        <v>MAR</v>
      </c>
      <c r="E87" t="str">
        <f t="shared" si="12"/>
        <v>2026-03</v>
      </c>
      <c r="F87">
        <f t="shared" si="13"/>
        <v>13</v>
      </c>
      <c r="G87" t="str">
        <f t="shared" si="14"/>
        <v>2026-S13</v>
      </c>
      <c r="H87">
        <f t="shared" si="15"/>
        <v>5</v>
      </c>
      <c r="I87" s="2" t="str">
        <f t="shared" si="9"/>
        <v>VIE</v>
      </c>
    </row>
    <row r="88" spans="1:9" x14ac:dyDescent="0.35">
      <c r="A88" s="9">
        <v>46109</v>
      </c>
      <c r="B88">
        <f t="shared" si="10"/>
        <v>2026</v>
      </c>
      <c r="C88">
        <f t="shared" si="11"/>
        <v>3</v>
      </c>
      <c r="D88" t="str">
        <f t="shared" si="8"/>
        <v>MAR</v>
      </c>
      <c r="E88" t="str">
        <f t="shared" si="12"/>
        <v>2026-03</v>
      </c>
      <c r="F88">
        <f t="shared" si="13"/>
        <v>13</v>
      </c>
      <c r="G88" t="str">
        <f t="shared" si="14"/>
        <v>2026-S13</v>
      </c>
      <c r="H88">
        <f t="shared" si="15"/>
        <v>6</v>
      </c>
      <c r="I88" s="2" t="str">
        <f t="shared" si="9"/>
        <v>SÁB</v>
      </c>
    </row>
    <row r="89" spans="1:9" x14ac:dyDescent="0.35">
      <c r="A89" s="9">
        <v>46110</v>
      </c>
      <c r="B89">
        <f t="shared" si="10"/>
        <v>2026</v>
      </c>
      <c r="C89">
        <f t="shared" si="11"/>
        <v>3</v>
      </c>
      <c r="D89" t="str">
        <f t="shared" si="8"/>
        <v>MAR</v>
      </c>
      <c r="E89" t="str">
        <f t="shared" si="12"/>
        <v>2026-03</v>
      </c>
      <c r="F89">
        <f t="shared" si="13"/>
        <v>13</v>
      </c>
      <c r="G89" t="str">
        <f t="shared" si="14"/>
        <v>2026-S13</v>
      </c>
      <c r="H89">
        <f t="shared" si="15"/>
        <v>7</v>
      </c>
      <c r="I89" s="2" t="str">
        <f t="shared" si="9"/>
        <v>DOM</v>
      </c>
    </row>
    <row r="90" spans="1:9" x14ac:dyDescent="0.35">
      <c r="A90" s="9">
        <v>46111</v>
      </c>
      <c r="B90">
        <f t="shared" si="10"/>
        <v>2026</v>
      </c>
      <c r="C90">
        <f t="shared" si="11"/>
        <v>3</v>
      </c>
      <c r="D90" t="str">
        <f t="shared" si="8"/>
        <v>MAR</v>
      </c>
      <c r="E90" t="str">
        <f t="shared" si="12"/>
        <v>2026-03</v>
      </c>
      <c r="F90">
        <f t="shared" si="13"/>
        <v>14</v>
      </c>
      <c r="G90" t="str">
        <f t="shared" si="14"/>
        <v>2026-S14</v>
      </c>
      <c r="H90">
        <f t="shared" si="15"/>
        <v>1</v>
      </c>
      <c r="I90" s="2" t="str">
        <f t="shared" si="9"/>
        <v>LUN</v>
      </c>
    </row>
    <row r="91" spans="1:9" x14ac:dyDescent="0.35">
      <c r="A91" s="9">
        <v>46112</v>
      </c>
      <c r="B91">
        <f t="shared" si="10"/>
        <v>2026</v>
      </c>
      <c r="C91">
        <f t="shared" si="11"/>
        <v>3</v>
      </c>
      <c r="D91" t="str">
        <f t="shared" si="8"/>
        <v>MAR</v>
      </c>
      <c r="E91" t="str">
        <f t="shared" si="12"/>
        <v>2026-03</v>
      </c>
      <c r="F91">
        <f t="shared" si="13"/>
        <v>14</v>
      </c>
      <c r="G91" t="str">
        <f t="shared" si="14"/>
        <v>2026-S14</v>
      </c>
      <c r="H91">
        <f t="shared" si="15"/>
        <v>2</v>
      </c>
      <c r="I91" s="2" t="str">
        <f t="shared" si="9"/>
        <v>MAR</v>
      </c>
    </row>
    <row r="92" spans="1:9" x14ac:dyDescent="0.35">
      <c r="A92" s="9">
        <v>46113</v>
      </c>
      <c r="B92">
        <f t="shared" si="10"/>
        <v>2026</v>
      </c>
      <c r="C92">
        <f t="shared" si="11"/>
        <v>4</v>
      </c>
      <c r="D92" t="str">
        <f t="shared" si="8"/>
        <v>ABR</v>
      </c>
      <c r="E92" t="str">
        <f t="shared" si="12"/>
        <v>2026-04</v>
      </c>
      <c r="F92">
        <f t="shared" si="13"/>
        <v>14</v>
      </c>
      <c r="G92" t="str">
        <f t="shared" si="14"/>
        <v>2026-S14</v>
      </c>
      <c r="H92">
        <f t="shared" si="15"/>
        <v>3</v>
      </c>
      <c r="I92" s="2" t="str">
        <f t="shared" si="9"/>
        <v>MIÉ</v>
      </c>
    </row>
    <row r="93" spans="1:9" x14ac:dyDescent="0.35">
      <c r="A93" s="9">
        <v>46114</v>
      </c>
      <c r="B93">
        <f t="shared" si="10"/>
        <v>2026</v>
      </c>
      <c r="C93">
        <f t="shared" si="11"/>
        <v>4</v>
      </c>
      <c r="D93" t="str">
        <f t="shared" si="8"/>
        <v>ABR</v>
      </c>
      <c r="E93" t="str">
        <f t="shared" si="12"/>
        <v>2026-04</v>
      </c>
      <c r="F93">
        <f t="shared" si="13"/>
        <v>14</v>
      </c>
      <c r="G93" t="str">
        <f t="shared" si="14"/>
        <v>2026-S14</v>
      </c>
      <c r="H93">
        <f t="shared" si="15"/>
        <v>4</v>
      </c>
      <c r="I93" s="2" t="str">
        <f t="shared" si="9"/>
        <v>JUE</v>
      </c>
    </row>
    <row r="94" spans="1:9" x14ac:dyDescent="0.35">
      <c r="A94" s="9">
        <v>46115</v>
      </c>
      <c r="B94">
        <f t="shared" si="10"/>
        <v>2026</v>
      </c>
      <c r="C94">
        <f t="shared" si="11"/>
        <v>4</v>
      </c>
      <c r="D94" t="str">
        <f t="shared" si="8"/>
        <v>ABR</v>
      </c>
      <c r="E94" t="str">
        <f t="shared" si="12"/>
        <v>2026-04</v>
      </c>
      <c r="F94">
        <f t="shared" si="13"/>
        <v>14</v>
      </c>
      <c r="G94" t="str">
        <f t="shared" si="14"/>
        <v>2026-S14</v>
      </c>
      <c r="H94">
        <f t="shared" si="15"/>
        <v>5</v>
      </c>
      <c r="I94" s="2" t="str">
        <f t="shared" si="9"/>
        <v>VIE</v>
      </c>
    </row>
    <row r="95" spans="1:9" x14ac:dyDescent="0.35">
      <c r="A95" s="9">
        <v>46116</v>
      </c>
      <c r="B95">
        <f t="shared" si="10"/>
        <v>2026</v>
      </c>
      <c r="C95">
        <f t="shared" si="11"/>
        <v>4</v>
      </c>
      <c r="D95" t="str">
        <f t="shared" si="8"/>
        <v>ABR</v>
      </c>
      <c r="E95" t="str">
        <f t="shared" si="12"/>
        <v>2026-04</v>
      </c>
      <c r="F95">
        <f t="shared" si="13"/>
        <v>14</v>
      </c>
      <c r="G95" t="str">
        <f t="shared" si="14"/>
        <v>2026-S14</v>
      </c>
      <c r="H95">
        <f t="shared" si="15"/>
        <v>6</v>
      </c>
      <c r="I95" s="2" t="str">
        <f t="shared" si="9"/>
        <v>SÁB</v>
      </c>
    </row>
    <row r="96" spans="1:9" x14ac:dyDescent="0.35">
      <c r="A96" s="9">
        <v>46117</v>
      </c>
      <c r="B96">
        <f t="shared" si="10"/>
        <v>2026</v>
      </c>
      <c r="C96">
        <f t="shared" si="11"/>
        <v>4</v>
      </c>
      <c r="D96" t="str">
        <f t="shared" si="8"/>
        <v>ABR</v>
      </c>
      <c r="E96" t="str">
        <f t="shared" si="12"/>
        <v>2026-04</v>
      </c>
      <c r="F96">
        <f t="shared" si="13"/>
        <v>14</v>
      </c>
      <c r="G96" t="str">
        <f t="shared" si="14"/>
        <v>2026-S14</v>
      </c>
      <c r="H96">
        <f t="shared" si="15"/>
        <v>7</v>
      </c>
      <c r="I96" s="2" t="str">
        <f t="shared" si="9"/>
        <v>DOM</v>
      </c>
    </row>
    <row r="97" spans="1:9" x14ac:dyDescent="0.35">
      <c r="A97" s="9">
        <v>46118</v>
      </c>
      <c r="B97">
        <f t="shared" si="10"/>
        <v>2026</v>
      </c>
      <c r="C97">
        <f t="shared" si="11"/>
        <v>4</v>
      </c>
      <c r="D97" t="str">
        <f t="shared" si="8"/>
        <v>ABR</v>
      </c>
      <c r="E97" t="str">
        <f t="shared" si="12"/>
        <v>2026-04</v>
      </c>
      <c r="F97">
        <f t="shared" si="13"/>
        <v>15</v>
      </c>
      <c r="G97" t="str">
        <f t="shared" si="14"/>
        <v>2026-S15</v>
      </c>
      <c r="H97">
        <f t="shared" si="15"/>
        <v>1</v>
      </c>
      <c r="I97" s="2" t="str">
        <f t="shared" si="9"/>
        <v>LUN</v>
      </c>
    </row>
    <row r="98" spans="1:9" x14ac:dyDescent="0.35">
      <c r="A98" s="9">
        <v>46119</v>
      </c>
      <c r="B98">
        <f t="shared" si="10"/>
        <v>2026</v>
      </c>
      <c r="C98">
        <f t="shared" si="11"/>
        <v>4</v>
      </c>
      <c r="D98" t="str">
        <f t="shared" si="8"/>
        <v>ABR</v>
      </c>
      <c r="E98" t="str">
        <f t="shared" si="12"/>
        <v>2026-04</v>
      </c>
      <c r="F98">
        <f t="shared" si="13"/>
        <v>15</v>
      </c>
      <c r="G98" t="str">
        <f t="shared" si="14"/>
        <v>2026-S15</v>
      </c>
      <c r="H98">
        <f t="shared" si="15"/>
        <v>2</v>
      </c>
      <c r="I98" s="2" t="str">
        <f t="shared" si="9"/>
        <v>MAR</v>
      </c>
    </row>
    <row r="99" spans="1:9" x14ac:dyDescent="0.35">
      <c r="A99" s="9">
        <v>46120</v>
      </c>
      <c r="B99">
        <f t="shared" si="10"/>
        <v>2026</v>
      </c>
      <c r="C99">
        <f t="shared" si="11"/>
        <v>4</v>
      </c>
      <c r="D99" t="str">
        <f t="shared" si="8"/>
        <v>ABR</v>
      </c>
      <c r="E99" t="str">
        <f t="shared" si="12"/>
        <v>2026-04</v>
      </c>
      <c r="F99">
        <f t="shared" si="13"/>
        <v>15</v>
      </c>
      <c r="G99" t="str">
        <f t="shared" si="14"/>
        <v>2026-S15</v>
      </c>
      <c r="H99">
        <f t="shared" si="15"/>
        <v>3</v>
      </c>
      <c r="I99" s="2" t="str">
        <f t="shared" si="9"/>
        <v>MIÉ</v>
      </c>
    </row>
    <row r="100" spans="1:9" x14ac:dyDescent="0.35">
      <c r="A100" s="9">
        <v>46121</v>
      </c>
      <c r="B100">
        <f t="shared" si="10"/>
        <v>2026</v>
      </c>
      <c r="C100">
        <f t="shared" si="11"/>
        <v>4</v>
      </c>
      <c r="D100" t="str">
        <f t="shared" si="8"/>
        <v>ABR</v>
      </c>
      <c r="E100" t="str">
        <f t="shared" si="12"/>
        <v>2026-04</v>
      </c>
      <c r="F100">
        <f t="shared" si="13"/>
        <v>15</v>
      </c>
      <c r="G100" t="str">
        <f t="shared" si="14"/>
        <v>2026-S15</v>
      </c>
      <c r="H100">
        <f t="shared" si="15"/>
        <v>4</v>
      </c>
      <c r="I100" s="2" t="str">
        <f t="shared" si="9"/>
        <v>JUE</v>
      </c>
    </row>
    <row r="101" spans="1:9" x14ac:dyDescent="0.35">
      <c r="A101" s="9">
        <v>46122</v>
      </c>
      <c r="B101">
        <f t="shared" si="10"/>
        <v>2026</v>
      </c>
      <c r="C101">
        <f t="shared" si="11"/>
        <v>4</v>
      </c>
      <c r="D101" t="str">
        <f t="shared" si="8"/>
        <v>ABR</v>
      </c>
      <c r="E101" t="str">
        <f t="shared" si="12"/>
        <v>2026-04</v>
      </c>
      <c r="F101">
        <f t="shared" si="13"/>
        <v>15</v>
      </c>
      <c r="G101" t="str">
        <f t="shared" si="14"/>
        <v>2026-S15</v>
      </c>
      <c r="H101">
        <f t="shared" si="15"/>
        <v>5</v>
      </c>
      <c r="I101" s="2" t="str">
        <f t="shared" si="9"/>
        <v>VIE</v>
      </c>
    </row>
    <row r="102" spans="1:9" x14ac:dyDescent="0.35">
      <c r="A102" s="9">
        <v>46123</v>
      </c>
      <c r="B102">
        <f t="shared" si="10"/>
        <v>2026</v>
      </c>
      <c r="C102">
        <f t="shared" si="11"/>
        <v>4</v>
      </c>
      <c r="D102" t="str">
        <f t="shared" si="8"/>
        <v>ABR</v>
      </c>
      <c r="E102" t="str">
        <f t="shared" si="12"/>
        <v>2026-04</v>
      </c>
      <c r="F102">
        <f t="shared" si="13"/>
        <v>15</v>
      </c>
      <c r="G102" t="str">
        <f t="shared" si="14"/>
        <v>2026-S15</v>
      </c>
      <c r="H102">
        <f t="shared" si="15"/>
        <v>6</v>
      </c>
      <c r="I102" s="2" t="str">
        <f t="shared" si="9"/>
        <v>SÁB</v>
      </c>
    </row>
    <row r="103" spans="1:9" x14ac:dyDescent="0.35">
      <c r="A103" s="9">
        <v>46124</v>
      </c>
      <c r="B103">
        <f t="shared" si="10"/>
        <v>2026</v>
      </c>
      <c r="C103">
        <f t="shared" si="11"/>
        <v>4</v>
      </c>
      <c r="D103" t="str">
        <f t="shared" si="8"/>
        <v>ABR</v>
      </c>
      <c r="E103" t="str">
        <f t="shared" si="12"/>
        <v>2026-04</v>
      </c>
      <c r="F103">
        <f t="shared" si="13"/>
        <v>15</v>
      </c>
      <c r="G103" t="str">
        <f t="shared" si="14"/>
        <v>2026-S15</v>
      </c>
      <c r="H103">
        <f t="shared" si="15"/>
        <v>7</v>
      </c>
      <c r="I103" s="2" t="str">
        <f t="shared" si="9"/>
        <v>DOM</v>
      </c>
    </row>
    <row r="104" spans="1:9" x14ac:dyDescent="0.35">
      <c r="A104" s="9">
        <v>46125</v>
      </c>
      <c r="B104">
        <f t="shared" si="10"/>
        <v>2026</v>
      </c>
      <c r="C104">
        <f t="shared" si="11"/>
        <v>4</v>
      </c>
      <c r="D104" t="str">
        <f t="shared" si="8"/>
        <v>ABR</v>
      </c>
      <c r="E104" t="str">
        <f t="shared" si="12"/>
        <v>2026-04</v>
      </c>
      <c r="F104">
        <f t="shared" si="13"/>
        <v>16</v>
      </c>
      <c r="G104" t="str">
        <f t="shared" si="14"/>
        <v>2026-S16</v>
      </c>
      <c r="H104">
        <f t="shared" si="15"/>
        <v>1</v>
      </c>
      <c r="I104" s="2" t="str">
        <f t="shared" si="9"/>
        <v>LUN</v>
      </c>
    </row>
    <row r="105" spans="1:9" x14ac:dyDescent="0.35">
      <c r="A105" s="9">
        <v>46126</v>
      </c>
      <c r="B105">
        <f t="shared" si="10"/>
        <v>2026</v>
      </c>
      <c r="C105">
        <f t="shared" si="11"/>
        <v>4</v>
      </c>
      <c r="D105" t="str">
        <f t="shared" si="8"/>
        <v>ABR</v>
      </c>
      <c r="E105" t="str">
        <f t="shared" si="12"/>
        <v>2026-04</v>
      </c>
      <c r="F105">
        <f t="shared" si="13"/>
        <v>16</v>
      </c>
      <c r="G105" t="str">
        <f t="shared" si="14"/>
        <v>2026-S16</v>
      </c>
      <c r="H105">
        <f t="shared" si="15"/>
        <v>2</v>
      </c>
      <c r="I105" s="2" t="str">
        <f t="shared" si="9"/>
        <v>MAR</v>
      </c>
    </row>
    <row r="106" spans="1:9" x14ac:dyDescent="0.35">
      <c r="A106" s="9">
        <v>46127</v>
      </c>
      <c r="B106">
        <f t="shared" si="10"/>
        <v>2026</v>
      </c>
      <c r="C106">
        <f t="shared" si="11"/>
        <v>4</v>
      </c>
      <c r="D106" t="str">
        <f t="shared" si="8"/>
        <v>ABR</v>
      </c>
      <c r="E106" t="str">
        <f t="shared" si="12"/>
        <v>2026-04</v>
      </c>
      <c r="F106">
        <f t="shared" si="13"/>
        <v>16</v>
      </c>
      <c r="G106" t="str">
        <f t="shared" si="14"/>
        <v>2026-S16</v>
      </c>
      <c r="H106">
        <f t="shared" si="15"/>
        <v>3</v>
      </c>
      <c r="I106" s="2" t="str">
        <f t="shared" si="9"/>
        <v>MIÉ</v>
      </c>
    </row>
    <row r="107" spans="1:9" x14ac:dyDescent="0.35">
      <c r="A107" s="9">
        <v>46128</v>
      </c>
      <c r="B107">
        <f t="shared" si="10"/>
        <v>2026</v>
      </c>
      <c r="C107">
        <f t="shared" si="11"/>
        <v>4</v>
      </c>
      <c r="D107" t="str">
        <f t="shared" si="8"/>
        <v>ABR</v>
      </c>
      <c r="E107" t="str">
        <f t="shared" si="12"/>
        <v>2026-04</v>
      </c>
      <c r="F107">
        <f t="shared" si="13"/>
        <v>16</v>
      </c>
      <c r="G107" t="str">
        <f t="shared" si="14"/>
        <v>2026-S16</v>
      </c>
      <c r="H107">
        <f t="shared" si="15"/>
        <v>4</v>
      </c>
      <c r="I107" s="2" t="str">
        <f t="shared" si="9"/>
        <v>JUE</v>
      </c>
    </row>
    <row r="108" spans="1:9" x14ac:dyDescent="0.35">
      <c r="A108" s="9">
        <v>46129</v>
      </c>
      <c r="B108">
        <f t="shared" si="10"/>
        <v>2026</v>
      </c>
      <c r="C108">
        <f t="shared" si="11"/>
        <v>4</v>
      </c>
      <c r="D108" t="str">
        <f t="shared" si="8"/>
        <v>ABR</v>
      </c>
      <c r="E108" t="str">
        <f t="shared" si="12"/>
        <v>2026-04</v>
      </c>
      <c r="F108">
        <f t="shared" si="13"/>
        <v>16</v>
      </c>
      <c r="G108" t="str">
        <f t="shared" si="14"/>
        <v>2026-S16</v>
      </c>
      <c r="H108">
        <f t="shared" si="15"/>
        <v>5</v>
      </c>
      <c r="I108" s="2" t="str">
        <f t="shared" si="9"/>
        <v>VIE</v>
      </c>
    </row>
    <row r="109" spans="1:9" x14ac:dyDescent="0.35">
      <c r="A109" s="9">
        <v>46130</v>
      </c>
      <c r="B109">
        <f t="shared" si="10"/>
        <v>2026</v>
      </c>
      <c r="C109">
        <f t="shared" si="11"/>
        <v>4</v>
      </c>
      <c r="D109" t="str">
        <f t="shared" si="8"/>
        <v>ABR</v>
      </c>
      <c r="E109" t="str">
        <f t="shared" si="12"/>
        <v>2026-04</v>
      </c>
      <c r="F109">
        <f t="shared" si="13"/>
        <v>16</v>
      </c>
      <c r="G109" t="str">
        <f t="shared" si="14"/>
        <v>2026-S16</v>
      </c>
      <c r="H109">
        <f t="shared" si="15"/>
        <v>6</v>
      </c>
      <c r="I109" s="2" t="str">
        <f t="shared" si="9"/>
        <v>SÁB</v>
      </c>
    </row>
    <row r="110" spans="1:9" x14ac:dyDescent="0.35">
      <c r="A110" s="9">
        <v>46131</v>
      </c>
      <c r="B110">
        <f t="shared" si="10"/>
        <v>2026</v>
      </c>
      <c r="C110">
        <f t="shared" si="11"/>
        <v>4</v>
      </c>
      <c r="D110" t="str">
        <f t="shared" si="8"/>
        <v>ABR</v>
      </c>
      <c r="E110" t="str">
        <f t="shared" si="12"/>
        <v>2026-04</v>
      </c>
      <c r="F110">
        <f t="shared" si="13"/>
        <v>16</v>
      </c>
      <c r="G110" t="str">
        <f t="shared" si="14"/>
        <v>2026-S16</v>
      </c>
      <c r="H110">
        <f t="shared" si="15"/>
        <v>7</v>
      </c>
      <c r="I110" s="2" t="str">
        <f t="shared" si="9"/>
        <v>DOM</v>
      </c>
    </row>
    <row r="111" spans="1:9" x14ac:dyDescent="0.35">
      <c r="A111" s="9">
        <v>46132</v>
      </c>
      <c r="B111">
        <f t="shared" si="10"/>
        <v>2026</v>
      </c>
      <c r="C111">
        <f t="shared" si="11"/>
        <v>4</v>
      </c>
      <c r="D111" t="str">
        <f t="shared" si="8"/>
        <v>ABR</v>
      </c>
      <c r="E111" t="str">
        <f t="shared" si="12"/>
        <v>2026-04</v>
      </c>
      <c r="F111">
        <f t="shared" si="13"/>
        <v>17</v>
      </c>
      <c r="G111" t="str">
        <f t="shared" si="14"/>
        <v>2026-S17</v>
      </c>
      <c r="H111">
        <f t="shared" si="15"/>
        <v>1</v>
      </c>
      <c r="I111" s="2" t="str">
        <f t="shared" si="9"/>
        <v>LUN</v>
      </c>
    </row>
    <row r="112" spans="1:9" x14ac:dyDescent="0.35">
      <c r="A112" s="9">
        <v>46133</v>
      </c>
      <c r="B112">
        <f t="shared" si="10"/>
        <v>2026</v>
      </c>
      <c r="C112">
        <f t="shared" si="11"/>
        <v>4</v>
      </c>
      <c r="D112" t="str">
        <f t="shared" si="8"/>
        <v>ABR</v>
      </c>
      <c r="E112" t="str">
        <f t="shared" si="12"/>
        <v>2026-04</v>
      </c>
      <c r="F112">
        <f t="shared" si="13"/>
        <v>17</v>
      </c>
      <c r="G112" t="str">
        <f t="shared" si="14"/>
        <v>2026-S17</v>
      </c>
      <c r="H112">
        <f t="shared" si="15"/>
        <v>2</v>
      </c>
      <c r="I112" s="2" t="str">
        <f t="shared" si="9"/>
        <v>MAR</v>
      </c>
    </row>
    <row r="113" spans="1:9" x14ac:dyDescent="0.35">
      <c r="A113" s="9">
        <v>46134</v>
      </c>
      <c r="B113">
        <f t="shared" si="10"/>
        <v>2026</v>
      </c>
      <c r="C113">
        <f t="shared" si="11"/>
        <v>4</v>
      </c>
      <c r="D113" t="str">
        <f t="shared" si="8"/>
        <v>ABR</v>
      </c>
      <c r="E113" t="str">
        <f t="shared" si="12"/>
        <v>2026-04</v>
      </c>
      <c r="F113">
        <f t="shared" si="13"/>
        <v>17</v>
      </c>
      <c r="G113" t="str">
        <f t="shared" si="14"/>
        <v>2026-S17</v>
      </c>
      <c r="H113">
        <f t="shared" si="15"/>
        <v>3</v>
      </c>
      <c r="I113" s="2" t="str">
        <f t="shared" si="9"/>
        <v>MIÉ</v>
      </c>
    </row>
    <row r="114" spans="1:9" x14ac:dyDescent="0.35">
      <c r="A114" s="9">
        <v>46135</v>
      </c>
      <c r="B114">
        <f t="shared" si="10"/>
        <v>2026</v>
      </c>
      <c r="C114">
        <f t="shared" si="11"/>
        <v>4</v>
      </c>
      <c r="D114" t="str">
        <f t="shared" si="8"/>
        <v>ABR</v>
      </c>
      <c r="E114" t="str">
        <f t="shared" si="12"/>
        <v>2026-04</v>
      </c>
      <c r="F114">
        <f t="shared" si="13"/>
        <v>17</v>
      </c>
      <c r="G114" t="str">
        <f t="shared" si="14"/>
        <v>2026-S17</v>
      </c>
      <c r="H114">
        <f t="shared" si="15"/>
        <v>4</v>
      </c>
      <c r="I114" s="2" t="str">
        <f t="shared" si="9"/>
        <v>JUE</v>
      </c>
    </row>
    <row r="115" spans="1:9" x14ac:dyDescent="0.35">
      <c r="A115" s="9">
        <v>46136</v>
      </c>
      <c r="B115">
        <f t="shared" si="10"/>
        <v>2026</v>
      </c>
      <c r="C115">
        <f t="shared" si="11"/>
        <v>4</v>
      </c>
      <c r="D115" t="str">
        <f t="shared" si="8"/>
        <v>ABR</v>
      </c>
      <c r="E115" t="str">
        <f t="shared" si="12"/>
        <v>2026-04</v>
      </c>
      <c r="F115">
        <f t="shared" si="13"/>
        <v>17</v>
      </c>
      <c r="G115" t="str">
        <f t="shared" si="14"/>
        <v>2026-S17</v>
      </c>
      <c r="H115">
        <f t="shared" si="15"/>
        <v>5</v>
      </c>
      <c r="I115" s="2" t="str">
        <f t="shared" si="9"/>
        <v>VIE</v>
      </c>
    </row>
    <row r="116" spans="1:9" x14ac:dyDescent="0.35">
      <c r="A116" s="9">
        <v>46137</v>
      </c>
      <c r="B116">
        <f t="shared" si="10"/>
        <v>2026</v>
      </c>
      <c r="C116">
        <f t="shared" si="11"/>
        <v>4</v>
      </c>
      <c r="D116" t="str">
        <f t="shared" si="8"/>
        <v>ABR</v>
      </c>
      <c r="E116" t="str">
        <f t="shared" si="12"/>
        <v>2026-04</v>
      </c>
      <c r="F116">
        <f t="shared" si="13"/>
        <v>17</v>
      </c>
      <c r="G116" t="str">
        <f t="shared" si="14"/>
        <v>2026-S17</v>
      </c>
      <c r="H116">
        <f t="shared" si="15"/>
        <v>6</v>
      </c>
      <c r="I116" s="2" t="str">
        <f t="shared" si="9"/>
        <v>SÁB</v>
      </c>
    </row>
    <row r="117" spans="1:9" x14ac:dyDescent="0.35">
      <c r="A117" s="9">
        <v>46138</v>
      </c>
      <c r="B117">
        <f t="shared" si="10"/>
        <v>2026</v>
      </c>
      <c r="C117">
        <f t="shared" si="11"/>
        <v>4</v>
      </c>
      <c r="D117" t="str">
        <f t="shared" si="8"/>
        <v>ABR</v>
      </c>
      <c r="E117" t="str">
        <f t="shared" si="12"/>
        <v>2026-04</v>
      </c>
      <c r="F117">
        <f t="shared" si="13"/>
        <v>17</v>
      </c>
      <c r="G117" t="str">
        <f t="shared" si="14"/>
        <v>2026-S17</v>
      </c>
      <c r="H117">
        <f t="shared" si="15"/>
        <v>7</v>
      </c>
      <c r="I117" s="2" t="str">
        <f t="shared" si="9"/>
        <v>DOM</v>
      </c>
    </row>
    <row r="118" spans="1:9" x14ac:dyDescent="0.35">
      <c r="A118" s="9">
        <v>46139</v>
      </c>
      <c r="B118">
        <f t="shared" si="10"/>
        <v>2026</v>
      </c>
      <c r="C118">
        <f t="shared" si="11"/>
        <v>4</v>
      </c>
      <c r="D118" t="str">
        <f t="shared" si="8"/>
        <v>ABR</v>
      </c>
      <c r="E118" t="str">
        <f t="shared" si="12"/>
        <v>2026-04</v>
      </c>
      <c r="F118">
        <f t="shared" si="13"/>
        <v>18</v>
      </c>
      <c r="G118" t="str">
        <f t="shared" si="14"/>
        <v>2026-S18</v>
      </c>
      <c r="H118">
        <f t="shared" si="15"/>
        <v>1</v>
      </c>
      <c r="I118" s="2" t="str">
        <f t="shared" si="9"/>
        <v>LUN</v>
      </c>
    </row>
    <row r="119" spans="1:9" x14ac:dyDescent="0.35">
      <c r="A119" s="9">
        <v>46140</v>
      </c>
      <c r="B119">
        <f t="shared" si="10"/>
        <v>2026</v>
      </c>
      <c r="C119">
        <f t="shared" si="11"/>
        <v>4</v>
      </c>
      <c r="D119" t="str">
        <f t="shared" si="8"/>
        <v>ABR</v>
      </c>
      <c r="E119" t="str">
        <f t="shared" si="12"/>
        <v>2026-04</v>
      </c>
      <c r="F119">
        <f t="shared" si="13"/>
        <v>18</v>
      </c>
      <c r="G119" t="str">
        <f t="shared" si="14"/>
        <v>2026-S18</v>
      </c>
      <c r="H119">
        <f t="shared" si="15"/>
        <v>2</v>
      </c>
      <c r="I119" s="2" t="str">
        <f t="shared" si="9"/>
        <v>MAR</v>
      </c>
    </row>
    <row r="120" spans="1:9" x14ac:dyDescent="0.35">
      <c r="A120" s="9">
        <v>46141</v>
      </c>
      <c r="B120">
        <f t="shared" si="10"/>
        <v>2026</v>
      </c>
      <c r="C120">
        <f t="shared" si="11"/>
        <v>4</v>
      </c>
      <c r="D120" t="str">
        <f t="shared" si="8"/>
        <v>ABR</v>
      </c>
      <c r="E120" t="str">
        <f t="shared" si="12"/>
        <v>2026-04</v>
      </c>
      <c r="F120">
        <f t="shared" si="13"/>
        <v>18</v>
      </c>
      <c r="G120" t="str">
        <f t="shared" si="14"/>
        <v>2026-S18</v>
      </c>
      <c r="H120">
        <f t="shared" si="15"/>
        <v>3</v>
      </c>
      <c r="I120" s="2" t="str">
        <f t="shared" si="9"/>
        <v>MIÉ</v>
      </c>
    </row>
    <row r="121" spans="1:9" x14ac:dyDescent="0.35">
      <c r="A121" s="9">
        <v>46142</v>
      </c>
      <c r="B121">
        <f t="shared" si="10"/>
        <v>2026</v>
      </c>
      <c r="C121">
        <f t="shared" si="11"/>
        <v>4</v>
      </c>
      <c r="D121" t="str">
        <f t="shared" si="8"/>
        <v>ABR</v>
      </c>
      <c r="E121" t="str">
        <f t="shared" si="12"/>
        <v>2026-04</v>
      </c>
      <c r="F121">
        <f t="shared" si="13"/>
        <v>18</v>
      </c>
      <c r="G121" t="str">
        <f t="shared" si="14"/>
        <v>2026-S18</v>
      </c>
      <c r="H121">
        <f t="shared" si="15"/>
        <v>4</v>
      </c>
      <c r="I121" s="2" t="str">
        <f t="shared" si="9"/>
        <v>JUE</v>
      </c>
    </row>
    <row r="122" spans="1:9" x14ac:dyDescent="0.35">
      <c r="A122" s="9">
        <v>46143</v>
      </c>
      <c r="B122">
        <f t="shared" si="10"/>
        <v>2026</v>
      </c>
      <c r="C122">
        <f t="shared" si="11"/>
        <v>5</v>
      </c>
      <c r="D122" t="str">
        <f t="shared" si="8"/>
        <v>MAY</v>
      </c>
      <c r="E122" t="str">
        <f t="shared" si="12"/>
        <v>2026-05</v>
      </c>
      <c r="F122">
        <f t="shared" si="13"/>
        <v>18</v>
      </c>
      <c r="G122" t="str">
        <f t="shared" si="14"/>
        <v>2026-S18</v>
      </c>
      <c r="H122">
        <f t="shared" si="15"/>
        <v>5</v>
      </c>
      <c r="I122" s="2" t="str">
        <f t="shared" si="9"/>
        <v>VIE</v>
      </c>
    </row>
    <row r="123" spans="1:9" x14ac:dyDescent="0.35">
      <c r="A123" s="9">
        <v>46144</v>
      </c>
      <c r="B123">
        <f t="shared" si="10"/>
        <v>2026</v>
      </c>
      <c r="C123">
        <f t="shared" si="11"/>
        <v>5</v>
      </c>
      <c r="D123" t="str">
        <f t="shared" si="8"/>
        <v>MAY</v>
      </c>
      <c r="E123" t="str">
        <f t="shared" si="12"/>
        <v>2026-05</v>
      </c>
      <c r="F123">
        <f t="shared" si="13"/>
        <v>18</v>
      </c>
      <c r="G123" t="str">
        <f t="shared" si="14"/>
        <v>2026-S18</v>
      </c>
      <c r="H123">
        <f t="shared" si="15"/>
        <v>6</v>
      </c>
      <c r="I123" s="2" t="str">
        <f t="shared" si="9"/>
        <v>SÁB</v>
      </c>
    </row>
    <row r="124" spans="1:9" x14ac:dyDescent="0.35">
      <c r="A124" s="9">
        <v>46145</v>
      </c>
      <c r="B124">
        <f t="shared" si="10"/>
        <v>2026</v>
      </c>
      <c r="C124">
        <f t="shared" si="11"/>
        <v>5</v>
      </c>
      <c r="D124" t="str">
        <f t="shared" si="8"/>
        <v>MAY</v>
      </c>
      <c r="E124" t="str">
        <f t="shared" si="12"/>
        <v>2026-05</v>
      </c>
      <c r="F124">
        <f t="shared" si="13"/>
        <v>18</v>
      </c>
      <c r="G124" t="str">
        <f t="shared" si="14"/>
        <v>2026-S18</v>
      </c>
      <c r="H124">
        <f t="shared" si="15"/>
        <v>7</v>
      </c>
      <c r="I124" s="2" t="str">
        <f t="shared" si="9"/>
        <v>DOM</v>
      </c>
    </row>
    <row r="125" spans="1:9" x14ac:dyDescent="0.35">
      <c r="A125" s="9">
        <v>46146</v>
      </c>
      <c r="B125">
        <f t="shared" si="10"/>
        <v>2026</v>
      </c>
      <c r="C125">
        <f t="shared" si="11"/>
        <v>5</v>
      </c>
      <c r="D125" t="str">
        <f t="shared" si="8"/>
        <v>MAY</v>
      </c>
      <c r="E125" t="str">
        <f t="shared" si="12"/>
        <v>2026-05</v>
      </c>
      <c r="F125">
        <f t="shared" si="13"/>
        <v>19</v>
      </c>
      <c r="G125" t="str">
        <f t="shared" si="14"/>
        <v>2026-S19</v>
      </c>
      <c r="H125">
        <f t="shared" si="15"/>
        <v>1</v>
      </c>
      <c r="I125" s="2" t="str">
        <f t="shared" si="9"/>
        <v>LUN</v>
      </c>
    </row>
    <row r="126" spans="1:9" x14ac:dyDescent="0.35">
      <c r="A126" s="9">
        <v>46147</v>
      </c>
      <c r="B126">
        <f t="shared" si="10"/>
        <v>2026</v>
      </c>
      <c r="C126">
        <f t="shared" si="11"/>
        <v>5</v>
      </c>
      <c r="D126" t="str">
        <f t="shared" si="8"/>
        <v>MAY</v>
      </c>
      <c r="E126" t="str">
        <f t="shared" si="12"/>
        <v>2026-05</v>
      </c>
      <c r="F126">
        <f t="shared" si="13"/>
        <v>19</v>
      </c>
      <c r="G126" t="str">
        <f t="shared" si="14"/>
        <v>2026-S19</v>
      </c>
      <c r="H126">
        <f t="shared" si="15"/>
        <v>2</v>
      </c>
      <c r="I126" s="2" t="str">
        <f t="shared" si="9"/>
        <v>MAR</v>
      </c>
    </row>
    <row r="127" spans="1:9" x14ac:dyDescent="0.35">
      <c r="A127" s="9">
        <v>46148</v>
      </c>
      <c r="B127">
        <f t="shared" si="10"/>
        <v>2026</v>
      </c>
      <c r="C127">
        <f t="shared" si="11"/>
        <v>5</v>
      </c>
      <c r="D127" t="str">
        <f t="shared" si="8"/>
        <v>MAY</v>
      </c>
      <c r="E127" t="str">
        <f t="shared" si="12"/>
        <v>2026-05</v>
      </c>
      <c r="F127">
        <f t="shared" si="13"/>
        <v>19</v>
      </c>
      <c r="G127" t="str">
        <f t="shared" si="14"/>
        <v>2026-S19</v>
      </c>
      <c r="H127">
        <f t="shared" si="15"/>
        <v>3</v>
      </c>
      <c r="I127" s="2" t="str">
        <f t="shared" si="9"/>
        <v>MIÉ</v>
      </c>
    </row>
    <row r="128" spans="1:9" x14ac:dyDescent="0.35">
      <c r="A128" s="9">
        <v>46149</v>
      </c>
      <c r="B128">
        <f t="shared" si="10"/>
        <v>2026</v>
      </c>
      <c r="C128">
        <f t="shared" si="11"/>
        <v>5</v>
      </c>
      <c r="D128" t="str">
        <f t="shared" si="8"/>
        <v>MAY</v>
      </c>
      <c r="E128" t="str">
        <f t="shared" si="12"/>
        <v>2026-05</v>
      </c>
      <c r="F128">
        <f t="shared" si="13"/>
        <v>19</v>
      </c>
      <c r="G128" t="str">
        <f t="shared" si="14"/>
        <v>2026-S19</v>
      </c>
      <c r="H128">
        <f t="shared" si="15"/>
        <v>4</v>
      </c>
      <c r="I128" s="2" t="str">
        <f t="shared" si="9"/>
        <v>JUE</v>
      </c>
    </row>
    <row r="129" spans="1:9" x14ac:dyDescent="0.35">
      <c r="A129" s="9">
        <v>46150</v>
      </c>
      <c r="B129">
        <f t="shared" si="10"/>
        <v>2026</v>
      </c>
      <c r="C129">
        <f t="shared" si="11"/>
        <v>5</v>
      </c>
      <c r="D129" t="str">
        <f t="shared" si="8"/>
        <v>MAY</v>
      </c>
      <c r="E129" t="str">
        <f t="shared" si="12"/>
        <v>2026-05</v>
      </c>
      <c r="F129">
        <f t="shared" si="13"/>
        <v>19</v>
      </c>
      <c r="G129" t="str">
        <f t="shared" si="14"/>
        <v>2026-S19</v>
      </c>
      <c r="H129">
        <f t="shared" si="15"/>
        <v>5</v>
      </c>
      <c r="I129" s="2" t="str">
        <f t="shared" si="9"/>
        <v>VIE</v>
      </c>
    </row>
    <row r="130" spans="1:9" x14ac:dyDescent="0.35">
      <c r="A130" s="9">
        <v>46151</v>
      </c>
      <c r="B130">
        <f t="shared" si="10"/>
        <v>2026</v>
      </c>
      <c r="C130">
        <f t="shared" si="11"/>
        <v>5</v>
      </c>
      <c r="D130" t="str">
        <f t="shared" ref="D130:D193" si="16">+UPPER(TEXT(A130,"mmm"))</f>
        <v>MAY</v>
      </c>
      <c r="E130" t="str">
        <f t="shared" si="12"/>
        <v>2026-05</v>
      </c>
      <c r="F130">
        <f t="shared" si="13"/>
        <v>19</v>
      </c>
      <c r="G130" t="str">
        <f t="shared" si="14"/>
        <v>2026-S19</v>
      </c>
      <c r="H130">
        <f t="shared" si="15"/>
        <v>6</v>
      </c>
      <c r="I130" s="2" t="str">
        <f t="shared" ref="I130:I193" si="17">UPPER(TEXT(A130,"ddd"))</f>
        <v>SÁB</v>
      </c>
    </row>
    <row r="131" spans="1:9" x14ac:dyDescent="0.35">
      <c r="A131" s="9">
        <v>46152</v>
      </c>
      <c r="B131">
        <f t="shared" ref="B131:B194" si="18">+YEAR(A131)</f>
        <v>2026</v>
      </c>
      <c r="C131">
        <f t="shared" ref="C131:C194" si="19">+MONTH(A131)</f>
        <v>5</v>
      </c>
      <c r="D131" t="str">
        <f t="shared" si="16"/>
        <v>MAY</v>
      </c>
      <c r="E131" t="str">
        <f t="shared" ref="E131:E194" si="20">+TEXT(A131,"yyyy-mm")</f>
        <v>2026-05</v>
      </c>
      <c r="F131">
        <f t="shared" ref="F131:F194" si="21">+_xlfn.ISOWEEKNUM(A131)</f>
        <v>19</v>
      </c>
      <c r="G131" t="str">
        <f t="shared" ref="G131:G194" si="22">TEXT(A131,"yyyy")&amp;"-S"&amp;TEXT(F131,"00")</f>
        <v>2026-S19</v>
      </c>
      <c r="H131">
        <f t="shared" ref="H131:H194" si="23">+WEEKDAY(A131,2)</f>
        <v>7</v>
      </c>
      <c r="I131" s="2" t="str">
        <f t="shared" si="17"/>
        <v>DOM</v>
      </c>
    </row>
    <row r="132" spans="1:9" x14ac:dyDescent="0.35">
      <c r="A132" s="9">
        <v>46153</v>
      </c>
      <c r="B132">
        <f t="shared" si="18"/>
        <v>2026</v>
      </c>
      <c r="C132">
        <f t="shared" si="19"/>
        <v>5</v>
      </c>
      <c r="D132" t="str">
        <f t="shared" si="16"/>
        <v>MAY</v>
      </c>
      <c r="E132" t="str">
        <f t="shared" si="20"/>
        <v>2026-05</v>
      </c>
      <c r="F132">
        <f t="shared" si="21"/>
        <v>20</v>
      </c>
      <c r="G132" t="str">
        <f t="shared" si="22"/>
        <v>2026-S20</v>
      </c>
      <c r="H132">
        <f t="shared" si="23"/>
        <v>1</v>
      </c>
      <c r="I132" s="2" t="str">
        <f t="shared" si="17"/>
        <v>LUN</v>
      </c>
    </row>
    <row r="133" spans="1:9" x14ac:dyDescent="0.35">
      <c r="A133" s="9">
        <v>46154</v>
      </c>
      <c r="B133">
        <f t="shared" si="18"/>
        <v>2026</v>
      </c>
      <c r="C133">
        <f t="shared" si="19"/>
        <v>5</v>
      </c>
      <c r="D133" t="str">
        <f t="shared" si="16"/>
        <v>MAY</v>
      </c>
      <c r="E133" t="str">
        <f t="shared" si="20"/>
        <v>2026-05</v>
      </c>
      <c r="F133">
        <f t="shared" si="21"/>
        <v>20</v>
      </c>
      <c r="G133" t="str">
        <f t="shared" si="22"/>
        <v>2026-S20</v>
      </c>
      <c r="H133">
        <f t="shared" si="23"/>
        <v>2</v>
      </c>
      <c r="I133" s="2" t="str">
        <f t="shared" si="17"/>
        <v>MAR</v>
      </c>
    </row>
    <row r="134" spans="1:9" x14ac:dyDescent="0.35">
      <c r="A134" s="9">
        <v>46155</v>
      </c>
      <c r="B134">
        <f t="shared" si="18"/>
        <v>2026</v>
      </c>
      <c r="C134">
        <f t="shared" si="19"/>
        <v>5</v>
      </c>
      <c r="D134" t="str">
        <f t="shared" si="16"/>
        <v>MAY</v>
      </c>
      <c r="E134" t="str">
        <f t="shared" si="20"/>
        <v>2026-05</v>
      </c>
      <c r="F134">
        <f t="shared" si="21"/>
        <v>20</v>
      </c>
      <c r="G134" t="str">
        <f t="shared" si="22"/>
        <v>2026-S20</v>
      </c>
      <c r="H134">
        <f t="shared" si="23"/>
        <v>3</v>
      </c>
      <c r="I134" s="2" t="str">
        <f t="shared" si="17"/>
        <v>MIÉ</v>
      </c>
    </row>
    <row r="135" spans="1:9" x14ac:dyDescent="0.35">
      <c r="A135" s="9">
        <v>46156</v>
      </c>
      <c r="B135">
        <f t="shared" si="18"/>
        <v>2026</v>
      </c>
      <c r="C135">
        <f t="shared" si="19"/>
        <v>5</v>
      </c>
      <c r="D135" t="str">
        <f t="shared" si="16"/>
        <v>MAY</v>
      </c>
      <c r="E135" t="str">
        <f t="shared" si="20"/>
        <v>2026-05</v>
      </c>
      <c r="F135">
        <f t="shared" si="21"/>
        <v>20</v>
      </c>
      <c r="G135" t="str">
        <f t="shared" si="22"/>
        <v>2026-S20</v>
      </c>
      <c r="H135">
        <f t="shared" si="23"/>
        <v>4</v>
      </c>
      <c r="I135" s="2" t="str">
        <f t="shared" si="17"/>
        <v>JUE</v>
      </c>
    </row>
    <row r="136" spans="1:9" x14ac:dyDescent="0.35">
      <c r="A136" s="9">
        <v>46157</v>
      </c>
      <c r="B136">
        <f t="shared" si="18"/>
        <v>2026</v>
      </c>
      <c r="C136">
        <f t="shared" si="19"/>
        <v>5</v>
      </c>
      <c r="D136" t="str">
        <f t="shared" si="16"/>
        <v>MAY</v>
      </c>
      <c r="E136" t="str">
        <f t="shared" si="20"/>
        <v>2026-05</v>
      </c>
      <c r="F136">
        <f t="shared" si="21"/>
        <v>20</v>
      </c>
      <c r="G136" t="str">
        <f t="shared" si="22"/>
        <v>2026-S20</v>
      </c>
      <c r="H136">
        <f t="shared" si="23"/>
        <v>5</v>
      </c>
      <c r="I136" s="2" t="str">
        <f t="shared" si="17"/>
        <v>VIE</v>
      </c>
    </row>
    <row r="137" spans="1:9" x14ac:dyDescent="0.35">
      <c r="A137" s="9">
        <v>46158</v>
      </c>
      <c r="B137">
        <f t="shared" si="18"/>
        <v>2026</v>
      </c>
      <c r="C137">
        <f t="shared" si="19"/>
        <v>5</v>
      </c>
      <c r="D137" t="str">
        <f t="shared" si="16"/>
        <v>MAY</v>
      </c>
      <c r="E137" t="str">
        <f t="shared" si="20"/>
        <v>2026-05</v>
      </c>
      <c r="F137">
        <f t="shared" si="21"/>
        <v>20</v>
      </c>
      <c r="G137" t="str">
        <f t="shared" si="22"/>
        <v>2026-S20</v>
      </c>
      <c r="H137">
        <f t="shared" si="23"/>
        <v>6</v>
      </c>
      <c r="I137" s="2" t="str">
        <f t="shared" si="17"/>
        <v>SÁB</v>
      </c>
    </row>
    <row r="138" spans="1:9" x14ac:dyDescent="0.35">
      <c r="A138" s="9">
        <v>46159</v>
      </c>
      <c r="B138">
        <f t="shared" si="18"/>
        <v>2026</v>
      </c>
      <c r="C138">
        <f t="shared" si="19"/>
        <v>5</v>
      </c>
      <c r="D138" t="str">
        <f t="shared" si="16"/>
        <v>MAY</v>
      </c>
      <c r="E138" t="str">
        <f t="shared" si="20"/>
        <v>2026-05</v>
      </c>
      <c r="F138">
        <f t="shared" si="21"/>
        <v>20</v>
      </c>
      <c r="G138" t="str">
        <f t="shared" si="22"/>
        <v>2026-S20</v>
      </c>
      <c r="H138">
        <f t="shared" si="23"/>
        <v>7</v>
      </c>
      <c r="I138" s="2" t="str">
        <f t="shared" si="17"/>
        <v>DOM</v>
      </c>
    </row>
    <row r="139" spans="1:9" x14ac:dyDescent="0.35">
      <c r="A139" s="9">
        <v>46160</v>
      </c>
      <c r="B139">
        <f t="shared" si="18"/>
        <v>2026</v>
      </c>
      <c r="C139">
        <f t="shared" si="19"/>
        <v>5</v>
      </c>
      <c r="D139" t="str">
        <f t="shared" si="16"/>
        <v>MAY</v>
      </c>
      <c r="E139" t="str">
        <f t="shared" si="20"/>
        <v>2026-05</v>
      </c>
      <c r="F139">
        <f t="shared" si="21"/>
        <v>21</v>
      </c>
      <c r="G139" t="str">
        <f t="shared" si="22"/>
        <v>2026-S21</v>
      </c>
      <c r="H139">
        <f t="shared" si="23"/>
        <v>1</v>
      </c>
      <c r="I139" s="2" t="str">
        <f t="shared" si="17"/>
        <v>LUN</v>
      </c>
    </row>
    <row r="140" spans="1:9" x14ac:dyDescent="0.35">
      <c r="A140" s="9">
        <v>46161</v>
      </c>
      <c r="B140">
        <f t="shared" si="18"/>
        <v>2026</v>
      </c>
      <c r="C140">
        <f t="shared" si="19"/>
        <v>5</v>
      </c>
      <c r="D140" t="str">
        <f t="shared" si="16"/>
        <v>MAY</v>
      </c>
      <c r="E140" t="str">
        <f t="shared" si="20"/>
        <v>2026-05</v>
      </c>
      <c r="F140">
        <f t="shared" si="21"/>
        <v>21</v>
      </c>
      <c r="G140" t="str">
        <f t="shared" si="22"/>
        <v>2026-S21</v>
      </c>
      <c r="H140">
        <f t="shared" si="23"/>
        <v>2</v>
      </c>
      <c r="I140" s="2" t="str">
        <f t="shared" si="17"/>
        <v>MAR</v>
      </c>
    </row>
    <row r="141" spans="1:9" x14ac:dyDescent="0.35">
      <c r="A141" s="9">
        <v>46162</v>
      </c>
      <c r="B141">
        <f t="shared" si="18"/>
        <v>2026</v>
      </c>
      <c r="C141">
        <f t="shared" si="19"/>
        <v>5</v>
      </c>
      <c r="D141" t="str">
        <f t="shared" si="16"/>
        <v>MAY</v>
      </c>
      <c r="E141" t="str">
        <f t="shared" si="20"/>
        <v>2026-05</v>
      </c>
      <c r="F141">
        <f t="shared" si="21"/>
        <v>21</v>
      </c>
      <c r="G141" t="str">
        <f t="shared" si="22"/>
        <v>2026-S21</v>
      </c>
      <c r="H141">
        <f t="shared" si="23"/>
        <v>3</v>
      </c>
      <c r="I141" s="2" t="str">
        <f t="shared" si="17"/>
        <v>MIÉ</v>
      </c>
    </row>
    <row r="142" spans="1:9" x14ac:dyDescent="0.35">
      <c r="A142" s="9">
        <v>46163</v>
      </c>
      <c r="B142">
        <f t="shared" si="18"/>
        <v>2026</v>
      </c>
      <c r="C142">
        <f t="shared" si="19"/>
        <v>5</v>
      </c>
      <c r="D142" t="str">
        <f t="shared" si="16"/>
        <v>MAY</v>
      </c>
      <c r="E142" t="str">
        <f t="shared" si="20"/>
        <v>2026-05</v>
      </c>
      <c r="F142">
        <f t="shared" si="21"/>
        <v>21</v>
      </c>
      <c r="G142" t="str">
        <f t="shared" si="22"/>
        <v>2026-S21</v>
      </c>
      <c r="H142">
        <f t="shared" si="23"/>
        <v>4</v>
      </c>
      <c r="I142" s="2" t="str">
        <f t="shared" si="17"/>
        <v>JUE</v>
      </c>
    </row>
    <row r="143" spans="1:9" x14ac:dyDescent="0.35">
      <c r="A143" s="9">
        <v>46164</v>
      </c>
      <c r="B143">
        <f t="shared" si="18"/>
        <v>2026</v>
      </c>
      <c r="C143">
        <f t="shared" si="19"/>
        <v>5</v>
      </c>
      <c r="D143" t="str">
        <f t="shared" si="16"/>
        <v>MAY</v>
      </c>
      <c r="E143" t="str">
        <f t="shared" si="20"/>
        <v>2026-05</v>
      </c>
      <c r="F143">
        <f t="shared" si="21"/>
        <v>21</v>
      </c>
      <c r="G143" t="str">
        <f t="shared" si="22"/>
        <v>2026-S21</v>
      </c>
      <c r="H143">
        <f t="shared" si="23"/>
        <v>5</v>
      </c>
      <c r="I143" s="2" t="str">
        <f t="shared" si="17"/>
        <v>VIE</v>
      </c>
    </row>
    <row r="144" spans="1:9" x14ac:dyDescent="0.35">
      <c r="A144" s="9">
        <v>46165</v>
      </c>
      <c r="B144">
        <f t="shared" si="18"/>
        <v>2026</v>
      </c>
      <c r="C144">
        <f t="shared" si="19"/>
        <v>5</v>
      </c>
      <c r="D144" t="str">
        <f t="shared" si="16"/>
        <v>MAY</v>
      </c>
      <c r="E144" t="str">
        <f t="shared" si="20"/>
        <v>2026-05</v>
      </c>
      <c r="F144">
        <f t="shared" si="21"/>
        <v>21</v>
      </c>
      <c r="G144" t="str">
        <f t="shared" si="22"/>
        <v>2026-S21</v>
      </c>
      <c r="H144">
        <f t="shared" si="23"/>
        <v>6</v>
      </c>
      <c r="I144" s="2" t="str">
        <f t="shared" si="17"/>
        <v>SÁB</v>
      </c>
    </row>
    <row r="145" spans="1:9" x14ac:dyDescent="0.35">
      <c r="A145" s="9">
        <v>46166</v>
      </c>
      <c r="B145">
        <f t="shared" si="18"/>
        <v>2026</v>
      </c>
      <c r="C145">
        <f t="shared" si="19"/>
        <v>5</v>
      </c>
      <c r="D145" t="str">
        <f t="shared" si="16"/>
        <v>MAY</v>
      </c>
      <c r="E145" t="str">
        <f t="shared" si="20"/>
        <v>2026-05</v>
      </c>
      <c r="F145">
        <f t="shared" si="21"/>
        <v>21</v>
      </c>
      <c r="G145" t="str">
        <f t="shared" si="22"/>
        <v>2026-S21</v>
      </c>
      <c r="H145">
        <f t="shared" si="23"/>
        <v>7</v>
      </c>
      <c r="I145" s="2" t="str">
        <f t="shared" si="17"/>
        <v>DOM</v>
      </c>
    </row>
    <row r="146" spans="1:9" x14ac:dyDescent="0.35">
      <c r="A146" s="9">
        <v>46167</v>
      </c>
      <c r="B146">
        <f t="shared" si="18"/>
        <v>2026</v>
      </c>
      <c r="C146">
        <f t="shared" si="19"/>
        <v>5</v>
      </c>
      <c r="D146" t="str">
        <f t="shared" si="16"/>
        <v>MAY</v>
      </c>
      <c r="E146" t="str">
        <f t="shared" si="20"/>
        <v>2026-05</v>
      </c>
      <c r="F146">
        <f t="shared" si="21"/>
        <v>22</v>
      </c>
      <c r="G146" t="str">
        <f t="shared" si="22"/>
        <v>2026-S22</v>
      </c>
      <c r="H146">
        <f t="shared" si="23"/>
        <v>1</v>
      </c>
      <c r="I146" s="2" t="str">
        <f t="shared" si="17"/>
        <v>LUN</v>
      </c>
    </row>
    <row r="147" spans="1:9" x14ac:dyDescent="0.35">
      <c r="A147" s="9">
        <v>46168</v>
      </c>
      <c r="B147">
        <f t="shared" si="18"/>
        <v>2026</v>
      </c>
      <c r="C147">
        <f t="shared" si="19"/>
        <v>5</v>
      </c>
      <c r="D147" t="str">
        <f t="shared" si="16"/>
        <v>MAY</v>
      </c>
      <c r="E147" t="str">
        <f t="shared" si="20"/>
        <v>2026-05</v>
      </c>
      <c r="F147">
        <f t="shared" si="21"/>
        <v>22</v>
      </c>
      <c r="G147" t="str">
        <f t="shared" si="22"/>
        <v>2026-S22</v>
      </c>
      <c r="H147">
        <f t="shared" si="23"/>
        <v>2</v>
      </c>
      <c r="I147" s="2" t="str">
        <f t="shared" si="17"/>
        <v>MAR</v>
      </c>
    </row>
    <row r="148" spans="1:9" x14ac:dyDescent="0.35">
      <c r="A148" s="9">
        <v>46169</v>
      </c>
      <c r="B148">
        <f t="shared" si="18"/>
        <v>2026</v>
      </c>
      <c r="C148">
        <f t="shared" si="19"/>
        <v>5</v>
      </c>
      <c r="D148" t="str">
        <f t="shared" si="16"/>
        <v>MAY</v>
      </c>
      <c r="E148" t="str">
        <f t="shared" si="20"/>
        <v>2026-05</v>
      </c>
      <c r="F148">
        <f t="shared" si="21"/>
        <v>22</v>
      </c>
      <c r="G148" t="str">
        <f t="shared" si="22"/>
        <v>2026-S22</v>
      </c>
      <c r="H148">
        <f t="shared" si="23"/>
        <v>3</v>
      </c>
      <c r="I148" s="2" t="str">
        <f t="shared" si="17"/>
        <v>MIÉ</v>
      </c>
    </row>
    <row r="149" spans="1:9" x14ac:dyDescent="0.35">
      <c r="A149" s="9">
        <v>46170</v>
      </c>
      <c r="B149">
        <f t="shared" si="18"/>
        <v>2026</v>
      </c>
      <c r="C149">
        <f t="shared" si="19"/>
        <v>5</v>
      </c>
      <c r="D149" t="str">
        <f t="shared" si="16"/>
        <v>MAY</v>
      </c>
      <c r="E149" t="str">
        <f t="shared" si="20"/>
        <v>2026-05</v>
      </c>
      <c r="F149">
        <f t="shared" si="21"/>
        <v>22</v>
      </c>
      <c r="G149" t="str">
        <f t="shared" si="22"/>
        <v>2026-S22</v>
      </c>
      <c r="H149">
        <f t="shared" si="23"/>
        <v>4</v>
      </c>
      <c r="I149" s="2" t="str">
        <f t="shared" si="17"/>
        <v>JUE</v>
      </c>
    </row>
    <row r="150" spans="1:9" x14ac:dyDescent="0.35">
      <c r="A150" s="9">
        <v>46171</v>
      </c>
      <c r="B150">
        <f t="shared" si="18"/>
        <v>2026</v>
      </c>
      <c r="C150">
        <f t="shared" si="19"/>
        <v>5</v>
      </c>
      <c r="D150" t="str">
        <f t="shared" si="16"/>
        <v>MAY</v>
      </c>
      <c r="E150" t="str">
        <f t="shared" si="20"/>
        <v>2026-05</v>
      </c>
      <c r="F150">
        <f t="shared" si="21"/>
        <v>22</v>
      </c>
      <c r="G150" t="str">
        <f t="shared" si="22"/>
        <v>2026-S22</v>
      </c>
      <c r="H150">
        <f t="shared" si="23"/>
        <v>5</v>
      </c>
      <c r="I150" s="2" t="str">
        <f t="shared" si="17"/>
        <v>VIE</v>
      </c>
    </row>
    <row r="151" spans="1:9" x14ac:dyDescent="0.35">
      <c r="A151" s="9">
        <v>46172</v>
      </c>
      <c r="B151">
        <f t="shared" si="18"/>
        <v>2026</v>
      </c>
      <c r="C151">
        <f t="shared" si="19"/>
        <v>5</v>
      </c>
      <c r="D151" t="str">
        <f t="shared" si="16"/>
        <v>MAY</v>
      </c>
      <c r="E151" t="str">
        <f t="shared" si="20"/>
        <v>2026-05</v>
      </c>
      <c r="F151">
        <f t="shared" si="21"/>
        <v>22</v>
      </c>
      <c r="G151" t="str">
        <f t="shared" si="22"/>
        <v>2026-S22</v>
      </c>
      <c r="H151">
        <f t="shared" si="23"/>
        <v>6</v>
      </c>
      <c r="I151" s="2" t="str">
        <f t="shared" si="17"/>
        <v>SÁB</v>
      </c>
    </row>
    <row r="152" spans="1:9" x14ac:dyDescent="0.35">
      <c r="A152" s="9">
        <v>46173</v>
      </c>
      <c r="B152">
        <f t="shared" si="18"/>
        <v>2026</v>
      </c>
      <c r="C152">
        <f t="shared" si="19"/>
        <v>5</v>
      </c>
      <c r="D152" t="str">
        <f t="shared" si="16"/>
        <v>MAY</v>
      </c>
      <c r="E152" t="str">
        <f t="shared" si="20"/>
        <v>2026-05</v>
      </c>
      <c r="F152">
        <f t="shared" si="21"/>
        <v>22</v>
      </c>
      <c r="G152" t="str">
        <f t="shared" si="22"/>
        <v>2026-S22</v>
      </c>
      <c r="H152">
        <f t="shared" si="23"/>
        <v>7</v>
      </c>
      <c r="I152" s="2" t="str">
        <f t="shared" si="17"/>
        <v>DOM</v>
      </c>
    </row>
    <row r="153" spans="1:9" x14ac:dyDescent="0.35">
      <c r="A153" s="9">
        <v>46174</v>
      </c>
      <c r="B153">
        <f t="shared" si="18"/>
        <v>2026</v>
      </c>
      <c r="C153">
        <f t="shared" si="19"/>
        <v>6</v>
      </c>
      <c r="D153" t="str">
        <f t="shared" si="16"/>
        <v>JUN</v>
      </c>
      <c r="E153" t="str">
        <f t="shared" si="20"/>
        <v>2026-06</v>
      </c>
      <c r="F153">
        <f t="shared" si="21"/>
        <v>23</v>
      </c>
      <c r="G153" t="str">
        <f t="shared" si="22"/>
        <v>2026-S23</v>
      </c>
      <c r="H153">
        <f t="shared" si="23"/>
        <v>1</v>
      </c>
      <c r="I153" s="2" t="str">
        <f t="shared" si="17"/>
        <v>LUN</v>
      </c>
    </row>
    <row r="154" spans="1:9" x14ac:dyDescent="0.35">
      <c r="A154" s="9">
        <v>46175</v>
      </c>
      <c r="B154">
        <f t="shared" si="18"/>
        <v>2026</v>
      </c>
      <c r="C154">
        <f t="shared" si="19"/>
        <v>6</v>
      </c>
      <c r="D154" t="str">
        <f t="shared" si="16"/>
        <v>JUN</v>
      </c>
      <c r="E154" t="str">
        <f t="shared" si="20"/>
        <v>2026-06</v>
      </c>
      <c r="F154">
        <f t="shared" si="21"/>
        <v>23</v>
      </c>
      <c r="G154" t="str">
        <f t="shared" si="22"/>
        <v>2026-S23</v>
      </c>
      <c r="H154">
        <f t="shared" si="23"/>
        <v>2</v>
      </c>
      <c r="I154" s="2" t="str">
        <f t="shared" si="17"/>
        <v>MAR</v>
      </c>
    </row>
    <row r="155" spans="1:9" x14ac:dyDescent="0.35">
      <c r="A155" s="9">
        <v>46176</v>
      </c>
      <c r="B155">
        <f t="shared" si="18"/>
        <v>2026</v>
      </c>
      <c r="C155">
        <f t="shared" si="19"/>
        <v>6</v>
      </c>
      <c r="D155" t="str">
        <f t="shared" si="16"/>
        <v>JUN</v>
      </c>
      <c r="E155" t="str">
        <f t="shared" si="20"/>
        <v>2026-06</v>
      </c>
      <c r="F155">
        <f t="shared" si="21"/>
        <v>23</v>
      </c>
      <c r="G155" t="str">
        <f t="shared" si="22"/>
        <v>2026-S23</v>
      </c>
      <c r="H155">
        <f t="shared" si="23"/>
        <v>3</v>
      </c>
      <c r="I155" s="2" t="str">
        <f t="shared" si="17"/>
        <v>MIÉ</v>
      </c>
    </row>
    <row r="156" spans="1:9" x14ac:dyDescent="0.35">
      <c r="A156" s="9">
        <v>46177</v>
      </c>
      <c r="B156">
        <f t="shared" si="18"/>
        <v>2026</v>
      </c>
      <c r="C156">
        <f t="shared" si="19"/>
        <v>6</v>
      </c>
      <c r="D156" t="str">
        <f t="shared" si="16"/>
        <v>JUN</v>
      </c>
      <c r="E156" t="str">
        <f t="shared" si="20"/>
        <v>2026-06</v>
      </c>
      <c r="F156">
        <f t="shared" si="21"/>
        <v>23</v>
      </c>
      <c r="G156" t="str">
        <f t="shared" si="22"/>
        <v>2026-S23</v>
      </c>
      <c r="H156">
        <f t="shared" si="23"/>
        <v>4</v>
      </c>
      <c r="I156" s="2" t="str">
        <f t="shared" si="17"/>
        <v>JUE</v>
      </c>
    </row>
    <row r="157" spans="1:9" x14ac:dyDescent="0.35">
      <c r="A157" s="9">
        <v>46178</v>
      </c>
      <c r="B157">
        <f t="shared" si="18"/>
        <v>2026</v>
      </c>
      <c r="C157">
        <f t="shared" si="19"/>
        <v>6</v>
      </c>
      <c r="D157" t="str">
        <f t="shared" si="16"/>
        <v>JUN</v>
      </c>
      <c r="E157" t="str">
        <f t="shared" si="20"/>
        <v>2026-06</v>
      </c>
      <c r="F157">
        <f t="shared" si="21"/>
        <v>23</v>
      </c>
      <c r="G157" t="str">
        <f t="shared" si="22"/>
        <v>2026-S23</v>
      </c>
      <c r="H157">
        <f t="shared" si="23"/>
        <v>5</v>
      </c>
      <c r="I157" s="2" t="str">
        <f t="shared" si="17"/>
        <v>VIE</v>
      </c>
    </row>
    <row r="158" spans="1:9" x14ac:dyDescent="0.35">
      <c r="A158" s="9">
        <v>46179</v>
      </c>
      <c r="B158">
        <f t="shared" si="18"/>
        <v>2026</v>
      </c>
      <c r="C158">
        <f t="shared" si="19"/>
        <v>6</v>
      </c>
      <c r="D158" t="str">
        <f t="shared" si="16"/>
        <v>JUN</v>
      </c>
      <c r="E158" t="str">
        <f t="shared" si="20"/>
        <v>2026-06</v>
      </c>
      <c r="F158">
        <f t="shared" si="21"/>
        <v>23</v>
      </c>
      <c r="G158" t="str">
        <f t="shared" si="22"/>
        <v>2026-S23</v>
      </c>
      <c r="H158">
        <f t="shared" si="23"/>
        <v>6</v>
      </c>
      <c r="I158" s="2" t="str">
        <f t="shared" si="17"/>
        <v>SÁB</v>
      </c>
    </row>
    <row r="159" spans="1:9" x14ac:dyDescent="0.35">
      <c r="A159" s="9">
        <v>46180</v>
      </c>
      <c r="B159">
        <f t="shared" si="18"/>
        <v>2026</v>
      </c>
      <c r="C159">
        <f t="shared" si="19"/>
        <v>6</v>
      </c>
      <c r="D159" t="str">
        <f t="shared" si="16"/>
        <v>JUN</v>
      </c>
      <c r="E159" t="str">
        <f t="shared" si="20"/>
        <v>2026-06</v>
      </c>
      <c r="F159">
        <f t="shared" si="21"/>
        <v>23</v>
      </c>
      <c r="G159" t="str">
        <f t="shared" si="22"/>
        <v>2026-S23</v>
      </c>
      <c r="H159">
        <f t="shared" si="23"/>
        <v>7</v>
      </c>
      <c r="I159" s="2" t="str">
        <f t="shared" si="17"/>
        <v>DOM</v>
      </c>
    </row>
    <row r="160" spans="1:9" x14ac:dyDescent="0.35">
      <c r="A160" s="9">
        <v>46181</v>
      </c>
      <c r="B160">
        <f t="shared" si="18"/>
        <v>2026</v>
      </c>
      <c r="C160">
        <f t="shared" si="19"/>
        <v>6</v>
      </c>
      <c r="D160" t="str">
        <f t="shared" si="16"/>
        <v>JUN</v>
      </c>
      <c r="E160" t="str">
        <f t="shared" si="20"/>
        <v>2026-06</v>
      </c>
      <c r="F160">
        <f t="shared" si="21"/>
        <v>24</v>
      </c>
      <c r="G160" t="str">
        <f t="shared" si="22"/>
        <v>2026-S24</v>
      </c>
      <c r="H160">
        <f t="shared" si="23"/>
        <v>1</v>
      </c>
      <c r="I160" s="2" t="str">
        <f t="shared" si="17"/>
        <v>LUN</v>
      </c>
    </row>
    <row r="161" spans="1:9" x14ac:dyDescent="0.35">
      <c r="A161" s="9">
        <v>46182</v>
      </c>
      <c r="B161">
        <f t="shared" si="18"/>
        <v>2026</v>
      </c>
      <c r="C161">
        <f t="shared" si="19"/>
        <v>6</v>
      </c>
      <c r="D161" t="str">
        <f t="shared" si="16"/>
        <v>JUN</v>
      </c>
      <c r="E161" t="str">
        <f t="shared" si="20"/>
        <v>2026-06</v>
      </c>
      <c r="F161">
        <f t="shared" si="21"/>
        <v>24</v>
      </c>
      <c r="G161" t="str">
        <f t="shared" si="22"/>
        <v>2026-S24</v>
      </c>
      <c r="H161">
        <f t="shared" si="23"/>
        <v>2</v>
      </c>
      <c r="I161" s="2" t="str">
        <f t="shared" si="17"/>
        <v>MAR</v>
      </c>
    </row>
    <row r="162" spans="1:9" x14ac:dyDescent="0.35">
      <c r="A162" s="9">
        <v>46183</v>
      </c>
      <c r="B162">
        <f t="shared" si="18"/>
        <v>2026</v>
      </c>
      <c r="C162">
        <f t="shared" si="19"/>
        <v>6</v>
      </c>
      <c r="D162" t="str">
        <f t="shared" si="16"/>
        <v>JUN</v>
      </c>
      <c r="E162" t="str">
        <f t="shared" si="20"/>
        <v>2026-06</v>
      </c>
      <c r="F162">
        <f t="shared" si="21"/>
        <v>24</v>
      </c>
      <c r="G162" t="str">
        <f t="shared" si="22"/>
        <v>2026-S24</v>
      </c>
      <c r="H162">
        <f t="shared" si="23"/>
        <v>3</v>
      </c>
      <c r="I162" s="2" t="str">
        <f t="shared" si="17"/>
        <v>MIÉ</v>
      </c>
    </row>
    <row r="163" spans="1:9" x14ac:dyDescent="0.35">
      <c r="A163" s="9">
        <v>46184</v>
      </c>
      <c r="B163">
        <f t="shared" si="18"/>
        <v>2026</v>
      </c>
      <c r="C163">
        <f t="shared" si="19"/>
        <v>6</v>
      </c>
      <c r="D163" t="str">
        <f t="shared" si="16"/>
        <v>JUN</v>
      </c>
      <c r="E163" t="str">
        <f t="shared" si="20"/>
        <v>2026-06</v>
      </c>
      <c r="F163">
        <f t="shared" si="21"/>
        <v>24</v>
      </c>
      <c r="G163" t="str">
        <f t="shared" si="22"/>
        <v>2026-S24</v>
      </c>
      <c r="H163">
        <f t="shared" si="23"/>
        <v>4</v>
      </c>
      <c r="I163" s="2" t="str">
        <f t="shared" si="17"/>
        <v>JUE</v>
      </c>
    </row>
    <row r="164" spans="1:9" x14ac:dyDescent="0.35">
      <c r="A164" s="9">
        <v>46185</v>
      </c>
      <c r="B164">
        <f t="shared" si="18"/>
        <v>2026</v>
      </c>
      <c r="C164">
        <f t="shared" si="19"/>
        <v>6</v>
      </c>
      <c r="D164" t="str">
        <f t="shared" si="16"/>
        <v>JUN</v>
      </c>
      <c r="E164" t="str">
        <f t="shared" si="20"/>
        <v>2026-06</v>
      </c>
      <c r="F164">
        <f t="shared" si="21"/>
        <v>24</v>
      </c>
      <c r="G164" t="str">
        <f t="shared" si="22"/>
        <v>2026-S24</v>
      </c>
      <c r="H164">
        <f t="shared" si="23"/>
        <v>5</v>
      </c>
      <c r="I164" s="2" t="str">
        <f t="shared" si="17"/>
        <v>VIE</v>
      </c>
    </row>
    <row r="165" spans="1:9" x14ac:dyDescent="0.35">
      <c r="A165" s="9">
        <v>46186</v>
      </c>
      <c r="B165">
        <f t="shared" si="18"/>
        <v>2026</v>
      </c>
      <c r="C165">
        <f t="shared" si="19"/>
        <v>6</v>
      </c>
      <c r="D165" t="str">
        <f t="shared" si="16"/>
        <v>JUN</v>
      </c>
      <c r="E165" t="str">
        <f t="shared" si="20"/>
        <v>2026-06</v>
      </c>
      <c r="F165">
        <f t="shared" si="21"/>
        <v>24</v>
      </c>
      <c r="G165" t="str">
        <f t="shared" si="22"/>
        <v>2026-S24</v>
      </c>
      <c r="H165">
        <f t="shared" si="23"/>
        <v>6</v>
      </c>
      <c r="I165" s="2" t="str">
        <f t="shared" si="17"/>
        <v>SÁB</v>
      </c>
    </row>
    <row r="166" spans="1:9" x14ac:dyDescent="0.35">
      <c r="A166" s="9">
        <v>46187</v>
      </c>
      <c r="B166">
        <f t="shared" si="18"/>
        <v>2026</v>
      </c>
      <c r="C166">
        <f t="shared" si="19"/>
        <v>6</v>
      </c>
      <c r="D166" t="str">
        <f t="shared" si="16"/>
        <v>JUN</v>
      </c>
      <c r="E166" t="str">
        <f t="shared" si="20"/>
        <v>2026-06</v>
      </c>
      <c r="F166">
        <f t="shared" si="21"/>
        <v>24</v>
      </c>
      <c r="G166" t="str">
        <f t="shared" si="22"/>
        <v>2026-S24</v>
      </c>
      <c r="H166">
        <f t="shared" si="23"/>
        <v>7</v>
      </c>
      <c r="I166" s="2" t="str">
        <f t="shared" si="17"/>
        <v>DOM</v>
      </c>
    </row>
    <row r="167" spans="1:9" x14ac:dyDescent="0.35">
      <c r="A167" s="9">
        <v>46188</v>
      </c>
      <c r="B167">
        <f t="shared" si="18"/>
        <v>2026</v>
      </c>
      <c r="C167">
        <f t="shared" si="19"/>
        <v>6</v>
      </c>
      <c r="D167" t="str">
        <f t="shared" si="16"/>
        <v>JUN</v>
      </c>
      <c r="E167" t="str">
        <f t="shared" si="20"/>
        <v>2026-06</v>
      </c>
      <c r="F167">
        <f t="shared" si="21"/>
        <v>25</v>
      </c>
      <c r="G167" t="str">
        <f t="shared" si="22"/>
        <v>2026-S25</v>
      </c>
      <c r="H167">
        <f t="shared" si="23"/>
        <v>1</v>
      </c>
      <c r="I167" s="2" t="str">
        <f t="shared" si="17"/>
        <v>LUN</v>
      </c>
    </row>
    <row r="168" spans="1:9" x14ac:dyDescent="0.35">
      <c r="A168" s="9">
        <v>46189</v>
      </c>
      <c r="B168">
        <f t="shared" si="18"/>
        <v>2026</v>
      </c>
      <c r="C168">
        <f t="shared" si="19"/>
        <v>6</v>
      </c>
      <c r="D168" t="str">
        <f t="shared" si="16"/>
        <v>JUN</v>
      </c>
      <c r="E168" t="str">
        <f t="shared" si="20"/>
        <v>2026-06</v>
      </c>
      <c r="F168">
        <f t="shared" si="21"/>
        <v>25</v>
      </c>
      <c r="G168" t="str">
        <f t="shared" si="22"/>
        <v>2026-S25</v>
      </c>
      <c r="H168">
        <f t="shared" si="23"/>
        <v>2</v>
      </c>
      <c r="I168" s="2" t="str">
        <f t="shared" si="17"/>
        <v>MAR</v>
      </c>
    </row>
    <row r="169" spans="1:9" x14ac:dyDescent="0.35">
      <c r="A169" s="9">
        <v>46190</v>
      </c>
      <c r="B169">
        <f t="shared" si="18"/>
        <v>2026</v>
      </c>
      <c r="C169">
        <f t="shared" si="19"/>
        <v>6</v>
      </c>
      <c r="D169" t="str">
        <f t="shared" si="16"/>
        <v>JUN</v>
      </c>
      <c r="E169" t="str">
        <f t="shared" si="20"/>
        <v>2026-06</v>
      </c>
      <c r="F169">
        <f t="shared" si="21"/>
        <v>25</v>
      </c>
      <c r="G169" t="str">
        <f t="shared" si="22"/>
        <v>2026-S25</v>
      </c>
      <c r="H169">
        <f t="shared" si="23"/>
        <v>3</v>
      </c>
      <c r="I169" s="2" t="str">
        <f t="shared" si="17"/>
        <v>MIÉ</v>
      </c>
    </row>
    <row r="170" spans="1:9" x14ac:dyDescent="0.35">
      <c r="A170" s="9">
        <v>46191</v>
      </c>
      <c r="B170">
        <f t="shared" si="18"/>
        <v>2026</v>
      </c>
      <c r="C170">
        <f t="shared" si="19"/>
        <v>6</v>
      </c>
      <c r="D170" t="str">
        <f t="shared" si="16"/>
        <v>JUN</v>
      </c>
      <c r="E170" t="str">
        <f t="shared" si="20"/>
        <v>2026-06</v>
      </c>
      <c r="F170">
        <f t="shared" si="21"/>
        <v>25</v>
      </c>
      <c r="G170" t="str">
        <f t="shared" si="22"/>
        <v>2026-S25</v>
      </c>
      <c r="H170">
        <f t="shared" si="23"/>
        <v>4</v>
      </c>
      <c r="I170" s="2" t="str">
        <f t="shared" si="17"/>
        <v>JUE</v>
      </c>
    </row>
    <row r="171" spans="1:9" x14ac:dyDescent="0.35">
      <c r="A171" s="9">
        <v>46192</v>
      </c>
      <c r="B171">
        <f t="shared" si="18"/>
        <v>2026</v>
      </c>
      <c r="C171">
        <f t="shared" si="19"/>
        <v>6</v>
      </c>
      <c r="D171" t="str">
        <f t="shared" si="16"/>
        <v>JUN</v>
      </c>
      <c r="E171" t="str">
        <f t="shared" si="20"/>
        <v>2026-06</v>
      </c>
      <c r="F171">
        <f t="shared" si="21"/>
        <v>25</v>
      </c>
      <c r="G171" t="str">
        <f t="shared" si="22"/>
        <v>2026-S25</v>
      </c>
      <c r="H171">
        <f t="shared" si="23"/>
        <v>5</v>
      </c>
      <c r="I171" s="2" t="str">
        <f t="shared" si="17"/>
        <v>VIE</v>
      </c>
    </row>
    <row r="172" spans="1:9" x14ac:dyDescent="0.35">
      <c r="A172" s="9">
        <v>46193</v>
      </c>
      <c r="B172">
        <f t="shared" si="18"/>
        <v>2026</v>
      </c>
      <c r="C172">
        <f t="shared" si="19"/>
        <v>6</v>
      </c>
      <c r="D172" t="str">
        <f t="shared" si="16"/>
        <v>JUN</v>
      </c>
      <c r="E172" t="str">
        <f t="shared" si="20"/>
        <v>2026-06</v>
      </c>
      <c r="F172">
        <f t="shared" si="21"/>
        <v>25</v>
      </c>
      <c r="G172" t="str">
        <f t="shared" si="22"/>
        <v>2026-S25</v>
      </c>
      <c r="H172">
        <f t="shared" si="23"/>
        <v>6</v>
      </c>
      <c r="I172" s="2" t="str">
        <f t="shared" si="17"/>
        <v>SÁB</v>
      </c>
    </row>
    <row r="173" spans="1:9" x14ac:dyDescent="0.35">
      <c r="A173" s="9">
        <v>46194</v>
      </c>
      <c r="B173">
        <f t="shared" si="18"/>
        <v>2026</v>
      </c>
      <c r="C173">
        <f t="shared" si="19"/>
        <v>6</v>
      </c>
      <c r="D173" t="str">
        <f t="shared" si="16"/>
        <v>JUN</v>
      </c>
      <c r="E173" t="str">
        <f t="shared" si="20"/>
        <v>2026-06</v>
      </c>
      <c r="F173">
        <f t="shared" si="21"/>
        <v>25</v>
      </c>
      <c r="G173" t="str">
        <f t="shared" si="22"/>
        <v>2026-S25</v>
      </c>
      <c r="H173">
        <f t="shared" si="23"/>
        <v>7</v>
      </c>
      <c r="I173" s="2" t="str">
        <f t="shared" si="17"/>
        <v>DOM</v>
      </c>
    </row>
    <row r="174" spans="1:9" x14ac:dyDescent="0.35">
      <c r="A174" s="9">
        <v>46195</v>
      </c>
      <c r="B174">
        <f t="shared" si="18"/>
        <v>2026</v>
      </c>
      <c r="C174">
        <f t="shared" si="19"/>
        <v>6</v>
      </c>
      <c r="D174" t="str">
        <f t="shared" si="16"/>
        <v>JUN</v>
      </c>
      <c r="E174" t="str">
        <f t="shared" si="20"/>
        <v>2026-06</v>
      </c>
      <c r="F174">
        <f t="shared" si="21"/>
        <v>26</v>
      </c>
      <c r="G174" t="str">
        <f t="shared" si="22"/>
        <v>2026-S26</v>
      </c>
      <c r="H174">
        <f t="shared" si="23"/>
        <v>1</v>
      </c>
      <c r="I174" s="2" t="str">
        <f t="shared" si="17"/>
        <v>LUN</v>
      </c>
    </row>
    <row r="175" spans="1:9" x14ac:dyDescent="0.35">
      <c r="A175" s="9">
        <v>46196</v>
      </c>
      <c r="B175">
        <f t="shared" si="18"/>
        <v>2026</v>
      </c>
      <c r="C175">
        <f t="shared" si="19"/>
        <v>6</v>
      </c>
      <c r="D175" t="str">
        <f t="shared" si="16"/>
        <v>JUN</v>
      </c>
      <c r="E175" t="str">
        <f t="shared" si="20"/>
        <v>2026-06</v>
      </c>
      <c r="F175">
        <f t="shared" si="21"/>
        <v>26</v>
      </c>
      <c r="G175" t="str">
        <f t="shared" si="22"/>
        <v>2026-S26</v>
      </c>
      <c r="H175">
        <f t="shared" si="23"/>
        <v>2</v>
      </c>
      <c r="I175" s="2" t="str">
        <f t="shared" si="17"/>
        <v>MAR</v>
      </c>
    </row>
    <row r="176" spans="1:9" x14ac:dyDescent="0.35">
      <c r="A176" s="9">
        <v>46197</v>
      </c>
      <c r="B176">
        <f t="shared" si="18"/>
        <v>2026</v>
      </c>
      <c r="C176">
        <f t="shared" si="19"/>
        <v>6</v>
      </c>
      <c r="D176" t="str">
        <f t="shared" si="16"/>
        <v>JUN</v>
      </c>
      <c r="E176" t="str">
        <f t="shared" si="20"/>
        <v>2026-06</v>
      </c>
      <c r="F176">
        <f t="shared" si="21"/>
        <v>26</v>
      </c>
      <c r="G176" t="str">
        <f t="shared" si="22"/>
        <v>2026-S26</v>
      </c>
      <c r="H176">
        <f t="shared" si="23"/>
        <v>3</v>
      </c>
      <c r="I176" s="2" t="str">
        <f t="shared" si="17"/>
        <v>MIÉ</v>
      </c>
    </row>
    <row r="177" spans="1:9" x14ac:dyDescent="0.35">
      <c r="A177" s="9">
        <v>46198</v>
      </c>
      <c r="B177">
        <f t="shared" si="18"/>
        <v>2026</v>
      </c>
      <c r="C177">
        <f t="shared" si="19"/>
        <v>6</v>
      </c>
      <c r="D177" t="str">
        <f t="shared" si="16"/>
        <v>JUN</v>
      </c>
      <c r="E177" t="str">
        <f t="shared" si="20"/>
        <v>2026-06</v>
      </c>
      <c r="F177">
        <f t="shared" si="21"/>
        <v>26</v>
      </c>
      <c r="G177" t="str">
        <f t="shared" si="22"/>
        <v>2026-S26</v>
      </c>
      <c r="H177">
        <f t="shared" si="23"/>
        <v>4</v>
      </c>
      <c r="I177" s="2" t="str">
        <f t="shared" si="17"/>
        <v>JUE</v>
      </c>
    </row>
    <row r="178" spans="1:9" x14ac:dyDescent="0.35">
      <c r="A178" s="9">
        <v>46199</v>
      </c>
      <c r="B178">
        <f t="shared" si="18"/>
        <v>2026</v>
      </c>
      <c r="C178">
        <f t="shared" si="19"/>
        <v>6</v>
      </c>
      <c r="D178" t="str">
        <f t="shared" si="16"/>
        <v>JUN</v>
      </c>
      <c r="E178" t="str">
        <f t="shared" si="20"/>
        <v>2026-06</v>
      </c>
      <c r="F178">
        <f t="shared" si="21"/>
        <v>26</v>
      </c>
      <c r="G178" t="str">
        <f t="shared" si="22"/>
        <v>2026-S26</v>
      </c>
      <c r="H178">
        <f t="shared" si="23"/>
        <v>5</v>
      </c>
      <c r="I178" s="2" t="str">
        <f t="shared" si="17"/>
        <v>VIE</v>
      </c>
    </row>
    <row r="179" spans="1:9" x14ac:dyDescent="0.35">
      <c r="A179" s="9">
        <v>46200</v>
      </c>
      <c r="B179">
        <f t="shared" si="18"/>
        <v>2026</v>
      </c>
      <c r="C179">
        <f t="shared" si="19"/>
        <v>6</v>
      </c>
      <c r="D179" t="str">
        <f t="shared" si="16"/>
        <v>JUN</v>
      </c>
      <c r="E179" t="str">
        <f t="shared" si="20"/>
        <v>2026-06</v>
      </c>
      <c r="F179">
        <f t="shared" si="21"/>
        <v>26</v>
      </c>
      <c r="G179" t="str">
        <f t="shared" si="22"/>
        <v>2026-S26</v>
      </c>
      <c r="H179">
        <f t="shared" si="23"/>
        <v>6</v>
      </c>
      <c r="I179" s="2" t="str">
        <f t="shared" si="17"/>
        <v>SÁB</v>
      </c>
    </row>
    <row r="180" spans="1:9" x14ac:dyDescent="0.35">
      <c r="A180" s="9">
        <v>46201</v>
      </c>
      <c r="B180">
        <f t="shared" si="18"/>
        <v>2026</v>
      </c>
      <c r="C180">
        <f t="shared" si="19"/>
        <v>6</v>
      </c>
      <c r="D180" t="str">
        <f t="shared" si="16"/>
        <v>JUN</v>
      </c>
      <c r="E180" t="str">
        <f t="shared" si="20"/>
        <v>2026-06</v>
      </c>
      <c r="F180">
        <f t="shared" si="21"/>
        <v>26</v>
      </c>
      <c r="G180" t="str">
        <f t="shared" si="22"/>
        <v>2026-S26</v>
      </c>
      <c r="H180">
        <f t="shared" si="23"/>
        <v>7</v>
      </c>
      <c r="I180" s="2" t="str">
        <f t="shared" si="17"/>
        <v>DOM</v>
      </c>
    </row>
    <row r="181" spans="1:9" x14ac:dyDescent="0.35">
      <c r="A181" s="9">
        <v>46202</v>
      </c>
      <c r="B181">
        <f t="shared" si="18"/>
        <v>2026</v>
      </c>
      <c r="C181">
        <f t="shared" si="19"/>
        <v>6</v>
      </c>
      <c r="D181" t="str">
        <f t="shared" si="16"/>
        <v>JUN</v>
      </c>
      <c r="E181" t="str">
        <f t="shared" si="20"/>
        <v>2026-06</v>
      </c>
      <c r="F181">
        <f t="shared" si="21"/>
        <v>27</v>
      </c>
      <c r="G181" t="str">
        <f t="shared" si="22"/>
        <v>2026-S27</v>
      </c>
      <c r="H181">
        <f t="shared" si="23"/>
        <v>1</v>
      </c>
      <c r="I181" s="2" t="str">
        <f t="shared" si="17"/>
        <v>LUN</v>
      </c>
    </row>
    <row r="182" spans="1:9" x14ac:dyDescent="0.35">
      <c r="A182" s="9">
        <v>46203</v>
      </c>
      <c r="B182">
        <f t="shared" si="18"/>
        <v>2026</v>
      </c>
      <c r="C182">
        <f t="shared" si="19"/>
        <v>6</v>
      </c>
      <c r="D182" t="str">
        <f t="shared" si="16"/>
        <v>JUN</v>
      </c>
      <c r="E182" t="str">
        <f t="shared" si="20"/>
        <v>2026-06</v>
      </c>
      <c r="F182">
        <f t="shared" si="21"/>
        <v>27</v>
      </c>
      <c r="G182" t="str">
        <f t="shared" si="22"/>
        <v>2026-S27</v>
      </c>
      <c r="H182">
        <f t="shared" si="23"/>
        <v>2</v>
      </c>
      <c r="I182" s="2" t="str">
        <f t="shared" si="17"/>
        <v>MAR</v>
      </c>
    </row>
    <row r="183" spans="1:9" x14ac:dyDescent="0.35">
      <c r="A183" s="9">
        <v>46204</v>
      </c>
      <c r="B183">
        <f t="shared" si="18"/>
        <v>2026</v>
      </c>
      <c r="C183">
        <f t="shared" si="19"/>
        <v>7</v>
      </c>
      <c r="D183" t="str">
        <f t="shared" si="16"/>
        <v>JUL</v>
      </c>
      <c r="E183" t="str">
        <f t="shared" si="20"/>
        <v>2026-07</v>
      </c>
      <c r="F183">
        <f t="shared" si="21"/>
        <v>27</v>
      </c>
      <c r="G183" t="str">
        <f t="shared" si="22"/>
        <v>2026-S27</v>
      </c>
      <c r="H183">
        <f t="shared" si="23"/>
        <v>3</v>
      </c>
      <c r="I183" s="2" t="str">
        <f t="shared" si="17"/>
        <v>MIÉ</v>
      </c>
    </row>
    <row r="184" spans="1:9" x14ac:dyDescent="0.35">
      <c r="A184" s="9">
        <v>46205</v>
      </c>
      <c r="B184">
        <f t="shared" si="18"/>
        <v>2026</v>
      </c>
      <c r="C184">
        <f t="shared" si="19"/>
        <v>7</v>
      </c>
      <c r="D184" t="str">
        <f t="shared" si="16"/>
        <v>JUL</v>
      </c>
      <c r="E184" t="str">
        <f t="shared" si="20"/>
        <v>2026-07</v>
      </c>
      <c r="F184">
        <f t="shared" si="21"/>
        <v>27</v>
      </c>
      <c r="G184" t="str">
        <f t="shared" si="22"/>
        <v>2026-S27</v>
      </c>
      <c r="H184">
        <f t="shared" si="23"/>
        <v>4</v>
      </c>
      <c r="I184" s="2" t="str">
        <f t="shared" si="17"/>
        <v>JUE</v>
      </c>
    </row>
    <row r="185" spans="1:9" x14ac:dyDescent="0.35">
      <c r="A185" s="9">
        <v>46206</v>
      </c>
      <c r="B185">
        <f t="shared" si="18"/>
        <v>2026</v>
      </c>
      <c r="C185">
        <f t="shared" si="19"/>
        <v>7</v>
      </c>
      <c r="D185" t="str">
        <f t="shared" si="16"/>
        <v>JUL</v>
      </c>
      <c r="E185" t="str">
        <f t="shared" si="20"/>
        <v>2026-07</v>
      </c>
      <c r="F185">
        <f t="shared" si="21"/>
        <v>27</v>
      </c>
      <c r="G185" t="str">
        <f t="shared" si="22"/>
        <v>2026-S27</v>
      </c>
      <c r="H185">
        <f t="shared" si="23"/>
        <v>5</v>
      </c>
      <c r="I185" s="2" t="str">
        <f t="shared" si="17"/>
        <v>VIE</v>
      </c>
    </row>
    <row r="186" spans="1:9" x14ac:dyDescent="0.35">
      <c r="A186" s="9">
        <v>46207</v>
      </c>
      <c r="B186">
        <f t="shared" si="18"/>
        <v>2026</v>
      </c>
      <c r="C186">
        <f t="shared" si="19"/>
        <v>7</v>
      </c>
      <c r="D186" t="str">
        <f t="shared" si="16"/>
        <v>JUL</v>
      </c>
      <c r="E186" t="str">
        <f t="shared" si="20"/>
        <v>2026-07</v>
      </c>
      <c r="F186">
        <f t="shared" si="21"/>
        <v>27</v>
      </c>
      <c r="G186" t="str">
        <f t="shared" si="22"/>
        <v>2026-S27</v>
      </c>
      <c r="H186">
        <f t="shared" si="23"/>
        <v>6</v>
      </c>
      <c r="I186" s="2" t="str">
        <f t="shared" si="17"/>
        <v>SÁB</v>
      </c>
    </row>
    <row r="187" spans="1:9" x14ac:dyDescent="0.35">
      <c r="A187" s="9">
        <v>46208</v>
      </c>
      <c r="B187">
        <f t="shared" si="18"/>
        <v>2026</v>
      </c>
      <c r="C187">
        <f t="shared" si="19"/>
        <v>7</v>
      </c>
      <c r="D187" t="str">
        <f t="shared" si="16"/>
        <v>JUL</v>
      </c>
      <c r="E187" t="str">
        <f t="shared" si="20"/>
        <v>2026-07</v>
      </c>
      <c r="F187">
        <f t="shared" si="21"/>
        <v>27</v>
      </c>
      <c r="G187" t="str">
        <f t="shared" si="22"/>
        <v>2026-S27</v>
      </c>
      <c r="H187">
        <f t="shared" si="23"/>
        <v>7</v>
      </c>
      <c r="I187" s="2" t="str">
        <f t="shared" si="17"/>
        <v>DOM</v>
      </c>
    </row>
    <row r="188" spans="1:9" x14ac:dyDescent="0.35">
      <c r="A188" s="9">
        <v>46209</v>
      </c>
      <c r="B188">
        <f t="shared" si="18"/>
        <v>2026</v>
      </c>
      <c r="C188">
        <f t="shared" si="19"/>
        <v>7</v>
      </c>
      <c r="D188" t="str">
        <f t="shared" si="16"/>
        <v>JUL</v>
      </c>
      <c r="E188" t="str">
        <f t="shared" si="20"/>
        <v>2026-07</v>
      </c>
      <c r="F188">
        <f t="shared" si="21"/>
        <v>28</v>
      </c>
      <c r="G188" t="str">
        <f t="shared" si="22"/>
        <v>2026-S28</v>
      </c>
      <c r="H188">
        <f t="shared" si="23"/>
        <v>1</v>
      </c>
      <c r="I188" s="2" t="str">
        <f t="shared" si="17"/>
        <v>LUN</v>
      </c>
    </row>
    <row r="189" spans="1:9" x14ac:dyDescent="0.35">
      <c r="A189" s="9">
        <v>46210</v>
      </c>
      <c r="B189">
        <f t="shared" si="18"/>
        <v>2026</v>
      </c>
      <c r="C189">
        <f t="shared" si="19"/>
        <v>7</v>
      </c>
      <c r="D189" t="str">
        <f t="shared" si="16"/>
        <v>JUL</v>
      </c>
      <c r="E189" t="str">
        <f t="shared" si="20"/>
        <v>2026-07</v>
      </c>
      <c r="F189">
        <f t="shared" si="21"/>
        <v>28</v>
      </c>
      <c r="G189" t="str">
        <f t="shared" si="22"/>
        <v>2026-S28</v>
      </c>
      <c r="H189">
        <f t="shared" si="23"/>
        <v>2</v>
      </c>
      <c r="I189" s="2" t="str">
        <f t="shared" si="17"/>
        <v>MAR</v>
      </c>
    </row>
    <row r="190" spans="1:9" x14ac:dyDescent="0.35">
      <c r="A190" s="9">
        <v>46211</v>
      </c>
      <c r="B190">
        <f t="shared" si="18"/>
        <v>2026</v>
      </c>
      <c r="C190">
        <f t="shared" si="19"/>
        <v>7</v>
      </c>
      <c r="D190" t="str">
        <f t="shared" si="16"/>
        <v>JUL</v>
      </c>
      <c r="E190" t="str">
        <f t="shared" si="20"/>
        <v>2026-07</v>
      </c>
      <c r="F190">
        <f t="shared" si="21"/>
        <v>28</v>
      </c>
      <c r="G190" t="str">
        <f t="shared" si="22"/>
        <v>2026-S28</v>
      </c>
      <c r="H190">
        <f t="shared" si="23"/>
        <v>3</v>
      </c>
      <c r="I190" s="2" t="str">
        <f t="shared" si="17"/>
        <v>MIÉ</v>
      </c>
    </row>
    <row r="191" spans="1:9" x14ac:dyDescent="0.35">
      <c r="A191" s="9">
        <v>46212</v>
      </c>
      <c r="B191">
        <f t="shared" si="18"/>
        <v>2026</v>
      </c>
      <c r="C191">
        <f t="shared" si="19"/>
        <v>7</v>
      </c>
      <c r="D191" t="str">
        <f t="shared" si="16"/>
        <v>JUL</v>
      </c>
      <c r="E191" t="str">
        <f t="shared" si="20"/>
        <v>2026-07</v>
      </c>
      <c r="F191">
        <f t="shared" si="21"/>
        <v>28</v>
      </c>
      <c r="G191" t="str">
        <f t="shared" si="22"/>
        <v>2026-S28</v>
      </c>
      <c r="H191">
        <f t="shared" si="23"/>
        <v>4</v>
      </c>
      <c r="I191" s="2" t="str">
        <f t="shared" si="17"/>
        <v>JUE</v>
      </c>
    </row>
    <row r="192" spans="1:9" x14ac:dyDescent="0.35">
      <c r="A192" s="9">
        <v>46213</v>
      </c>
      <c r="B192">
        <f t="shared" si="18"/>
        <v>2026</v>
      </c>
      <c r="C192">
        <f t="shared" si="19"/>
        <v>7</v>
      </c>
      <c r="D192" t="str">
        <f t="shared" si="16"/>
        <v>JUL</v>
      </c>
      <c r="E192" t="str">
        <f t="shared" si="20"/>
        <v>2026-07</v>
      </c>
      <c r="F192">
        <f t="shared" si="21"/>
        <v>28</v>
      </c>
      <c r="G192" t="str">
        <f t="shared" si="22"/>
        <v>2026-S28</v>
      </c>
      <c r="H192">
        <f t="shared" si="23"/>
        <v>5</v>
      </c>
      <c r="I192" s="2" t="str">
        <f t="shared" si="17"/>
        <v>VIE</v>
      </c>
    </row>
    <row r="193" spans="1:9" x14ac:dyDescent="0.35">
      <c r="A193" s="9">
        <v>46214</v>
      </c>
      <c r="B193">
        <f t="shared" si="18"/>
        <v>2026</v>
      </c>
      <c r="C193">
        <f t="shared" si="19"/>
        <v>7</v>
      </c>
      <c r="D193" t="str">
        <f t="shared" si="16"/>
        <v>JUL</v>
      </c>
      <c r="E193" t="str">
        <f t="shared" si="20"/>
        <v>2026-07</v>
      </c>
      <c r="F193">
        <f t="shared" si="21"/>
        <v>28</v>
      </c>
      <c r="G193" t="str">
        <f t="shared" si="22"/>
        <v>2026-S28</v>
      </c>
      <c r="H193">
        <f t="shared" si="23"/>
        <v>6</v>
      </c>
      <c r="I193" s="2" t="str">
        <f t="shared" si="17"/>
        <v>SÁB</v>
      </c>
    </row>
    <row r="194" spans="1:9" x14ac:dyDescent="0.35">
      <c r="A194" s="9">
        <v>46215</v>
      </c>
      <c r="B194">
        <f t="shared" si="18"/>
        <v>2026</v>
      </c>
      <c r="C194">
        <f t="shared" si="19"/>
        <v>7</v>
      </c>
      <c r="D194" t="str">
        <f t="shared" ref="D194:D257" si="24">+UPPER(TEXT(A194,"mmm"))</f>
        <v>JUL</v>
      </c>
      <c r="E194" t="str">
        <f t="shared" si="20"/>
        <v>2026-07</v>
      </c>
      <c r="F194">
        <f t="shared" si="21"/>
        <v>28</v>
      </c>
      <c r="G194" t="str">
        <f t="shared" si="22"/>
        <v>2026-S28</v>
      </c>
      <c r="H194">
        <f t="shared" si="23"/>
        <v>7</v>
      </c>
      <c r="I194" s="2" t="str">
        <f t="shared" ref="I194:I257" si="25">UPPER(TEXT(A194,"ddd"))</f>
        <v>DOM</v>
      </c>
    </row>
    <row r="195" spans="1:9" x14ac:dyDescent="0.35">
      <c r="A195" s="9">
        <v>46216</v>
      </c>
      <c r="B195">
        <f t="shared" ref="B195:B258" si="26">+YEAR(A195)</f>
        <v>2026</v>
      </c>
      <c r="C195">
        <f t="shared" ref="C195:C258" si="27">+MONTH(A195)</f>
        <v>7</v>
      </c>
      <c r="D195" t="str">
        <f t="shared" si="24"/>
        <v>JUL</v>
      </c>
      <c r="E195" t="str">
        <f t="shared" ref="E195:E258" si="28">+TEXT(A195,"yyyy-mm")</f>
        <v>2026-07</v>
      </c>
      <c r="F195">
        <f t="shared" ref="F195:F258" si="29">+_xlfn.ISOWEEKNUM(A195)</f>
        <v>29</v>
      </c>
      <c r="G195" t="str">
        <f t="shared" ref="G195:G258" si="30">TEXT(A195,"yyyy")&amp;"-S"&amp;TEXT(F195,"00")</f>
        <v>2026-S29</v>
      </c>
      <c r="H195">
        <f t="shared" ref="H195:H258" si="31">+WEEKDAY(A195,2)</f>
        <v>1</v>
      </c>
      <c r="I195" s="2" t="str">
        <f t="shared" si="25"/>
        <v>LUN</v>
      </c>
    </row>
    <row r="196" spans="1:9" x14ac:dyDescent="0.35">
      <c r="A196" s="9">
        <v>46217</v>
      </c>
      <c r="B196">
        <f t="shared" si="26"/>
        <v>2026</v>
      </c>
      <c r="C196">
        <f t="shared" si="27"/>
        <v>7</v>
      </c>
      <c r="D196" t="str">
        <f t="shared" si="24"/>
        <v>JUL</v>
      </c>
      <c r="E196" t="str">
        <f t="shared" si="28"/>
        <v>2026-07</v>
      </c>
      <c r="F196">
        <f t="shared" si="29"/>
        <v>29</v>
      </c>
      <c r="G196" t="str">
        <f t="shared" si="30"/>
        <v>2026-S29</v>
      </c>
      <c r="H196">
        <f t="shared" si="31"/>
        <v>2</v>
      </c>
      <c r="I196" s="2" t="str">
        <f t="shared" si="25"/>
        <v>MAR</v>
      </c>
    </row>
    <row r="197" spans="1:9" x14ac:dyDescent="0.35">
      <c r="A197" s="9">
        <v>46218</v>
      </c>
      <c r="B197">
        <f t="shared" si="26"/>
        <v>2026</v>
      </c>
      <c r="C197">
        <f t="shared" si="27"/>
        <v>7</v>
      </c>
      <c r="D197" t="str">
        <f t="shared" si="24"/>
        <v>JUL</v>
      </c>
      <c r="E197" t="str">
        <f t="shared" si="28"/>
        <v>2026-07</v>
      </c>
      <c r="F197">
        <f t="shared" si="29"/>
        <v>29</v>
      </c>
      <c r="G197" t="str">
        <f t="shared" si="30"/>
        <v>2026-S29</v>
      </c>
      <c r="H197">
        <f t="shared" si="31"/>
        <v>3</v>
      </c>
      <c r="I197" s="2" t="str">
        <f t="shared" si="25"/>
        <v>MIÉ</v>
      </c>
    </row>
    <row r="198" spans="1:9" x14ac:dyDescent="0.35">
      <c r="A198" s="9">
        <v>46219</v>
      </c>
      <c r="B198">
        <f t="shared" si="26"/>
        <v>2026</v>
      </c>
      <c r="C198">
        <f t="shared" si="27"/>
        <v>7</v>
      </c>
      <c r="D198" t="str">
        <f t="shared" si="24"/>
        <v>JUL</v>
      </c>
      <c r="E198" t="str">
        <f t="shared" si="28"/>
        <v>2026-07</v>
      </c>
      <c r="F198">
        <f t="shared" si="29"/>
        <v>29</v>
      </c>
      <c r="G198" t="str">
        <f t="shared" si="30"/>
        <v>2026-S29</v>
      </c>
      <c r="H198">
        <f t="shared" si="31"/>
        <v>4</v>
      </c>
      <c r="I198" s="2" t="str">
        <f t="shared" si="25"/>
        <v>JUE</v>
      </c>
    </row>
    <row r="199" spans="1:9" x14ac:dyDescent="0.35">
      <c r="A199" s="9">
        <v>46220</v>
      </c>
      <c r="B199">
        <f t="shared" si="26"/>
        <v>2026</v>
      </c>
      <c r="C199">
        <f t="shared" si="27"/>
        <v>7</v>
      </c>
      <c r="D199" t="str">
        <f t="shared" si="24"/>
        <v>JUL</v>
      </c>
      <c r="E199" t="str">
        <f t="shared" si="28"/>
        <v>2026-07</v>
      </c>
      <c r="F199">
        <f t="shared" si="29"/>
        <v>29</v>
      </c>
      <c r="G199" t="str">
        <f t="shared" si="30"/>
        <v>2026-S29</v>
      </c>
      <c r="H199">
        <f t="shared" si="31"/>
        <v>5</v>
      </c>
      <c r="I199" s="2" t="str">
        <f t="shared" si="25"/>
        <v>VIE</v>
      </c>
    </row>
    <row r="200" spans="1:9" x14ac:dyDescent="0.35">
      <c r="A200" s="9">
        <v>46221</v>
      </c>
      <c r="B200">
        <f t="shared" si="26"/>
        <v>2026</v>
      </c>
      <c r="C200">
        <f t="shared" si="27"/>
        <v>7</v>
      </c>
      <c r="D200" t="str">
        <f t="shared" si="24"/>
        <v>JUL</v>
      </c>
      <c r="E200" t="str">
        <f t="shared" si="28"/>
        <v>2026-07</v>
      </c>
      <c r="F200">
        <f t="shared" si="29"/>
        <v>29</v>
      </c>
      <c r="G200" t="str">
        <f t="shared" si="30"/>
        <v>2026-S29</v>
      </c>
      <c r="H200">
        <f t="shared" si="31"/>
        <v>6</v>
      </c>
      <c r="I200" s="2" t="str">
        <f t="shared" si="25"/>
        <v>SÁB</v>
      </c>
    </row>
    <row r="201" spans="1:9" x14ac:dyDescent="0.35">
      <c r="A201" s="9">
        <v>46222</v>
      </c>
      <c r="B201">
        <f t="shared" si="26"/>
        <v>2026</v>
      </c>
      <c r="C201">
        <f t="shared" si="27"/>
        <v>7</v>
      </c>
      <c r="D201" t="str">
        <f t="shared" si="24"/>
        <v>JUL</v>
      </c>
      <c r="E201" t="str">
        <f t="shared" si="28"/>
        <v>2026-07</v>
      </c>
      <c r="F201">
        <f t="shared" si="29"/>
        <v>29</v>
      </c>
      <c r="G201" t="str">
        <f t="shared" si="30"/>
        <v>2026-S29</v>
      </c>
      <c r="H201">
        <f t="shared" si="31"/>
        <v>7</v>
      </c>
      <c r="I201" s="2" t="str">
        <f t="shared" si="25"/>
        <v>DOM</v>
      </c>
    </row>
    <row r="202" spans="1:9" x14ac:dyDescent="0.35">
      <c r="A202" s="9">
        <v>46223</v>
      </c>
      <c r="B202">
        <f t="shared" si="26"/>
        <v>2026</v>
      </c>
      <c r="C202">
        <f t="shared" si="27"/>
        <v>7</v>
      </c>
      <c r="D202" t="str">
        <f t="shared" si="24"/>
        <v>JUL</v>
      </c>
      <c r="E202" t="str">
        <f t="shared" si="28"/>
        <v>2026-07</v>
      </c>
      <c r="F202">
        <f t="shared" si="29"/>
        <v>30</v>
      </c>
      <c r="G202" t="str">
        <f t="shared" si="30"/>
        <v>2026-S30</v>
      </c>
      <c r="H202">
        <f t="shared" si="31"/>
        <v>1</v>
      </c>
      <c r="I202" s="2" t="str">
        <f t="shared" si="25"/>
        <v>LUN</v>
      </c>
    </row>
    <row r="203" spans="1:9" x14ac:dyDescent="0.35">
      <c r="A203" s="9">
        <v>46224</v>
      </c>
      <c r="B203">
        <f t="shared" si="26"/>
        <v>2026</v>
      </c>
      <c r="C203">
        <f t="shared" si="27"/>
        <v>7</v>
      </c>
      <c r="D203" t="str">
        <f t="shared" si="24"/>
        <v>JUL</v>
      </c>
      <c r="E203" t="str">
        <f t="shared" si="28"/>
        <v>2026-07</v>
      </c>
      <c r="F203">
        <f t="shared" si="29"/>
        <v>30</v>
      </c>
      <c r="G203" t="str">
        <f t="shared" si="30"/>
        <v>2026-S30</v>
      </c>
      <c r="H203">
        <f t="shared" si="31"/>
        <v>2</v>
      </c>
      <c r="I203" s="2" t="str">
        <f t="shared" si="25"/>
        <v>MAR</v>
      </c>
    </row>
    <row r="204" spans="1:9" x14ac:dyDescent="0.35">
      <c r="A204" s="9">
        <v>46225</v>
      </c>
      <c r="B204">
        <f t="shared" si="26"/>
        <v>2026</v>
      </c>
      <c r="C204">
        <f t="shared" si="27"/>
        <v>7</v>
      </c>
      <c r="D204" t="str">
        <f t="shared" si="24"/>
        <v>JUL</v>
      </c>
      <c r="E204" t="str">
        <f t="shared" si="28"/>
        <v>2026-07</v>
      </c>
      <c r="F204">
        <f t="shared" si="29"/>
        <v>30</v>
      </c>
      <c r="G204" t="str">
        <f t="shared" si="30"/>
        <v>2026-S30</v>
      </c>
      <c r="H204">
        <f t="shared" si="31"/>
        <v>3</v>
      </c>
      <c r="I204" s="2" t="str">
        <f t="shared" si="25"/>
        <v>MIÉ</v>
      </c>
    </row>
    <row r="205" spans="1:9" x14ac:dyDescent="0.35">
      <c r="A205" s="9">
        <v>46226</v>
      </c>
      <c r="B205">
        <f t="shared" si="26"/>
        <v>2026</v>
      </c>
      <c r="C205">
        <f t="shared" si="27"/>
        <v>7</v>
      </c>
      <c r="D205" t="str">
        <f t="shared" si="24"/>
        <v>JUL</v>
      </c>
      <c r="E205" t="str">
        <f t="shared" si="28"/>
        <v>2026-07</v>
      </c>
      <c r="F205">
        <f t="shared" si="29"/>
        <v>30</v>
      </c>
      <c r="G205" t="str">
        <f t="shared" si="30"/>
        <v>2026-S30</v>
      </c>
      <c r="H205">
        <f t="shared" si="31"/>
        <v>4</v>
      </c>
      <c r="I205" s="2" t="str">
        <f t="shared" si="25"/>
        <v>JUE</v>
      </c>
    </row>
    <row r="206" spans="1:9" x14ac:dyDescent="0.35">
      <c r="A206" s="9">
        <v>46227</v>
      </c>
      <c r="B206">
        <f t="shared" si="26"/>
        <v>2026</v>
      </c>
      <c r="C206">
        <f t="shared" si="27"/>
        <v>7</v>
      </c>
      <c r="D206" t="str">
        <f t="shared" si="24"/>
        <v>JUL</v>
      </c>
      <c r="E206" t="str">
        <f t="shared" si="28"/>
        <v>2026-07</v>
      </c>
      <c r="F206">
        <f t="shared" si="29"/>
        <v>30</v>
      </c>
      <c r="G206" t="str">
        <f t="shared" si="30"/>
        <v>2026-S30</v>
      </c>
      <c r="H206">
        <f t="shared" si="31"/>
        <v>5</v>
      </c>
      <c r="I206" s="2" t="str">
        <f t="shared" si="25"/>
        <v>VIE</v>
      </c>
    </row>
    <row r="207" spans="1:9" x14ac:dyDescent="0.35">
      <c r="A207" s="9">
        <v>46228</v>
      </c>
      <c r="B207">
        <f t="shared" si="26"/>
        <v>2026</v>
      </c>
      <c r="C207">
        <f t="shared" si="27"/>
        <v>7</v>
      </c>
      <c r="D207" t="str">
        <f t="shared" si="24"/>
        <v>JUL</v>
      </c>
      <c r="E207" t="str">
        <f t="shared" si="28"/>
        <v>2026-07</v>
      </c>
      <c r="F207">
        <f t="shared" si="29"/>
        <v>30</v>
      </c>
      <c r="G207" t="str">
        <f t="shared" si="30"/>
        <v>2026-S30</v>
      </c>
      <c r="H207">
        <f t="shared" si="31"/>
        <v>6</v>
      </c>
      <c r="I207" s="2" t="str">
        <f t="shared" si="25"/>
        <v>SÁB</v>
      </c>
    </row>
    <row r="208" spans="1:9" x14ac:dyDescent="0.35">
      <c r="A208" s="9">
        <v>46229</v>
      </c>
      <c r="B208">
        <f t="shared" si="26"/>
        <v>2026</v>
      </c>
      <c r="C208">
        <f t="shared" si="27"/>
        <v>7</v>
      </c>
      <c r="D208" t="str">
        <f t="shared" si="24"/>
        <v>JUL</v>
      </c>
      <c r="E208" t="str">
        <f t="shared" si="28"/>
        <v>2026-07</v>
      </c>
      <c r="F208">
        <f t="shared" si="29"/>
        <v>30</v>
      </c>
      <c r="G208" t="str">
        <f t="shared" si="30"/>
        <v>2026-S30</v>
      </c>
      <c r="H208">
        <f t="shared" si="31"/>
        <v>7</v>
      </c>
      <c r="I208" s="2" t="str">
        <f t="shared" si="25"/>
        <v>DOM</v>
      </c>
    </row>
    <row r="209" spans="1:9" x14ac:dyDescent="0.35">
      <c r="A209" s="9">
        <v>46230</v>
      </c>
      <c r="B209">
        <f t="shared" si="26"/>
        <v>2026</v>
      </c>
      <c r="C209">
        <f t="shared" si="27"/>
        <v>7</v>
      </c>
      <c r="D209" t="str">
        <f t="shared" si="24"/>
        <v>JUL</v>
      </c>
      <c r="E209" t="str">
        <f t="shared" si="28"/>
        <v>2026-07</v>
      </c>
      <c r="F209">
        <f t="shared" si="29"/>
        <v>31</v>
      </c>
      <c r="G209" t="str">
        <f t="shared" si="30"/>
        <v>2026-S31</v>
      </c>
      <c r="H209">
        <f t="shared" si="31"/>
        <v>1</v>
      </c>
      <c r="I209" s="2" t="str">
        <f t="shared" si="25"/>
        <v>LUN</v>
      </c>
    </row>
    <row r="210" spans="1:9" x14ac:dyDescent="0.35">
      <c r="A210" s="9">
        <v>46231</v>
      </c>
      <c r="B210">
        <f t="shared" si="26"/>
        <v>2026</v>
      </c>
      <c r="C210">
        <f t="shared" si="27"/>
        <v>7</v>
      </c>
      <c r="D210" t="str">
        <f t="shared" si="24"/>
        <v>JUL</v>
      </c>
      <c r="E210" t="str">
        <f t="shared" si="28"/>
        <v>2026-07</v>
      </c>
      <c r="F210">
        <f t="shared" si="29"/>
        <v>31</v>
      </c>
      <c r="G210" t="str">
        <f t="shared" si="30"/>
        <v>2026-S31</v>
      </c>
      <c r="H210">
        <f t="shared" si="31"/>
        <v>2</v>
      </c>
      <c r="I210" s="2" t="str">
        <f t="shared" si="25"/>
        <v>MAR</v>
      </c>
    </row>
    <row r="211" spans="1:9" x14ac:dyDescent="0.35">
      <c r="A211" s="9">
        <v>46232</v>
      </c>
      <c r="B211">
        <f t="shared" si="26"/>
        <v>2026</v>
      </c>
      <c r="C211">
        <f t="shared" si="27"/>
        <v>7</v>
      </c>
      <c r="D211" t="str">
        <f t="shared" si="24"/>
        <v>JUL</v>
      </c>
      <c r="E211" t="str">
        <f t="shared" si="28"/>
        <v>2026-07</v>
      </c>
      <c r="F211">
        <f t="shared" si="29"/>
        <v>31</v>
      </c>
      <c r="G211" t="str">
        <f t="shared" si="30"/>
        <v>2026-S31</v>
      </c>
      <c r="H211">
        <f t="shared" si="31"/>
        <v>3</v>
      </c>
      <c r="I211" s="2" t="str">
        <f t="shared" si="25"/>
        <v>MIÉ</v>
      </c>
    </row>
    <row r="212" spans="1:9" x14ac:dyDescent="0.35">
      <c r="A212" s="9">
        <v>46233</v>
      </c>
      <c r="B212">
        <f t="shared" si="26"/>
        <v>2026</v>
      </c>
      <c r="C212">
        <f t="shared" si="27"/>
        <v>7</v>
      </c>
      <c r="D212" t="str">
        <f t="shared" si="24"/>
        <v>JUL</v>
      </c>
      <c r="E212" t="str">
        <f t="shared" si="28"/>
        <v>2026-07</v>
      </c>
      <c r="F212">
        <f t="shared" si="29"/>
        <v>31</v>
      </c>
      <c r="G212" t="str">
        <f t="shared" si="30"/>
        <v>2026-S31</v>
      </c>
      <c r="H212">
        <f t="shared" si="31"/>
        <v>4</v>
      </c>
      <c r="I212" s="2" t="str">
        <f t="shared" si="25"/>
        <v>JUE</v>
      </c>
    </row>
    <row r="213" spans="1:9" x14ac:dyDescent="0.35">
      <c r="A213" s="9">
        <v>46234</v>
      </c>
      <c r="B213">
        <f t="shared" si="26"/>
        <v>2026</v>
      </c>
      <c r="C213">
        <f t="shared" si="27"/>
        <v>7</v>
      </c>
      <c r="D213" t="str">
        <f t="shared" si="24"/>
        <v>JUL</v>
      </c>
      <c r="E213" t="str">
        <f t="shared" si="28"/>
        <v>2026-07</v>
      </c>
      <c r="F213">
        <f t="shared" si="29"/>
        <v>31</v>
      </c>
      <c r="G213" t="str">
        <f t="shared" si="30"/>
        <v>2026-S31</v>
      </c>
      <c r="H213">
        <f t="shared" si="31"/>
        <v>5</v>
      </c>
      <c r="I213" s="2" t="str">
        <f t="shared" si="25"/>
        <v>VIE</v>
      </c>
    </row>
    <row r="214" spans="1:9" x14ac:dyDescent="0.35">
      <c r="A214" s="9">
        <v>46235</v>
      </c>
      <c r="B214">
        <f t="shared" si="26"/>
        <v>2026</v>
      </c>
      <c r="C214">
        <f t="shared" si="27"/>
        <v>8</v>
      </c>
      <c r="D214" t="str">
        <f t="shared" si="24"/>
        <v>AGO</v>
      </c>
      <c r="E214" t="str">
        <f t="shared" si="28"/>
        <v>2026-08</v>
      </c>
      <c r="F214">
        <f t="shared" si="29"/>
        <v>31</v>
      </c>
      <c r="G214" t="str">
        <f t="shared" si="30"/>
        <v>2026-S31</v>
      </c>
      <c r="H214">
        <f t="shared" si="31"/>
        <v>6</v>
      </c>
      <c r="I214" s="2" t="str">
        <f t="shared" si="25"/>
        <v>SÁB</v>
      </c>
    </row>
    <row r="215" spans="1:9" x14ac:dyDescent="0.35">
      <c r="A215" s="9">
        <v>46236</v>
      </c>
      <c r="B215">
        <f t="shared" si="26"/>
        <v>2026</v>
      </c>
      <c r="C215">
        <f t="shared" si="27"/>
        <v>8</v>
      </c>
      <c r="D215" t="str">
        <f t="shared" si="24"/>
        <v>AGO</v>
      </c>
      <c r="E215" t="str">
        <f t="shared" si="28"/>
        <v>2026-08</v>
      </c>
      <c r="F215">
        <f t="shared" si="29"/>
        <v>31</v>
      </c>
      <c r="G215" t="str">
        <f t="shared" si="30"/>
        <v>2026-S31</v>
      </c>
      <c r="H215">
        <f t="shared" si="31"/>
        <v>7</v>
      </c>
      <c r="I215" s="2" t="str">
        <f t="shared" si="25"/>
        <v>DOM</v>
      </c>
    </row>
    <row r="216" spans="1:9" x14ac:dyDescent="0.35">
      <c r="A216" s="9">
        <v>46237</v>
      </c>
      <c r="B216">
        <f t="shared" si="26"/>
        <v>2026</v>
      </c>
      <c r="C216">
        <f t="shared" si="27"/>
        <v>8</v>
      </c>
      <c r="D216" t="str">
        <f t="shared" si="24"/>
        <v>AGO</v>
      </c>
      <c r="E216" t="str">
        <f t="shared" si="28"/>
        <v>2026-08</v>
      </c>
      <c r="F216">
        <f t="shared" si="29"/>
        <v>32</v>
      </c>
      <c r="G216" t="str">
        <f t="shared" si="30"/>
        <v>2026-S32</v>
      </c>
      <c r="H216">
        <f t="shared" si="31"/>
        <v>1</v>
      </c>
      <c r="I216" s="2" t="str">
        <f t="shared" si="25"/>
        <v>LUN</v>
      </c>
    </row>
    <row r="217" spans="1:9" x14ac:dyDescent="0.35">
      <c r="A217" s="9">
        <v>46238</v>
      </c>
      <c r="B217">
        <f t="shared" si="26"/>
        <v>2026</v>
      </c>
      <c r="C217">
        <f t="shared" si="27"/>
        <v>8</v>
      </c>
      <c r="D217" t="str">
        <f t="shared" si="24"/>
        <v>AGO</v>
      </c>
      <c r="E217" t="str">
        <f t="shared" si="28"/>
        <v>2026-08</v>
      </c>
      <c r="F217">
        <f t="shared" si="29"/>
        <v>32</v>
      </c>
      <c r="G217" t="str">
        <f t="shared" si="30"/>
        <v>2026-S32</v>
      </c>
      <c r="H217">
        <f t="shared" si="31"/>
        <v>2</v>
      </c>
      <c r="I217" s="2" t="str">
        <f t="shared" si="25"/>
        <v>MAR</v>
      </c>
    </row>
    <row r="218" spans="1:9" x14ac:dyDescent="0.35">
      <c r="A218" s="9">
        <v>46239</v>
      </c>
      <c r="B218">
        <f t="shared" si="26"/>
        <v>2026</v>
      </c>
      <c r="C218">
        <f t="shared" si="27"/>
        <v>8</v>
      </c>
      <c r="D218" t="str">
        <f t="shared" si="24"/>
        <v>AGO</v>
      </c>
      <c r="E218" t="str">
        <f t="shared" si="28"/>
        <v>2026-08</v>
      </c>
      <c r="F218">
        <f t="shared" si="29"/>
        <v>32</v>
      </c>
      <c r="G218" t="str">
        <f t="shared" si="30"/>
        <v>2026-S32</v>
      </c>
      <c r="H218">
        <f t="shared" si="31"/>
        <v>3</v>
      </c>
      <c r="I218" s="2" t="str">
        <f t="shared" si="25"/>
        <v>MIÉ</v>
      </c>
    </row>
    <row r="219" spans="1:9" x14ac:dyDescent="0.35">
      <c r="A219" s="9">
        <v>46240</v>
      </c>
      <c r="B219">
        <f t="shared" si="26"/>
        <v>2026</v>
      </c>
      <c r="C219">
        <f t="shared" si="27"/>
        <v>8</v>
      </c>
      <c r="D219" t="str">
        <f t="shared" si="24"/>
        <v>AGO</v>
      </c>
      <c r="E219" t="str">
        <f t="shared" si="28"/>
        <v>2026-08</v>
      </c>
      <c r="F219">
        <f t="shared" si="29"/>
        <v>32</v>
      </c>
      <c r="G219" t="str">
        <f t="shared" si="30"/>
        <v>2026-S32</v>
      </c>
      <c r="H219">
        <f t="shared" si="31"/>
        <v>4</v>
      </c>
      <c r="I219" s="2" t="str">
        <f t="shared" si="25"/>
        <v>JUE</v>
      </c>
    </row>
    <row r="220" spans="1:9" x14ac:dyDescent="0.35">
      <c r="A220" s="9">
        <v>46241</v>
      </c>
      <c r="B220">
        <f t="shared" si="26"/>
        <v>2026</v>
      </c>
      <c r="C220">
        <f t="shared" si="27"/>
        <v>8</v>
      </c>
      <c r="D220" t="str">
        <f t="shared" si="24"/>
        <v>AGO</v>
      </c>
      <c r="E220" t="str">
        <f t="shared" si="28"/>
        <v>2026-08</v>
      </c>
      <c r="F220">
        <f t="shared" si="29"/>
        <v>32</v>
      </c>
      <c r="G220" t="str">
        <f t="shared" si="30"/>
        <v>2026-S32</v>
      </c>
      <c r="H220">
        <f t="shared" si="31"/>
        <v>5</v>
      </c>
      <c r="I220" s="2" t="str">
        <f t="shared" si="25"/>
        <v>VIE</v>
      </c>
    </row>
    <row r="221" spans="1:9" x14ac:dyDescent="0.35">
      <c r="A221" s="9">
        <v>46242</v>
      </c>
      <c r="B221">
        <f t="shared" si="26"/>
        <v>2026</v>
      </c>
      <c r="C221">
        <f t="shared" si="27"/>
        <v>8</v>
      </c>
      <c r="D221" t="str">
        <f t="shared" si="24"/>
        <v>AGO</v>
      </c>
      <c r="E221" t="str">
        <f t="shared" si="28"/>
        <v>2026-08</v>
      </c>
      <c r="F221">
        <f t="shared" si="29"/>
        <v>32</v>
      </c>
      <c r="G221" t="str">
        <f t="shared" si="30"/>
        <v>2026-S32</v>
      </c>
      <c r="H221">
        <f t="shared" si="31"/>
        <v>6</v>
      </c>
      <c r="I221" s="2" t="str">
        <f t="shared" si="25"/>
        <v>SÁB</v>
      </c>
    </row>
    <row r="222" spans="1:9" x14ac:dyDescent="0.35">
      <c r="A222" s="9">
        <v>46243</v>
      </c>
      <c r="B222">
        <f t="shared" si="26"/>
        <v>2026</v>
      </c>
      <c r="C222">
        <f t="shared" si="27"/>
        <v>8</v>
      </c>
      <c r="D222" t="str">
        <f t="shared" si="24"/>
        <v>AGO</v>
      </c>
      <c r="E222" t="str">
        <f t="shared" si="28"/>
        <v>2026-08</v>
      </c>
      <c r="F222">
        <f t="shared" si="29"/>
        <v>32</v>
      </c>
      <c r="G222" t="str">
        <f t="shared" si="30"/>
        <v>2026-S32</v>
      </c>
      <c r="H222">
        <f t="shared" si="31"/>
        <v>7</v>
      </c>
      <c r="I222" s="2" t="str">
        <f t="shared" si="25"/>
        <v>DOM</v>
      </c>
    </row>
    <row r="223" spans="1:9" x14ac:dyDescent="0.35">
      <c r="A223" s="9">
        <v>46244</v>
      </c>
      <c r="B223">
        <f t="shared" si="26"/>
        <v>2026</v>
      </c>
      <c r="C223">
        <f t="shared" si="27"/>
        <v>8</v>
      </c>
      <c r="D223" t="str">
        <f t="shared" si="24"/>
        <v>AGO</v>
      </c>
      <c r="E223" t="str">
        <f t="shared" si="28"/>
        <v>2026-08</v>
      </c>
      <c r="F223">
        <f t="shared" si="29"/>
        <v>33</v>
      </c>
      <c r="G223" t="str">
        <f t="shared" si="30"/>
        <v>2026-S33</v>
      </c>
      <c r="H223">
        <f t="shared" si="31"/>
        <v>1</v>
      </c>
      <c r="I223" s="2" t="str">
        <f t="shared" si="25"/>
        <v>LUN</v>
      </c>
    </row>
    <row r="224" spans="1:9" x14ac:dyDescent="0.35">
      <c r="A224" s="9">
        <v>46245</v>
      </c>
      <c r="B224">
        <f t="shared" si="26"/>
        <v>2026</v>
      </c>
      <c r="C224">
        <f t="shared" si="27"/>
        <v>8</v>
      </c>
      <c r="D224" t="str">
        <f t="shared" si="24"/>
        <v>AGO</v>
      </c>
      <c r="E224" t="str">
        <f t="shared" si="28"/>
        <v>2026-08</v>
      </c>
      <c r="F224">
        <f t="shared" si="29"/>
        <v>33</v>
      </c>
      <c r="G224" t="str">
        <f t="shared" si="30"/>
        <v>2026-S33</v>
      </c>
      <c r="H224">
        <f t="shared" si="31"/>
        <v>2</v>
      </c>
      <c r="I224" s="2" t="str">
        <f t="shared" si="25"/>
        <v>MAR</v>
      </c>
    </row>
    <row r="225" spans="1:9" x14ac:dyDescent="0.35">
      <c r="A225" s="9">
        <v>46246</v>
      </c>
      <c r="B225">
        <f t="shared" si="26"/>
        <v>2026</v>
      </c>
      <c r="C225">
        <f t="shared" si="27"/>
        <v>8</v>
      </c>
      <c r="D225" t="str">
        <f t="shared" si="24"/>
        <v>AGO</v>
      </c>
      <c r="E225" t="str">
        <f t="shared" si="28"/>
        <v>2026-08</v>
      </c>
      <c r="F225">
        <f t="shared" si="29"/>
        <v>33</v>
      </c>
      <c r="G225" t="str">
        <f t="shared" si="30"/>
        <v>2026-S33</v>
      </c>
      <c r="H225">
        <f t="shared" si="31"/>
        <v>3</v>
      </c>
      <c r="I225" s="2" t="str">
        <f t="shared" si="25"/>
        <v>MIÉ</v>
      </c>
    </row>
    <row r="226" spans="1:9" x14ac:dyDescent="0.35">
      <c r="A226" s="9">
        <v>46247</v>
      </c>
      <c r="B226">
        <f t="shared" si="26"/>
        <v>2026</v>
      </c>
      <c r="C226">
        <f t="shared" si="27"/>
        <v>8</v>
      </c>
      <c r="D226" t="str">
        <f t="shared" si="24"/>
        <v>AGO</v>
      </c>
      <c r="E226" t="str">
        <f t="shared" si="28"/>
        <v>2026-08</v>
      </c>
      <c r="F226">
        <f t="shared" si="29"/>
        <v>33</v>
      </c>
      <c r="G226" t="str">
        <f t="shared" si="30"/>
        <v>2026-S33</v>
      </c>
      <c r="H226">
        <f t="shared" si="31"/>
        <v>4</v>
      </c>
      <c r="I226" s="2" t="str">
        <f t="shared" si="25"/>
        <v>JUE</v>
      </c>
    </row>
    <row r="227" spans="1:9" x14ac:dyDescent="0.35">
      <c r="A227" s="9">
        <v>46248</v>
      </c>
      <c r="B227">
        <f t="shared" si="26"/>
        <v>2026</v>
      </c>
      <c r="C227">
        <f t="shared" si="27"/>
        <v>8</v>
      </c>
      <c r="D227" t="str">
        <f t="shared" si="24"/>
        <v>AGO</v>
      </c>
      <c r="E227" t="str">
        <f t="shared" si="28"/>
        <v>2026-08</v>
      </c>
      <c r="F227">
        <f t="shared" si="29"/>
        <v>33</v>
      </c>
      <c r="G227" t="str">
        <f t="shared" si="30"/>
        <v>2026-S33</v>
      </c>
      <c r="H227">
        <f t="shared" si="31"/>
        <v>5</v>
      </c>
      <c r="I227" s="2" t="str">
        <f t="shared" si="25"/>
        <v>VIE</v>
      </c>
    </row>
    <row r="228" spans="1:9" x14ac:dyDescent="0.35">
      <c r="A228" s="9">
        <v>46249</v>
      </c>
      <c r="B228">
        <f t="shared" si="26"/>
        <v>2026</v>
      </c>
      <c r="C228">
        <f t="shared" si="27"/>
        <v>8</v>
      </c>
      <c r="D228" t="str">
        <f t="shared" si="24"/>
        <v>AGO</v>
      </c>
      <c r="E228" t="str">
        <f t="shared" si="28"/>
        <v>2026-08</v>
      </c>
      <c r="F228">
        <f t="shared" si="29"/>
        <v>33</v>
      </c>
      <c r="G228" t="str">
        <f t="shared" si="30"/>
        <v>2026-S33</v>
      </c>
      <c r="H228">
        <f t="shared" si="31"/>
        <v>6</v>
      </c>
      <c r="I228" s="2" t="str">
        <f t="shared" si="25"/>
        <v>SÁB</v>
      </c>
    </row>
    <row r="229" spans="1:9" x14ac:dyDescent="0.35">
      <c r="A229" s="9">
        <v>46250</v>
      </c>
      <c r="B229">
        <f t="shared" si="26"/>
        <v>2026</v>
      </c>
      <c r="C229">
        <f t="shared" si="27"/>
        <v>8</v>
      </c>
      <c r="D229" t="str">
        <f t="shared" si="24"/>
        <v>AGO</v>
      </c>
      <c r="E229" t="str">
        <f t="shared" si="28"/>
        <v>2026-08</v>
      </c>
      <c r="F229">
        <f t="shared" si="29"/>
        <v>33</v>
      </c>
      <c r="G229" t="str">
        <f t="shared" si="30"/>
        <v>2026-S33</v>
      </c>
      <c r="H229">
        <f t="shared" si="31"/>
        <v>7</v>
      </c>
      <c r="I229" s="2" t="str">
        <f t="shared" si="25"/>
        <v>DOM</v>
      </c>
    </row>
    <row r="230" spans="1:9" x14ac:dyDescent="0.35">
      <c r="A230" s="9">
        <v>46251</v>
      </c>
      <c r="B230">
        <f t="shared" si="26"/>
        <v>2026</v>
      </c>
      <c r="C230">
        <f t="shared" si="27"/>
        <v>8</v>
      </c>
      <c r="D230" t="str">
        <f t="shared" si="24"/>
        <v>AGO</v>
      </c>
      <c r="E230" t="str">
        <f t="shared" si="28"/>
        <v>2026-08</v>
      </c>
      <c r="F230">
        <f t="shared" si="29"/>
        <v>34</v>
      </c>
      <c r="G230" t="str">
        <f t="shared" si="30"/>
        <v>2026-S34</v>
      </c>
      <c r="H230">
        <f t="shared" si="31"/>
        <v>1</v>
      </c>
      <c r="I230" s="2" t="str">
        <f t="shared" si="25"/>
        <v>LUN</v>
      </c>
    </row>
    <row r="231" spans="1:9" x14ac:dyDescent="0.35">
      <c r="A231" s="9">
        <v>46252</v>
      </c>
      <c r="B231">
        <f t="shared" si="26"/>
        <v>2026</v>
      </c>
      <c r="C231">
        <f t="shared" si="27"/>
        <v>8</v>
      </c>
      <c r="D231" t="str">
        <f t="shared" si="24"/>
        <v>AGO</v>
      </c>
      <c r="E231" t="str">
        <f t="shared" si="28"/>
        <v>2026-08</v>
      </c>
      <c r="F231">
        <f t="shared" si="29"/>
        <v>34</v>
      </c>
      <c r="G231" t="str">
        <f t="shared" si="30"/>
        <v>2026-S34</v>
      </c>
      <c r="H231">
        <f t="shared" si="31"/>
        <v>2</v>
      </c>
      <c r="I231" s="2" t="str">
        <f t="shared" si="25"/>
        <v>MAR</v>
      </c>
    </row>
    <row r="232" spans="1:9" x14ac:dyDescent="0.35">
      <c r="A232" s="9">
        <v>46253</v>
      </c>
      <c r="B232">
        <f t="shared" si="26"/>
        <v>2026</v>
      </c>
      <c r="C232">
        <f t="shared" si="27"/>
        <v>8</v>
      </c>
      <c r="D232" t="str">
        <f t="shared" si="24"/>
        <v>AGO</v>
      </c>
      <c r="E232" t="str">
        <f t="shared" si="28"/>
        <v>2026-08</v>
      </c>
      <c r="F232">
        <f t="shared" si="29"/>
        <v>34</v>
      </c>
      <c r="G232" t="str">
        <f t="shared" si="30"/>
        <v>2026-S34</v>
      </c>
      <c r="H232">
        <f t="shared" si="31"/>
        <v>3</v>
      </c>
      <c r="I232" s="2" t="str">
        <f t="shared" si="25"/>
        <v>MIÉ</v>
      </c>
    </row>
    <row r="233" spans="1:9" x14ac:dyDescent="0.35">
      <c r="A233" s="9">
        <v>46254</v>
      </c>
      <c r="B233">
        <f t="shared" si="26"/>
        <v>2026</v>
      </c>
      <c r="C233">
        <f t="shared" si="27"/>
        <v>8</v>
      </c>
      <c r="D233" t="str">
        <f t="shared" si="24"/>
        <v>AGO</v>
      </c>
      <c r="E233" t="str">
        <f t="shared" si="28"/>
        <v>2026-08</v>
      </c>
      <c r="F233">
        <f t="shared" si="29"/>
        <v>34</v>
      </c>
      <c r="G233" t="str">
        <f t="shared" si="30"/>
        <v>2026-S34</v>
      </c>
      <c r="H233">
        <f t="shared" si="31"/>
        <v>4</v>
      </c>
      <c r="I233" s="2" t="str">
        <f t="shared" si="25"/>
        <v>JUE</v>
      </c>
    </row>
    <row r="234" spans="1:9" x14ac:dyDescent="0.35">
      <c r="A234" s="9">
        <v>46255</v>
      </c>
      <c r="B234">
        <f t="shared" si="26"/>
        <v>2026</v>
      </c>
      <c r="C234">
        <f t="shared" si="27"/>
        <v>8</v>
      </c>
      <c r="D234" t="str">
        <f t="shared" si="24"/>
        <v>AGO</v>
      </c>
      <c r="E234" t="str">
        <f t="shared" si="28"/>
        <v>2026-08</v>
      </c>
      <c r="F234">
        <f t="shared" si="29"/>
        <v>34</v>
      </c>
      <c r="G234" t="str">
        <f t="shared" si="30"/>
        <v>2026-S34</v>
      </c>
      <c r="H234">
        <f t="shared" si="31"/>
        <v>5</v>
      </c>
      <c r="I234" s="2" t="str">
        <f t="shared" si="25"/>
        <v>VIE</v>
      </c>
    </row>
    <row r="235" spans="1:9" x14ac:dyDescent="0.35">
      <c r="A235" s="9">
        <v>46256</v>
      </c>
      <c r="B235">
        <f t="shared" si="26"/>
        <v>2026</v>
      </c>
      <c r="C235">
        <f t="shared" si="27"/>
        <v>8</v>
      </c>
      <c r="D235" t="str">
        <f t="shared" si="24"/>
        <v>AGO</v>
      </c>
      <c r="E235" t="str">
        <f t="shared" si="28"/>
        <v>2026-08</v>
      </c>
      <c r="F235">
        <f t="shared" si="29"/>
        <v>34</v>
      </c>
      <c r="G235" t="str">
        <f t="shared" si="30"/>
        <v>2026-S34</v>
      </c>
      <c r="H235">
        <f t="shared" si="31"/>
        <v>6</v>
      </c>
      <c r="I235" s="2" t="str">
        <f t="shared" si="25"/>
        <v>SÁB</v>
      </c>
    </row>
    <row r="236" spans="1:9" x14ac:dyDescent="0.35">
      <c r="A236" s="9">
        <v>46257</v>
      </c>
      <c r="B236">
        <f t="shared" si="26"/>
        <v>2026</v>
      </c>
      <c r="C236">
        <f t="shared" si="27"/>
        <v>8</v>
      </c>
      <c r="D236" t="str">
        <f t="shared" si="24"/>
        <v>AGO</v>
      </c>
      <c r="E236" t="str">
        <f t="shared" si="28"/>
        <v>2026-08</v>
      </c>
      <c r="F236">
        <f t="shared" si="29"/>
        <v>34</v>
      </c>
      <c r="G236" t="str">
        <f t="shared" si="30"/>
        <v>2026-S34</v>
      </c>
      <c r="H236">
        <f t="shared" si="31"/>
        <v>7</v>
      </c>
      <c r="I236" s="2" t="str">
        <f t="shared" si="25"/>
        <v>DOM</v>
      </c>
    </row>
    <row r="237" spans="1:9" x14ac:dyDescent="0.35">
      <c r="A237" s="9">
        <v>46258</v>
      </c>
      <c r="B237">
        <f t="shared" si="26"/>
        <v>2026</v>
      </c>
      <c r="C237">
        <f t="shared" si="27"/>
        <v>8</v>
      </c>
      <c r="D237" t="str">
        <f t="shared" si="24"/>
        <v>AGO</v>
      </c>
      <c r="E237" t="str">
        <f t="shared" si="28"/>
        <v>2026-08</v>
      </c>
      <c r="F237">
        <f t="shared" si="29"/>
        <v>35</v>
      </c>
      <c r="G237" t="str">
        <f t="shared" si="30"/>
        <v>2026-S35</v>
      </c>
      <c r="H237">
        <f t="shared" si="31"/>
        <v>1</v>
      </c>
      <c r="I237" s="2" t="str">
        <f t="shared" si="25"/>
        <v>LUN</v>
      </c>
    </row>
    <row r="238" spans="1:9" x14ac:dyDescent="0.35">
      <c r="A238" s="9">
        <v>46259</v>
      </c>
      <c r="B238">
        <f t="shared" si="26"/>
        <v>2026</v>
      </c>
      <c r="C238">
        <f t="shared" si="27"/>
        <v>8</v>
      </c>
      <c r="D238" t="str">
        <f t="shared" si="24"/>
        <v>AGO</v>
      </c>
      <c r="E238" t="str">
        <f t="shared" si="28"/>
        <v>2026-08</v>
      </c>
      <c r="F238">
        <f t="shared" si="29"/>
        <v>35</v>
      </c>
      <c r="G238" t="str">
        <f t="shared" si="30"/>
        <v>2026-S35</v>
      </c>
      <c r="H238">
        <f t="shared" si="31"/>
        <v>2</v>
      </c>
      <c r="I238" s="2" t="str">
        <f t="shared" si="25"/>
        <v>MAR</v>
      </c>
    </row>
    <row r="239" spans="1:9" x14ac:dyDescent="0.35">
      <c r="A239" s="9">
        <v>46260</v>
      </c>
      <c r="B239">
        <f t="shared" si="26"/>
        <v>2026</v>
      </c>
      <c r="C239">
        <f t="shared" si="27"/>
        <v>8</v>
      </c>
      <c r="D239" t="str">
        <f t="shared" si="24"/>
        <v>AGO</v>
      </c>
      <c r="E239" t="str">
        <f t="shared" si="28"/>
        <v>2026-08</v>
      </c>
      <c r="F239">
        <f t="shared" si="29"/>
        <v>35</v>
      </c>
      <c r="G239" t="str">
        <f t="shared" si="30"/>
        <v>2026-S35</v>
      </c>
      <c r="H239">
        <f t="shared" si="31"/>
        <v>3</v>
      </c>
      <c r="I239" s="2" t="str">
        <f t="shared" si="25"/>
        <v>MIÉ</v>
      </c>
    </row>
    <row r="240" spans="1:9" x14ac:dyDescent="0.35">
      <c r="A240" s="9">
        <v>46261</v>
      </c>
      <c r="B240">
        <f t="shared" si="26"/>
        <v>2026</v>
      </c>
      <c r="C240">
        <f t="shared" si="27"/>
        <v>8</v>
      </c>
      <c r="D240" t="str">
        <f t="shared" si="24"/>
        <v>AGO</v>
      </c>
      <c r="E240" t="str">
        <f t="shared" si="28"/>
        <v>2026-08</v>
      </c>
      <c r="F240">
        <f t="shared" si="29"/>
        <v>35</v>
      </c>
      <c r="G240" t="str">
        <f t="shared" si="30"/>
        <v>2026-S35</v>
      </c>
      <c r="H240">
        <f t="shared" si="31"/>
        <v>4</v>
      </c>
      <c r="I240" s="2" t="str">
        <f t="shared" si="25"/>
        <v>JUE</v>
      </c>
    </row>
    <row r="241" spans="1:9" x14ac:dyDescent="0.35">
      <c r="A241" s="9">
        <v>46262</v>
      </c>
      <c r="B241">
        <f t="shared" si="26"/>
        <v>2026</v>
      </c>
      <c r="C241">
        <f t="shared" si="27"/>
        <v>8</v>
      </c>
      <c r="D241" t="str">
        <f t="shared" si="24"/>
        <v>AGO</v>
      </c>
      <c r="E241" t="str">
        <f t="shared" si="28"/>
        <v>2026-08</v>
      </c>
      <c r="F241">
        <f t="shared" si="29"/>
        <v>35</v>
      </c>
      <c r="G241" t="str">
        <f t="shared" si="30"/>
        <v>2026-S35</v>
      </c>
      <c r="H241">
        <f t="shared" si="31"/>
        <v>5</v>
      </c>
      <c r="I241" s="2" t="str">
        <f t="shared" si="25"/>
        <v>VIE</v>
      </c>
    </row>
    <row r="242" spans="1:9" x14ac:dyDescent="0.35">
      <c r="A242" s="9">
        <v>46263</v>
      </c>
      <c r="B242">
        <f t="shared" si="26"/>
        <v>2026</v>
      </c>
      <c r="C242">
        <f t="shared" si="27"/>
        <v>8</v>
      </c>
      <c r="D242" t="str">
        <f t="shared" si="24"/>
        <v>AGO</v>
      </c>
      <c r="E242" t="str">
        <f t="shared" si="28"/>
        <v>2026-08</v>
      </c>
      <c r="F242">
        <f t="shared" si="29"/>
        <v>35</v>
      </c>
      <c r="G242" t="str">
        <f t="shared" si="30"/>
        <v>2026-S35</v>
      </c>
      <c r="H242">
        <f t="shared" si="31"/>
        <v>6</v>
      </c>
      <c r="I242" s="2" t="str">
        <f t="shared" si="25"/>
        <v>SÁB</v>
      </c>
    </row>
    <row r="243" spans="1:9" x14ac:dyDescent="0.35">
      <c r="A243" s="9">
        <v>46264</v>
      </c>
      <c r="B243">
        <f t="shared" si="26"/>
        <v>2026</v>
      </c>
      <c r="C243">
        <f t="shared" si="27"/>
        <v>8</v>
      </c>
      <c r="D243" t="str">
        <f t="shared" si="24"/>
        <v>AGO</v>
      </c>
      <c r="E243" t="str">
        <f t="shared" si="28"/>
        <v>2026-08</v>
      </c>
      <c r="F243">
        <f t="shared" si="29"/>
        <v>35</v>
      </c>
      <c r="G243" t="str">
        <f t="shared" si="30"/>
        <v>2026-S35</v>
      </c>
      <c r="H243">
        <f t="shared" si="31"/>
        <v>7</v>
      </c>
      <c r="I243" s="2" t="str">
        <f t="shared" si="25"/>
        <v>DOM</v>
      </c>
    </row>
    <row r="244" spans="1:9" x14ac:dyDescent="0.35">
      <c r="A244" s="9">
        <v>46265</v>
      </c>
      <c r="B244">
        <f t="shared" si="26"/>
        <v>2026</v>
      </c>
      <c r="C244">
        <f t="shared" si="27"/>
        <v>8</v>
      </c>
      <c r="D244" t="str">
        <f t="shared" si="24"/>
        <v>AGO</v>
      </c>
      <c r="E244" t="str">
        <f t="shared" si="28"/>
        <v>2026-08</v>
      </c>
      <c r="F244">
        <f t="shared" si="29"/>
        <v>36</v>
      </c>
      <c r="G244" t="str">
        <f t="shared" si="30"/>
        <v>2026-S36</v>
      </c>
      <c r="H244">
        <f t="shared" si="31"/>
        <v>1</v>
      </c>
      <c r="I244" s="2" t="str">
        <f t="shared" si="25"/>
        <v>LUN</v>
      </c>
    </row>
    <row r="245" spans="1:9" x14ac:dyDescent="0.35">
      <c r="A245" s="9">
        <v>46266</v>
      </c>
      <c r="B245">
        <f t="shared" si="26"/>
        <v>2026</v>
      </c>
      <c r="C245">
        <f t="shared" si="27"/>
        <v>9</v>
      </c>
      <c r="D245" t="str">
        <f t="shared" si="24"/>
        <v>SEPT</v>
      </c>
      <c r="E245" t="str">
        <f t="shared" si="28"/>
        <v>2026-09</v>
      </c>
      <c r="F245">
        <f t="shared" si="29"/>
        <v>36</v>
      </c>
      <c r="G245" t="str">
        <f t="shared" si="30"/>
        <v>2026-S36</v>
      </c>
      <c r="H245">
        <f t="shared" si="31"/>
        <v>2</v>
      </c>
      <c r="I245" s="2" t="str">
        <f t="shared" si="25"/>
        <v>MAR</v>
      </c>
    </row>
    <row r="246" spans="1:9" x14ac:dyDescent="0.35">
      <c r="A246" s="9">
        <v>46267</v>
      </c>
      <c r="B246">
        <f t="shared" si="26"/>
        <v>2026</v>
      </c>
      <c r="C246">
        <f t="shared" si="27"/>
        <v>9</v>
      </c>
      <c r="D246" t="str">
        <f t="shared" si="24"/>
        <v>SEPT</v>
      </c>
      <c r="E246" t="str">
        <f t="shared" si="28"/>
        <v>2026-09</v>
      </c>
      <c r="F246">
        <f t="shared" si="29"/>
        <v>36</v>
      </c>
      <c r="G246" t="str">
        <f t="shared" si="30"/>
        <v>2026-S36</v>
      </c>
      <c r="H246">
        <f t="shared" si="31"/>
        <v>3</v>
      </c>
      <c r="I246" s="2" t="str">
        <f t="shared" si="25"/>
        <v>MIÉ</v>
      </c>
    </row>
    <row r="247" spans="1:9" x14ac:dyDescent="0.35">
      <c r="A247" s="9">
        <v>46268</v>
      </c>
      <c r="B247">
        <f t="shared" si="26"/>
        <v>2026</v>
      </c>
      <c r="C247">
        <f t="shared" si="27"/>
        <v>9</v>
      </c>
      <c r="D247" t="str">
        <f t="shared" si="24"/>
        <v>SEPT</v>
      </c>
      <c r="E247" t="str">
        <f t="shared" si="28"/>
        <v>2026-09</v>
      </c>
      <c r="F247">
        <f t="shared" si="29"/>
        <v>36</v>
      </c>
      <c r="G247" t="str">
        <f t="shared" si="30"/>
        <v>2026-S36</v>
      </c>
      <c r="H247">
        <f t="shared" si="31"/>
        <v>4</v>
      </c>
      <c r="I247" s="2" t="str">
        <f t="shared" si="25"/>
        <v>JUE</v>
      </c>
    </row>
    <row r="248" spans="1:9" x14ac:dyDescent="0.35">
      <c r="A248" s="9">
        <v>46269</v>
      </c>
      <c r="B248">
        <f t="shared" si="26"/>
        <v>2026</v>
      </c>
      <c r="C248">
        <f t="shared" si="27"/>
        <v>9</v>
      </c>
      <c r="D248" t="str">
        <f t="shared" si="24"/>
        <v>SEPT</v>
      </c>
      <c r="E248" t="str">
        <f t="shared" si="28"/>
        <v>2026-09</v>
      </c>
      <c r="F248">
        <f t="shared" si="29"/>
        <v>36</v>
      </c>
      <c r="G248" t="str">
        <f t="shared" si="30"/>
        <v>2026-S36</v>
      </c>
      <c r="H248">
        <f t="shared" si="31"/>
        <v>5</v>
      </c>
      <c r="I248" s="2" t="str">
        <f t="shared" si="25"/>
        <v>VIE</v>
      </c>
    </row>
    <row r="249" spans="1:9" x14ac:dyDescent="0.35">
      <c r="A249" s="9">
        <v>46270</v>
      </c>
      <c r="B249">
        <f t="shared" si="26"/>
        <v>2026</v>
      </c>
      <c r="C249">
        <f t="shared" si="27"/>
        <v>9</v>
      </c>
      <c r="D249" t="str">
        <f t="shared" si="24"/>
        <v>SEPT</v>
      </c>
      <c r="E249" t="str">
        <f t="shared" si="28"/>
        <v>2026-09</v>
      </c>
      <c r="F249">
        <f t="shared" si="29"/>
        <v>36</v>
      </c>
      <c r="G249" t="str">
        <f t="shared" si="30"/>
        <v>2026-S36</v>
      </c>
      <c r="H249">
        <f t="shared" si="31"/>
        <v>6</v>
      </c>
      <c r="I249" s="2" t="str">
        <f t="shared" si="25"/>
        <v>SÁB</v>
      </c>
    </row>
    <row r="250" spans="1:9" x14ac:dyDescent="0.35">
      <c r="A250" s="9">
        <v>46271</v>
      </c>
      <c r="B250">
        <f t="shared" si="26"/>
        <v>2026</v>
      </c>
      <c r="C250">
        <f t="shared" si="27"/>
        <v>9</v>
      </c>
      <c r="D250" t="str">
        <f t="shared" si="24"/>
        <v>SEPT</v>
      </c>
      <c r="E250" t="str">
        <f t="shared" si="28"/>
        <v>2026-09</v>
      </c>
      <c r="F250">
        <f t="shared" si="29"/>
        <v>36</v>
      </c>
      <c r="G250" t="str">
        <f t="shared" si="30"/>
        <v>2026-S36</v>
      </c>
      <c r="H250">
        <f t="shared" si="31"/>
        <v>7</v>
      </c>
      <c r="I250" s="2" t="str">
        <f t="shared" si="25"/>
        <v>DOM</v>
      </c>
    </row>
    <row r="251" spans="1:9" x14ac:dyDescent="0.35">
      <c r="A251" s="9">
        <v>46272</v>
      </c>
      <c r="B251">
        <f t="shared" si="26"/>
        <v>2026</v>
      </c>
      <c r="C251">
        <f t="shared" si="27"/>
        <v>9</v>
      </c>
      <c r="D251" t="str">
        <f t="shared" si="24"/>
        <v>SEPT</v>
      </c>
      <c r="E251" t="str">
        <f t="shared" si="28"/>
        <v>2026-09</v>
      </c>
      <c r="F251">
        <f t="shared" si="29"/>
        <v>37</v>
      </c>
      <c r="G251" t="str">
        <f t="shared" si="30"/>
        <v>2026-S37</v>
      </c>
      <c r="H251">
        <f t="shared" si="31"/>
        <v>1</v>
      </c>
      <c r="I251" s="2" t="str">
        <f t="shared" si="25"/>
        <v>LUN</v>
      </c>
    </row>
    <row r="252" spans="1:9" x14ac:dyDescent="0.35">
      <c r="A252" s="9">
        <v>46273</v>
      </c>
      <c r="B252">
        <f t="shared" si="26"/>
        <v>2026</v>
      </c>
      <c r="C252">
        <f t="shared" si="27"/>
        <v>9</v>
      </c>
      <c r="D252" t="str">
        <f t="shared" si="24"/>
        <v>SEPT</v>
      </c>
      <c r="E252" t="str">
        <f t="shared" si="28"/>
        <v>2026-09</v>
      </c>
      <c r="F252">
        <f t="shared" si="29"/>
        <v>37</v>
      </c>
      <c r="G252" t="str">
        <f t="shared" si="30"/>
        <v>2026-S37</v>
      </c>
      <c r="H252">
        <f t="shared" si="31"/>
        <v>2</v>
      </c>
      <c r="I252" s="2" t="str">
        <f t="shared" si="25"/>
        <v>MAR</v>
      </c>
    </row>
    <row r="253" spans="1:9" x14ac:dyDescent="0.35">
      <c r="A253" s="9">
        <v>46274</v>
      </c>
      <c r="B253">
        <f t="shared" si="26"/>
        <v>2026</v>
      </c>
      <c r="C253">
        <f t="shared" si="27"/>
        <v>9</v>
      </c>
      <c r="D253" t="str">
        <f t="shared" si="24"/>
        <v>SEPT</v>
      </c>
      <c r="E253" t="str">
        <f t="shared" si="28"/>
        <v>2026-09</v>
      </c>
      <c r="F253">
        <f t="shared" si="29"/>
        <v>37</v>
      </c>
      <c r="G253" t="str">
        <f t="shared" si="30"/>
        <v>2026-S37</v>
      </c>
      <c r="H253">
        <f t="shared" si="31"/>
        <v>3</v>
      </c>
      <c r="I253" s="2" t="str">
        <f t="shared" si="25"/>
        <v>MIÉ</v>
      </c>
    </row>
    <row r="254" spans="1:9" x14ac:dyDescent="0.35">
      <c r="A254" s="9">
        <v>46275</v>
      </c>
      <c r="B254">
        <f t="shared" si="26"/>
        <v>2026</v>
      </c>
      <c r="C254">
        <f t="shared" si="27"/>
        <v>9</v>
      </c>
      <c r="D254" t="str">
        <f t="shared" si="24"/>
        <v>SEPT</v>
      </c>
      <c r="E254" t="str">
        <f t="shared" si="28"/>
        <v>2026-09</v>
      </c>
      <c r="F254">
        <f t="shared" si="29"/>
        <v>37</v>
      </c>
      <c r="G254" t="str">
        <f t="shared" si="30"/>
        <v>2026-S37</v>
      </c>
      <c r="H254">
        <f t="shared" si="31"/>
        <v>4</v>
      </c>
      <c r="I254" s="2" t="str">
        <f t="shared" si="25"/>
        <v>JUE</v>
      </c>
    </row>
    <row r="255" spans="1:9" x14ac:dyDescent="0.35">
      <c r="A255" s="9">
        <v>46276</v>
      </c>
      <c r="B255">
        <f t="shared" si="26"/>
        <v>2026</v>
      </c>
      <c r="C255">
        <f t="shared" si="27"/>
        <v>9</v>
      </c>
      <c r="D255" t="str">
        <f t="shared" si="24"/>
        <v>SEPT</v>
      </c>
      <c r="E255" t="str">
        <f t="shared" si="28"/>
        <v>2026-09</v>
      </c>
      <c r="F255">
        <f t="shared" si="29"/>
        <v>37</v>
      </c>
      <c r="G255" t="str">
        <f t="shared" si="30"/>
        <v>2026-S37</v>
      </c>
      <c r="H255">
        <f t="shared" si="31"/>
        <v>5</v>
      </c>
      <c r="I255" s="2" t="str">
        <f t="shared" si="25"/>
        <v>VIE</v>
      </c>
    </row>
    <row r="256" spans="1:9" x14ac:dyDescent="0.35">
      <c r="A256" s="9">
        <v>46277</v>
      </c>
      <c r="B256">
        <f t="shared" si="26"/>
        <v>2026</v>
      </c>
      <c r="C256">
        <f t="shared" si="27"/>
        <v>9</v>
      </c>
      <c r="D256" t="str">
        <f t="shared" si="24"/>
        <v>SEPT</v>
      </c>
      <c r="E256" t="str">
        <f t="shared" si="28"/>
        <v>2026-09</v>
      </c>
      <c r="F256">
        <f t="shared" si="29"/>
        <v>37</v>
      </c>
      <c r="G256" t="str">
        <f t="shared" si="30"/>
        <v>2026-S37</v>
      </c>
      <c r="H256">
        <f t="shared" si="31"/>
        <v>6</v>
      </c>
      <c r="I256" s="2" t="str">
        <f t="shared" si="25"/>
        <v>SÁB</v>
      </c>
    </row>
    <row r="257" spans="1:9" x14ac:dyDescent="0.35">
      <c r="A257" s="9">
        <v>46278</v>
      </c>
      <c r="B257">
        <f t="shared" si="26"/>
        <v>2026</v>
      </c>
      <c r="C257">
        <f t="shared" si="27"/>
        <v>9</v>
      </c>
      <c r="D257" t="str">
        <f t="shared" si="24"/>
        <v>SEPT</v>
      </c>
      <c r="E257" t="str">
        <f t="shared" si="28"/>
        <v>2026-09</v>
      </c>
      <c r="F257">
        <f t="shared" si="29"/>
        <v>37</v>
      </c>
      <c r="G257" t="str">
        <f t="shared" si="30"/>
        <v>2026-S37</v>
      </c>
      <c r="H257">
        <f t="shared" si="31"/>
        <v>7</v>
      </c>
      <c r="I257" s="2" t="str">
        <f t="shared" si="25"/>
        <v>DOM</v>
      </c>
    </row>
    <row r="258" spans="1:9" x14ac:dyDescent="0.35">
      <c r="A258" s="9">
        <v>46279</v>
      </c>
      <c r="B258">
        <f t="shared" si="26"/>
        <v>2026</v>
      </c>
      <c r="C258">
        <f t="shared" si="27"/>
        <v>9</v>
      </c>
      <c r="D258" t="str">
        <f t="shared" ref="D258:D321" si="32">+UPPER(TEXT(A258,"mmm"))</f>
        <v>SEPT</v>
      </c>
      <c r="E258" t="str">
        <f t="shared" si="28"/>
        <v>2026-09</v>
      </c>
      <c r="F258">
        <f t="shared" si="29"/>
        <v>38</v>
      </c>
      <c r="G258" t="str">
        <f t="shared" si="30"/>
        <v>2026-S38</v>
      </c>
      <c r="H258">
        <f t="shared" si="31"/>
        <v>1</v>
      </c>
      <c r="I258" s="2" t="str">
        <f t="shared" ref="I258:I321" si="33">UPPER(TEXT(A258,"ddd"))</f>
        <v>LUN</v>
      </c>
    </row>
    <row r="259" spans="1:9" x14ac:dyDescent="0.35">
      <c r="A259" s="9">
        <v>46280</v>
      </c>
      <c r="B259">
        <f t="shared" ref="B259:B322" si="34">+YEAR(A259)</f>
        <v>2026</v>
      </c>
      <c r="C259">
        <f t="shared" ref="C259:C322" si="35">+MONTH(A259)</f>
        <v>9</v>
      </c>
      <c r="D259" t="str">
        <f t="shared" si="32"/>
        <v>SEPT</v>
      </c>
      <c r="E259" t="str">
        <f t="shared" ref="E259:E322" si="36">+TEXT(A259,"yyyy-mm")</f>
        <v>2026-09</v>
      </c>
      <c r="F259">
        <f t="shared" ref="F259:F322" si="37">+_xlfn.ISOWEEKNUM(A259)</f>
        <v>38</v>
      </c>
      <c r="G259" t="str">
        <f t="shared" ref="G259:G322" si="38">TEXT(A259,"yyyy")&amp;"-S"&amp;TEXT(F259,"00")</f>
        <v>2026-S38</v>
      </c>
      <c r="H259">
        <f t="shared" ref="H259:H322" si="39">+WEEKDAY(A259,2)</f>
        <v>2</v>
      </c>
      <c r="I259" s="2" t="str">
        <f t="shared" si="33"/>
        <v>MAR</v>
      </c>
    </row>
    <row r="260" spans="1:9" x14ac:dyDescent="0.35">
      <c r="A260" s="9">
        <v>46281</v>
      </c>
      <c r="B260">
        <f t="shared" si="34"/>
        <v>2026</v>
      </c>
      <c r="C260">
        <f t="shared" si="35"/>
        <v>9</v>
      </c>
      <c r="D260" t="str">
        <f t="shared" si="32"/>
        <v>SEPT</v>
      </c>
      <c r="E260" t="str">
        <f t="shared" si="36"/>
        <v>2026-09</v>
      </c>
      <c r="F260">
        <f t="shared" si="37"/>
        <v>38</v>
      </c>
      <c r="G260" t="str">
        <f t="shared" si="38"/>
        <v>2026-S38</v>
      </c>
      <c r="H260">
        <f t="shared" si="39"/>
        <v>3</v>
      </c>
      <c r="I260" s="2" t="str">
        <f t="shared" si="33"/>
        <v>MIÉ</v>
      </c>
    </row>
    <row r="261" spans="1:9" x14ac:dyDescent="0.35">
      <c r="A261" s="9">
        <v>46282</v>
      </c>
      <c r="B261">
        <f t="shared" si="34"/>
        <v>2026</v>
      </c>
      <c r="C261">
        <f t="shared" si="35"/>
        <v>9</v>
      </c>
      <c r="D261" t="str">
        <f t="shared" si="32"/>
        <v>SEPT</v>
      </c>
      <c r="E261" t="str">
        <f t="shared" si="36"/>
        <v>2026-09</v>
      </c>
      <c r="F261">
        <f t="shared" si="37"/>
        <v>38</v>
      </c>
      <c r="G261" t="str">
        <f t="shared" si="38"/>
        <v>2026-S38</v>
      </c>
      <c r="H261">
        <f t="shared" si="39"/>
        <v>4</v>
      </c>
      <c r="I261" s="2" t="str">
        <f t="shared" si="33"/>
        <v>JUE</v>
      </c>
    </row>
    <row r="262" spans="1:9" x14ac:dyDescent="0.35">
      <c r="A262" s="9">
        <v>46283</v>
      </c>
      <c r="B262">
        <f t="shared" si="34"/>
        <v>2026</v>
      </c>
      <c r="C262">
        <f t="shared" si="35"/>
        <v>9</v>
      </c>
      <c r="D262" t="str">
        <f t="shared" si="32"/>
        <v>SEPT</v>
      </c>
      <c r="E262" t="str">
        <f t="shared" si="36"/>
        <v>2026-09</v>
      </c>
      <c r="F262">
        <f t="shared" si="37"/>
        <v>38</v>
      </c>
      <c r="G262" t="str">
        <f t="shared" si="38"/>
        <v>2026-S38</v>
      </c>
      <c r="H262">
        <f t="shared" si="39"/>
        <v>5</v>
      </c>
      <c r="I262" s="2" t="str">
        <f t="shared" si="33"/>
        <v>VIE</v>
      </c>
    </row>
    <row r="263" spans="1:9" x14ac:dyDescent="0.35">
      <c r="A263" s="9">
        <v>46284</v>
      </c>
      <c r="B263">
        <f t="shared" si="34"/>
        <v>2026</v>
      </c>
      <c r="C263">
        <f t="shared" si="35"/>
        <v>9</v>
      </c>
      <c r="D263" t="str">
        <f t="shared" si="32"/>
        <v>SEPT</v>
      </c>
      <c r="E263" t="str">
        <f t="shared" si="36"/>
        <v>2026-09</v>
      </c>
      <c r="F263">
        <f t="shared" si="37"/>
        <v>38</v>
      </c>
      <c r="G263" t="str">
        <f t="shared" si="38"/>
        <v>2026-S38</v>
      </c>
      <c r="H263">
        <f t="shared" si="39"/>
        <v>6</v>
      </c>
      <c r="I263" s="2" t="str">
        <f t="shared" si="33"/>
        <v>SÁB</v>
      </c>
    </row>
    <row r="264" spans="1:9" x14ac:dyDescent="0.35">
      <c r="A264" s="9">
        <v>46285</v>
      </c>
      <c r="B264">
        <f t="shared" si="34"/>
        <v>2026</v>
      </c>
      <c r="C264">
        <f t="shared" si="35"/>
        <v>9</v>
      </c>
      <c r="D264" t="str">
        <f t="shared" si="32"/>
        <v>SEPT</v>
      </c>
      <c r="E264" t="str">
        <f t="shared" si="36"/>
        <v>2026-09</v>
      </c>
      <c r="F264">
        <f t="shared" si="37"/>
        <v>38</v>
      </c>
      <c r="G264" t="str">
        <f t="shared" si="38"/>
        <v>2026-S38</v>
      </c>
      <c r="H264">
        <f t="shared" si="39"/>
        <v>7</v>
      </c>
      <c r="I264" s="2" t="str">
        <f t="shared" si="33"/>
        <v>DOM</v>
      </c>
    </row>
    <row r="265" spans="1:9" x14ac:dyDescent="0.35">
      <c r="A265" s="9">
        <v>46286</v>
      </c>
      <c r="B265">
        <f t="shared" si="34"/>
        <v>2026</v>
      </c>
      <c r="C265">
        <f t="shared" si="35"/>
        <v>9</v>
      </c>
      <c r="D265" t="str">
        <f t="shared" si="32"/>
        <v>SEPT</v>
      </c>
      <c r="E265" t="str">
        <f t="shared" si="36"/>
        <v>2026-09</v>
      </c>
      <c r="F265">
        <f t="shared" si="37"/>
        <v>39</v>
      </c>
      <c r="G265" t="str">
        <f t="shared" si="38"/>
        <v>2026-S39</v>
      </c>
      <c r="H265">
        <f t="shared" si="39"/>
        <v>1</v>
      </c>
      <c r="I265" s="2" t="str">
        <f t="shared" si="33"/>
        <v>LUN</v>
      </c>
    </row>
    <row r="266" spans="1:9" x14ac:dyDescent="0.35">
      <c r="A266" s="9">
        <v>46287</v>
      </c>
      <c r="B266">
        <f t="shared" si="34"/>
        <v>2026</v>
      </c>
      <c r="C266">
        <f t="shared" si="35"/>
        <v>9</v>
      </c>
      <c r="D266" t="str">
        <f t="shared" si="32"/>
        <v>SEPT</v>
      </c>
      <c r="E266" t="str">
        <f t="shared" si="36"/>
        <v>2026-09</v>
      </c>
      <c r="F266">
        <f t="shared" si="37"/>
        <v>39</v>
      </c>
      <c r="G266" t="str">
        <f t="shared" si="38"/>
        <v>2026-S39</v>
      </c>
      <c r="H266">
        <f t="shared" si="39"/>
        <v>2</v>
      </c>
      <c r="I266" s="2" t="str">
        <f t="shared" si="33"/>
        <v>MAR</v>
      </c>
    </row>
    <row r="267" spans="1:9" x14ac:dyDescent="0.35">
      <c r="A267" s="9">
        <v>46288</v>
      </c>
      <c r="B267">
        <f t="shared" si="34"/>
        <v>2026</v>
      </c>
      <c r="C267">
        <f t="shared" si="35"/>
        <v>9</v>
      </c>
      <c r="D267" t="str">
        <f t="shared" si="32"/>
        <v>SEPT</v>
      </c>
      <c r="E267" t="str">
        <f t="shared" si="36"/>
        <v>2026-09</v>
      </c>
      <c r="F267">
        <f t="shared" si="37"/>
        <v>39</v>
      </c>
      <c r="G267" t="str">
        <f t="shared" si="38"/>
        <v>2026-S39</v>
      </c>
      <c r="H267">
        <f t="shared" si="39"/>
        <v>3</v>
      </c>
      <c r="I267" s="2" t="str">
        <f t="shared" si="33"/>
        <v>MIÉ</v>
      </c>
    </row>
    <row r="268" spans="1:9" x14ac:dyDescent="0.35">
      <c r="A268" s="9">
        <v>46289</v>
      </c>
      <c r="B268">
        <f t="shared" si="34"/>
        <v>2026</v>
      </c>
      <c r="C268">
        <f t="shared" si="35"/>
        <v>9</v>
      </c>
      <c r="D268" t="str">
        <f t="shared" si="32"/>
        <v>SEPT</v>
      </c>
      <c r="E268" t="str">
        <f t="shared" si="36"/>
        <v>2026-09</v>
      </c>
      <c r="F268">
        <f t="shared" si="37"/>
        <v>39</v>
      </c>
      <c r="G268" t="str">
        <f t="shared" si="38"/>
        <v>2026-S39</v>
      </c>
      <c r="H268">
        <f t="shared" si="39"/>
        <v>4</v>
      </c>
      <c r="I268" s="2" t="str">
        <f t="shared" si="33"/>
        <v>JUE</v>
      </c>
    </row>
    <row r="269" spans="1:9" x14ac:dyDescent="0.35">
      <c r="A269" s="9">
        <v>46290</v>
      </c>
      <c r="B269">
        <f t="shared" si="34"/>
        <v>2026</v>
      </c>
      <c r="C269">
        <f t="shared" si="35"/>
        <v>9</v>
      </c>
      <c r="D269" t="str">
        <f t="shared" si="32"/>
        <v>SEPT</v>
      </c>
      <c r="E269" t="str">
        <f t="shared" si="36"/>
        <v>2026-09</v>
      </c>
      <c r="F269">
        <f t="shared" si="37"/>
        <v>39</v>
      </c>
      <c r="G269" t="str">
        <f t="shared" si="38"/>
        <v>2026-S39</v>
      </c>
      <c r="H269">
        <f t="shared" si="39"/>
        <v>5</v>
      </c>
      <c r="I269" s="2" t="str">
        <f t="shared" si="33"/>
        <v>VIE</v>
      </c>
    </row>
    <row r="270" spans="1:9" x14ac:dyDescent="0.35">
      <c r="A270" s="9">
        <v>46291</v>
      </c>
      <c r="B270">
        <f t="shared" si="34"/>
        <v>2026</v>
      </c>
      <c r="C270">
        <f t="shared" si="35"/>
        <v>9</v>
      </c>
      <c r="D270" t="str">
        <f t="shared" si="32"/>
        <v>SEPT</v>
      </c>
      <c r="E270" t="str">
        <f t="shared" si="36"/>
        <v>2026-09</v>
      </c>
      <c r="F270">
        <f t="shared" si="37"/>
        <v>39</v>
      </c>
      <c r="G270" t="str">
        <f t="shared" si="38"/>
        <v>2026-S39</v>
      </c>
      <c r="H270">
        <f t="shared" si="39"/>
        <v>6</v>
      </c>
      <c r="I270" s="2" t="str">
        <f t="shared" si="33"/>
        <v>SÁB</v>
      </c>
    </row>
    <row r="271" spans="1:9" x14ac:dyDescent="0.35">
      <c r="A271" s="9">
        <v>46292</v>
      </c>
      <c r="B271">
        <f t="shared" si="34"/>
        <v>2026</v>
      </c>
      <c r="C271">
        <f t="shared" si="35"/>
        <v>9</v>
      </c>
      <c r="D271" t="str">
        <f t="shared" si="32"/>
        <v>SEPT</v>
      </c>
      <c r="E271" t="str">
        <f t="shared" si="36"/>
        <v>2026-09</v>
      </c>
      <c r="F271">
        <f t="shared" si="37"/>
        <v>39</v>
      </c>
      <c r="G271" t="str">
        <f t="shared" si="38"/>
        <v>2026-S39</v>
      </c>
      <c r="H271">
        <f t="shared" si="39"/>
        <v>7</v>
      </c>
      <c r="I271" s="2" t="str">
        <f t="shared" si="33"/>
        <v>DOM</v>
      </c>
    </row>
    <row r="272" spans="1:9" x14ac:dyDescent="0.35">
      <c r="A272" s="9">
        <v>46293</v>
      </c>
      <c r="B272">
        <f t="shared" si="34"/>
        <v>2026</v>
      </c>
      <c r="C272">
        <f t="shared" si="35"/>
        <v>9</v>
      </c>
      <c r="D272" t="str">
        <f t="shared" si="32"/>
        <v>SEPT</v>
      </c>
      <c r="E272" t="str">
        <f t="shared" si="36"/>
        <v>2026-09</v>
      </c>
      <c r="F272">
        <f t="shared" si="37"/>
        <v>40</v>
      </c>
      <c r="G272" t="str">
        <f t="shared" si="38"/>
        <v>2026-S40</v>
      </c>
      <c r="H272">
        <f t="shared" si="39"/>
        <v>1</v>
      </c>
      <c r="I272" s="2" t="str">
        <f t="shared" si="33"/>
        <v>LUN</v>
      </c>
    </row>
    <row r="273" spans="1:9" x14ac:dyDescent="0.35">
      <c r="A273" s="9">
        <v>46294</v>
      </c>
      <c r="B273">
        <f t="shared" si="34"/>
        <v>2026</v>
      </c>
      <c r="C273">
        <f t="shared" si="35"/>
        <v>9</v>
      </c>
      <c r="D273" t="str">
        <f t="shared" si="32"/>
        <v>SEPT</v>
      </c>
      <c r="E273" t="str">
        <f t="shared" si="36"/>
        <v>2026-09</v>
      </c>
      <c r="F273">
        <f t="shared" si="37"/>
        <v>40</v>
      </c>
      <c r="G273" t="str">
        <f t="shared" si="38"/>
        <v>2026-S40</v>
      </c>
      <c r="H273">
        <f t="shared" si="39"/>
        <v>2</v>
      </c>
      <c r="I273" s="2" t="str">
        <f t="shared" si="33"/>
        <v>MAR</v>
      </c>
    </row>
    <row r="274" spans="1:9" x14ac:dyDescent="0.35">
      <c r="A274" s="9">
        <v>46295</v>
      </c>
      <c r="B274">
        <f t="shared" si="34"/>
        <v>2026</v>
      </c>
      <c r="C274">
        <f t="shared" si="35"/>
        <v>9</v>
      </c>
      <c r="D274" t="str">
        <f t="shared" si="32"/>
        <v>SEPT</v>
      </c>
      <c r="E274" t="str">
        <f t="shared" si="36"/>
        <v>2026-09</v>
      </c>
      <c r="F274">
        <f t="shared" si="37"/>
        <v>40</v>
      </c>
      <c r="G274" t="str">
        <f t="shared" si="38"/>
        <v>2026-S40</v>
      </c>
      <c r="H274">
        <f t="shared" si="39"/>
        <v>3</v>
      </c>
      <c r="I274" s="2" t="str">
        <f t="shared" si="33"/>
        <v>MIÉ</v>
      </c>
    </row>
    <row r="275" spans="1:9" x14ac:dyDescent="0.35">
      <c r="A275" s="9">
        <v>46296</v>
      </c>
      <c r="B275">
        <f t="shared" si="34"/>
        <v>2026</v>
      </c>
      <c r="C275">
        <f t="shared" si="35"/>
        <v>10</v>
      </c>
      <c r="D275" t="str">
        <f t="shared" si="32"/>
        <v>OCT</v>
      </c>
      <c r="E275" t="str">
        <f t="shared" si="36"/>
        <v>2026-10</v>
      </c>
      <c r="F275">
        <f t="shared" si="37"/>
        <v>40</v>
      </c>
      <c r="G275" t="str">
        <f t="shared" si="38"/>
        <v>2026-S40</v>
      </c>
      <c r="H275">
        <f t="shared" si="39"/>
        <v>4</v>
      </c>
      <c r="I275" s="2" t="str">
        <f t="shared" si="33"/>
        <v>JUE</v>
      </c>
    </row>
    <row r="276" spans="1:9" x14ac:dyDescent="0.35">
      <c r="A276" s="9">
        <v>46297</v>
      </c>
      <c r="B276">
        <f t="shared" si="34"/>
        <v>2026</v>
      </c>
      <c r="C276">
        <f t="shared" si="35"/>
        <v>10</v>
      </c>
      <c r="D276" t="str">
        <f t="shared" si="32"/>
        <v>OCT</v>
      </c>
      <c r="E276" t="str">
        <f t="shared" si="36"/>
        <v>2026-10</v>
      </c>
      <c r="F276">
        <f t="shared" si="37"/>
        <v>40</v>
      </c>
      <c r="G276" t="str">
        <f t="shared" si="38"/>
        <v>2026-S40</v>
      </c>
      <c r="H276">
        <f t="shared" si="39"/>
        <v>5</v>
      </c>
      <c r="I276" s="2" t="str">
        <f t="shared" si="33"/>
        <v>VIE</v>
      </c>
    </row>
    <row r="277" spans="1:9" x14ac:dyDescent="0.35">
      <c r="A277" s="9">
        <v>46298</v>
      </c>
      <c r="B277">
        <f t="shared" si="34"/>
        <v>2026</v>
      </c>
      <c r="C277">
        <f t="shared" si="35"/>
        <v>10</v>
      </c>
      <c r="D277" t="str">
        <f t="shared" si="32"/>
        <v>OCT</v>
      </c>
      <c r="E277" t="str">
        <f t="shared" si="36"/>
        <v>2026-10</v>
      </c>
      <c r="F277">
        <f t="shared" si="37"/>
        <v>40</v>
      </c>
      <c r="G277" t="str">
        <f t="shared" si="38"/>
        <v>2026-S40</v>
      </c>
      <c r="H277">
        <f t="shared" si="39"/>
        <v>6</v>
      </c>
      <c r="I277" s="2" t="str">
        <f t="shared" si="33"/>
        <v>SÁB</v>
      </c>
    </row>
    <row r="278" spans="1:9" x14ac:dyDescent="0.35">
      <c r="A278" s="9">
        <v>46299</v>
      </c>
      <c r="B278">
        <f t="shared" si="34"/>
        <v>2026</v>
      </c>
      <c r="C278">
        <f t="shared" si="35"/>
        <v>10</v>
      </c>
      <c r="D278" t="str">
        <f t="shared" si="32"/>
        <v>OCT</v>
      </c>
      <c r="E278" t="str">
        <f t="shared" si="36"/>
        <v>2026-10</v>
      </c>
      <c r="F278">
        <f t="shared" si="37"/>
        <v>40</v>
      </c>
      <c r="G278" t="str">
        <f t="shared" si="38"/>
        <v>2026-S40</v>
      </c>
      <c r="H278">
        <f t="shared" si="39"/>
        <v>7</v>
      </c>
      <c r="I278" s="2" t="str">
        <f t="shared" si="33"/>
        <v>DOM</v>
      </c>
    </row>
    <row r="279" spans="1:9" x14ac:dyDescent="0.35">
      <c r="A279" s="9">
        <v>46300</v>
      </c>
      <c r="B279">
        <f t="shared" si="34"/>
        <v>2026</v>
      </c>
      <c r="C279">
        <f t="shared" si="35"/>
        <v>10</v>
      </c>
      <c r="D279" t="str">
        <f t="shared" si="32"/>
        <v>OCT</v>
      </c>
      <c r="E279" t="str">
        <f t="shared" si="36"/>
        <v>2026-10</v>
      </c>
      <c r="F279">
        <f t="shared" si="37"/>
        <v>41</v>
      </c>
      <c r="G279" t="str">
        <f t="shared" si="38"/>
        <v>2026-S41</v>
      </c>
      <c r="H279">
        <f t="shared" si="39"/>
        <v>1</v>
      </c>
      <c r="I279" s="2" t="str">
        <f t="shared" si="33"/>
        <v>LUN</v>
      </c>
    </row>
    <row r="280" spans="1:9" x14ac:dyDescent="0.35">
      <c r="A280" s="9">
        <v>46301</v>
      </c>
      <c r="B280">
        <f t="shared" si="34"/>
        <v>2026</v>
      </c>
      <c r="C280">
        <f t="shared" si="35"/>
        <v>10</v>
      </c>
      <c r="D280" t="str">
        <f t="shared" si="32"/>
        <v>OCT</v>
      </c>
      <c r="E280" t="str">
        <f t="shared" si="36"/>
        <v>2026-10</v>
      </c>
      <c r="F280">
        <f t="shared" si="37"/>
        <v>41</v>
      </c>
      <c r="G280" t="str">
        <f t="shared" si="38"/>
        <v>2026-S41</v>
      </c>
      <c r="H280">
        <f t="shared" si="39"/>
        <v>2</v>
      </c>
      <c r="I280" s="2" t="str">
        <f t="shared" si="33"/>
        <v>MAR</v>
      </c>
    </row>
    <row r="281" spans="1:9" x14ac:dyDescent="0.35">
      <c r="A281" s="9">
        <v>46302</v>
      </c>
      <c r="B281">
        <f t="shared" si="34"/>
        <v>2026</v>
      </c>
      <c r="C281">
        <f t="shared" si="35"/>
        <v>10</v>
      </c>
      <c r="D281" t="str">
        <f t="shared" si="32"/>
        <v>OCT</v>
      </c>
      <c r="E281" t="str">
        <f t="shared" si="36"/>
        <v>2026-10</v>
      </c>
      <c r="F281">
        <f t="shared" si="37"/>
        <v>41</v>
      </c>
      <c r="G281" t="str">
        <f t="shared" si="38"/>
        <v>2026-S41</v>
      </c>
      <c r="H281">
        <f t="shared" si="39"/>
        <v>3</v>
      </c>
      <c r="I281" s="2" t="str">
        <f t="shared" si="33"/>
        <v>MIÉ</v>
      </c>
    </row>
    <row r="282" spans="1:9" x14ac:dyDescent="0.35">
      <c r="A282" s="9">
        <v>46303</v>
      </c>
      <c r="B282">
        <f t="shared" si="34"/>
        <v>2026</v>
      </c>
      <c r="C282">
        <f t="shared" si="35"/>
        <v>10</v>
      </c>
      <c r="D282" t="str">
        <f t="shared" si="32"/>
        <v>OCT</v>
      </c>
      <c r="E282" t="str">
        <f t="shared" si="36"/>
        <v>2026-10</v>
      </c>
      <c r="F282">
        <f t="shared" si="37"/>
        <v>41</v>
      </c>
      <c r="G282" t="str">
        <f t="shared" si="38"/>
        <v>2026-S41</v>
      </c>
      <c r="H282">
        <f t="shared" si="39"/>
        <v>4</v>
      </c>
      <c r="I282" s="2" t="str">
        <f t="shared" si="33"/>
        <v>JUE</v>
      </c>
    </row>
    <row r="283" spans="1:9" x14ac:dyDescent="0.35">
      <c r="A283" s="9">
        <v>46304</v>
      </c>
      <c r="B283">
        <f t="shared" si="34"/>
        <v>2026</v>
      </c>
      <c r="C283">
        <f t="shared" si="35"/>
        <v>10</v>
      </c>
      <c r="D283" t="str">
        <f t="shared" si="32"/>
        <v>OCT</v>
      </c>
      <c r="E283" t="str">
        <f t="shared" si="36"/>
        <v>2026-10</v>
      </c>
      <c r="F283">
        <f t="shared" si="37"/>
        <v>41</v>
      </c>
      <c r="G283" t="str">
        <f t="shared" si="38"/>
        <v>2026-S41</v>
      </c>
      <c r="H283">
        <f t="shared" si="39"/>
        <v>5</v>
      </c>
      <c r="I283" s="2" t="str">
        <f t="shared" si="33"/>
        <v>VIE</v>
      </c>
    </row>
    <row r="284" spans="1:9" x14ac:dyDescent="0.35">
      <c r="A284" s="9">
        <v>46305</v>
      </c>
      <c r="B284">
        <f t="shared" si="34"/>
        <v>2026</v>
      </c>
      <c r="C284">
        <f t="shared" si="35"/>
        <v>10</v>
      </c>
      <c r="D284" t="str">
        <f t="shared" si="32"/>
        <v>OCT</v>
      </c>
      <c r="E284" t="str">
        <f t="shared" si="36"/>
        <v>2026-10</v>
      </c>
      <c r="F284">
        <f t="shared" si="37"/>
        <v>41</v>
      </c>
      <c r="G284" t="str">
        <f t="shared" si="38"/>
        <v>2026-S41</v>
      </c>
      <c r="H284">
        <f t="shared" si="39"/>
        <v>6</v>
      </c>
      <c r="I284" s="2" t="str">
        <f t="shared" si="33"/>
        <v>SÁB</v>
      </c>
    </row>
    <row r="285" spans="1:9" x14ac:dyDescent="0.35">
      <c r="A285" s="9">
        <v>46306</v>
      </c>
      <c r="B285">
        <f t="shared" si="34"/>
        <v>2026</v>
      </c>
      <c r="C285">
        <f t="shared" si="35"/>
        <v>10</v>
      </c>
      <c r="D285" t="str">
        <f t="shared" si="32"/>
        <v>OCT</v>
      </c>
      <c r="E285" t="str">
        <f t="shared" si="36"/>
        <v>2026-10</v>
      </c>
      <c r="F285">
        <f t="shared" si="37"/>
        <v>41</v>
      </c>
      <c r="G285" t="str">
        <f t="shared" si="38"/>
        <v>2026-S41</v>
      </c>
      <c r="H285">
        <f t="shared" si="39"/>
        <v>7</v>
      </c>
      <c r="I285" s="2" t="str">
        <f t="shared" si="33"/>
        <v>DOM</v>
      </c>
    </row>
    <row r="286" spans="1:9" x14ac:dyDescent="0.35">
      <c r="A286" s="9">
        <v>46307</v>
      </c>
      <c r="B286">
        <f t="shared" si="34"/>
        <v>2026</v>
      </c>
      <c r="C286">
        <f t="shared" si="35"/>
        <v>10</v>
      </c>
      <c r="D286" t="str">
        <f t="shared" si="32"/>
        <v>OCT</v>
      </c>
      <c r="E286" t="str">
        <f t="shared" si="36"/>
        <v>2026-10</v>
      </c>
      <c r="F286">
        <f t="shared" si="37"/>
        <v>42</v>
      </c>
      <c r="G286" t="str">
        <f t="shared" si="38"/>
        <v>2026-S42</v>
      </c>
      <c r="H286">
        <f t="shared" si="39"/>
        <v>1</v>
      </c>
      <c r="I286" s="2" t="str">
        <f t="shared" si="33"/>
        <v>LUN</v>
      </c>
    </row>
    <row r="287" spans="1:9" x14ac:dyDescent="0.35">
      <c r="A287" s="9">
        <v>46308</v>
      </c>
      <c r="B287">
        <f t="shared" si="34"/>
        <v>2026</v>
      </c>
      <c r="C287">
        <f t="shared" si="35"/>
        <v>10</v>
      </c>
      <c r="D287" t="str">
        <f t="shared" si="32"/>
        <v>OCT</v>
      </c>
      <c r="E287" t="str">
        <f t="shared" si="36"/>
        <v>2026-10</v>
      </c>
      <c r="F287">
        <f t="shared" si="37"/>
        <v>42</v>
      </c>
      <c r="G287" t="str">
        <f t="shared" si="38"/>
        <v>2026-S42</v>
      </c>
      <c r="H287">
        <f t="shared" si="39"/>
        <v>2</v>
      </c>
      <c r="I287" s="2" t="str">
        <f t="shared" si="33"/>
        <v>MAR</v>
      </c>
    </row>
    <row r="288" spans="1:9" x14ac:dyDescent="0.35">
      <c r="A288" s="9">
        <v>46309</v>
      </c>
      <c r="B288">
        <f t="shared" si="34"/>
        <v>2026</v>
      </c>
      <c r="C288">
        <f t="shared" si="35"/>
        <v>10</v>
      </c>
      <c r="D288" t="str">
        <f t="shared" si="32"/>
        <v>OCT</v>
      </c>
      <c r="E288" t="str">
        <f t="shared" si="36"/>
        <v>2026-10</v>
      </c>
      <c r="F288">
        <f t="shared" si="37"/>
        <v>42</v>
      </c>
      <c r="G288" t="str">
        <f t="shared" si="38"/>
        <v>2026-S42</v>
      </c>
      <c r="H288">
        <f t="shared" si="39"/>
        <v>3</v>
      </c>
      <c r="I288" s="2" t="str">
        <f t="shared" si="33"/>
        <v>MIÉ</v>
      </c>
    </row>
    <row r="289" spans="1:9" x14ac:dyDescent="0.35">
      <c r="A289" s="9">
        <v>46310</v>
      </c>
      <c r="B289">
        <f t="shared" si="34"/>
        <v>2026</v>
      </c>
      <c r="C289">
        <f t="shared" si="35"/>
        <v>10</v>
      </c>
      <c r="D289" t="str">
        <f t="shared" si="32"/>
        <v>OCT</v>
      </c>
      <c r="E289" t="str">
        <f t="shared" si="36"/>
        <v>2026-10</v>
      </c>
      <c r="F289">
        <f t="shared" si="37"/>
        <v>42</v>
      </c>
      <c r="G289" t="str">
        <f t="shared" si="38"/>
        <v>2026-S42</v>
      </c>
      <c r="H289">
        <f t="shared" si="39"/>
        <v>4</v>
      </c>
      <c r="I289" s="2" t="str">
        <f t="shared" si="33"/>
        <v>JUE</v>
      </c>
    </row>
    <row r="290" spans="1:9" x14ac:dyDescent="0.35">
      <c r="A290" s="9">
        <v>46311</v>
      </c>
      <c r="B290">
        <f t="shared" si="34"/>
        <v>2026</v>
      </c>
      <c r="C290">
        <f t="shared" si="35"/>
        <v>10</v>
      </c>
      <c r="D290" t="str">
        <f t="shared" si="32"/>
        <v>OCT</v>
      </c>
      <c r="E290" t="str">
        <f t="shared" si="36"/>
        <v>2026-10</v>
      </c>
      <c r="F290">
        <f t="shared" si="37"/>
        <v>42</v>
      </c>
      <c r="G290" t="str">
        <f t="shared" si="38"/>
        <v>2026-S42</v>
      </c>
      <c r="H290">
        <f t="shared" si="39"/>
        <v>5</v>
      </c>
      <c r="I290" s="2" t="str">
        <f t="shared" si="33"/>
        <v>VIE</v>
      </c>
    </row>
    <row r="291" spans="1:9" x14ac:dyDescent="0.35">
      <c r="A291" s="9">
        <v>46312</v>
      </c>
      <c r="B291">
        <f t="shared" si="34"/>
        <v>2026</v>
      </c>
      <c r="C291">
        <f t="shared" si="35"/>
        <v>10</v>
      </c>
      <c r="D291" t="str">
        <f t="shared" si="32"/>
        <v>OCT</v>
      </c>
      <c r="E291" t="str">
        <f t="shared" si="36"/>
        <v>2026-10</v>
      </c>
      <c r="F291">
        <f t="shared" si="37"/>
        <v>42</v>
      </c>
      <c r="G291" t="str">
        <f t="shared" si="38"/>
        <v>2026-S42</v>
      </c>
      <c r="H291">
        <f t="shared" si="39"/>
        <v>6</v>
      </c>
      <c r="I291" s="2" t="str">
        <f t="shared" si="33"/>
        <v>SÁB</v>
      </c>
    </row>
    <row r="292" spans="1:9" x14ac:dyDescent="0.35">
      <c r="A292" s="9">
        <v>46313</v>
      </c>
      <c r="B292">
        <f t="shared" si="34"/>
        <v>2026</v>
      </c>
      <c r="C292">
        <f t="shared" si="35"/>
        <v>10</v>
      </c>
      <c r="D292" t="str">
        <f t="shared" si="32"/>
        <v>OCT</v>
      </c>
      <c r="E292" t="str">
        <f t="shared" si="36"/>
        <v>2026-10</v>
      </c>
      <c r="F292">
        <f t="shared" si="37"/>
        <v>42</v>
      </c>
      <c r="G292" t="str">
        <f t="shared" si="38"/>
        <v>2026-S42</v>
      </c>
      <c r="H292">
        <f t="shared" si="39"/>
        <v>7</v>
      </c>
      <c r="I292" s="2" t="str">
        <f t="shared" si="33"/>
        <v>DOM</v>
      </c>
    </row>
    <row r="293" spans="1:9" x14ac:dyDescent="0.35">
      <c r="A293" s="9">
        <v>46314</v>
      </c>
      <c r="B293">
        <f t="shared" si="34"/>
        <v>2026</v>
      </c>
      <c r="C293">
        <f t="shared" si="35"/>
        <v>10</v>
      </c>
      <c r="D293" t="str">
        <f t="shared" si="32"/>
        <v>OCT</v>
      </c>
      <c r="E293" t="str">
        <f t="shared" si="36"/>
        <v>2026-10</v>
      </c>
      <c r="F293">
        <f t="shared" si="37"/>
        <v>43</v>
      </c>
      <c r="G293" t="str">
        <f t="shared" si="38"/>
        <v>2026-S43</v>
      </c>
      <c r="H293">
        <f t="shared" si="39"/>
        <v>1</v>
      </c>
      <c r="I293" s="2" t="str">
        <f t="shared" si="33"/>
        <v>LUN</v>
      </c>
    </row>
    <row r="294" spans="1:9" x14ac:dyDescent="0.35">
      <c r="A294" s="9">
        <v>46315</v>
      </c>
      <c r="B294">
        <f t="shared" si="34"/>
        <v>2026</v>
      </c>
      <c r="C294">
        <f t="shared" si="35"/>
        <v>10</v>
      </c>
      <c r="D294" t="str">
        <f t="shared" si="32"/>
        <v>OCT</v>
      </c>
      <c r="E294" t="str">
        <f t="shared" si="36"/>
        <v>2026-10</v>
      </c>
      <c r="F294">
        <f t="shared" si="37"/>
        <v>43</v>
      </c>
      <c r="G294" t="str">
        <f t="shared" si="38"/>
        <v>2026-S43</v>
      </c>
      <c r="H294">
        <f t="shared" si="39"/>
        <v>2</v>
      </c>
      <c r="I294" s="2" t="str">
        <f t="shared" si="33"/>
        <v>MAR</v>
      </c>
    </row>
    <row r="295" spans="1:9" x14ac:dyDescent="0.35">
      <c r="A295" s="9">
        <v>46316</v>
      </c>
      <c r="B295">
        <f t="shared" si="34"/>
        <v>2026</v>
      </c>
      <c r="C295">
        <f t="shared" si="35"/>
        <v>10</v>
      </c>
      <c r="D295" t="str">
        <f t="shared" si="32"/>
        <v>OCT</v>
      </c>
      <c r="E295" t="str">
        <f t="shared" si="36"/>
        <v>2026-10</v>
      </c>
      <c r="F295">
        <f t="shared" si="37"/>
        <v>43</v>
      </c>
      <c r="G295" t="str">
        <f t="shared" si="38"/>
        <v>2026-S43</v>
      </c>
      <c r="H295">
        <f t="shared" si="39"/>
        <v>3</v>
      </c>
      <c r="I295" s="2" t="str">
        <f t="shared" si="33"/>
        <v>MIÉ</v>
      </c>
    </row>
    <row r="296" spans="1:9" x14ac:dyDescent="0.35">
      <c r="A296" s="9">
        <v>46317</v>
      </c>
      <c r="B296">
        <f t="shared" si="34"/>
        <v>2026</v>
      </c>
      <c r="C296">
        <f t="shared" si="35"/>
        <v>10</v>
      </c>
      <c r="D296" t="str">
        <f t="shared" si="32"/>
        <v>OCT</v>
      </c>
      <c r="E296" t="str">
        <f t="shared" si="36"/>
        <v>2026-10</v>
      </c>
      <c r="F296">
        <f t="shared" si="37"/>
        <v>43</v>
      </c>
      <c r="G296" t="str">
        <f t="shared" si="38"/>
        <v>2026-S43</v>
      </c>
      <c r="H296">
        <f t="shared" si="39"/>
        <v>4</v>
      </c>
      <c r="I296" s="2" t="str">
        <f t="shared" si="33"/>
        <v>JUE</v>
      </c>
    </row>
    <row r="297" spans="1:9" x14ac:dyDescent="0.35">
      <c r="A297" s="9">
        <v>46318</v>
      </c>
      <c r="B297">
        <f t="shared" si="34"/>
        <v>2026</v>
      </c>
      <c r="C297">
        <f t="shared" si="35"/>
        <v>10</v>
      </c>
      <c r="D297" t="str">
        <f t="shared" si="32"/>
        <v>OCT</v>
      </c>
      <c r="E297" t="str">
        <f t="shared" si="36"/>
        <v>2026-10</v>
      </c>
      <c r="F297">
        <f t="shared" si="37"/>
        <v>43</v>
      </c>
      <c r="G297" t="str">
        <f t="shared" si="38"/>
        <v>2026-S43</v>
      </c>
      <c r="H297">
        <f t="shared" si="39"/>
        <v>5</v>
      </c>
      <c r="I297" s="2" t="str">
        <f t="shared" si="33"/>
        <v>VIE</v>
      </c>
    </row>
    <row r="298" spans="1:9" x14ac:dyDescent="0.35">
      <c r="A298" s="9">
        <v>46319</v>
      </c>
      <c r="B298">
        <f t="shared" si="34"/>
        <v>2026</v>
      </c>
      <c r="C298">
        <f t="shared" si="35"/>
        <v>10</v>
      </c>
      <c r="D298" t="str">
        <f t="shared" si="32"/>
        <v>OCT</v>
      </c>
      <c r="E298" t="str">
        <f t="shared" si="36"/>
        <v>2026-10</v>
      </c>
      <c r="F298">
        <f t="shared" si="37"/>
        <v>43</v>
      </c>
      <c r="G298" t="str">
        <f t="shared" si="38"/>
        <v>2026-S43</v>
      </c>
      <c r="H298">
        <f t="shared" si="39"/>
        <v>6</v>
      </c>
      <c r="I298" s="2" t="str">
        <f t="shared" si="33"/>
        <v>SÁB</v>
      </c>
    </row>
    <row r="299" spans="1:9" x14ac:dyDescent="0.35">
      <c r="A299" s="9">
        <v>46320</v>
      </c>
      <c r="B299">
        <f t="shared" si="34"/>
        <v>2026</v>
      </c>
      <c r="C299">
        <f t="shared" si="35"/>
        <v>10</v>
      </c>
      <c r="D299" t="str">
        <f t="shared" si="32"/>
        <v>OCT</v>
      </c>
      <c r="E299" t="str">
        <f t="shared" si="36"/>
        <v>2026-10</v>
      </c>
      <c r="F299">
        <f t="shared" si="37"/>
        <v>43</v>
      </c>
      <c r="G299" t="str">
        <f t="shared" si="38"/>
        <v>2026-S43</v>
      </c>
      <c r="H299">
        <f t="shared" si="39"/>
        <v>7</v>
      </c>
      <c r="I299" s="2" t="str">
        <f t="shared" si="33"/>
        <v>DOM</v>
      </c>
    </row>
    <row r="300" spans="1:9" x14ac:dyDescent="0.35">
      <c r="A300" s="9">
        <v>46321</v>
      </c>
      <c r="B300">
        <f t="shared" si="34"/>
        <v>2026</v>
      </c>
      <c r="C300">
        <f t="shared" si="35"/>
        <v>10</v>
      </c>
      <c r="D300" t="str">
        <f t="shared" si="32"/>
        <v>OCT</v>
      </c>
      <c r="E300" t="str">
        <f t="shared" si="36"/>
        <v>2026-10</v>
      </c>
      <c r="F300">
        <f t="shared" si="37"/>
        <v>44</v>
      </c>
      <c r="G300" t="str">
        <f t="shared" si="38"/>
        <v>2026-S44</v>
      </c>
      <c r="H300">
        <f t="shared" si="39"/>
        <v>1</v>
      </c>
      <c r="I300" s="2" t="str">
        <f t="shared" si="33"/>
        <v>LUN</v>
      </c>
    </row>
    <row r="301" spans="1:9" x14ac:dyDescent="0.35">
      <c r="A301" s="9">
        <v>46322</v>
      </c>
      <c r="B301">
        <f t="shared" si="34"/>
        <v>2026</v>
      </c>
      <c r="C301">
        <f t="shared" si="35"/>
        <v>10</v>
      </c>
      <c r="D301" t="str">
        <f t="shared" si="32"/>
        <v>OCT</v>
      </c>
      <c r="E301" t="str">
        <f t="shared" si="36"/>
        <v>2026-10</v>
      </c>
      <c r="F301">
        <f t="shared" si="37"/>
        <v>44</v>
      </c>
      <c r="G301" t="str">
        <f t="shared" si="38"/>
        <v>2026-S44</v>
      </c>
      <c r="H301">
        <f t="shared" si="39"/>
        <v>2</v>
      </c>
      <c r="I301" s="2" t="str">
        <f t="shared" si="33"/>
        <v>MAR</v>
      </c>
    </row>
    <row r="302" spans="1:9" x14ac:dyDescent="0.35">
      <c r="A302" s="9">
        <v>46323</v>
      </c>
      <c r="B302">
        <f t="shared" si="34"/>
        <v>2026</v>
      </c>
      <c r="C302">
        <f t="shared" si="35"/>
        <v>10</v>
      </c>
      <c r="D302" t="str">
        <f t="shared" si="32"/>
        <v>OCT</v>
      </c>
      <c r="E302" t="str">
        <f t="shared" si="36"/>
        <v>2026-10</v>
      </c>
      <c r="F302">
        <f t="shared" si="37"/>
        <v>44</v>
      </c>
      <c r="G302" t="str">
        <f t="shared" si="38"/>
        <v>2026-S44</v>
      </c>
      <c r="H302">
        <f t="shared" si="39"/>
        <v>3</v>
      </c>
      <c r="I302" s="2" t="str">
        <f t="shared" si="33"/>
        <v>MIÉ</v>
      </c>
    </row>
    <row r="303" spans="1:9" x14ac:dyDescent="0.35">
      <c r="A303" s="9">
        <v>46324</v>
      </c>
      <c r="B303">
        <f t="shared" si="34"/>
        <v>2026</v>
      </c>
      <c r="C303">
        <f t="shared" si="35"/>
        <v>10</v>
      </c>
      <c r="D303" t="str">
        <f t="shared" si="32"/>
        <v>OCT</v>
      </c>
      <c r="E303" t="str">
        <f t="shared" si="36"/>
        <v>2026-10</v>
      </c>
      <c r="F303">
        <f t="shared" si="37"/>
        <v>44</v>
      </c>
      <c r="G303" t="str">
        <f t="shared" si="38"/>
        <v>2026-S44</v>
      </c>
      <c r="H303">
        <f t="shared" si="39"/>
        <v>4</v>
      </c>
      <c r="I303" s="2" t="str">
        <f t="shared" si="33"/>
        <v>JUE</v>
      </c>
    </row>
    <row r="304" spans="1:9" x14ac:dyDescent="0.35">
      <c r="A304" s="9">
        <v>46325</v>
      </c>
      <c r="B304">
        <f t="shared" si="34"/>
        <v>2026</v>
      </c>
      <c r="C304">
        <f t="shared" si="35"/>
        <v>10</v>
      </c>
      <c r="D304" t="str">
        <f t="shared" si="32"/>
        <v>OCT</v>
      </c>
      <c r="E304" t="str">
        <f t="shared" si="36"/>
        <v>2026-10</v>
      </c>
      <c r="F304">
        <f t="shared" si="37"/>
        <v>44</v>
      </c>
      <c r="G304" t="str">
        <f t="shared" si="38"/>
        <v>2026-S44</v>
      </c>
      <c r="H304">
        <f t="shared" si="39"/>
        <v>5</v>
      </c>
      <c r="I304" s="2" t="str">
        <f t="shared" si="33"/>
        <v>VIE</v>
      </c>
    </row>
    <row r="305" spans="1:9" x14ac:dyDescent="0.35">
      <c r="A305" s="9">
        <v>46326</v>
      </c>
      <c r="B305">
        <f t="shared" si="34"/>
        <v>2026</v>
      </c>
      <c r="C305">
        <f t="shared" si="35"/>
        <v>10</v>
      </c>
      <c r="D305" t="str">
        <f t="shared" si="32"/>
        <v>OCT</v>
      </c>
      <c r="E305" t="str">
        <f t="shared" si="36"/>
        <v>2026-10</v>
      </c>
      <c r="F305">
        <f t="shared" si="37"/>
        <v>44</v>
      </c>
      <c r="G305" t="str">
        <f t="shared" si="38"/>
        <v>2026-S44</v>
      </c>
      <c r="H305">
        <f t="shared" si="39"/>
        <v>6</v>
      </c>
      <c r="I305" s="2" t="str">
        <f t="shared" si="33"/>
        <v>SÁB</v>
      </c>
    </row>
    <row r="306" spans="1:9" x14ac:dyDescent="0.35">
      <c r="A306" s="9">
        <v>46327</v>
      </c>
      <c r="B306">
        <f t="shared" si="34"/>
        <v>2026</v>
      </c>
      <c r="C306">
        <f t="shared" si="35"/>
        <v>11</v>
      </c>
      <c r="D306" t="str">
        <f t="shared" si="32"/>
        <v>NOV</v>
      </c>
      <c r="E306" t="str">
        <f t="shared" si="36"/>
        <v>2026-11</v>
      </c>
      <c r="F306">
        <f t="shared" si="37"/>
        <v>44</v>
      </c>
      <c r="G306" t="str">
        <f t="shared" si="38"/>
        <v>2026-S44</v>
      </c>
      <c r="H306">
        <f t="shared" si="39"/>
        <v>7</v>
      </c>
      <c r="I306" s="2" t="str">
        <f t="shared" si="33"/>
        <v>DOM</v>
      </c>
    </row>
    <row r="307" spans="1:9" x14ac:dyDescent="0.35">
      <c r="A307" s="9">
        <v>46328</v>
      </c>
      <c r="B307">
        <f t="shared" si="34"/>
        <v>2026</v>
      </c>
      <c r="C307">
        <f t="shared" si="35"/>
        <v>11</v>
      </c>
      <c r="D307" t="str">
        <f t="shared" si="32"/>
        <v>NOV</v>
      </c>
      <c r="E307" t="str">
        <f t="shared" si="36"/>
        <v>2026-11</v>
      </c>
      <c r="F307">
        <f t="shared" si="37"/>
        <v>45</v>
      </c>
      <c r="G307" t="str">
        <f t="shared" si="38"/>
        <v>2026-S45</v>
      </c>
      <c r="H307">
        <f t="shared" si="39"/>
        <v>1</v>
      </c>
      <c r="I307" s="2" t="str">
        <f t="shared" si="33"/>
        <v>LUN</v>
      </c>
    </row>
    <row r="308" spans="1:9" x14ac:dyDescent="0.35">
      <c r="A308" s="9">
        <v>46329</v>
      </c>
      <c r="B308">
        <f t="shared" si="34"/>
        <v>2026</v>
      </c>
      <c r="C308">
        <f t="shared" si="35"/>
        <v>11</v>
      </c>
      <c r="D308" t="str">
        <f t="shared" si="32"/>
        <v>NOV</v>
      </c>
      <c r="E308" t="str">
        <f t="shared" si="36"/>
        <v>2026-11</v>
      </c>
      <c r="F308">
        <f t="shared" si="37"/>
        <v>45</v>
      </c>
      <c r="G308" t="str">
        <f t="shared" si="38"/>
        <v>2026-S45</v>
      </c>
      <c r="H308">
        <f t="shared" si="39"/>
        <v>2</v>
      </c>
      <c r="I308" s="2" t="str">
        <f t="shared" si="33"/>
        <v>MAR</v>
      </c>
    </row>
    <row r="309" spans="1:9" x14ac:dyDescent="0.35">
      <c r="A309" s="9">
        <v>46330</v>
      </c>
      <c r="B309">
        <f t="shared" si="34"/>
        <v>2026</v>
      </c>
      <c r="C309">
        <f t="shared" si="35"/>
        <v>11</v>
      </c>
      <c r="D309" t="str">
        <f t="shared" si="32"/>
        <v>NOV</v>
      </c>
      <c r="E309" t="str">
        <f t="shared" si="36"/>
        <v>2026-11</v>
      </c>
      <c r="F309">
        <f t="shared" si="37"/>
        <v>45</v>
      </c>
      <c r="G309" t="str">
        <f t="shared" si="38"/>
        <v>2026-S45</v>
      </c>
      <c r="H309">
        <f t="shared" si="39"/>
        <v>3</v>
      </c>
      <c r="I309" s="2" t="str">
        <f t="shared" si="33"/>
        <v>MIÉ</v>
      </c>
    </row>
    <row r="310" spans="1:9" x14ac:dyDescent="0.35">
      <c r="A310" s="9">
        <v>46331</v>
      </c>
      <c r="B310">
        <f t="shared" si="34"/>
        <v>2026</v>
      </c>
      <c r="C310">
        <f t="shared" si="35"/>
        <v>11</v>
      </c>
      <c r="D310" t="str">
        <f t="shared" si="32"/>
        <v>NOV</v>
      </c>
      <c r="E310" t="str">
        <f t="shared" si="36"/>
        <v>2026-11</v>
      </c>
      <c r="F310">
        <f t="shared" si="37"/>
        <v>45</v>
      </c>
      <c r="G310" t="str">
        <f t="shared" si="38"/>
        <v>2026-S45</v>
      </c>
      <c r="H310">
        <f t="shared" si="39"/>
        <v>4</v>
      </c>
      <c r="I310" s="2" t="str">
        <f t="shared" si="33"/>
        <v>JUE</v>
      </c>
    </row>
    <row r="311" spans="1:9" x14ac:dyDescent="0.35">
      <c r="A311" s="9">
        <v>46332</v>
      </c>
      <c r="B311">
        <f t="shared" si="34"/>
        <v>2026</v>
      </c>
      <c r="C311">
        <f t="shared" si="35"/>
        <v>11</v>
      </c>
      <c r="D311" t="str">
        <f t="shared" si="32"/>
        <v>NOV</v>
      </c>
      <c r="E311" t="str">
        <f t="shared" si="36"/>
        <v>2026-11</v>
      </c>
      <c r="F311">
        <f t="shared" si="37"/>
        <v>45</v>
      </c>
      <c r="G311" t="str">
        <f t="shared" si="38"/>
        <v>2026-S45</v>
      </c>
      <c r="H311">
        <f t="shared" si="39"/>
        <v>5</v>
      </c>
      <c r="I311" s="2" t="str">
        <f t="shared" si="33"/>
        <v>VIE</v>
      </c>
    </row>
    <row r="312" spans="1:9" x14ac:dyDescent="0.35">
      <c r="A312" s="9">
        <v>46333</v>
      </c>
      <c r="B312">
        <f t="shared" si="34"/>
        <v>2026</v>
      </c>
      <c r="C312">
        <f t="shared" si="35"/>
        <v>11</v>
      </c>
      <c r="D312" t="str">
        <f t="shared" si="32"/>
        <v>NOV</v>
      </c>
      <c r="E312" t="str">
        <f t="shared" si="36"/>
        <v>2026-11</v>
      </c>
      <c r="F312">
        <f t="shared" si="37"/>
        <v>45</v>
      </c>
      <c r="G312" t="str">
        <f t="shared" si="38"/>
        <v>2026-S45</v>
      </c>
      <c r="H312">
        <f t="shared" si="39"/>
        <v>6</v>
      </c>
      <c r="I312" s="2" t="str">
        <f t="shared" si="33"/>
        <v>SÁB</v>
      </c>
    </row>
    <row r="313" spans="1:9" x14ac:dyDescent="0.35">
      <c r="A313" s="9">
        <v>46334</v>
      </c>
      <c r="B313">
        <f t="shared" si="34"/>
        <v>2026</v>
      </c>
      <c r="C313">
        <f t="shared" si="35"/>
        <v>11</v>
      </c>
      <c r="D313" t="str">
        <f t="shared" si="32"/>
        <v>NOV</v>
      </c>
      <c r="E313" t="str">
        <f t="shared" si="36"/>
        <v>2026-11</v>
      </c>
      <c r="F313">
        <f t="shared" si="37"/>
        <v>45</v>
      </c>
      <c r="G313" t="str">
        <f t="shared" si="38"/>
        <v>2026-S45</v>
      </c>
      <c r="H313">
        <f t="shared" si="39"/>
        <v>7</v>
      </c>
      <c r="I313" s="2" t="str">
        <f t="shared" si="33"/>
        <v>DOM</v>
      </c>
    </row>
    <row r="314" spans="1:9" x14ac:dyDescent="0.35">
      <c r="A314" s="9">
        <v>46335</v>
      </c>
      <c r="B314">
        <f t="shared" si="34"/>
        <v>2026</v>
      </c>
      <c r="C314">
        <f t="shared" si="35"/>
        <v>11</v>
      </c>
      <c r="D314" t="str">
        <f t="shared" si="32"/>
        <v>NOV</v>
      </c>
      <c r="E314" t="str">
        <f t="shared" si="36"/>
        <v>2026-11</v>
      </c>
      <c r="F314">
        <f t="shared" si="37"/>
        <v>46</v>
      </c>
      <c r="G314" t="str">
        <f t="shared" si="38"/>
        <v>2026-S46</v>
      </c>
      <c r="H314">
        <f t="shared" si="39"/>
        <v>1</v>
      </c>
      <c r="I314" s="2" t="str">
        <f t="shared" si="33"/>
        <v>LUN</v>
      </c>
    </row>
    <row r="315" spans="1:9" x14ac:dyDescent="0.35">
      <c r="A315" s="9">
        <v>46336</v>
      </c>
      <c r="B315">
        <f t="shared" si="34"/>
        <v>2026</v>
      </c>
      <c r="C315">
        <f t="shared" si="35"/>
        <v>11</v>
      </c>
      <c r="D315" t="str">
        <f t="shared" si="32"/>
        <v>NOV</v>
      </c>
      <c r="E315" t="str">
        <f t="shared" si="36"/>
        <v>2026-11</v>
      </c>
      <c r="F315">
        <f t="shared" si="37"/>
        <v>46</v>
      </c>
      <c r="G315" t="str">
        <f t="shared" si="38"/>
        <v>2026-S46</v>
      </c>
      <c r="H315">
        <f t="shared" si="39"/>
        <v>2</v>
      </c>
      <c r="I315" s="2" t="str">
        <f t="shared" si="33"/>
        <v>MAR</v>
      </c>
    </row>
    <row r="316" spans="1:9" x14ac:dyDescent="0.35">
      <c r="A316" s="9">
        <v>46337</v>
      </c>
      <c r="B316">
        <f t="shared" si="34"/>
        <v>2026</v>
      </c>
      <c r="C316">
        <f t="shared" si="35"/>
        <v>11</v>
      </c>
      <c r="D316" t="str">
        <f t="shared" si="32"/>
        <v>NOV</v>
      </c>
      <c r="E316" t="str">
        <f t="shared" si="36"/>
        <v>2026-11</v>
      </c>
      <c r="F316">
        <f t="shared" si="37"/>
        <v>46</v>
      </c>
      <c r="G316" t="str">
        <f t="shared" si="38"/>
        <v>2026-S46</v>
      </c>
      <c r="H316">
        <f t="shared" si="39"/>
        <v>3</v>
      </c>
      <c r="I316" s="2" t="str">
        <f t="shared" si="33"/>
        <v>MIÉ</v>
      </c>
    </row>
    <row r="317" spans="1:9" x14ac:dyDescent="0.35">
      <c r="A317" s="9">
        <v>46338</v>
      </c>
      <c r="B317">
        <f t="shared" si="34"/>
        <v>2026</v>
      </c>
      <c r="C317">
        <f t="shared" si="35"/>
        <v>11</v>
      </c>
      <c r="D317" t="str">
        <f t="shared" si="32"/>
        <v>NOV</v>
      </c>
      <c r="E317" t="str">
        <f t="shared" si="36"/>
        <v>2026-11</v>
      </c>
      <c r="F317">
        <f t="shared" si="37"/>
        <v>46</v>
      </c>
      <c r="G317" t="str">
        <f t="shared" si="38"/>
        <v>2026-S46</v>
      </c>
      <c r="H317">
        <f t="shared" si="39"/>
        <v>4</v>
      </c>
      <c r="I317" s="2" t="str">
        <f t="shared" si="33"/>
        <v>JUE</v>
      </c>
    </row>
    <row r="318" spans="1:9" x14ac:dyDescent="0.35">
      <c r="A318" s="9">
        <v>46339</v>
      </c>
      <c r="B318">
        <f t="shared" si="34"/>
        <v>2026</v>
      </c>
      <c r="C318">
        <f t="shared" si="35"/>
        <v>11</v>
      </c>
      <c r="D318" t="str">
        <f t="shared" si="32"/>
        <v>NOV</v>
      </c>
      <c r="E318" t="str">
        <f t="shared" si="36"/>
        <v>2026-11</v>
      </c>
      <c r="F318">
        <f t="shared" si="37"/>
        <v>46</v>
      </c>
      <c r="G318" t="str">
        <f t="shared" si="38"/>
        <v>2026-S46</v>
      </c>
      <c r="H318">
        <f t="shared" si="39"/>
        <v>5</v>
      </c>
      <c r="I318" s="2" t="str">
        <f t="shared" si="33"/>
        <v>VIE</v>
      </c>
    </row>
    <row r="319" spans="1:9" x14ac:dyDescent="0.35">
      <c r="A319" s="9">
        <v>46340</v>
      </c>
      <c r="B319">
        <f t="shared" si="34"/>
        <v>2026</v>
      </c>
      <c r="C319">
        <f t="shared" si="35"/>
        <v>11</v>
      </c>
      <c r="D319" t="str">
        <f t="shared" si="32"/>
        <v>NOV</v>
      </c>
      <c r="E319" t="str">
        <f t="shared" si="36"/>
        <v>2026-11</v>
      </c>
      <c r="F319">
        <f t="shared" si="37"/>
        <v>46</v>
      </c>
      <c r="G319" t="str">
        <f t="shared" si="38"/>
        <v>2026-S46</v>
      </c>
      <c r="H319">
        <f t="shared" si="39"/>
        <v>6</v>
      </c>
      <c r="I319" s="2" t="str">
        <f t="shared" si="33"/>
        <v>SÁB</v>
      </c>
    </row>
    <row r="320" spans="1:9" x14ac:dyDescent="0.35">
      <c r="A320" s="9">
        <v>46341</v>
      </c>
      <c r="B320">
        <f t="shared" si="34"/>
        <v>2026</v>
      </c>
      <c r="C320">
        <f t="shared" si="35"/>
        <v>11</v>
      </c>
      <c r="D320" t="str">
        <f t="shared" si="32"/>
        <v>NOV</v>
      </c>
      <c r="E320" t="str">
        <f t="shared" si="36"/>
        <v>2026-11</v>
      </c>
      <c r="F320">
        <f t="shared" si="37"/>
        <v>46</v>
      </c>
      <c r="G320" t="str">
        <f t="shared" si="38"/>
        <v>2026-S46</v>
      </c>
      <c r="H320">
        <f t="shared" si="39"/>
        <v>7</v>
      </c>
      <c r="I320" s="2" t="str">
        <f t="shared" si="33"/>
        <v>DOM</v>
      </c>
    </row>
    <row r="321" spans="1:9" x14ac:dyDescent="0.35">
      <c r="A321" s="9">
        <v>46342</v>
      </c>
      <c r="B321">
        <f t="shared" si="34"/>
        <v>2026</v>
      </c>
      <c r="C321">
        <f t="shared" si="35"/>
        <v>11</v>
      </c>
      <c r="D321" t="str">
        <f t="shared" si="32"/>
        <v>NOV</v>
      </c>
      <c r="E321" t="str">
        <f t="shared" si="36"/>
        <v>2026-11</v>
      </c>
      <c r="F321">
        <f t="shared" si="37"/>
        <v>47</v>
      </c>
      <c r="G321" t="str">
        <f t="shared" si="38"/>
        <v>2026-S47</v>
      </c>
      <c r="H321">
        <f t="shared" si="39"/>
        <v>1</v>
      </c>
      <c r="I321" s="2" t="str">
        <f t="shared" si="33"/>
        <v>LUN</v>
      </c>
    </row>
    <row r="322" spans="1:9" x14ac:dyDescent="0.35">
      <c r="A322" s="9">
        <v>46343</v>
      </c>
      <c r="B322">
        <f t="shared" si="34"/>
        <v>2026</v>
      </c>
      <c r="C322">
        <f t="shared" si="35"/>
        <v>11</v>
      </c>
      <c r="D322" t="str">
        <f t="shared" ref="D322:D366" si="40">+UPPER(TEXT(A322,"mmm"))</f>
        <v>NOV</v>
      </c>
      <c r="E322" t="str">
        <f t="shared" si="36"/>
        <v>2026-11</v>
      </c>
      <c r="F322">
        <f t="shared" si="37"/>
        <v>47</v>
      </c>
      <c r="G322" t="str">
        <f t="shared" si="38"/>
        <v>2026-S47</v>
      </c>
      <c r="H322">
        <f t="shared" si="39"/>
        <v>2</v>
      </c>
      <c r="I322" s="2" t="str">
        <f t="shared" ref="I322:I366" si="41">UPPER(TEXT(A322,"ddd"))</f>
        <v>MAR</v>
      </c>
    </row>
    <row r="323" spans="1:9" x14ac:dyDescent="0.35">
      <c r="A323" s="9">
        <v>46344</v>
      </c>
      <c r="B323">
        <f t="shared" ref="B323:B366" si="42">+YEAR(A323)</f>
        <v>2026</v>
      </c>
      <c r="C323">
        <f t="shared" ref="C323:C366" si="43">+MONTH(A323)</f>
        <v>11</v>
      </c>
      <c r="D323" t="str">
        <f t="shared" si="40"/>
        <v>NOV</v>
      </c>
      <c r="E323" t="str">
        <f t="shared" ref="E323:E366" si="44">+TEXT(A323,"yyyy-mm")</f>
        <v>2026-11</v>
      </c>
      <c r="F323">
        <f t="shared" ref="F323:F366" si="45">+_xlfn.ISOWEEKNUM(A323)</f>
        <v>47</v>
      </c>
      <c r="G323" t="str">
        <f t="shared" ref="G323:G366" si="46">TEXT(A323,"yyyy")&amp;"-S"&amp;TEXT(F323,"00")</f>
        <v>2026-S47</v>
      </c>
      <c r="H323">
        <f t="shared" ref="H323:H366" si="47">+WEEKDAY(A323,2)</f>
        <v>3</v>
      </c>
      <c r="I323" s="2" t="str">
        <f t="shared" si="41"/>
        <v>MIÉ</v>
      </c>
    </row>
    <row r="324" spans="1:9" x14ac:dyDescent="0.35">
      <c r="A324" s="9">
        <v>46345</v>
      </c>
      <c r="B324">
        <f t="shared" si="42"/>
        <v>2026</v>
      </c>
      <c r="C324">
        <f t="shared" si="43"/>
        <v>11</v>
      </c>
      <c r="D324" t="str">
        <f t="shared" si="40"/>
        <v>NOV</v>
      </c>
      <c r="E324" t="str">
        <f t="shared" si="44"/>
        <v>2026-11</v>
      </c>
      <c r="F324">
        <f t="shared" si="45"/>
        <v>47</v>
      </c>
      <c r="G324" t="str">
        <f t="shared" si="46"/>
        <v>2026-S47</v>
      </c>
      <c r="H324">
        <f t="shared" si="47"/>
        <v>4</v>
      </c>
      <c r="I324" s="2" t="str">
        <f t="shared" si="41"/>
        <v>JUE</v>
      </c>
    </row>
    <row r="325" spans="1:9" x14ac:dyDescent="0.35">
      <c r="A325" s="9">
        <v>46346</v>
      </c>
      <c r="B325">
        <f t="shared" si="42"/>
        <v>2026</v>
      </c>
      <c r="C325">
        <f t="shared" si="43"/>
        <v>11</v>
      </c>
      <c r="D325" t="str">
        <f t="shared" si="40"/>
        <v>NOV</v>
      </c>
      <c r="E325" t="str">
        <f t="shared" si="44"/>
        <v>2026-11</v>
      </c>
      <c r="F325">
        <f t="shared" si="45"/>
        <v>47</v>
      </c>
      <c r="G325" t="str">
        <f t="shared" si="46"/>
        <v>2026-S47</v>
      </c>
      <c r="H325">
        <f t="shared" si="47"/>
        <v>5</v>
      </c>
      <c r="I325" s="2" t="str">
        <f t="shared" si="41"/>
        <v>VIE</v>
      </c>
    </row>
    <row r="326" spans="1:9" x14ac:dyDescent="0.35">
      <c r="A326" s="9">
        <v>46347</v>
      </c>
      <c r="B326">
        <f t="shared" si="42"/>
        <v>2026</v>
      </c>
      <c r="C326">
        <f t="shared" si="43"/>
        <v>11</v>
      </c>
      <c r="D326" t="str">
        <f t="shared" si="40"/>
        <v>NOV</v>
      </c>
      <c r="E326" t="str">
        <f t="shared" si="44"/>
        <v>2026-11</v>
      </c>
      <c r="F326">
        <f t="shared" si="45"/>
        <v>47</v>
      </c>
      <c r="G326" t="str">
        <f t="shared" si="46"/>
        <v>2026-S47</v>
      </c>
      <c r="H326">
        <f t="shared" si="47"/>
        <v>6</v>
      </c>
      <c r="I326" s="2" t="str">
        <f t="shared" si="41"/>
        <v>SÁB</v>
      </c>
    </row>
    <row r="327" spans="1:9" x14ac:dyDescent="0.35">
      <c r="A327" s="9">
        <v>46348</v>
      </c>
      <c r="B327">
        <f t="shared" si="42"/>
        <v>2026</v>
      </c>
      <c r="C327">
        <f t="shared" si="43"/>
        <v>11</v>
      </c>
      <c r="D327" t="str">
        <f t="shared" si="40"/>
        <v>NOV</v>
      </c>
      <c r="E327" t="str">
        <f t="shared" si="44"/>
        <v>2026-11</v>
      </c>
      <c r="F327">
        <f t="shared" si="45"/>
        <v>47</v>
      </c>
      <c r="G327" t="str">
        <f t="shared" si="46"/>
        <v>2026-S47</v>
      </c>
      <c r="H327">
        <f t="shared" si="47"/>
        <v>7</v>
      </c>
      <c r="I327" s="2" t="str">
        <f t="shared" si="41"/>
        <v>DOM</v>
      </c>
    </row>
    <row r="328" spans="1:9" x14ac:dyDescent="0.35">
      <c r="A328" s="9">
        <v>46349</v>
      </c>
      <c r="B328">
        <f t="shared" si="42"/>
        <v>2026</v>
      </c>
      <c r="C328">
        <f t="shared" si="43"/>
        <v>11</v>
      </c>
      <c r="D328" t="str">
        <f t="shared" si="40"/>
        <v>NOV</v>
      </c>
      <c r="E328" t="str">
        <f t="shared" si="44"/>
        <v>2026-11</v>
      </c>
      <c r="F328">
        <f t="shared" si="45"/>
        <v>48</v>
      </c>
      <c r="G328" t="str">
        <f t="shared" si="46"/>
        <v>2026-S48</v>
      </c>
      <c r="H328">
        <f t="shared" si="47"/>
        <v>1</v>
      </c>
      <c r="I328" s="2" t="str">
        <f t="shared" si="41"/>
        <v>LUN</v>
      </c>
    </row>
    <row r="329" spans="1:9" x14ac:dyDescent="0.35">
      <c r="A329" s="9">
        <v>46350</v>
      </c>
      <c r="B329">
        <f t="shared" si="42"/>
        <v>2026</v>
      </c>
      <c r="C329">
        <f t="shared" si="43"/>
        <v>11</v>
      </c>
      <c r="D329" t="str">
        <f t="shared" si="40"/>
        <v>NOV</v>
      </c>
      <c r="E329" t="str">
        <f t="shared" si="44"/>
        <v>2026-11</v>
      </c>
      <c r="F329">
        <f t="shared" si="45"/>
        <v>48</v>
      </c>
      <c r="G329" t="str">
        <f t="shared" si="46"/>
        <v>2026-S48</v>
      </c>
      <c r="H329">
        <f t="shared" si="47"/>
        <v>2</v>
      </c>
      <c r="I329" s="2" t="str">
        <f t="shared" si="41"/>
        <v>MAR</v>
      </c>
    </row>
    <row r="330" spans="1:9" x14ac:dyDescent="0.35">
      <c r="A330" s="9">
        <v>46351</v>
      </c>
      <c r="B330">
        <f t="shared" si="42"/>
        <v>2026</v>
      </c>
      <c r="C330">
        <f t="shared" si="43"/>
        <v>11</v>
      </c>
      <c r="D330" t="str">
        <f t="shared" si="40"/>
        <v>NOV</v>
      </c>
      <c r="E330" t="str">
        <f t="shared" si="44"/>
        <v>2026-11</v>
      </c>
      <c r="F330">
        <f t="shared" si="45"/>
        <v>48</v>
      </c>
      <c r="G330" t="str">
        <f t="shared" si="46"/>
        <v>2026-S48</v>
      </c>
      <c r="H330">
        <f t="shared" si="47"/>
        <v>3</v>
      </c>
      <c r="I330" s="2" t="str">
        <f t="shared" si="41"/>
        <v>MIÉ</v>
      </c>
    </row>
    <row r="331" spans="1:9" x14ac:dyDescent="0.35">
      <c r="A331" s="9">
        <v>46352</v>
      </c>
      <c r="B331">
        <f t="shared" si="42"/>
        <v>2026</v>
      </c>
      <c r="C331">
        <f t="shared" si="43"/>
        <v>11</v>
      </c>
      <c r="D331" t="str">
        <f t="shared" si="40"/>
        <v>NOV</v>
      </c>
      <c r="E331" t="str">
        <f t="shared" si="44"/>
        <v>2026-11</v>
      </c>
      <c r="F331">
        <f t="shared" si="45"/>
        <v>48</v>
      </c>
      <c r="G331" t="str">
        <f t="shared" si="46"/>
        <v>2026-S48</v>
      </c>
      <c r="H331">
        <f t="shared" si="47"/>
        <v>4</v>
      </c>
      <c r="I331" s="2" t="str">
        <f t="shared" si="41"/>
        <v>JUE</v>
      </c>
    </row>
    <row r="332" spans="1:9" x14ac:dyDescent="0.35">
      <c r="A332" s="9">
        <v>46353</v>
      </c>
      <c r="B332">
        <f t="shared" si="42"/>
        <v>2026</v>
      </c>
      <c r="C332">
        <f t="shared" si="43"/>
        <v>11</v>
      </c>
      <c r="D332" t="str">
        <f t="shared" si="40"/>
        <v>NOV</v>
      </c>
      <c r="E332" t="str">
        <f t="shared" si="44"/>
        <v>2026-11</v>
      </c>
      <c r="F332">
        <f t="shared" si="45"/>
        <v>48</v>
      </c>
      <c r="G332" t="str">
        <f t="shared" si="46"/>
        <v>2026-S48</v>
      </c>
      <c r="H332">
        <f t="shared" si="47"/>
        <v>5</v>
      </c>
      <c r="I332" s="2" t="str">
        <f t="shared" si="41"/>
        <v>VIE</v>
      </c>
    </row>
    <row r="333" spans="1:9" x14ac:dyDescent="0.35">
      <c r="A333" s="9">
        <v>46354</v>
      </c>
      <c r="B333">
        <f t="shared" si="42"/>
        <v>2026</v>
      </c>
      <c r="C333">
        <f t="shared" si="43"/>
        <v>11</v>
      </c>
      <c r="D333" t="str">
        <f t="shared" si="40"/>
        <v>NOV</v>
      </c>
      <c r="E333" t="str">
        <f t="shared" si="44"/>
        <v>2026-11</v>
      </c>
      <c r="F333">
        <f t="shared" si="45"/>
        <v>48</v>
      </c>
      <c r="G333" t="str">
        <f t="shared" si="46"/>
        <v>2026-S48</v>
      </c>
      <c r="H333">
        <f t="shared" si="47"/>
        <v>6</v>
      </c>
      <c r="I333" s="2" t="str">
        <f t="shared" si="41"/>
        <v>SÁB</v>
      </c>
    </row>
    <row r="334" spans="1:9" x14ac:dyDescent="0.35">
      <c r="A334" s="9">
        <v>46355</v>
      </c>
      <c r="B334">
        <f t="shared" si="42"/>
        <v>2026</v>
      </c>
      <c r="C334">
        <f t="shared" si="43"/>
        <v>11</v>
      </c>
      <c r="D334" t="str">
        <f t="shared" si="40"/>
        <v>NOV</v>
      </c>
      <c r="E334" t="str">
        <f t="shared" si="44"/>
        <v>2026-11</v>
      </c>
      <c r="F334">
        <f t="shared" si="45"/>
        <v>48</v>
      </c>
      <c r="G334" t="str">
        <f t="shared" si="46"/>
        <v>2026-S48</v>
      </c>
      <c r="H334">
        <f t="shared" si="47"/>
        <v>7</v>
      </c>
      <c r="I334" s="2" t="str">
        <f t="shared" si="41"/>
        <v>DOM</v>
      </c>
    </row>
    <row r="335" spans="1:9" x14ac:dyDescent="0.35">
      <c r="A335" s="9">
        <v>46356</v>
      </c>
      <c r="B335">
        <f t="shared" si="42"/>
        <v>2026</v>
      </c>
      <c r="C335">
        <f t="shared" si="43"/>
        <v>11</v>
      </c>
      <c r="D335" t="str">
        <f t="shared" si="40"/>
        <v>NOV</v>
      </c>
      <c r="E335" t="str">
        <f t="shared" si="44"/>
        <v>2026-11</v>
      </c>
      <c r="F335">
        <f t="shared" si="45"/>
        <v>49</v>
      </c>
      <c r="G335" t="str">
        <f t="shared" si="46"/>
        <v>2026-S49</v>
      </c>
      <c r="H335">
        <f t="shared" si="47"/>
        <v>1</v>
      </c>
      <c r="I335" s="2" t="str">
        <f t="shared" si="41"/>
        <v>LUN</v>
      </c>
    </row>
    <row r="336" spans="1:9" x14ac:dyDescent="0.35">
      <c r="A336" s="9">
        <v>46357</v>
      </c>
      <c r="B336">
        <f t="shared" si="42"/>
        <v>2026</v>
      </c>
      <c r="C336">
        <f t="shared" si="43"/>
        <v>12</v>
      </c>
      <c r="D336" t="str">
        <f t="shared" si="40"/>
        <v>DIC</v>
      </c>
      <c r="E336" t="str">
        <f t="shared" si="44"/>
        <v>2026-12</v>
      </c>
      <c r="F336">
        <f t="shared" si="45"/>
        <v>49</v>
      </c>
      <c r="G336" t="str">
        <f t="shared" si="46"/>
        <v>2026-S49</v>
      </c>
      <c r="H336">
        <f t="shared" si="47"/>
        <v>2</v>
      </c>
      <c r="I336" s="2" t="str">
        <f t="shared" si="41"/>
        <v>MAR</v>
      </c>
    </row>
    <row r="337" spans="1:9" x14ac:dyDescent="0.35">
      <c r="A337" s="9">
        <v>46358</v>
      </c>
      <c r="B337">
        <f t="shared" si="42"/>
        <v>2026</v>
      </c>
      <c r="C337">
        <f t="shared" si="43"/>
        <v>12</v>
      </c>
      <c r="D337" t="str">
        <f t="shared" si="40"/>
        <v>DIC</v>
      </c>
      <c r="E337" t="str">
        <f t="shared" si="44"/>
        <v>2026-12</v>
      </c>
      <c r="F337">
        <f t="shared" si="45"/>
        <v>49</v>
      </c>
      <c r="G337" t="str">
        <f t="shared" si="46"/>
        <v>2026-S49</v>
      </c>
      <c r="H337">
        <f t="shared" si="47"/>
        <v>3</v>
      </c>
      <c r="I337" s="2" t="str">
        <f t="shared" si="41"/>
        <v>MIÉ</v>
      </c>
    </row>
    <row r="338" spans="1:9" x14ac:dyDescent="0.35">
      <c r="A338" s="9">
        <v>46359</v>
      </c>
      <c r="B338">
        <f t="shared" si="42"/>
        <v>2026</v>
      </c>
      <c r="C338">
        <f t="shared" si="43"/>
        <v>12</v>
      </c>
      <c r="D338" t="str">
        <f t="shared" si="40"/>
        <v>DIC</v>
      </c>
      <c r="E338" t="str">
        <f t="shared" si="44"/>
        <v>2026-12</v>
      </c>
      <c r="F338">
        <f t="shared" si="45"/>
        <v>49</v>
      </c>
      <c r="G338" t="str">
        <f t="shared" si="46"/>
        <v>2026-S49</v>
      </c>
      <c r="H338">
        <f t="shared" si="47"/>
        <v>4</v>
      </c>
      <c r="I338" s="2" t="str">
        <f t="shared" si="41"/>
        <v>JUE</v>
      </c>
    </row>
    <row r="339" spans="1:9" x14ac:dyDescent="0.35">
      <c r="A339" s="9">
        <v>46360</v>
      </c>
      <c r="B339">
        <f t="shared" si="42"/>
        <v>2026</v>
      </c>
      <c r="C339">
        <f t="shared" si="43"/>
        <v>12</v>
      </c>
      <c r="D339" t="str">
        <f t="shared" si="40"/>
        <v>DIC</v>
      </c>
      <c r="E339" t="str">
        <f t="shared" si="44"/>
        <v>2026-12</v>
      </c>
      <c r="F339">
        <f t="shared" si="45"/>
        <v>49</v>
      </c>
      <c r="G339" t="str">
        <f t="shared" si="46"/>
        <v>2026-S49</v>
      </c>
      <c r="H339">
        <f t="shared" si="47"/>
        <v>5</v>
      </c>
      <c r="I339" s="2" t="str">
        <f t="shared" si="41"/>
        <v>VIE</v>
      </c>
    </row>
    <row r="340" spans="1:9" x14ac:dyDescent="0.35">
      <c r="A340" s="9">
        <v>46361</v>
      </c>
      <c r="B340">
        <f t="shared" si="42"/>
        <v>2026</v>
      </c>
      <c r="C340">
        <f t="shared" si="43"/>
        <v>12</v>
      </c>
      <c r="D340" t="str">
        <f t="shared" si="40"/>
        <v>DIC</v>
      </c>
      <c r="E340" t="str">
        <f t="shared" si="44"/>
        <v>2026-12</v>
      </c>
      <c r="F340">
        <f t="shared" si="45"/>
        <v>49</v>
      </c>
      <c r="G340" t="str">
        <f t="shared" si="46"/>
        <v>2026-S49</v>
      </c>
      <c r="H340">
        <f t="shared" si="47"/>
        <v>6</v>
      </c>
      <c r="I340" s="2" t="str">
        <f t="shared" si="41"/>
        <v>SÁB</v>
      </c>
    </row>
    <row r="341" spans="1:9" x14ac:dyDescent="0.35">
      <c r="A341" s="9">
        <v>46362</v>
      </c>
      <c r="B341">
        <f t="shared" si="42"/>
        <v>2026</v>
      </c>
      <c r="C341">
        <f t="shared" si="43"/>
        <v>12</v>
      </c>
      <c r="D341" t="str">
        <f t="shared" si="40"/>
        <v>DIC</v>
      </c>
      <c r="E341" t="str">
        <f t="shared" si="44"/>
        <v>2026-12</v>
      </c>
      <c r="F341">
        <f t="shared" si="45"/>
        <v>49</v>
      </c>
      <c r="G341" t="str">
        <f t="shared" si="46"/>
        <v>2026-S49</v>
      </c>
      <c r="H341">
        <f t="shared" si="47"/>
        <v>7</v>
      </c>
      <c r="I341" s="2" t="str">
        <f t="shared" si="41"/>
        <v>DOM</v>
      </c>
    </row>
    <row r="342" spans="1:9" x14ac:dyDescent="0.35">
      <c r="A342" s="9">
        <v>46363</v>
      </c>
      <c r="B342">
        <f t="shared" si="42"/>
        <v>2026</v>
      </c>
      <c r="C342">
        <f t="shared" si="43"/>
        <v>12</v>
      </c>
      <c r="D342" t="str">
        <f t="shared" si="40"/>
        <v>DIC</v>
      </c>
      <c r="E342" t="str">
        <f t="shared" si="44"/>
        <v>2026-12</v>
      </c>
      <c r="F342">
        <f t="shared" si="45"/>
        <v>50</v>
      </c>
      <c r="G342" t="str">
        <f t="shared" si="46"/>
        <v>2026-S50</v>
      </c>
      <c r="H342">
        <f t="shared" si="47"/>
        <v>1</v>
      </c>
      <c r="I342" s="2" t="str">
        <f t="shared" si="41"/>
        <v>LUN</v>
      </c>
    </row>
    <row r="343" spans="1:9" x14ac:dyDescent="0.35">
      <c r="A343" s="9">
        <v>46364</v>
      </c>
      <c r="B343">
        <f t="shared" si="42"/>
        <v>2026</v>
      </c>
      <c r="C343">
        <f t="shared" si="43"/>
        <v>12</v>
      </c>
      <c r="D343" t="str">
        <f t="shared" si="40"/>
        <v>DIC</v>
      </c>
      <c r="E343" t="str">
        <f t="shared" si="44"/>
        <v>2026-12</v>
      </c>
      <c r="F343">
        <f t="shared" si="45"/>
        <v>50</v>
      </c>
      <c r="G343" t="str">
        <f t="shared" si="46"/>
        <v>2026-S50</v>
      </c>
      <c r="H343">
        <f t="shared" si="47"/>
        <v>2</v>
      </c>
      <c r="I343" s="2" t="str">
        <f t="shared" si="41"/>
        <v>MAR</v>
      </c>
    </row>
    <row r="344" spans="1:9" x14ac:dyDescent="0.35">
      <c r="A344" s="9">
        <v>46365</v>
      </c>
      <c r="B344">
        <f t="shared" si="42"/>
        <v>2026</v>
      </c>
      <c r="C344">
        <f t="shared" si="43"/>
        <v>12</v>
      </c>
      <c r="D344" t="str">
        <f t="shared" si="40"/>
        <v>DIC</v>
      </c>
      <c r="E344" t="str">
        <f t="shared" si="44"/>
        <v>2026-12</v>
      </c>
      <c r="F344">
        <f t="shared" si="45"/>
        <v>50</v>
      </c>
      <c r="G344" t="str">
        <f t="shared" si="46"/>
        <v>2026-S50</v>
      </c>
      <c r="H344">
        <f t="shared" si="47"/>
        <v>3</v>
      </c>
      <c r="I344" s="2" t="str">
        <f t="shared" si="41"/>
        <v>MIÉ</v>
      </c>
    </row>
    <row r="345" spans="1:9" x14ac:dyDescent="0.35">
      <c r="A345" s="9">
        <v>46366</v>
      </c>
      <c r="B345">
        <f t="shared" si="42"/>
        <v>2026</v>
      </c>
      <c r="C345">
        <f t="shared" si="43"/>
        <v>12</v>
      </c>
      <c r="D345" t="str">
        <f t="shared" si="40"/>
        <v>DIC</v>
      </c>
      <c r="E345" t="str">
        <f t="shared" si="44"/>
        <v>2026-12</v>
      </c>
      <c r="F345">
        <f t="shared" si="45"/>
        <v>50</v>
      </c>
      <c r="G345" t="str">
        <f t="shared" si="46"/>
        <v>2026-S50</v>
      </c>
      <c r="H345">
        <f t="shared" si="47"/>
        <v>4</v>
      </c>
      <c r="I345" s="2" t="str">
        <f t="shared" si="41"/>
        <v>JUE</v>
      </c>
    </row>
    <row r="346" spans="1:9" x14ac:dyDescent="0.35">
      <c r="A346" s="9">
        <v>46367</v>
      </c>
      <c r="B346">
        <f t="shared" si="42"/>
        <v>2026</v>
      </c>
      <c r="C346">
        <f t="shared" si="43"/>
        <v>12</v>
      </c>
      <c r="D346" t="str">
        <f t="shared" si="40"/>
        <v>DIC</v>
      </c>
      <c r="E346" t="str">
        <f t="shared" si="44"/>
        <v>2026-12</v>
      </c>
      <c r="F346">
        <f t="shared" si="45"/>
        <v>50</v>
      </c>
      <c r="G346" t="str">
        <f t="shared" si="46"/>
        <v>2026-S50</v>
      </c>
      <c r="H346">
        <f t="shared" si="47"/>
        <v>5</v>
      </c>
      <c r="I346" s="2" t="str">
        <f t="shared" si="41"/>
        <v>VIE</v>
      </c>
    </row>
    <row r="347" spans="1:9" x14ac:dyDescent="0.35">
      <c r="A347" s="9">
        <v>46368</v>
      </c>
      <c r="B347">
        <f t="shared" si="42"/>
        <v>2026</v>
      </c>
      <c r="C347">
        <f t="shared" si="43"/>
        <v>12</v>
      </c>
      <c r="D347" t="str">
        <f t="shared" si="40"/>
        <v>DIC</v>
      </c>
      <c r="E347" t="str">
        <f t="shared" si="44"/>
        <v>2026-12</v>
      </c>
      <c r="F347">
        <f t="shared" si="45"/>
        <v>50</v>
      </c>
      <c r="G347" t="str">
        <f t="shared" si="46"/>
        <v>2026-S50</v>
      </c>
      <c r="H347">
        <f t="shared" si="47"/>
        <v>6</v>
      </c>
      <c r="I347" s="2" t="str">
        <f t="shared" si="41"/>
        <v>SÁB</v>
      </c>
    </row>
    <row r="348" spans="1:9" x14ac:dyDescent="0.35">
      <c r="A348" s="9">
        <v>46369</v>
      </c>
      <c r="B348">
        <f t="shared" si="42"/>
        <v>2026</v>
      </c>
      <c r="C348">
        <f t="shared" si="43"/>
        <v>12</v>
      </c>
      <c r="D348" t="str">
        <f t="shared" si="40"/>
        <v>DIC</v>
      </c>
      <c r="E348" t="str">
        <f t="shared" si="44"/>
        <v>2026-12</v>
      </c>
      <c r="F348">
        <f t="shared" si="45"/>
        <v>50</v>
      </c>
      <c r="G348" t="str">
        <f t="shared" si="46"/>
        <v>2026-S50</v>
      </c>
      <c r="H348">
        <f t="shared" si="47"/>
        <v>7</v>
      </c>
      <c r="I348" s="2" t="str">
        <f t="shared" si="41"/>
        <v>DOM</v>
      </c>
    </row>
    <row r="349" spans="1:9" x14ac:dyDescent="0.35">
      <c r="A349" s="9">
        <v>46370</v>
      </c>
      <c r="B349">
        <f t="shared" si="42"/>
        <v>2026</v>
      </c>
      <c r="C349">
        <f t="shared" si="43"/>
        <v>12</v>
      </c>
      <c r="D349" t="str">
        <f t="shared" si="40"/>
        <v>DIC</v>
      </c>
      <c r="E349" t="str">
        <f t="shared" si="44"/>
        <v>2026-12</v>
      </c>
      <c r="F349">
        <f t="shared" si="45"/>
        <v>51</v>
      </c>
      <c r="G349" t="str">
        <f t="shared" si="46"/>
        <v>2026-S51</v>
      </c>
      <c r="H349">
        <f t="shared" si="47"/>
        <v>1</v>
      </c>
      <c r="I349" s="2" t="str">
        <f t="shared" si="41"/>
        <v>LUN</v>
      </c>
    </row>
    <row r="350" spans="1:9" x14ac:dyDescent="0.35">
      <c r="A350" s="9">
        <v>46371</v>
      </c>
      <c r="B350">
        <f t="shared" si="42"/>
        <v>2026</v>
      </c>
      <c r="C350">
        <f t="shared" si="43"/>
        <v>12</v>
      </c>
      <c r="D350" t="str">
        <f t="shared" si="40"/>
        <v>DIC</v>
      </c>
      <c r="E350" t="str">
        <f t="shared" si="44"/>
        <v>2026-12</v>
      </c>
      <c r="F350">
        <f t="shared" si="45"/>
        <v>51</v>
      </c>
      <c r="G350" t="str">
        <f t="shared" si="46"/>
        <v>2026-S51</v>
      </c>
      <c r="H350">
        <f t="shared" si="47"/>
        <v>2</v>
      </c>
      <c r="I350" s="2" t="str">
        <f t="shared" si="41"/>
        <v>MAR</v>
      </c>
    </row>
    <row r="351" spans="1:9" x14ac:dyDescent="0.35">
      <c r="A351" s="9">
        <v>46372</v>
      </c>
      <c r="B351">
        <f t="shared" si="42"/>
        <v>2026</v>
      </c>
      <c r="C351">
        <f t="shared" si="43"/>
        <v>12</v>
      </c>
      <c r="D351" t="str">
        <f t="shared" si="40"/>
        <v>DIC</v>
      </c>
      <c r="E351" t="str">
        <f t="shared" si="44"/>
        <v>2026-12</v>
      </c>
      <c r="F351">
        <f t="shared" si="45"/>
        <v>51</v>
      </c>
      <c r="G351" t="str">
        <f t="shared" si="46"/>
        <v>2026-S51</v>
      </c>
      <c r="H351">
        <f t="shared" si="47"/>
        <v>3</v>
      </c>
      <c r="I351" s="2" t="str">
        <f t="shared" si="41"/>
        <v>MIÉ</v>
      </c>
    </row>
    <row r="352" spans="1:9" x14ac:dyDescent="0.35">
      <c r="A352" s="9">
        <v>46373</v>
      </c>
      <c r="B352">
        <f t="shared" si="42"/>
        <v>2026</v>
      </c>
      <c r="C352">
        <f t="shared" si="43"/>
        <v>12</v>
      </c>
      <c r="D352" t="str">
        <f t="shared" si="40"/>
        <v>DIC</v>
      </c>
      <c r="E352" t="str">
        <f t="shared" si="44"/>
        <v>2026-12</v>
      </c>
      <c r="F352">
        <f t="shared" si="45"/>
        <v>51</v>
      </c>
      <c r="G352" t="str">
        <f t="shared" si="46"/>
        <v>2026-S51</v>
      </c>
      <c r="H352">
        <f t="shared" si="47"/>
        <v>4</v>
      </c>
      <c r="I352" s="2" t="str">
        <f t="shared" si="41"/>
        <v>JUE</v>
      </c>
    </row>
    <row r="353" spans="1:9" x14ac:dyDescent="0.35">
      <c r="A353" s="9">
        <v>46374</v>
      </c>
      <c r="B353">
        <f t="shared" si="42"/>
        <v>2026</v>
      </c>
      <c r="C353">
        <f t="shared" si="43"/>
        <v>12</v>
      </c>
      <c r="D353" t="str">
        <f t="shared" si="40"/>
        <v>DIC</v>
      </c>
      <c r="E353" t="str">
        <f t="shared" si="44"/>
        <v>2026-12</v>
      </c>
      <c r="F353">
        <f t="shared" si="45"/>
        <v>51</v>
      </c>
      <c r="G353" t="str">
        <f t="shared" si="46"/>
        <v>2026-S51</v>
      </c>
      <c r="H353">
        <f t="shared" si="47"/>
        <v>5</v>
      </c>
      <c r="I353" s="2" t="str">
        <f t="shared" si="41"/>
        <v>VIE</v>
      </c>
    </row>
    <row r="354" spans="1:9" x14ac:dyDescent="0.35">
      <c r="A354" s="9">
        <v>46375</v>
      </c>
      <c r="B354">
        <f t="shared" si="42"/>
        <v>2026</v>
      </c>
      <c r="C354">
        <f t="shared" si="43"/>
        <v>12</v>
      </c>
      <c r="D354" t="str">
        <f t="shared" si="40"/>
        <v>DIC</v>
      </c>
      <c r="E354" t="str">
        <f t="shared" si="44"/>
        <v>2026-12</v>
      </c>
      <c r="F354">
        <f t="shared" si="45"/>
        <v>51</v>
      </c>
      <c r="G354" t="str">
        <f t="shared" si="46"/>
        <v>2026-S51</v>
      </c>
      <c r="H354">
        <f t="shared" si="47"/>
        <v>6</v>
      </c>
      <c r="I354" s="2" t="str">
        <f t="shared" si="41"/>
        <v>SÁB</v>
      </c>
    </row>
    <row r="355" spans="1:9" x14ac:dyDescent="0.35">
      <c r="A355" s="9">
        <v>46376</v>
      </c>
      <c r="B355">
        <f t="shared" si="42"/>
        <v>2026</v>
      </c>
      <c r="C355">
        <f t="shared" si="43"/>
        <v>12</v>
      </c>
      <c r="D355" t="str">
        <f t="shared" si="40"/>
        <v>DIC</v>
      </c>
      <c r="E355" t="str">
        <f t="shared" si="44"/>
        <v>2026-12</v>
      </c>
      <c r="F355">
        <f t="shared" si="45"/>
        <v>51</v>
      </c>
      <c r="G355" t="str">
        <f t="shared" si="46"/>
        <v>2026-S51</v>
      </c>
      <c r="H355">
        <f t="shared" si="47"/>
        <v>7</v>
      </c>
      <c r="I355" s="2" t="str">
        <f t="shared" si="41"/>
        <v>DOM</v>
      </c>
    </row>
    <row r="356" spans="1:9" x14ac:dyDescent="0.35">
      <c r="A356" s="9">
        <v>46377</v>
      </c>
      <c r="B356">
        <f t="shared" si="42"/>
        <v>2026</v>
      </c>
      <c r="C356">
        <f t="shared" si="43"/>
        <v>12</v>
      </c>
      <c r="D356" t="str">
        <f t="shared" si="40"/>
        <v>DIC</v>
      </c>
      <c r="E356" t="str">
        <f t="shared" si="44"/>
        <v>2026-12</v>
      </c>
      <c r="F356">
        <f t="shared" si="45"/>
        <v>52</v>
      </c>
      <c r="G356" t="str">
        <f t="shared" si="46"/>
        <v>2026-S52</v>
      </c>
      <c r="H356">
        <f t="shared" si="47"/>
        <v>1</v>
      </c>
      <c r="I356" s="2" t="str">
        <f t="shared" si="41"/>
        <v>LUN</v>
      </c>
    </row>
    <row r="357" spans="1:9" x14ac:dyDescent="0.35">
      <c r="A357" s="9">
        <v>46378</v>
      </c>
      <c r="B357">
        <f t="shared" si="42"/>
        <v>2026</v>
      </c>
      <c r="C357">
        <f t="shared" si="43"/>
        <v>12</v>
      </c>
      <c r="D357" t="str">
        <f t="shared" si="40"/>
        <v>DIC</v>
      </c>
      <c r="E357" t="str">
        <f t="shared" si="44"/>
        <v>2026-12</v>
      </c>
      <c r="F357">
        <f t="shared" si="45"/>
        <v>52</v>
      </c>
      <c r="G357" t="str">
        <f t="shared" si="46"/>
        <v>2026-S52</v>
      </c>
      <c r="H357">
        <f t="shared" si="47"/>
        <v>2</v>
      </c>
      <c r="I357" s="2" t="str">
        <f t="shared" si="41"/>
        <v>MAR</v>
      </c>
    </row>
    <row r="358" spans="1:9" x14ac:dyDescent="0.35">
      <c r="A358" s="9">
        <v>46379</v>
      </c>
      <c r="B358">
        <f t="shared" si="42"/>
        <v>2026</v>
      </c>
      <c r="C358">
        <f t="shared" si="43"/>
        <v>12</v>
      </c>
      <c r="D358" t="str">
        <f t="shared" si="40"/>
        <v>DIC</v>
      </c>
      <c r="E358" t="str">
        <f t="shared" si="44"/>
        <v>2026-12</v>
      </c>
      <c r="F358">
        <f t="shared" si="45"/>
        <v>52</v>
      </c>
      <c r="G358" t="str">
        <f t="shared" si="46"/>
        <v>2026-S52</v>
      </c>
      <c r="H358">
        <f t="shared" si="47"/>
        <v>3</v>
      </c>
      <c r="I358" s="2" t="str">
        <f t="shared" si="41"/>
        <v>MIÉ</v>
      </c>
    </row>
    <row r="359" spans="1:9" x14ac:dyDescent="0.35">
      <c r="A359" s="9">
        <v>46380</v>
      </c>
      <c r="B359">
        <f t="shared" si="42"/>
        <v>2026</v>
      </c>
      <c r="C359">
        <f t="shared" si="43"/>
        <v>12</v>
      </c>
      <c r="D359" t="str">
        <f t="shared" si="40"/>
        <v>DIC</v>
      </c>
      <c r="E359" t="str">
        <f t="shared" si="44"/>
        <v>2026-12</v>
      </c>
      <c r="F359">
        <f t="shared" si="45"/>
        <v>52</v>
      </c>
      <c r="G359" t="str">
        <f t="shared" si="46"/>
        <v>2026-S52</v>
      </c>
      <c r="H359">
        <f t="shared" si="47"/>
        <v>4</v>
      </c>
      <c r="I359" s="2" t="str">
        <f t="shared" si="41"/>
        <v>JUE</v>
      </c>
    </row>
    <row r="360" spans="1:9" x14ac:dyDescent="0.35">
      <c r="A360" s="9">
        <v>46381</v>
      </c>
      <c r="B360">
        <f t="shared" si="42"/>
        <v>2026</v>
      </c>
      <c r="C360">
        <f t="shared" si="43"/>
        <v>12</v>
      </c>
      <c r="D360" t="str">
        <f t="shared" si="40"/>
        <v>DIC</v>
      </c>
      <c r="E360" t="str">
        <f t="shared" si="44"/>
        <v>2026-12</v>
      </c>
      <c r="F360">
        <f t="shared" si="45"/>
        <v>52</v>
      </c>
      <c r="G360" t="str">
        <f t="shared" si="46"/>
        <v>2026-S52</v>
      </c>
      <c r="H360">
        <f t="shared" si="47"/>
        <v>5</v>
      </c>
      <c r="I360" s="2" t="str">
        <f t="shared" si="41"/>
        <v>VIE</v>
      </c>
    </row>
    <row r="361" spans="1:9" x14ac:dyDescent="0.35">
      <c r="A361" s="9">
        <v>46382</v>
      </c>
      <c r="B361">
        <f t="shared" si="42"/>
        <v>2026</v>
      </c>
      <c r="C361">
        <f t="shared" si="43"/>
        <v>12</v>
      </c>
      <c r="D361" t="str">
        <f t="shared" si="40"/>
        <v>DIC</v>
      </c>
      <c r="E361" t="str">
        <f t="shared" si="44"/>
        <v>2026-12</v>
      </c>
      <c r="F361">
        <f t="shared" si="45"/>
        <v>52</v>
      </c>
      <c r="G361" t="str">
        <f t="shared" si="46"/>
        <v>2026-S52</v>
      </c>
      <c r="H361">
        <f t="shared" si="47"/>
        <v>6</v>
      </c>
      <c r="I361" s="2" t="str">
        <f t="shared" si="41"/>
        <v>SÁB</v>
      </c>
    </row>
    <row r="362" spans="1:9" x14ac:dyDescent="0.35">
      <c r="A362" s="9">
        <v>46383</v>
      </c>
      <c r="B362">
        <f t="shared" si="42"/>
        <v>2026</v>
      </c>
      <c r="C362">
        <f t="shared" si="43"/>
        <v>12</v>
      </c>
      <c r="D362" t="str">
        <f t="shared" si="40"/>
        <v>DIC</v>
      </c>
      <c r="E362" t="str">
        <f t="shared" si="44"/>
        <v>2026-12</v>
      </c>
      <c r="F362">
        <f t="shared" si="45"/>
        <v>52</v>
      </c>
      <c r="G362" t="str">
        <f t="shared" si="46"/>
        <v>2026-S52</v>
      </c>
      <c r="H362">
        <f t="shared" si="47"/>
        <v>7</v>
      </c>
      <c r="I362" s="2" t="str">
        <f t="shared" si="41"/>
        <v>DOM</v>
      </c>
    </row>
    <row r="363" spans="1:9" x14ac:dyDescent="0.35">
      <c r="A363" s="9">
        <v>46384</v>
      </c>
      <c r="B363">
        <f t="shared" si="42"/>
        <v>2026</v>
      </c>
      <c r="C363">
        <f t="shared" si="43"/>
        <v>12</v>
      </c>
      <c r="D363" t="str">
        <f t="shared" si="40"/>
        <v>DIC</v>
      </c>
      <c r="E363" t="str">
        <f t="shared" si="44"/>
        <v>2026-12</v>
      </c>
      <c r="F363">
        <f t="shared" si="45"/>
        <v>53</v>
      </c>
      <c r="G363" t="str">
        <f t="shared" si="46"/>
        <v>2026-S53</v>
      </c>
      <c r="H363">
        <f t="shared" si="47"/>
        <v>1</v>
      </c>
      <c r="I363" s="2" t="str">
        <f t="shared" si="41"/>
        <v>LUN</v>
      </c>
    </row>
    <row r="364" spans="1:9" x14ac:dyDescent="0.35">
      <c r="A364" s="9">
        <v>46385</v>
      </c>
      <c r="B364">
        <f t="shared" si="42"/>
        <v>2026</v>
      </c>
      <c r="C364">
        <f t="shared" si="43"/>
        <v>12</v>
      </c>
      <c r="D364" t="str">
        <f t="shared" si="40"/>
        <v>DIC</v>
      </c>
      <c r="E364" t="str">
        <f t="shared" si="44"/>
        <v>2026-12</v>
      </c>
      <c r="F364">
        <f t="shared" si="45"/>
        <v>53</v>
      </c>
      <c r="G364" t="str">
        <f t="shared" si="46"/>
        <v>2026-S53</v>
      </c>
      <c r="H364">
        <f t="shared" si="47"/>
        <v>2</v>
      </c>
      <c r="I364" s="2" t="str">
        <f t="shared" si="41"/>
        <v>MAR</v>
      </c>
    </row>
    <row r="365" spans="1:9" x14ac:dyDescent="0.35">
      <c r="A365" s="9">
        <v>46386</v>
      </c>
      <c r="B365">
        <f t="shared" si="42"/>
        <v>2026</v>
      </c>
      <c r="C365">
        <f t="shared" si="43"/>
        <v>12</v>
      </c>
      <c r="D365" t="str">
        <f t="shared" si="40"/>
        <v>DIC</v>
      </c>
      <c r="E365" t="str">
        <f t="shared" si="44"/>
        <v>2026-12</v>
      </c>
      <c r="F365">
        <f t="shared" si="45"/>
        <v>53</v>
      </c>
      <c r="G365" t="str">
        <f t="shared" si="46"/>
        <v>2026-S53</v>
      </c>
      <c r="H365">
        <f t="shared" si="47"/>
        <v>3</v>
      </c>
      <c r="I365" s="2" t="str">
        <f t="shared" si="41"/>
        <v>MIÉ</v>
      </c>
    </row>
    <row r="366" spans="1:9" x14ac:dyDescent="0.35">
      <c r="A366" s="9">
        <v>46387</v>
      </c>
      <c r="B366">
        <f t="shared" si="42"/>
        <v>2026</v>
      </c>
      <c r="C366">
        <f t="shared" si="43"/>
        <v>12</v>
      </c>
      <c r="D366" t="str">
        <f t="shared" si="40"/>
        <v>DIC</v>
      </c>
      <c r="E366" t="str">
        <f t="shared" si="44"/>
        <v>2026-12</v>
      </c>
      <c r="F366">
        <f t="shared" si="45"/>
        <v>53</v>
      </c>
      <c r="G366" t="str">
        <f t="shared" si="46"/>
        <v>2026-S53</v>
      </c>
      <c r="H366">
        <f t="shared" si="47"/>
        <v>4</v>
      </c>
      <c r="I366" s="2" t="str">
        <f t="shared" si="41"/>
        <v>JUE</v>
      </c>
    </row>
    <row r="370" spans="1:9" ht="29" x14ac:dyDescent="0.35">
      <c r="A370" s="43" t="s">
        <v>50</v>
      </c>
      <c r="B370" s="43" t="s">
        <v>148</v>
      </c>
      <c r="C370" s="43" t="s">
        <v>138</v>
      </c>
      <c r="D370" s="43" t="s">
        <v>139</v>
      </c>
      <c r="H370" s="2"/>
      <c r="I370"/>
    </row>
    <row r="371" spans="1:9" x14ac:dyDescent="0.35">
      <c r="A371" s="50" t="s">
        <v>45</v>
      </c>
      <c r="B371" s="50" t="str">
        <f>UPPER(SUBSTITUTE(TRIM(tbl_DimProducto[[#This Row],[Producto]])," ","_"))</f>
        <v>EDAM_F</v>
      </c>
      <c r="C371" s="50" t="s">
        <v>189</v>
      </c>
      <c r="D371" s="50">
        <v>6.4</v>
      </c>
      <c r="H371" s="2"/>
      <c r="I371"/>
    </row>
    <row r="372" spans="1:9" x14ac:dyDescent="0.35">
      <c r="A372" s="50" t="s">
        <v>46</v>
      </c>
      <c r="B372" s="50" t="str">
        <f>UPPER(SUBSTITUTE(TRIM(tbl_DimProducto[[#This Row],[Producto]])," ","_"))</f>
        <v>EDAM_F_C</v>
      </c>
      <c r="C372" s="50" t="s">
        <v>189</v>
      </c>
      <c r="D372" s="50">
        <v>6.4</v>
      </c>
      <c r="H372" s="2"/>
      <c r="I372"/>
    </row>
    <row r="373" spans="1:9" x14ac:dyDescent="0.35">
      <c r="A373" s="50" t="s">
        <v>141</v>
      </c>
      <c r="B373" s="50" t="str">
        <f>UPPER(SUBSTITUTE(TRIM(tbl_DimProducto[[#This Row],[Producto]])," ","_"))</f>
        <v>EDAM</v>
      </c>
      <c r="C373" s="50" t="s">
        <v>189</v>
      </c>
      <c r="D373" s="50">
        <v>6.4</v>
      </c>
      <c r="H373" s="2"/>
      <c r="I373"/>
    </row>
    <row r="374" spans="1:9" x14ac:dyDescent="0.35">
      <c r="A374" s="50" t="s">
        <v>142</v>
      </c>
      <c r="B374" s="50" t="str">
        <f>UPPER(SUBSTITUTE(TRIM(tbl_DimProducto[[#This Row],[Producto]])," ","_"))</f>
        <v>GOUDA</v>
      </c>
      <c r="C374" s="50" t="s">
        <v>190</v>
      </c>
      <c r="D374" s="50">
        <v>6.4</v>
      </c>
      <c r="H374" s="2"/>
      <c r="I374"/>
    </row>
    <row r="375" spans="1:9" x14ac:dyDescent="0.35">
      <c r="A375" s="50" t="s">
        <v>44</v>
      </c>
      <c r="B375" s="50" t="str">
        <f>UPPER(SUBSTITUTE(TRIM(tbl_DimProducto[[#This Row],[Producto]])," ","_"))</f>
        <v>GOUDA_F</v>
      </c>
      <c r="C375" s="50" t="s">
        <v>190</v>
      </c>
      <c r="D375" s="50">
        <v>6.4</v>
      </c>
      <c r="H375" s="2"/>
      <c r="I375"/>
    </row>
    <row r="376" spans="1:9" ht="29" x14ac:dyDescent="0.35">
      <c r="A376" s="50" t="s">
        <v>140</v>
      </c>
      <c r="B376" s="50" t="str">
        <f>UPPER(SUBSTITUTE(TRIM(tbl_DimProducto[[#This Row],[Producto]])," ","_"))</f>
        <v>GOUDA_F_C</v>
      </c>
      <c r="C376" s="50" t="s">
        <v>190</v>
      </c>
      <c r="D376" s="50">
        <v>6.4</v>
      </c>
      <c r="H376" s="2"/>
      <c r="I376"/>
    </row>
    <row r="377" spans="1:9" x14ac:dyDescent="0.35">
      <c r="A377" s="50" t="s">
        <v>40</v>
      </c>
      <c r="B377" s="50" t="str">
        <f>UPPER(SUBSTITUTE(TRIM(tbl_DimProducto[[#This Row],[Producto]])," ","_"))</f>
        <v>CREMOSO</v>
      </c>
      <c r="C377" s="50" t="s">
        <v>40</v>
      </c>
      <c r="D377" s="50">
        <v>6.4</v>
      </c>
      <c r="H377" s="2"/>
      <c r="I377"/>
    </row>
    <row r="378" spans="1:9" ht="29" x14ac:dyDescent="0.35">
      <c r="A378" s="50" t="s">
        <v>41</v>
      </c>
      <c r="B378" s="50" t="str">
        <f>UPPER(SUBSTITUTE(TRIM(tbl_DimProducto[[#This Row],[Producto]])," ","_"))</f>
        <v>TIERNO_MEZCLA</v>
      </c>
      <c r="C378" s="50" t="s">
        <v>143</v>
      </c>
      <c r="D378" s="50">
        <v>6.4</v>
      </c>
      <c r="H378" s="2"/>
      <c r="I378"/>
    </row>
    <row r="379" spans="1:9" ht="29" x14ac:dyDescent="0.35">
      <c r="A379" s="50" t="s">
        <v>199</v>
      </c>
      <c r="B379" s="50" t="str">
        <f>UPPER(SUBSTITUTE(TRIM(tbl_DimProducto[[#This Row],[Producto]])," ","_"))</f>
        <v>MEZCLA60_40</v>
      </c>
      <c r="C379" s="50" t="s">
        <v>143</v>
      </c>
      <c r="D379" s="50">
        <v>6.4</v>
      </c>
      <c r="H379" s="2"/>
      <c r="I379"/>
    </row>
    <row r="380" spans="1:9" x14ac:dyDescent="0.35">
      <c r="A380" s="50" t="s">
        <v>194</v>
      </c>
      <c r="B380" s="50" t="str">
        <f>UPPER(SUBSTITUTE(TRIM(tbl_DimProducto[[#This Row],[Producto]])," ","_"))</f>
        <v>CAGLIATA</v>
      </c>
      <c r="C380" s="50" t="s">
        <v>194</v>
      </c>
      <c r="D380" s="50">
        <v>6.4</v>
      </c>
      <c r="H380" s="2"/>
      <c r="I380"/>
    </row>
    <row r="381" spans="1:9" x14ac:dyDescent="0.35">
      <c r="A381" s="50" t="s">
        <v>144</v>
      </c>
      <c r="B381" s="50" t="str">
        <f>UPPER(SUBSTITUTE(TRIM(tbl_DimProducto[[#This Row],[Producto]])," ","_"))</f>
        <v>OVEJA</v>
      </c>
      <c r="C381" s="50" t="s">
        <v>144</v>
      </c>
      <c r="D381" s="50">
        <v>6.4</v>
      </c>
      <c r="H381" s="2"/>
      <c r="I381"/>
    </row>
    <row r="382" spans="1:9" x14ac:dyDescent="0.35">
      <c r="A382" s="50" t="s">
        <v>145</v>
      </c>
      <c r="B382" s="50" t="str">
        <f>UPPER(SUBSTITUTE(TRIM(tbl_DimProducto[[#This Row],[Producto]])," ","_"))</f>
        <v>CABRA</v>
      </c>
      <c r="C382" s="50" t="s">
        <v>145</v>
      </c>
      <c r="D382" s="50">
        <v>6.4</v>
      </c>
      <c r="H382" s="2"/>
      <c r="I382"/>
    </row>
    <row r="383" spans="1:9" x14ac:dyDescent="0.35">
      <c r="A383" s="50" t="s">
        <v>146</v>
      </c>
      <c r="B383" s="50" t="str">
        <f>UPPER(SUBSTITUTE(TRIM(tbl_DimProducto[[#This Row],[Producto]])," ","_"))</f>
        <v>EMMENTAL</v>
      </c>
      <c r="C383" s="50" t="s">
        <v>146</v>
      </c>
      <c r="D383" s="50">
        <v>6.4</v>
      </c>
      <c r="H383" s="2"/>
      <c r="I383"/>
    </row>
    <row r="384" spans="1:9" x14ac:dyDescent="0.35">
      <c r="A384" s="50" t="s">
        <v>147</v>
      </c>
      <c r="B384" s="50" t="str">
        <f>UPPER(SUBSTITUTE(TRIM(tbl_DimProducto[[#This Row],[Producto]])," ","_"))</f>
        <v>LATINO</v>
      </c>
      <c r="C384" s="50" t="s">
        <v>147</v>
      </c>
      <c r="D384" s="50">
        <v>6.4</v>
      </c>
      <c r="H384" s="2"/>
      <c r="I384"/>
    </row>
    <row r="385" spans="1:3" x14ac:dyDescent="0.35">
      <c r="A385" s="50"/>
      <c r="B385" s="50"/>
      <c r="C385" s="50"/>
    </row>
    <row r="386" spans="1:3" x14ac:dyDescent="0.35">
      <c r="A386" s="50"/>
      <c r="B386" s="50"/>
      <c r="C386" s="50"/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86411-B21C-4DB8-B070-42ACA839E4B1}">
  <sheetPr codeName="Hoja2"/>
  <dimension ref="A2:Q67"/>
  <sheetViews>
    <sheetView topLeftCell="A40" workbookViewId="0">
      <selection activeCell="K58" sqref="K58"/>
    </sheetView>
  </sheetViews>
  <sheetFormatPr baseColWidth="10" defaultRowHeight="14.5" x14ac:dyDescent="0.35"/>
  <cols>
    <col min="1" max="2" width="20.7265625" customWidth="1"/>
    <col min="3" max="4" width="17.7265625" customWidth="1"/>
    <col min="5" max="5" width="12" customWidth="1"/>
    <col min="6" max="6" width="12.54296875" customWidth="1"/>
    <col min="7" max="7" width="11.1796875" customWidth="1"/>
    <col min="8" max="8" width="14.54296875" customWidth="1"/>
  </cols>
  <sheetData>
    <row r="2" spans="1:17" x14ac:dyDescent="0.35">
      <c r="A2" s="6" t="s">
        <v>447</v>
      </c>
      <c r="B2" s="6"/>
    </row>
    <row r="3" spans="1:17" x14ac:dyDescent="0.35">
      <c r="A3" s="100" t="s">
        <v>50</v>
      </c>
      <c r="B3" s="100" t="s">
        <v>305</v>
      </c>
      <c r="C3" s="104" t="s">
        <v>195</v>
      </c>
      <c r="D3" s="104" t="s">
        <v>444</v>
      </c>
      <c r="E3" s="104" t="s">
        <v>196</v>
      </c>
      <c r="F3" s="104" t="s">
        <v>197</v>
      </c>
      <c r="G3" s="104" t="s">
        <v>198</v>
      </c>
      <c r="H3" s="105" t="s">
        <v>200</v>
      </c>
      <c r="M3" t="s">
        <v>589</v>
      </c>
      <c r="Q3" s="6" t="s">
        <v>439</v>
      </c>
    </row>
    <row r="4" spans="1:17" x14ac:dyDescent="0.35">
      <c r="A4" s="98" t="s">
        <v>189</v>
      </c>
      <c r="B4" s="98">
        <v>2025</v>
      </c>
      <c r="C4" s="96">
        <v>8.9540000000000006</v>
      </c>
      <c r="D4" s="96">
        <v>0.21299999999999999</v>
      </c>
      <c r="E4" s="97">
        <v>6.4999999999999997E-3</v>
      </c>
      <c r="F4" s="97">
        <v>0.01</v>
      </c>
      <c r="G4" s="97">
        <v>1.0500000000000001E-2</v>
      </c>
      <c r="H4" s="99">
        <f>REND_TARGET[[#This Row],[Rendimiento Blanco]]*(1+REND_TARGET[[#This Row],[Merma Fabr]]+REND_TARGET[[#This Row],[Merma Oreo]]+REND_TARGET[[#This Row],[Merma E/E]])</f>
        <v>9.1957579999999997</v>
      </c>
      <c r="M4" t="s">
        <v>189</v>
      </c>
      <c r="Q4" t="s">
        <v>440</v>
      </c>
    </row>
    <row r="5" spans="1:17" x14ac:dyDescent="0.35">
      <c r="A5" s="98" t="s">
        <v>299</v>
      </c>
      <c r="B5" s="98">
        <v>2025</v>
      </c>
      <c r="C5" s="96">
        <v>9.5500000000000007</v>
      </c>
      <c r="D5" s="96">
        <v>0.21299999999999999</v>
      </c>
      <c r="E5" s="97">
        <v>6.4999999999999997E-3</v>
      </c>
      <c r="F5" s="97">
        <v>0.01</v>
      </c>
      <c r="G5" s="97">
        <v>1.0500000000000001E-2</v>
      </c>
      <c r="H5" s="99">
        <f>REND_TARGET[[#This Row],[Rendimiento Blanco]]*(1+REND_TARGET[[#This Row],[Merma Fabr]]+REND_TARGET[[#This Row],[Merma Oreo]]+REND_TARGET[[#This Row],[Merma E/E]])</f>
        <v>9.8078500000000002</v>
      </c>
      <c r="M5" t="s">
        <v>299</v>
      </c>
      <c r="Q5" t="s">
        <v>441</v>
      </c>
    </row>
    <row r="6" spans="1:17" x14ac:dyDescent="0.35">
      <c r="A6" s="98" t="s">
        <v>300</v>
      </c>
      <c r="B6" s="98">
        <v>2025</v>
      </c>
      <c r="C6" s="96">
        <v>7.5</v>
      </c>
      <c r="D6" s="96">
        <v>0.21299999999999999</v>
      </c>
      <c r="E6" s="97">
        <v>6.4999999999999997E-3</v>
      </c>
      <c r="F6" s="97">
        <v>0.01</v>
      </c>
      <c r="G6" s="97">
        <v>1.0500000000000001E-2</v>
      </c>
      <c r="H6" s="99">
        <f>REND_TARGET[[#This Row],[Rendimiento Blanco]]*(1+REND_TARGET[[#This Row],[Merma Fabr]]+REND_TARGET[[#This Row],[Merma Oreo]]+REND_TARGET[[#This Row],[Merma E/E]])</f>
        <v>7.7024999999999997</v>
      </c>
      <c r="M6" t="s">
        <v>300</v>
      </c>
      <c r="Q6" t="s">
        <v>442</v>
      </c>
    </row>
    <row r="7" spans="1:17" x14ac:dyDescent="0.35">
      <c r="A7" s="98" t="s">
        <v>445</v>
      </c>
      <c r="B7" s="98">
        <v>2025</v>
      </c>
      <c r="C7" s="96">
        <v>9.5500000000000007</v>
      </c>
      <c r="D7" s="96">
        <v>0.33699999999999997</v>
      </c>
      <c r="E7" s="97">
        <v>6.4999999999999997E-3</v>
      </c>
      <c r="F7" s="97">
        <v>0.01</v>
      </c>
      <c r="G7" s="97">
        <v>1.0500000000000001E-2</v>
      </c>
      <c r="H7" s="99">
        <f>REND_TARGET[[#This Row],[Rendimiento Blanco]]*(1+REND_TARGET[[#This Row],[Merma Fabr]]+REND_TARGET[[#This Row],[Merma Oreo]]+REND_TARGET[[#This Row],[Merma E/E]])</f>
        <v>9.8078500000000002</v>
      </c>
      <c r="M7" t="s">
        <v>445</v>
      </c>
    </row>
    <row r="8" spans="1:17" x14ac:dyDescent="0.35">
      <c r="A8" s="98" t="s">
        <v>190</v>
      </c>
      <c r="B8" s="98">
        <v>2025</v>
      </c>
      <c r="C8" s="96">
        <v>8.2710000000000008</v>
      </c>
      <c r="D8" s="96">
        <v>0.19</v>
      </c>
      <c r="E8" s="97">
        <v>6.4999999999999997E-3</v>
      </c>
      <c r="F8" s="97">
        <v>0.01</v>
      </c>
      <c r="G8" s="97">
        <v>1.0500000000000001E-2</v>
      </c>
      <c r="H8" s="99">
        <f>REND_TARGET[[#This Row],[Rendimiento Blanco]]*(1+REND_TARGET[[#This Row],[Merma Fabr]]+REND_TARGET[[#This Row],[Merma Oreo]]+REND_TARGET[[#This Row],[Merma E/E]])</f>
        <v>8.4943170000000006</v>
      </c>
      <c r="M8" t="s">
        <v>190</v>
      </c>
    </row>
    <row r="9" spans="1:17" x14ac:dyDescent="0.35">
      <c r="A9" s="98" t="s">
        <v>301</v>
      </c>
      <c r="B9" s="98">
        <v>2025</v>
      </c>
      <c r="C9" s="96">
        <v>9.109</v>
      </c>
      <c r="D9" s="96">
        <v>0.19</v>
      </c>
      <c r="E9" s="97">
        <v>6.4999999999999997E-3</v>
      </c>
      <c r="F9" s="97">
        <v>0.01</v>
      </c>
      <c r="G9" s="97">
        <v>1.0500000000000001E-2</v>
      </c>
      <c r="H9" s="99">
        <f>REND_TARGET[[#This Row],[Rendimiento Blanco]]*(1+REND_TARGET[[#This Row],[Merma Fabr]]+REND_TARGET[[#This Row],[Merma Oreo]]+REND_TARGET[[#This Row],[Merma E/E]])</f>
        <v>9.3549429999999987</v>
      </c>
      <c r="M9" t="s">
        <v>301</v>
      </c>
    </row>
    <row r="10" spans="1:17" x14ac:dyDescent="0.35">
      <c r="A10" s="98" t="s">
        <v>302</v>
      </c>
      <c r="B10" s="98">
        <v>2025</v>
      </c>
      <c r="C10" s="96">
        <v>7</v>
      </c>
      <c r="D10" s="96">
        <v>0.19</v>
      </c>
      <c r="E10" s="97">
        <v>6.4999999999999997E-3</v>
      </c>
      <c r="F10" s="97">
        <v>0.01</v>
      </c>
      <c r="G10" s="97">
        <v>1.0500000000000001E-2</v>
      </c>
      <c r="H10" s="99">
        <f>REND_TARGET[[#This Row],[Rendimiento Blanco]]*(1+REND_TARGET[[#This Row],[Merma Fabr]]+REND_TARGET[[#This Row],[Merma Oreo]]+REND_TARGET[[#This Row],[Merma E/E]])</f>
        <v>7.1889999999999992</v>
      </c>
      <c r="M10" t="s">
        <v>302</v>
      </c>
    </row>
    <row r="11" spans="1:17" x14ac:dyDescent="0.35">
      <c r="A11" s="98" t="s">
        <v>446</v>
      </c>
      <c r="B11" s="98">
        <v>2025</v>
      </c>
      <c r="C11" s="96">
        <v>9.109</v>
      </c>
      <c r="D11" s="96">
        <v>0.31900000000000001</v>
      </c>
      <c r="E11" s="97">
        <v>6.4999999999999997E-3</v>
      </c>
      <c r="F11" s="97">
        <v>0.01</v>
      </c>
      <c r="G11" s="97">
        <v>1.0500000000000001E-2</v>
      </c>
      <c r="H11" s="99">
        <f>REND_TARGET[[#This Row],[Rendimiento Blanco]]*(1+REND_TARGET[[#This Row],[Merma Fabr]]+REND_TARGET[[#This Row],[Merma Oreo]]+REND_TARGET[[#This Row],[Merma E/E]])</f>
        <v>9.3549429999999987</v>
      </c>
      <c r="M11" t="s">
        <v>446</v>
      </c>
    </row>
    <row r="12" spans="1:17" x14ac:dyDescent="0.35">
      <c r="A12" s="98" t="s">
        <v>146</v>
      </c>
      <c r="B12" s="98">
        <v>2025</v>
      </c>
      <c r="C12" s="96">
        <f>+C5</f>
        <v>9.5500000000000007</v>
      </c>
      <c r="D12" s="96">
        <v>0.24399999999999999</v>
      </c>
      <c r="E12" s="97">
        <v>6.4999999999999997E-3</v>
      </c>
      <c r="F12" s="97">
        <v>0.01</v>
      </c>
      <c r="G12" s="97">
        <v>1.0500000000000001E-2</v>
      </c>
      <c r="H12" s="99">
        <f>REND_TARGET[[#This Row],[Rendimiento Blanco]]*(1+REND_TARGET[[#This Row],[Merma Fabr]]+REND_TARGET[[#This Row],[Merma Oreo]]+REND_TARGET[[#This Row],[Merma E/E]])</f>
        <v>9.8078500000000002</v>
      </c>
      <c r="M12" t="s">
        <v>146</v>
      </c>
    </row>
    <row r="13" spans="1:17" x14ac:dyDescent="0.35">
      <c r="A13" s="98" t="s">
        <v>147</v>
      </c>
      <c r="B13" s="98">
        <v>2025</v>
      </c>
      <c r="C13" s="96">
        <v>7.35</v>
      </c>
      <c r="D13" s="96">
        <v>0.14499999999999999</v>
      </c>
      <c r="E13" s="97">
        <v>6.4999999999999997E-3</v>
      </c>
      <c r="F13" s="97">
        <v>0.01</v>
      </c>
      <c r="G13" s="97">
        <v>1.0500000000000001E-2</v>
      </c>
      <c r="H13" s="99">
        <f>REND_TARGET[[#This Row],[Rendimiento Blanco]]*(1+REND_TARGET[[#This Row],[Merma Fabr]]+REND_TARGET[[#This Row],[Merma Oreo]]+REND_TARGET[[#This Row],[Merma E/E]])</f>
        <v>7.548449999999999</v>
      </c>
      <c r="M13" t="s">
        <v>147</v>
      </c>
    </row>
    <row r="14" spans="1:17" x14ac:dyDescent="0.35">
      <c r="A14" s="98" t="s">
        <v>40</v>
      </c>
      <c r="B14" s="98">
        <v>2025</v>
      </c>
      <c r="C14" s="96">
        <v>8.6989999999999998</v>
      </c>
      <c r="D14" s="96">
        <v>0.33999999999999997</v>
      </c>
      <c r="E14" s="97">
        <v>6.4999999999999997E-3</v>
      </c>
      <c r="F14" s="97">
        <v>0.01</v>
      </c>
      <c r="G14" s="97">
        <v>1.0500000000000001E-2</v>
      </c>
      <c r="H14" s="99">
        <f>REND_TARGET[[#This Row],[Rendimiento Blanco]]*(1+REND_TARGET[[#This Row],[Merma Fabr]]+REND_TARGET[[#This Row],[Merma Oreo]]+REND_TARGET[[#This Row],[Merma E/E]])</f>
        <v>8.9338729999999984</v>
      </c>
      <c r="M14" t="s">
        <v>40</v>
      </c>
    </row>
    <row r="15" spans="1:17" x14ac:dyDescent="0.35">
      <c r="A15" s="98" t="s">
        <v>145</v>
      </c>
      <c r="B15" s="98">
        <v>2025</v>
      </c>
      <c r="C15" s="96">
        <v>8.0790000000000006</v>
      </c>
      <c r="D15" s="96">
        <v>0.26600000000000001</v>
      </c>
      <c r="E15" s="97">
        <v>6.4999999999999997E-3</v>
      </c>
      <c r="F15" s="97">
        <v>0.01</v>
      </c>
      <c r="G15" s="97">
        <v>1.0500000000000001E-2</v>
      </c>
      <c r="H15" s="99">
        <f>REND_TARGET[[#This Row],[Rendimiento Blanco]]*(1+REND_TARGET[[#This Row],[Merma Fabr]]+REND_TARGET[[#This Row],[Merma Oreo]]+REND_TARGET[[#This Row],[Merma E/E]])</f>
        <v>8.2971330000000005</v>
      </c>
      <c r="M15" t="s">
        <v>145</v>
      </c>
    </row>
    <row r="16" spans="1:17" x14ac:dyDescent="0.35">
      <c r="A16" s="98" t="s">
        <v>144</v>
      </c>
      <c r="B16" s="98">
        <v>2025</v>
      </c>
      <c r="C16" s="96">
        <v>5.4489999999999998</v>
      </c>
      <c r="D16" s="96">
        <v>0.25700000000000001</v>
      </c>
      <c r="E16" s="97">
        <v>6.4999999999999997E-3</v>
      </c>
      <c r="F16" s="97">
        <v>0.01</v>
      </c>
      <c r="G16" s="97">
        <v>1.0500000000000001E-2</v>
      </c>
      <c r="H16" s="99">
        <f>REND_TARGET[[#This Row],[Rendimiento Blanco]]*(1+REND_TARGET[[#This Row],[Merma Fabr]]+REND_TARGET[[#This Row],[Merma Oreo]]+REND_TARGET[[#This Row],[Merma E/E]])</f>
        <v>5.5961229999999995</v>
      </c>
      <c r="M16" t="s">
        <v>144</v>
      </c>
    </row>
    <row r="17" spans="1:13" x14ac:dyDescent="0.35">
      <c r="A17" s="98" t="s">
        <v>199</v>
      </c>
      <c r="B17" s="98">
        <v>2025</v>
      </c>
      <c r="C17" s="96">
        <v>8.4283999999999999</v>
      </c>
      <c r="D17" s="96">
        <v>0.245</v>
      </c>
      <c r="E17" s="97">
        <v>6.4999999999999997E-3</v>
      </c>
      <c r="F17" s="97">
        <v>0.01</v>
      </c>
      <c r="G17" s="97">
        <v>1.0500000000000001E-2</v>
      </c>
      <c r="H17" s="99">
        <f>REND_TARGET[[#This Row],[Rendimiento Blanco]]*(1+REND_TARGET[[#This Row],[Merma Fabr]]+REND_TARGET[[#This Row],[Merma Oreo]]+REND_TARGET[[#This Row],[Merma E/E]])</f>
        <v>8.6559667999999999</v>
      </c>
      <c r="M17" t="s">
        <v>199</v>
      </c>
    </row>
    <row r="18" spans="1:13" x14ac:dyDescent="0.35">
      <c r="A18" s="98" t="s">
        <v>41</v>
      </c>
      <c r="B18" s="98">
        <v>2025</v>
      </c>
      <c r="C18" s="96">
        <v>7.3185000000000002</v>
      </c>
      <c r="D18" s="96">
        <v>0.245</v>
      </c>
      <c r="E18" s="97">
        <v>6.4999999999999997E-3</v>
      </c>
      <c r="F18" s="97">
        <v>0.01</v>
      </c>
      <c r="G18" s="97">
        <v>1.0500000000000001E-2</v>
      </c>
      <c r="H18" s="99">
        <f>REND_TARGET[[#This Row],[Rendimiento Blanco]]*(1+REND_TARGET[[#This Row],[Merma Fabr]]+REND_TARGET[[#This Row],[Merma Oreo]]+REND_TARGET[[#This Row],[Merma E/E]])</f>
        <v>7.5160994999999993</v>
      </c>
      <c r="M18" t="s">
        <v>41</v>
      </c>
    </row>
    <row r="19" spans="1:13" x14ac:dyDescent="0.35">
      <c r="A19" s="101" t="s">
        <v>194</v>
      </c>
      <c r="B19" s="98">
        <v>2025</v>
      </c>
      <c r="C19" s="102">
        <v>9.875</v>
      </c>
      <c r="D19" s="102">
        <v>0.19</v>
      </c>
      <c r="E19" s="103">
        <v>6.4999999999999997E-3</v>
      </c>
      <c r="F19" s="103">
        <v>0.01</v>
      </c>
      <c r="G19" s="103">
        <v>1.0500000000000001E-2</v>
      </c>
      <c r="H19" s="99">
        <f>REND_TARGET[[#This Row],[Rendimiento Blanco]]*(1+REND_TARGET[[#This Row],[Merma Fabr]]+REND_TARGET[[#This Row],[Merma Oreo]]+REND_TARGET[[#This Row],[Merma E/E]])</f>
        <v>10.141624999999999</v>
      </c>
      <c r="M19" t="s">
        <v>194</v>
      </c>
    </row>
    <row r="20" spans="1:13" x14ac:dyDescent="0.35">
      <c r="A20" s="98" t="s">
        <v>189</v>
      </c>
      <c r="B20" s="98">
        <v>2026</v>
      </c>
      <c r="C20" s="96">
        <v>8.9540000000000006</v>
      </c>
      <c r="D20" s="96">
        <v>0.21299999999999999</v>
      </c>
      <c r="E20" s="97">
        <v>6.4999999999999997E-3</v>
      </c>
      <c r="F20" s="97">
        <v>0.01</v>
      </c>
      <c r="G20" s="97">
        <v>1.0500000000000001E-2</v>
      </c>
      <c r="H20" s="99">
        <f>REND_TARGET[[#This Row],[Rendimiento Blanco]]*(1+REND_TARGET[[#This Row],[Merma Fabr]]+REND_TARGET[[#This Row],[Merma Oreo]]+REND_TARGET[[#This Row],[Merma E/E]])</f>
        <v>9.1957579999999997</v>
      </c>
      <c r="M20" t="s">
        <v>590</v>
      </c>
    </row>
    <row r="21" spans="1:13" x14ac:dyDescent="0.35">
      <c r="A21" s="98" t="s">
        <v>299</v>
      </c>
      <c r="B21" s="98">
        <v>2026</v>
      </c>
      <c r="C21" s="96">
        <v>9.5500000000000007</v>
      </c>
      <c r="D21" s="96">
        <v>0.21299999999999999</v>
      </c>
      <c r="E21" s="97">
        <v>6.4999999999999997E-3</v>
      </c>
      <c r="F21" s="97">
        <v>0.01</v>
      </c>
      <c r="G21" s="97">
        <v>1.0500000000000001E-2</v>
      </c>
      <c r="H21" s="99">
        <f>REND_TARGET[[#This Row],[Rendimiento Blanco]]*(1+REND_TARGET[[#This Row],[Merma Fabr]]+REND_TARGET[[#This Row],[Merma Oreo]]+REND_TARGET[[#This Row],[Merma E/E]])</f>
        <v>9.8078500000000002</v>
      </c>
    </row>
    <row r="22" spans="1:13" x14ac:dyDescent="0.35">
      <c r="A22" s="98" t="s">
        <v>300</v>
      </c>
      <c r="B22" s="98">
        <v>2026</v>
      </c>
      <c r="C22" s="96">
        <v>7.5</v>
      </c>
      <c r="D22" s="96">
        <v>0.21299999999999999</v>
      </c>
      <c r="E22" s="97">
        <v>6.4999999999999997E-3</v>
      </c>
      <c r="F22" s="97">
        <v>0.01</v>
      </c>
      <c r="G22" s="97">
        <v>1.0500000000000001E-2</v>
      </c>
      <c r="H22" s="99">
        <f>REND_TARGET[[#This Row],[Rendimiento Blanco]]*(1+REND_TARGET[[#This Row],[Merma Fabr]]+REND_TARGET[[#This Row],[Merma Oreo]]+REND_TARGET[[#This Row],[Merma E/E]])</f>
        <v>7.7024999999999997</v>
      </c>
    </row>
    <row r="23" spans="1:13" x14ac:dyDescent="0.35">
      <c r="A23" s="98" t="s">
        <v>445</v>
      </c>
      <c r="B23" s="98">
        <v>2026</v>
      </c>
      <c r="C23" s="96">
        <v>9.5500000000000007</v>
      </c>
      <c r="D23" s="96">
        <v>0.33699999999999997</v>
      </c>
      <c r="E23" s="97">
        <v>6.4999999999999997E-3</v>
      </c>
      <c r="F23" s="97">
        <v>0.01</v>
      </c>
      <c r="G23" s="97">
        <v>1.0500000000000001E-2</v>
      </c>
      <c r="H23" s="99">
        <f>REND_TARGET[[#This Row],[Rendimiento Blanco]]*(1+REND_TARGET[[#This Row],[Merma Fabr]]+REND_TARGET[[#This Row],[Merma Oreo]]+REND_TARGET[[#This Row],[Merma E/E]])</f>
        <v>9.8078500000000002</v>
      </c>
    </row>
    <row r="24" spans="1:13" x14ac:dyDescent="0.35">
      <c r="A24" s="98" t="s">
        <v>190</v>
      </c>
      <c r="B24" s="98">
        <v>2026</v>
      </c>
      <c r="C24" s="96">
        <v>8.2710000000000008</v>
      </c>
      <c r="D24" s="96">
        <v>0.19</v>
      </c>
      <c r="E24" s="97">
        <v>6.4999999999999997E-3</v>
      </c>
      <c r="F24" s="97">
        <v>0.01</v>
      </c>
      <c r="G24" s="97">
        <v>1.0500000000000001E-2</v>
      </c>
      <c r="H24" s="99">
        <f>REND_TARGET[[#This Row],[Rendimiento Blanco]]*(1+REND_TARGET[[#This Row],[Merma Fabr]]+REND_TARGET[[#This Row],[Merma Oreo]]+REND_TARGET[[#This Row],[Merma E/E]])</f>
        <v>8.4943170000000006</v>
      </c>
    </row>
    <row r="25" spans="1:13" x14ac:dyDescent="0.35">
      <c r="A25" s="98" t="s">
        <v>301</v>
      </c>
      <c r="B25" s="98">
        <v>2026</v>
      </c>
      <c r="C25" s="96">
        <v>9.109</v>
      </c>
      <c r="D25" s="96">
        <v>0.19</v>
      </c>
      <c r="E25" s="97">
        <v>6.4999999999999997E-3</v>
      </c>
      <c r="F25" s="97">
        <v>0.01</v>
      </c>
      <c r="G25" s="97">
        <v>1.0500000000000001E-2</v>
      </c>
      <c r="H25" s="99">
        <f>REND_TARGET[[#This Row],[Rendimiento Blanco]]*(1+REND_TARGET[[#This Row],[Merma Fabr]]+REND_TARGET[[#This Row],[Merma Oreo]]+REND_TARGET[[#This Row],[Merma E/E]])</f>
        <v>9.3549429999999987</v>
      </c>
    </row>
    <row r="26" spans="1:13" x14ac:dyDescent="0.35">
      <c r="A26" s="98" t="s">
        <v>302</v>
      </c>
      <c r="B26" s="98">
        <v>2026</v>
      </c>
      <c r="C26" s="96">
        <v>7</v>
      </c>
      <c r="D26" s="96">
        <v>0.19</v>
      </c>
      <c r="E26" s="97">
        <v>6.4999999999999997E-3</v>
      </c>
      <c r="F26" s="97">
        <v>0.01</v>
      </c>
      <c r="G26" s="97">
        <v>1.0500000000000001E-2</v>
      </c>
      <c r="H26" s="99">
        <f>REND_TARGET[[#This Row],[Rendimiento Blanco]]*(1+REND_TARGET[[#This Row],[Merma Fabr]]+REND_TARGET[[#This Row],[Merma Oreo]]+REND_TARGET[[#This Row],[Merma E/E]])</f>
        <v>7.1889999999999992</v>
      </c>
    </row>
    <row r="27" spans="1:13" x14ac:dyDescent="0.35">
      <c r="A27" s="98" t="s">
        <v>446</v>
      </c>
      <c r="B27" s="98">
        <v>2026</v>
      </c>
      <c r="C27" s="96">
        <v>9.109</v>
      </c>
      <c r="D27" s="96">
        <v>0.31900000000000001</v>
      </c>
      <c r="E27" s="97">
        <v>6.4999999999999997E-3</v>
      </c>
      <c r="F27" s="97">
        <v>0.01</v>
      </c>
      <c r="G27" s="97">
        <v>1.0500000000000001E-2</v>
      </c>
      <c r="H27" s="99">
        <f>REND_TARGET[[#This Row],[Rendimiento Blanco]]*(1+REND_TARGET[[#This Row],[Merma Fabr]]+REND_TARGET[[#This Row],[Merma Oreo]]+REND_TARGET[[#This Row],[Merma E/E]])</f>
        <v>9.3549429999999987</v>
      </c>
    </row>
    <row r="28" spans="1:13" x14ac:dyDescent="0.35">
      <c r="A28" s="98" t="s">
        <v>146</v>
      </c>
      <c r="B28" s="98">
        <v>2026</v>
      </c>
      <c r="C28" s="96">
        <f>+C21</f>
        <v>9.5500000000000007</v>
      </c>
      <c r="D28" s="96">
        <v>0.24399999999999999</v>
      </c>
      <c r="E28" s="97">
        <v>6.4999999999999997E-3</v>
      </c>
      <c r="F28" s="97">
        <v>0.01</v>
      </c>
      <c r="G28" s="97">
        <v>1.0500000000000001E-2</v>
      </c>
      <c r="H28" s="99">
        <f>REND_TARGET[[#This Row],[Rendimiento Blanco]]*(1+REND_TARGET[[#This Row],[Merma Fabr]]+REND_TARGET[[#This Row],[Merma Oreo]]+REND_TARGET[[#This Row],[Merma E/E]])</f>
        <v>9.8078500000000002</v>
      </c>
    </row>
    <row r="29" spans="1:13" x14ac:dyDescent="0.35">
      <c r="A29" s="98" t="s">
        <v>147</v>
      </c>
      <c r="B29" s="98">
        <v>2026</v>
      </c>
      <c r="C29" s="96">
        <v>7.35</v>
      </c>
      <c r="D29" s="96">
        <v>0.14499999999999999</v>
      </c>
      <c r="E29" s="97">
        <v>6.4999999999999997E-3</v>
      </c>
      <c r="F29" s="97">
        <v>0.01</v>
      </c>
      <c r="G29" s="97">
        <v>1.0500000000000001E-2</v>
      </c>
      <c r="H29" s="99">
        <f>REND_TARGET[[#This Row],[Rendimiento Blanco]]*(1+REND_TARGET[[#This Row],[Merma Fabr]]+REND_TARGET[[#This Row],[Merma Oreo]]+REND_TARGET[[#This Row],[Merma E/E]])</f>
        <v>7.548449999999999</v>
      </c>
    </row>
    <row r="30" spans="1:13" x14ac:dyDescent="0.35">
      <c r="A30" s="98" t="s">
        <v>40</v>
      </c>
      <c r="B30" s="98">
        <v>2026</v>
      </c>
      <c r="C30" s="96">
        <v>8.6989999999999998</v>
      </c>
      <c r="D30" s="96">
        <v>0.33999999999999997</v>
      </c>
      <c r="E30" s="97">
        <v>6.4999999999999997E-3</v>
      </c>
      <c r="F30" s="97">
        <v>0.01</v>
      </c>
      <c r="G30" s="97">
        <v>1.0500000000000001E-2</v>
      </c>
      <c r="H30" s="99">
        <f>REND_TARGET[[#This Row],[Rendimiento Blanco]]*(1+REND_TARGET[[#This Row],[Merma Fabr]]+REND_TARGET[[#This Row],[Merma Oreo]]+REND_TARGET[[#This Row],[Merma E/E]])</f>
        <v>8.9338729999999984</v>
      </c>
    </row>
    <row r="31" spans="1:13" x14ac:dyDescent="0.35">
      <c r="A31" s="98" t="s">
        <v>145</v>
      </c>
      <c r="B31" s="98">
        <v>2026</v>
      </c>
      <c r="C31" s="96">
        <v>8.0790000000000006</v>
      </c>
      <c r="D31" s="96">
        <v>0.26600000000000001</v>
      </c>
      <c r="E31" s="97">
        <v>6.4999999999999997E-3</v>
      </c>
      <c r="F31" s="97">
        <v>0.01</v>
      </c>
      <c r="G31" s="97">
        <v>1.0500000000000001E-2</v>
      </c>
      <c r="H31" s="99">
        <f>REND_TARGET[[#This Row],[Rendimiento Blanco]]*(1+REND_TARGET[[#This Row],[Merma Fabr]]+REND_TARGET[[#This Row],[Merma Oreo]]+REND_TARGET[[#This Row],[Merma E/E]])</f>
        <v>8.2971330000000005</v>
      </c>
    </row>
    <row r="32" spans="1:13" x14ac:dyDescent="0.35">
      <c r="A32" s="98" t="s">
        <v>144</v>
      </c>
      <c r="B32" s="98">
        <v>2026</v>
      </c>
      <c r="C32" s="96">
        <v>5.4489999999999998</v>
      </c>
      <c r="D32" s="96">
        <v>0.25700000000000001</v>
      </c>
      <c r="E32" s="97">
        <v>6.4999999999999997E-3</v>
      </c>
      <c r="F32" s="97">
        <v>0.01</v>
      </c>
      <c r="G32" s="97">
        <v>1.0500000000000001E-2</v>
      </c>
      <c r="H32" s="99">
        <f>REND_TARGET[[#This Row],[Rendimiento Blanco]]*(1+REND_TARGET[[#This Row],[Merma Fabr]]+REND_TARGET[[#This Row],[Merma Oreo]]+REND_TARGET[[#This Row],[Merma E/E]])</f>
        <v>5.5961229999999995</v>
      </c>
    </row>
    <row r="33" spans="1:8" x14ac:dyDescent="0.35">
      <c r="A33" s="98" t="s">
        <v>199</v>
      </c>
      <c r="B33" s="98">
        <v>2026</v>
      </c>
      <c r="C33" s="96">
        <v>8.4283999999999999</v>
      </c>
      <c r="D33" s="96">
        <v>0.245</v>
      </c>
      <c r="E33" s="97">
        <v>6.4999999999999997E-3</v>
      </c>
      <c r="F33" s="97">
        <v>0.01</v>
      </c>
      <c r="G33" s="97">
        <v>1.0500000000000001E-2</v>
      </c>
      <c r="H33" s="99">
        <f>REND_TARGET[[#This Row],[Rendimiento Blanco]]*(1+REND_TARGET[[#This Row],[Merma Fabr]]+REND_TARGET[[#This Row],[Merma Oreo]]+REND_TARGET[[#This Row],[Merma E/E]])</f>
        <v>8.6559667999999999</v>
      </c>
    </row>
    <row r="34" spans="1:8" x14ac:dyDescent="0.35">
      <c r="A34" s="98" t="s">
        <v>41</v>
      </c>
      <c r="B34" s="98">
        <v>2026</v>
      </c>
      <c r="C34" s="96">
        <v>7.3185000000000002</v>
      </c>
      <c r="D34" s="96">
        <v>0.245</v>
      </c>
      <c r="E34" s="97">
        <v>6.4999999999999997E-3</v>
      </c>
      <c r="F34" s="97">
        <v>0.01</v>
      </c>
      <c r="G34" s="97">
        <v>1.0500000000000001E-2</v>
      </c>
      <c r="H34" s="99">
        <f>REND_TARGET[[#This Row],[Rendimiento Blanco]]*(1+REND_TARGET[[#This Row],[Merma Fabr]]+REND_TARGET[[#This Row],[Merma Oreo]]+REND_TARGET[[#This Row],[Merma E/E]])</f>
        <v>7.5160994999999993</v>
      </c>
    </row>
    <row r="35" spans="1:8" x14ac:dyDescent="0.35">
      <c r="A35" s="101" t="s">
        <v>194</v>
      </c>
      <c r="B35" s="98">
        <v>2026</v>
      </c>
      <c r="C35" s="102">
        <v>9.875</v>
      </c>
      <c r="D35" s="102">
        <v>0.19</v>
      </c>
      <c r="E35" s="103">
        <v>6.4999999999999997E-3</v>
      </c>
      <c r="F35" s="103">
        <v>0.01</v>
      </c>
      <c r="G35" s="103">
        <v>1.0500000000000001E-2</v>
      </c>
      <c r="H35" s="179">
        <f>REND_TARGET[[#This Row],[Rendimiento Blanco]]*(1+REND_TARGET[[#This Row],[Merma Fabr]]+REND_TARGET[[#This Row],[Merma Oreo]]+REND_TARGET[[#This Row],[Merma E/E]])</f>
        <v>10.141624999999999</v>
      </c>
    </row>
    <row r="36" spans="1:8" x14ac:dyDescent="0.35">
      <c r="A36" s="98" t="s">
        <v>189</v>
      </c>
      <c r="B36" s="98">
        <v>2027</v>
      </c>
      <c r="C36" s="96">
        <v>8.9540000000000006</v>
      </c>
      <c r="D36" s="96">
        <v>0.21299999999999999</v>
      </c>
      <c r="E36" s="97">
        <v>6.4999999999999997E-3</v>
      </c>
      <c r="F36" s="97">
        <v>0.01</v>
      </c>
      <c r="G36" s="97">
        <v>1.0500000000000001E-2</v>
      </c>
      <c r="H36" s="99">
        <f>REND_TARGET[[#This Row],[Rendimiento Blanco]]*(1+REND_TARGET[[#This Row],[Merma Fabr]]+REND_TARGET[[#This Row],[Merma Oreo]]+REND_TARGET[[#This Row],[Merma E/E]])</f>
        <v>9.1957579999999997</v>
      </c>
    </row>
    <row r="37" spans="1:8" x14ac:dyDescent="0.35">
      <c r="A37" s="98" t="s">
        <v>299</v>
      </c>
      <c r="B37" s="98">
        <v>2027</v>
      </c>
      <c r="C37" s="96">
        <v>9.5500000000000007</v>
      </c>
      <c r="D37" s="96">
        <v>0.21299999999999999</v>
      </c>
      <c r="E37" s="97">
        <v>6.4999999999999997E-3</v>
      </c>
      <c r="F37" s="97">
        <v>0.01</v>
      </c>
      <c r="G37" s="97">
        <v>1.0500000000000001E-2</v>
      </c>
      <c r="H37" s="99">
        <f>REND_TARGET[[#This Row],[Rendimiento Blanco]]*(1+REND_TARGET[[#This Row],[Merma Fabr]]+REND_TARGET[[#This Row],[Merma Oreo]]+REND_TARGET[[#This Row],[Merma E/E]])</f>
        <v>9.8078500000000002</v>
      </c>
    </row>
    <row r="38" spans="1:8" x14ac:dyDescent="0.35">
      <c r="A38" s="98" t="s">
        <v>300</v>
      </c>
      <c r="B38" s="98">
        <v>2027</v>
      </c>
      <c r="C38" s="96">
        <v>7.5</v>
      </c>
      <c r="D38" s="96">
        <v>0.21299999999999999</v>
      </c>
      <c r="E38" s="97">
        <v>6.4999999999999997E-3</v>
      </c>
      <c r="F38" s="97">
        <v>0.01</v>
      </c>
      <c r="G38" s="97">
        <v>1.0500000000000001E-2</v>
      </c>
      <c r="H38" s="99">
        <f>REND_TARGET[[#This Row],[Rendimiento Blanco]]*(1+REND_TARGET[[#This Row],[Merma Fabr]]+REND_TARGET[[#This Row],[Merma Oreo]]+REND_TARGET[[#This Row],[Merma E/E]])</f>
        <v>7.7024999999999997</v>
      </c>
    </row>
    <row r="39" spans="1:8" x14ac:dyDescent="0.35">
      <c r="A39" s="98" t="s">
        <v>445</v>
      </c>
      <c r="B39" s="98">
        <v>2027</v>
      </c>
      <c r="C39" s="96">
        <v>9.5500000000000007</v>
      </c>
      <c r="D39" s="96">
        <v>0.33699999999999997</v>
      </c>
      <c r="E39" s="97">
        <v>6.4999999999999997E-3</v>
      </c>
      <c r="F39" s="97">
        <v>0.01</v>
      </c>
      <c r="G39" s="97">
        <v>1.0500000000000001E-2</v>
      </c>
      <c r="H39" s="99">
        <f>REND_TARGET[[#This Row],[Rendimiento Blanco]]*(1+REND_TARGET[[#This Row],[Merma Fabr]]+REND_TARGET[[#This Row],[Merma Oreo]]+REND_TARGET[[#This Row],[Merma E/E]])</f>
        <v>9.8078500000000002</v>
      </c>
    </row>
    <row r="40" spans="1:8" x14ac:dyDescent="0.35">
      <c r="A40" s="98" t="s">
        <v>190</v>
      </c>
      <c r="B40" s="98">
        <v>2027</v>
      </c>
      <c r="C40" s="96">
        <v>8.2710000000000008</v>
      </c>
      <c r="D40" s="96">
        <v>0.19</v>
      </c>
      <c r="E40" s="97">
        <v>6.4999999999999997E-3</v>
      </c>
      <c r="F40" s="97">
        <v>0.01</v>
      </c>
      <c r="G40" s="97">
        <v>1.0500000000000001E-2</v>
      </c>
      <c r="H40" s="99">
        <f>REND_TARGET[[#This Row],[Rendimiento Blanco]]*(1+REND_TARGET[[#This Row],[Merma Fabr]]+REND_TARGET[[#This Row],[Merma Oreo]]+REND_TARGET[[#This Row],[Merma E/E]])</f>
        <v>8.4943170000000006</v>
      </c>
    </row>
    <row r="41" spans="1:8" x14ac:dyDescent="0.35">
      <c r="A41" s="98" t="s">
        <v>301</v>
      </c>
      <c r="B41" s="98">
        <v>2027</v>
      </c>
      <c r="C41" s="96">
        <v>9.109</v>
      </c>
      <c r="D41" s="96">
        <v>0.19</v>
      </c>
      <c r="E41" s="97">
        <v>6.4999999999999997E-3</v>
      </c>
      <c r="F41" s="97">
        <v>0.01</v>
      </c>
      <c r="G41" s="97">
        <v>1.0500000000000001E-2</v>
      </c>
      <c r="H41" s="99">
        <f>REND_TARGET[[#This Row],[Rendimiento Blanco]]*(1+REND_TARGET[[#This Row],[Merma Fabr]]+REND_TARGET[[#This Row],[Merma Oreo]]+REND_TARGET[[#This Row],[Merma E/E]])</f>
        <v>9.3549429999999987</v>
      </c>
    </row>
    <row r="42" spans="1:8" x14ac:dyDescent="0.35">
      <c r="A42" s="98" t="s">
        <v>302</v>
      </c>
      <c r="B42" s="98">
        <v>2027</v>
      </c>
      <c r="C42" s="96">
        <v>7</v>
      </c>
      <c r="D42" s="96">
        <v>0.19</v>
      </c>
      <c r="E42" s="97">
        <v>6.4999999999999997E-3</v>
      </c>
      <c r="F42" s="97">
        <v>0.01</v>
      </c>
      <c r="G42" s="97">
        <v>1.0500000000000001E-2</v>
      </c>
      <c r="H42" s="99">
        <f>REND_TARGET[[#This Row],[Rendimiento Blanco]]*(1+REND_TARGET[[#This Row],[Merma Fabr]]+REND_TARGET[[#This Row],[Merma Oreo]]+REND_TARGET[[#This Row],[Merma E/E]])</f>
        <v>7.1889999999999992</v>
      </c>
    </row>
    <row r="43" spans="1:8" x14ac:dyDescent="0.35">
      <c r="A43" s="98" t="s">
        <v>446</v>
      </c>
      <c r="B43" s="98">
        <v>2027</v>
      </c>
      <c r="C43" s="96">
        <v>9.109</v>
      </c>
      <c r="D43" s="96">
        <v>0.31900000000000001</v>
      </c>
      <c r="E43" s="97">
        <v>6.4999999999999997E-3</v>
      </c>
      <c r="F43" s="97">
        <v>0.01</v>
      </c>
      <c r="G43" s="97">
        <v>1.0500000000000001E-2</v>
      </c>
      <c r="H43" s="99">
        <f>REND_TARGET[[#This Row],[Rendimiento Blanco]]*(1+REND_TARGET[[#This Row],[Merma Fabr]]+REND_TARGET[[#This Row],[Merma Oreo]]+REND_TARGET[[#This Row],[Merma E/E]])</f>
        <v>9.3549429999999987</v>
      </c>
    </row>
    <row r="44" spans="1:8" x14ac:dyDescent="0.35">
      <c r="A44" s="98" t="s">
        <v>146</v>
      </c>
      <c r="B44" s="98">
        <v>2027</v>
      </c>
      <c r="C44" s="96">
        <f>+C37</f>
        <v>9.5500000000000007</v>
      </c>
      <c r="D44" s="96">
        <v>0.24399999999999999</v>
      </c>
      <c r="E44" s="97">
        <v>6.4999999999999997E-3</v>
      </c>
      <c r="F44" s="97">
        <v>0.01</v>
      </c>
      <c r="G44" s="97">
        <v>1.0500000000000001E-2</v>
      </c>
      <c r="H44" s="99">
        <f>REND_TARGET[[#This Row],[Rendimiento Blanco]]*(1+REND_TARGET[[#This Row],[Merma Fabr]]+REND_TARGET[[#This Row],[Merma Oreo]]+REND_TARGET[[#This Row],[Merma E/E]])</f>
        <v>9.8078500000000002</v>
      </c>
    </row>
    <row r="45" spans="1:8" x14ac:dyDescent="0.35">
      <c r="A45" s="98" t="s">
        <v>147</v>
      </c>
      <c r="B45" s="98">
        <v>2027</v>
      </c>
      <c r="C45" s="96">
        <v>7.35</v>
      </c>
      <c r="D45" s="96">
        <v>0.14499999999999999</v>
      </c>
      <c r="E45" s="97">
        <v>6.4999999999999997E-3</v>
      </c>
      <c r="F45" s="97">
        <v>0.01</v>
      </c>
      <c r="G45" s="97">
        <v>1.0500000000000001E-2</v>
      </c>
      <c r="H45" s="99">
        <f>REND_TARGET[[#This Row],[Rendimiento Blanco]]*(1+REND_TARGET[[#This Row],[Merma Fabr]]+REND_TARGET[[#This Row],[Merma Oreo]]+REND_TARGET[[#This Row],[Merma E/E]])</f>
        <v>7.548449999999999</v>
      </c>
    </row>
    <row r="46" spans="1:8" x14ac:dyDescent="0.35">
      <c r="A46" s="98" t="s">
        <v>40</v>
      </c>
      <c r="B46" s="98">
        <v>2027</v>
      </c>
      <c r="C46" s="96">
        <v>8.6989999999999998</v>
      </c>
      <c r="D46" s="96">
        <v>0.33999999999999997</v>
      </c>
      <c r="E46" s="97">
        <v>6.4999999999999997E-3</v>
      </c>
      <c r="F46" s="97">
        <v>0.01</v>
      </c>
      <c r="G46" s="97">
        <v>1.0500000000000001E-2</v>
      </c>
      <c r="H46" s="99">
        <f>REND_TARGET[[#This Row],[Rendimiento Blanco]]*(1+REND_TARGET[[#This Row],[Merma Fabr]]+REND_TARGET[[#This Row],[Merma Oreo]]+REND_TARGET[[#This Row],[Merma E/E]])</f>
        <v>8.9338729999999984</v>
      </c>
    </row>
    <row r="47" spans="1:8" x14ac:dyDescent="0.35">
      <c r="A47" s="98" t="s">
        <v>145</v>
      </c>
      <c r="B47" s="98">
        <v>2027</v>
      </c>
      <c r="C47" s="96">
        <v>8.0790000000000006</v>
      </c>
      <c r="D47" s="96">
        <v>0.26600000000000001</v>
      </c>
      <c r="E47" s="97">
        <v>6.4999999999999997E-3</v>
      </c>
      <c r="F47" s="97">
        <v>0.01</v>
      </c>
      <c r="G47" s="97">
        <v>1.0500000000000001E-2</v>
      </c>
      <c r="H47" s="99">
        <f>REND_TARGET[[#This Row],[Rendimiento Blanco]]*(1+REND_TARGET[[#This Row],[Merma Fabr]]+REND_TARGET[[#This Row],[Merma Oreo]]+REND_TARGET[[#This Row],[Merma E/E]])</f>
        <v>8.2971330000000005</v>
      </c>
    </row>
    <row r="48" spans="1:8" x14ac:dyDescent="0.35">
      <c r="A48" s="98" t="s">
        <v>144</v>
      </c>
      <c r="B48" s="98">
        <v>2027</v>
      </c>
      <c r="C48" s="96">
        <v>5.4489999999999998</v>
      </c>
      <c r="D48" s="96">
        <v>0.25700000000000001</v>
      </c>
      <c r="E48" s="97">
        <v>6.4999999999999997E-3</v>
      </c>
      <c r="F48" s="97">
        <v>0.01</v>
      </c>
      <c r="G48" s="97">
        <v>1.0500000000000001E-2</v>
      </c>
      <c r="H48" s="99">
        <f>REND_TARGET[[#This Row],[Rendimiento Blanco]]*(1+REND_TARGET[[#This Row],[Merma Fabr]]+REND_TARGET[[#This Row],[Merma Oreo]]+REND_TARGET[[#This Row],[Merma E/E]])</f>
        <v>5.5961229999999995</v>
      </c>
    </row>
    <row r="49" spans="1:8" x14ac:dyDescent="0.35">
      <c r="A49" s="98" t="s">
        <v>199</v>
      </c>
      <c r="B49" s="98">
        <v>2027</v>
      </c>
      <c r="C49" s="96">
        <v>8.4283999999999999</v>
      </c>
      <c r="D49" s="96">
        <v>0.245</v>
      </c>
      <c r="E49" s="97">
        <v>6.4999999999999997E-3</v>
      </c>
      <c r="F49" s="97">
        <v>0.01</v>
      </c>
      <c r="G49" s="97">
        <v>1.0500000000000001E-2</v>
      </c>
      <c r="H49" s="99">
        <f>REND_TARGET[[#This Row],[Rendimiento Blanco]]*(1+REND_TARGET[[#This Row],[Merma Fabr]]+REND_TARGET[[#This Row],[Merma Oreo]]+REND_TARGET[[#This Row],[Merma E/E]])</f>
        <v>8.6559667999999999</v>
      </c>
    </row>
    <row r="50" spans="1:8" x14ac:dyDescent="0.35">
      <c r="A50" s="98" t="s">
        <v>41</v>
      </c>
      <c r="B50" s="98">
        <v>2027</v>
      </c>
      <c r="C50" s="96">
        <v>7.3185000000000002</v>
      </c>
      <c r="D50" s="96">
        <v>0.245</v>
      </c>
      <c r="E50" s="97">
        <v>6.4999999999999997E-3</v>
      </c>
      <c r="F50" s="97">
        <v>0.01</v>
      </c>
      <c r="G50" s="97">
        <v>1.0500000000000001E-2</v>
      </c>
      <c r="H50" s="99">
        <f>REND_TARGET[[#This Row],[Rendimiento Blanco]]*(1+REND_TARGET[[#This Row],[Merma Fabr]]+REND_TARGET[[#This Row],[Merma Oreo]]+REND_TARGET[[#This Row],[Merma E/E]])</f>
        <v>7.5160994999999993</v>
      </c>
    </row>
    <row r="51" spans="1:8" x14ac:dyDescent="0.35">
      <c r="A51" s="101" t="s">
        <v>194</v>
      </c>
      <c r="B51" s="98">
        <v>2027</v>
      </c>
      <c r="C51" s="102">
        <v>9.875</v>
      </c>
      <c r="D51" s="102">
        <v>0.19</v>
      </c>
      <c r="E51" s="103">
        <v>6.4999999999999997E-3</v>
      </c>
      <c r="F51" s="103">
        <v>0.01</v>
      </c>
      <c r="G51" s="103">
        <v>1.0500000000000001E-2</v>
      </c>
      <c r="H51" s="179">
        <f>REND_TARGET[[#This Row],[Rendimiento Blanco]]*(1+REND_TARGET[[#This Row],[Merma Fabr]]+REND_TARGET[[#This Row],[Merma Oreo]]+REND_TARGET[[#This Row],[Merma E/E]])</f>
        <v>10.141624999999999</v>
      </c>
    </row>
    <row r="52" spans="1:8" x14ac:dyDescent="0.35">
      <c r="A52" s="98" t="s">
        <v>189</v>
      </c>
      <c r="B52" s="98">
        <v>2027</v>
      </c>
      <c r="C52" s="96">
        <v>8.9540000000000006</v>
      </c>
      <c r="D52" s="96">
        <v>0.21299999999999999</v>
      </c>
      <c r="E52" s="97">
        <v>6.4999999999999997E-3</v>
      </c>
      <c r="F52" s="97">
        <v>0.01</v>
      </c>
      <c r="G52" s="97">
        <v>1.0500000000000001E-2</v>
      </c>
      <c r="H52" s="99">
        <f>REND_TARGET[[#This Row],[Rendimiento Blanco]]*(1+REND_TARGET[[#This Row],[Merma Fabr]]+REND_TARGET[[#This Row],[Merma Oreo]]+REND_TARGET[[#This Row],[Merma E/E]])</f>
        <v>9.1957579999999997</v>
      </c>
    </row>
    <row r="53" spans="1:8" x14ac:dyDescent="0.35">
      <c r="A53" s="98" t="s">
        <v>299</v>
      </c>
      <c r="B53" s="98">
        <v>2028</v>
      </c>
      <c r="C53" s="96">
        <v>9.5500000000000007</v>
      </c>
      <c r="D53" s="96">
        <v>0.21299999999999999</v>
      </c>
      <c r="E53" s="97">
        <v>6.4999999999999997E-3</v>
      </c>
      <c r="F53" s="97">
        <v>0.01</v>
      </c>
      <c r="G53" s="97">
        <v>1.0500000000000001E-2</v>
      </c>
      <c r="H53" s="99">
        <f>REND_TARGET[[#This Row],[Rendimiento Blanco]]*(1+REND_TARGET[[#This Row],[Merma Fabr]]+REND_TARGET[[#This Row],[Merma Oreo]]+REND_TARGET[[#This Row],[Merma E/E]])</f>
        <v>9.8078500000000002</v>
      </c>
    </row>
    <row r="54" spans="1:8" x14ac:dyDescent="0.35">
      <c r="A54" s="98" t="s">
        <v>300</v>
      </c>
      <c r="B54" s="98">
        <v>2028</v>
      </c>
      <c r="C54" s="96">
        <v>7.5</v>
      </c>
      <c r="D54" s="96">
        <v>0.21299999999999999</v>
      </c>
      <c r="E54" s="97">
        <v>6.4999999999999997E-3</v>
      </c>
      <c r="F54" s="97">
        <v>0.01</v>
      </c>
      <c r="G54" s="97">
        <v>1.0500000000000001E-2</v>
      </c>
      <c r="H54" s="99">
        <f>REND_TARGET[[#This Row],[Rendimiento Blanco]]*(1+REND_TARGET[[#This Row],[Merma Fabr]]+REND_TARGET[[#This Row],[Merma Oreo]]+REND_TARGET[[#This Row],[Merma E/E]])</f>
        <v>7.7024999999999997</v>
      </c>
    </row>
    <row r="55" spans="1:8" x14ac:dyDescent="0.35">
      <c r="A55" s="98" t="s">
        <v>445</v>
      </c>
      <c r="B55" s="98">
        <v>2028</v>
      </c>
      <c r="C55" s="96">
        <v>9.5500000000000007</v>
      </c>
      <c r="D55" s="96">
        <v>0.33699999999999997</v>
      </c>
      <c r="E55" s="97">
        <v>6.4999999999999997E-3</v>
      </c>
      <c r="F55" s="97">
        <v>0.01</v>
      </c>
      <c r="G55" s="97">
        <v>1.0500000000000001E-2</v>
      </c>
      <c r="H55" s="99">
        <f>REND_TARGET[[#This Row],[Rendimiento Blanco]]*(1+REND_TARGET[[#This Row],[Merma Fabr]]+REND_TARGET[[#This Row],[Merma Oreo]]+REND_TARGET[[#This Row],[Merma E/E]])</f>
        <v>9.8078500000000002</v>
      </c>
    </row>
    <row r="56" spans="1:8" x14ac:dyDescent="0.35">
      <c r="A56" s="98" t="s">
        <v>190</v>
      </c>
      <c r="B56" s="98">
        <v>2028</v>
      </c>
      <c r="C56" s="96">
        <v>8.2710000000000008</v>
      </c>
      <c r="D56" s="96">
        <v>0.19</v>
      </c>
      <c r="E56" s="97">
        <v>6.4999999999999997E-3</v>
      </c>
      <c r="F56" s="97">
        <v>0.01</v>
      </c>
      <c r="G56" s="97">
        <v>1.0500000000000001E-2</v>
      </c>
      <c r="H56" s="99">
        <f>REND_TARGET[[#This Row],[Rendimiento Blanco]]*(1+REND_TARGET[[#This Row],[Merma Fabr]]+REND_TARGET[[#This Row],[Merma Oreo]]+REND_TARGET[[#This Row],[Merma E/E]])</f>
        <v>8.4943170000000006</v>
      </c>
    </row>
    <row r="57" spans="1:8" x14ac:dyDescent="0.35">
      <c r="A57" s="98" t="s">
        <v>301</v>
      </c>
      <c r="B57" s="98">
        <v>2028</v>
      </c>
      <c r="C57" s="96">
        <v>9.109</v>
      </c>
      <c r="D57" s="96">
        <v>0.19</v>
      </c>
      <c r="E57" s="97">
        <v>6.4999999999999997E-3</v>
      </c>
      <c r="F57" s="97">
        <v>0.01</v>
      </c>
      <c r="G57" s="97">
        <v>1.0500000000000001E-2</v>
      </c>
      <c r="H57" s="99">
        <f>REND_TARGET[[#This Row],[Rendimiento Blanco]]*(1+REND_TARGET[[#This Row],[Merma Fabr]]+REND_TARGET[[#This Row],[Merma Oreo]]+REND_TARGET[[#This Row],[Merma E/E]])</f>
        <v>9.3549429999999987</v>
      </c>
    </row>
    <row r="58" spans="1:8" x14ac:dyDescent="0.35">
      <c r="A58" s="98" t="s">
        <v>302</v>
      </c>
      <c r="B58" s="98">
        <v>2028</v>
      </c>
      <c r="C58" s="96">
        <v>7</v>
      </c>
      <c r="D58" s="96">
        <v>0.19</v>
      </c>
      <c r="E58" s="97">
        <v>6.4999999999999997E-3</v>
      </c>
      <c r="F58" s="97">
        <v>0.01</v>
      </c>
      <c r="G58" s="97">
        <v>1.0500000000000001E-2</v>
      </c>
      <c r="H58" s="99">
        <f>REND_TARGET[[#This Row],[Rendimiento Blanco]]*(1+REND_TARGET[[#This Row],[Merma Fabr]]+REND_TARGET[[#This Row],[Merma Oreo]]+REND_TARGET[[#This Row],[Merma E/E]])</f>
        <v>7.1889999999999992</v>
      </c>
    </row>
    <row r="59" spans="1:8" x14ac:dyDescent="0.35">
      <c r="A59" s="98" t="s">
        <v>446</v>
      </c>
      <c r="B59" s="98">
        <v>2028</v>
      </c>
      <c r="C59" s="96">
        <v>9.109</v>
      </c>
      <c r="D59" s="96">
        <v>0.31900000000000001</v>
      </c>
      <c r="E59" s="97">
        <v>6.4999999999999997E-3</v>
      </c>
      <c r="F59" s="97">
        <v>0.01</v>
      </c>
      <c r="G59" s="97">
        <v>1.0500000000000001E-2</v>
      </c>
      <c r="H59" s="99">
        <f>REND_TARGET[[#This Row],[Rendimiento Blanco]]*(1+REND_TARGET[[#This Row],[Merma Fabr]]+REND_TARGET[[#This Row],[Merma Oreo]]+REND_TARGET[[#This Row],[Merma E/E]])</f>
        <v>9.3549429999999987</v>
      </c>
    </row>
    <row r="60" spans="1:8" x14ac:dyDescent="0.35">
      <c r="A60" s="98" t="s">
        <v>146</v>
      </c>
      <c r="B60" s="98">
        <v>2028</v>
      </c>
      <c r="C60" s="96">
        <f>+C53</f>
        <v>9.5500000000000007</v>
      </c>
      <c r="D60" s="96">
        <v>0.24399999999999999</v>
      </c>
      <c r="E60" s="97">
        <v>6.4999999999999997E-3</v>
      </c>
      <c r="F60" s="97">
        <v>0.01</v>
      </c>
      <c r="G60" s="97">
        <v>1.0500000000000001E-2</v>
      </c>
      <c r="H60" s="99">
        <f>REND_TARGET[[#This Row],[Rendimiento Blanco]]*(1+REND_TARGET[[#This Row],[Merma Fabr]]+REND_TARGET[[#This Row],[Merma Oreo]]+REND_TARGET[[#This Row],[Merma E/E]])</f>
        <v>9.8078500000000002</v>
      </c>
    </row>
    <row r="61" spans="1:8" x14ac:dyDescent="0.35">
      <c r="A61" s="98" t="s">
        <v>147</v>
      </c>
      <c r="B61" s="98">
        <v>2028</v>
      </c>
      <c r="C61" s="96">
        <v>7.35</v>
      </c>
      <c r="D61" s="96">
        <v>0.14499999999999999</v>
      </c>
      <c r="E61" s="97">
        <v>6.4999999999999997E-3</v>
      </c>
      <c r="F61" s="97">
        <v>0.01</v>
      </c>
      <c r="G61" s="97">
        <v>1.0500000000000001E-2</v>
      </c>
      <c r="H61" s="99">
        <f>REND_TARGET[[#This Row],[Rendimiento Blanco]]*(1+REND_TARGET[[#This Row],[Merma Fabr]]+REND_TARGET[[#This Row],[Merma Oreo]]+REND_TARGET[[#This Row],[Merma E/E]])</f>
        <v>7.548449999999999</v>
      </c>
    </row>
    <row r="62" spans="1:8" x14ac:dyDescent="0.35">
      <c r="A62" s="98" t="s">
        <v>40</v>
      </c>
      <c r="B62" s="98">
        <v>2028</v>
      </c>
      <c r="C62" s="96">
        <v>8.6989999999999998</v>
      </c>
      <c r="D62" s="96">
        <v>0.33999999999999997</v>
      </c>
      <c r="E62" s="97">
        <v>6.4999999999999997E-3</v>
      </c>
      <c r="F62" s="97">
        <v>0.01</v>
      </c>
      <c r="G62" s="97">
        <v>1.0500000000000001E-2</v>
      </c>
      <c r="H62" s="99">
        <f>REND_TARGET[[#This Row],[Rendimiento Blanco]]*(1+REND_TARGET[[#This Row],[Merma Fabr]]+REND_TARGET[[#This Row],[Merma Oreo]]+REND_TARGET[[#This Row],[Merma E/E]])</f>
        <v>8.9338729999999984</v>
      </c>
    </row>
    <row r="63" spans="1:8" x14ac:dyDescent="0.35">
      <c r="A63" s="98" t="s">
        <v>145</v>
      </c>
      <c r="B63" s="98">
        <v>2028</v>
      </c>
      <c r="C63" s="96">
        <v>8.0790000000000006</v>
      </c>
      <c r="D63" s="96">
        <v>0.26600000000000001</v>
      </c>
      <c r="E63" s="97">
        <v>6.4999999999999997E-3</v>
      </c>
      <c r="F63" s="97">
        <v>0.01</v>
      </c>
      <c r="G63" s="97">
        <v>1.0500000000000001E-2</v>
      </c>
      <c r="H63" s="99">
        <f>REND_TARGET[[#This Row],[Rendimiento Blanco]]*(1+REND_TARGET[[#This Row],[Merma Fabr]]+REND_TARGET[[#This Row],[Merma Oreo]]+REND_TARGET[[#This Row],[Merma E/E]])</f>
        <v>8.2971330000000005</v>
      </c>
    </row>
    <row r="64" spans="1:8" x14ac:dyDescent="0.35">
      <c r="A64" s="98" t="s">
        <v>144</v>
      </c>
      <c r="B64" s="98">
        <v>2028</v>
      </c>
      <c r="C64" s="96">
        <v>5.4489999999999998</v>
      </c>
      <c r="D64" s="96">
        <v>0.25700000000000001</v>
      </c>
      <c r="E64" s="97">
        <v>6.4999999999999997E-3</v>
      </c>
      <c r="F64" s="97">
        <v>0.01</v>
      </c>
      <c r="G64" s="97">
        <v>1.0500000000000001E-2</v>
      </c>
      <c r="H64" s="99">
        <f>REND_TARGET[[#This Row],[Rendimiento Blanco]]*(1+REND_TARGET[[#This Row],[Merma Fabr]]+REND_TARGET[[#This Row],[Merma Oreo]]+REND_TARGET[[#This Row],[Merma E/E]])</f>
        <v>5.5961229999999995</v>
      </c>
    </row>
    <row r="65" spans="1:8" x14ac:dyDescent="0.35">
      <c r="A65" s="98" t="s">
        <v>199</v>
      </c>
      <c r="B65" s="98">
        <v>2028</v>
      </c>
      <c r="C65" s="96">
        <v>8.4283999999999999</v>
      </c>
      <c r="D65" s="96">
        <v>0.245</v>
      </c>
      <c r="E65" s="97">
        <v>6.4999999999999997E-3</v>
      </c>
      <c r="F65" s="97">
        <v>0.01</v>
      </c>
      <c r="G65" s="97">
        <v>1.0500000000000001E-2</v>
      </c>
      <c r="H65" s="99">
        <f>REND_TARGET[[#This Row],[Rendimiento Blanco]]*(1+REND_TARGET[[#This Row],[Merma Fabr]]+REND_TARGET[[#This Row],[Merma Oreo]]+REND_TARGET[[#This Row],[Merma E/E]])</f>
        <v>8.6559667999999999</v>
      </c>
    </row>
    <row r="66" spans="1:8" x14ac:dyDescent="0.35">
      <c r="A66" s="98" t="s">
        <v>41</v>
      </c>
      <c r="B66" s="98">
        <v>2028</v>
      </c>
      <c r="C66" s="96">
        <v>7.3185000000000002</v>
      </c>
      <c r="D66" s="96">
        <v>0.245</v>
      </c>
      <c r="E66" s="97">
        <v>6.4999999999999997E-3</v>
      </c>
      <c r="F66" s="97">
        <v>0.01</v>
      </c>
      <c r="G66" s="97">
        <v>1.0500000000000001E-2</v>
      </c>
      <c r="H66" s="99">
        <f>REND_TARGET[[#This Row],[Rendimiento Blanco]]*(1+REND_TARGET[[#This Row],[Merma Fabr]]+REND_TARGET[[#This Row],[Merma Oreo]]+REND_TARGET[[#This Row],[Merma E/E]])</f>
        <v>7.5160994999999993</v>
      </c>
    </row>
    <row r="67" spans="1:8" x14ac:dyDescent="0.35">
      <c r="A67" s="101" t="s">
        <v>194</v>
      </c>
      <c r="B67" s="98">
        <v>2028</v>
      </c>
      <c r="C67" s="102">
        <v>9.875</v>
      </c>
      <c r="D67" s="102">
        <v>0.19</v>
      </c>
      <c r="E67" s="103">
        <v>6.4999999999999997E-3</v>
      </c>
      <c r="F67" s="103">
        <v>0.01</v>
      </c>
      <c r="G67" s="103">
        <v>1.0500000000000001E-2</v>
      </c>
      <c r="H67" s="179">
        <f>REND_TARGET[[#This Row],[Rendimiento Blanco]]*(1+REND_TARGET[[#This Row],[Merma Fabr]]+REND_TARGET[[#This Row],[Merma Oreo]]+REND_TARGET[[#This Row],[Merma E/E]])</f>
        <v>10.141624999999999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86A3-19C5-4097-90F4-6338EA01E39C}">
  <sheetPr codeName="Hoja10"/>
  <dimension ref="A1:BI395"/>
  <sheetViews>
    <sheetView zoomScale="70" zoomScaleNormal="70" workbookViewId="0">
      <selection activeCell="E38" sqref="A36:E38"/>
    </sheetView>
  </sheetViews>
  <sheetFormatPr baseColWidth="10" defaultRowHeight="14.5" x14ac:dyDescent="0.35"/>
  <cols>
    <col min="1" max="1" width="17.1796875" bestFit="1" customWidth="1"/>
    <col min="2" max="2" width="15.7265625" bestFit="1" customWidth="1"/>
    <col min="3" max="3" width="12" bestFit="1" customWidth="1"/>
    <col min="4" max="4" width="12.453125" bestFit="1" customWidth="1"/>
    <col min="5" max="5" width="11.81640625" bestFit="1" customWidth="1"/>
    <col min="6" max="6" width="14.54296875" bestFit="1" customWidth="1"/>
    <col min="7" max="7" width="9.54296875" bestFit="1" customWidth="1"/>
    <col min="8" max="8" width="23.54296875" bestFit="1" customWidth="1"/>
    <col min="9" max="9" width="14.81640625" bestFit="1" customWidth="1"/>
    <col min="10" max="10" width="12.1796875" bestFit="1" customWidth="1"/>
    <col min="11" max="11" width="14.7265625" bestFit="1" customWidth="1"/>
    <col min="12" max="14" width="14.7265625" customWidth="1"/>
    <col min="15" max="15" width="14.453125" customWidth="1"/>
    <col min="16" max="16" width="10.81640625" customWidth="1"/>
    <col min="17" max="17" width="17.1796875" bestFit="1" customWidth="1"/>
    <col min="18" max="18" width="23.54296875" bestFit="1" customWidth="1"/>
    <col min="19" max="19" width="12.1796875" bestFit="1" customWidth="1"/>
    <col min="20" max="20" width="12.453125" bestFit="1" customWidth="1"/>
    <col min="21" max="21" width="11.81640625" hidden="1" customWidth="1"/>
    <col min="22" max="22" width="14.54296875" hidden="1" customWidth="1"/>
    <col min="23" max="23" width="19" hidden="1" customWidth="1"/>
    <col min="24" max="24" width="18.1796875" hidden="1" customWidth="1"/>
    <col min="25" max="25" width="11.7265625" bestFit="1" customWidth="1"/>
    <col min="26" max="26" width="15.81640625" bestFit="1" customWidth="1"/>
    <col min="27" max="27" width="8.1796875" bestFit="1" customWidth="1"/>
    <col min="28" max="28" width="8.81640625" bestFit="1" customWidth="1"/>
    <col min="29" max="29" width="9.1796875" bestFit="1" customWidth="1"/>
    <col min="30" max="30" width="8.453125" bestFit="1" customWidth="1"/>
    <col min="31" max="31" width="9.54296875" bestFit="1" customWidth="1"/>
    <col min="32" max="32" width="14.81640625" bestFit="1" customWidth="1"/>
    <col min="33" max="34" width="30.54296875" bestFit="1" customWidth="1"/>
    <col min="35" max="35" width="21.1796875" bestFit="1" customWidth="1"/>
    <col min="36" max="37" width="21.1796875" customWidth="1"/>
    <col min="38" max="38" width="11.7265625" bestFit="1" customWidth="1"/>
    <col min="39" max="39" width="14.7265625" bestFit="1" customWidth="1"/>
    <col min="40" max="40" width="18.7265625" bestFit="1" customWidth="1"/>
    <col min="41" max="41" width="15.1796875" bestFit="1" customWidth="1"/>
    <col min="42" max="42" width="14.26953125" bestFit="1" customWidth="1"/>
    <col min="43" max="43" width="17.26953125" bestFit="1" customWidth="1"/>
    <col min="44" max="46" width="21.1796875" customWidth="1"/>
    <col min="47" max="47" width="19.453125" bestFit="1" customWidth="1"/>
    <col min="48" max="48" width="24.54296875" bestFit="1" customWidth="1"/>
    <col min="49" max="49" width="19.453125" bestFit="1" customWidth="1"/>
    <col min="50" max="50" width="18.26953125" bestFit="1" customWidth="1"/>
    <col min="51" max="51" width="22.453125" bestFit="1" customWidth="1"/>
    <col min="52" max="52" width="21.7265625" customWidth="1"/>
    <col min="55" max="55" width="16.1796875" customWidth="1"/>
    <col min="56" max="56" width="22" customWidth="1"/>
    <col min="61" max="61" width="17.1796875" bestFit="1" customWidth="1"/>
    <col min="62" max="62" width="20.453125" bestFit="1" customWidth="1"/>
    <col min="63" max="67" width="11.453125" bestFit="1" customWidth="1"/>
  </cols>
  <sheetData>
    <row r="1" spans="1:61" x14ac:dyDescent="0.35">
      <c r="A1" t="s">
        <v>161</v>
      </c>
      <c r="Q1" t="s">
        <v>162</v>
      </c>
      <c r="Y1" t="s">
        <v>163</v>
      </c>
      <c r="AL1" t="s">
        <v>212</v>
      </c>
    </row>
    <row r="2" spans="1:61" x14ac:dyDescent="0.35">
      <c r="A2" s="70" t="s">
        <v>149</v>
      </c>
      <c r="B2" t="s">
        <v>180</v>
      </c>
      <c r="C2" t="s">
        <v>181</v>
      </c>
      <c r="D2" t="s">
        <v>182</v>
      </c>
      <c r="E2" t="s">
        <v>183</v>
      </c>
      <c r="F2" t="s">
        <v>184</v>
      </c>
      <c r="G2" t="s">
        <v>158</v>
      </c>
      <c r="H2" t="s">
        <v>155</v>
      </c>
      <c r="I2" t="s">
        <v>187</v>
      </c>
      <c r="J2" t="s">
        <v>159</v>
      </c>
      <c r="K2" t="s">
        <v>185</v>
      </c>
      <c r="Q2" s="70" t="s">
        <v>149</v>
      </c>
      <c r="R2" t="s">
        <v>155</v>
      </c>
      <c r="S2" t="s">
        <v>159</v>
      </c>
      <c r="Y2" s="70" t="s">
        <v>50</v>
      </c>
      <c r="Z2" t="s">
        <v>211</v>
      </c>
      <c r="AA2" t="s">
        <v>151</v>
      </c>
      <c r="AB2" t="s">
        <v>152</v>
      </c>
      <c r="AC2" t="s">
        <v>153</v>
      </c>
      <c r="AD2" t="s">
        <v>154</v>
      </c>
      <c r="AE2" t="s">
        <v>158</v>
      </c>
      <c r="AF2" t="s">
        <v>187</v>
      </c>
      <c r="AG2" t="s">
        <v>186</v>
      </c>
      <c r="AL2" s="70" t="s">
        <v>48</v>
      </c>
      <c r="AM2" t="s">
        <v>213</v>
      </c>
      <c r="AN2" t="s">
        <v>214</v>
      </c>
      <c r="AO2" t="s">
        <v>215</v>
      </c>
      <c r="AP2" t="s">
        <v>216</v>
      </c>
      <c r="AQ2" t="s">
        <v>217</v>
      </c>
      <c r="AT2" s="120" t="s">
        <v>219</v>
      </c>
      <c r="AU2" s="120" t="str">
        <f>IF(OR(AL3="Total general",AL3="",AL3=0),"",AL3)</f>
        <v>ENE</v>
      </c>
      <c r="AV2" s="120" t="str">
        <f>IF(OR(AL4="Total general",AL4="",AL4=0),"",AL4)</f>
        <v>FEB</v>
      </c>
      <c r="AW2" s="121" t="str">
        <f>IF(OR(AL5="Total general",AL5="",AL5=0),"",AL5)</f>
        <v>MAR</v>
      </c>
      <c r="AX2" s="121" t="str">
        <f>IF(OR(AL6="Total general",AL6="",AL6=0),"",AL6)</f>
        <v/>
      </c>
      <c r="AY2" s="121" t="str">
        <f>IF(OR(AL7="Total general",AL7="",AL7=0),"",AL7)</f>
        <v/>
      </c>
      <c r="AZ2" s="121" t="str">
        <f>IF(OR(AL8="Total general",AL8="",AL8=0),"",AL8)</f>
        <v/>
      </c>
      <c r="BA2" s="121" t="str">
        <f>IF(OR(AL9="Total general",AL9="",AL9=0),"",AL9)</f>
        <v/>
      </c>
      <c r="BB2" s="121" t="str">
        <f>IF(OR(AL10="Total general",AL10="",AL10=0),"",AL10)</f>
        <v/>
      </c>
      <c r="BC2" s="121" t="str">
        <f>IF(OR(AL11="Total general",AL11="",AL11=0),"",AL11)</f>
        <v/>
      </c>
      <c r="BD2" s="121" t="str">
        <f>IF(OR(AL12="Total general",AL12="",AL12=0),"",AL12)</f>
        <v/>
      </c>
      <c r="BE2" s="121" t="str">
        <f>IF(OR(AL13="Total general",AL13="",AL13=0),"",AL13)</f>
        <v/>
      </c>
      <c r="BF2" s="121" t="str">
        <f>IF(OR(AL14="Total general",AL14="",AL14=0),"",AL14)</f>
        <v/>
      </c>
      <c r="BI2" t="s">
        <v>241</v>
      </c>
    </row>
    <row r="3" spans="1:61" x14ac:dyDescent="0.35">
      <c r="A3" s="71" t="s">
        <v>145</v>
      </c>
      <c r="B3" s="8">
        <v>304487</v>
      </c>
      <c r="C3">
        <v>36211.199999999997</v>
      </c>
      <c r="D3">
        <v>35680</v>
      </c>
      <c r="E3" s="37">
        <v>8.5891960507757403</v>
      </c>
      <c r="F3" s="74">
        <v>0.78547469120619984</v>
      </c>
      <c r="G3" s="73">
        <v>3.6699569729182487E-2</v>
      </c>
      <c r="H3" s="74">
        <v>5.399666088961981E-3</v>
      </c>
      <c r="I3" s="74">
        <v>2.1021120537292333E-2</v>
      </c>
      <c r="J3" s="75">
        <v>-989.56</v>
      </c>
      <c r="K3" s="85">
        <v>4.0248999999999997</v>
      </c>
      <c r="Q3" s="71">
        <v>50126346</v>
      </c>
      <c r="R3" s="74">
        <v>3.4696239364986306E-3</v>
      </c>
      <c r="S3" s="75">
        <v>-589.19899999999996</v>
      </c>
      <c r="Y3" s="71" t="s">
        <v>145</v>
      </c>
      <c r="Z3" s="37">
        <v>51.3</v>
      </c>
      <c r="AA3" s="74">
        <v>2.0090200902009019E-2</v>
      </c>
      <c r="AB3" s="74">
        <v>2.6650266502665026E-3</v>
      </c>
      <c r="AC3" s="74">
        <v>6.7650676506765071E-3</v>
      </c>
      <c r="AD3" s="74">
        <v>2.3575235752357523E-2</v>
      </c>
      <c r="AE3" s="74">
        <v>3.6699569729182487E-2</v>
      </c>
      <c r="AF3" s="74">
        <v>2.1021120537292333E-2</v>
      </c>
      <c r="AG3" s="74">
        <v>1</v>
      </c>
      <c r="AK3" s="74"/>
      <c r="AL3" s="71" t="s">
        <v>218</v>
      </c>
      <c r="AM3" s="74">
        <v>1.7603920322079546E-3</v>
      </c>
      <c r="AN3" s="74">
        <v>2.0238111375638691E-3</v>
      </c>
      <c r="AO3" s="74">
        <v>1.5173823863014145E-3</v>
      </c>
      <c r="AP3" s="74">
        <v>8.7006744107872829E-3</v>
      </c>
      <c r="AQ3" s="74">
        <v>1.0038236857112293E-2</v>
      </c>
      <c r="AR3" s="75"/>
      <c r="AS3" s="75"/>
      <c r="AT3" t="s">
        <v>220</v>
      </c>
      <c r="AU3" s="46">
        <f>IF(AU$2="",0,AM3)</f>
        <v>1.7603920322079546E-3</v>
      </c>
      <c r="AV3" s="46">
        <f>IF(AV$2="",0,AM4)</f>
        <v>1.4166887592788971E-3</v>
      </c>
      <c r="AW3" s="46">
        <f>IF(AW$2="",0,AM5)</f>
        <v>1.89946680086493E-3</v>
      </c>
      <c r="AX3" s="46">
        <f>IF(AX$2="",0,AM6)</f>
        <v>0</v>
      </c>
      <c r="AY3" s="46">
        <f>IF(AY$2="",0,AM7)</f>
        <v>0</v>
      </c>
      <c r="AZ3" s="46">
        <f>IF(AZ$2="",0,AM8)</f>
        <v>0</v>
      </c>
      <c r="BA3" s="46">
        <f>IF(BA$2="",0,AM9)</f>
        <v>0</v>
      </c>
      <c r="BB3" s="46">
        <f>IF(BB$2="",0,AM10)</f>
        <v>0</v>
      </c>
      <c r="BC3" s="46">
        <f>IF(BC$2="",0,AM11)</f>
        <v>0</v>
      </c>
      <c r="BD3" s="46">
        <f>IF(BD$2="",0,AM12)</f>
        <v>0</v>
      </c>
      <c r="BE3" s="46">
        <f>IF(BE$2="",0,AM13)</f>
        <v>0</v>
      </c>
      <c r="BF3" s="46">
        <f>IF(BF$2="",0,AM14)</f>
        <v>0</v>
      </c>
    </row>
    <row r="4" spans="1:61" x14ac:dyDescent="0.35">
      <c r="A4" s="71" t="s">
        <v>40</v>
      </c>
      <c r="B4" s="8">
        <v>391240</v>
      </c>
      <c r="C4">
        <v>47191.87</v>
      </c>
      <c r="D4">
        <v>46486</v>
      </c>
      <c r="E4" s="37">
        <v>8.5158099876691171</v>
      </c>
      <c r="F4" s="74">
        <v>0.80755936605000755</v>
      </c>
      <c r="G4" s="73">
        <v>0.42450423687767253</v>
      </c>
      <c r="H4" s="74">
        <v>6.0039190345789091E-3</v>
      </c>
      <c r="I4" s="74">
        <v>2.6436757009205183E-2</v>
      </c>
      <c r="J4" s="75">
        <v>-1621.88</v>
      </c>
      <c r="K4" s="85">
        <v>3.3294355228347592</v>
      </c>
      <c r="Q4" s="71">
        <v>70126316</v>
      </c>
      <c r="R4" s="74">
        <v>9.6616591885435588E-3</v>
      </c>
      <c r="S4" s="75">
        <v>-1349.933</v>
      </c>
      <c r="Y4" s="71" t="s">
        <v>40</v>
      </c>
      <c r="Z4" s="37">
        <v>103.47</v>
      </c>
      <c r="AA4" s="74">
        <v>2.0344774033234973E-2</v>
      </c>
      <c r="AB4" s="74">
        <v>1.5530361857431278E-2</v>
      </c>
      <c r="AC4" s="74">
        <v>1.5219754620282652E-2</v>
      </c>
      <c r="AD4" s="74">
        <v>3.7428172076409381E-2</v>
      </c>
      <c r="AE4" s="74">
        <v>0.42450423687767253</v>
      </c>
      <c r="AF4" s="74">
        <v>2.6436757009205183E-2</v>
      </c>
      <c r="AG4" s="74">
        <v>3.5407581856790271E-2</v>
      </c>
      <c r="AK4" s="74"/>
      <c r="AL4" s="71" t="s">
        <v>228</v>
      </c>
      <c r="AM4" s="74">
        <v>1.4166887592788971E-3</v>
      </c>
      <c r="AN4" s="74">
        <v>1.5934296571226581E-3</v>
      </c>
      <c r="AO4" s="74">
        <v>3.3691233651466951E-4</v>
      </c>
      <c r="AP4" s="74">
        <v>1.1322463768115942E-2</v>
      </c>
      <c r="AQ4" s="74">
        <v>6.4461883408071796E-3</v>
      </c>
      <c r="AR4" s="75"/>
      <c r="AS4" s="75"/>
      <c r="AT4" t="s">
        <v>221</v>
      </c>
      <c r="AU4" s="46">
        <f>IF(AU$2="",0,AN3)</f>
        <v>2.0238111375638691E-3</v>
      </c>
      <c r="AV4" s="46">
        <f>IF(AV$2="",0,AN4)</f>
        <v>1.5934296571226581E-3</v>
      </c>
      <c r="AW4" s="46">
        <f>IF(AW$2="",0,AN5)</f>
        <v>2.7822053785321278E-3</v>
      </c>
      <c r="AX4" s="46">
        <f>IF(AX$2="",0,AN6)</f>
        <v>0</v>
      </c>
      <c r="AY4" s="46">
        <f>IF(AY$2="",0,AN7)</f>
        <v>0</v>
      </c>
      <c r="AZ4" s="46">
        <f>IF(AZ$2="",0,AN8)</f>
        <v>0</v>
      </c>
      <c r="BA4" s="46">
        <f>IF(BA$2="",0,AN9)</f>
        <v>0</v>
      </c>
      <c r="BB4" s="46">
        <f>IF(BB$2="",0,AN10)</f>
        <v>0</v>
      </c>
      <c r="BC4" s="46">
        <f>IF(BC$2="",0,AN11)</f>
        <v>0</v>
      </c>
      <c r="BD4" s="46">
        <f>IF(BD$2="",0,AN12)</f>
        <v>0</v>
      </c>
      <c r="BE4" s="46">
        <f>IF(BE$2="",0,AN13)</f>
        <v>0</v>
      </c>
      <c r="BF4" s="46">
        <f>IF(BF$2="",0,AN14)</f>
        <v>0</v>
      </c>
    </row>
    <row r="5" spans="1:61" x14ac:dyDescent="0.35">
      <c r="A5" s="71" t="s">
        <v>299</v>
      </c>
      <c r="B5" s="8">
        <v>1428774</v>
      </c>
      <c r="C5">
        <v>160625.51999999999</v>
      </c>
      <c r="D5">
        <v>158401</v>
      </c>
      <c r="E5" s="37">
        <v>9.1358139832865444</v>
      </c>
      <c r="F5" s="74">
        <v>0.66268688177266466</v>
      </c>
      <c r="G5" s="73">
        <v>0.32016613303501396</v>
      </c>
      <c r="H5" s="74">
        <v>8.0310018784112546E-3</v>
      </c>
      <c r="I5" s="74">
        <v>2.6332054831635723E-2</v>
      </c>
      <c r="J5" s="75">
        <v>-5498.48</v>
      </c>
      <c r="K5" s="85">
        <v>2.975689851207953</v>
      </c>
      <c r="Q5" s="71">
        <v>90126346</v>
      </c>
      <c r="R5" s="74">
        <v>9.3077940723889727E-3</v>
      </c>
      <c r="S5" s="75">
        <v>-1032.681</v>
      </c>
      <c r="Y5" s="71" t="s">
        <v>299</v>
      </c>
      <c r="Z5" s="37">
        <v>295.42</v>
      </c>
      <c r="AA5" s="74">
        <v>8.2290772774490761E-2</v>
      </c>
      <c r="AB5" s="74">
        <v>6.1921322433494422E-2</v>
      </c>
      <c r="AC5" s="74">
        <v>3.0260602502145341E-3</v>
      </c>
      <c r="AD5" s="74">
        <v>2.3892326453186397E-2</v>
      </c>
      <c r="AE5" s="74">
        <v>0.32016613303501396</v>
      </c>
      <c r="AF5" s="74">
        <v>2.6332054831635723E-2</v>
      </c>
      <c r="AG5" s="74">
        <v>3.485336576653586E-2</v>
      </c>
      <c r="AK5" s="74"/>
      <c r="AL5" s="71" t="s">
        <v>225</v>
      </c>
      <c r="AM5" s="74">
        <v>1.89946680086493E-3</v>
      </c>
      <c r="AN5" s="74">
        <v>2.7822053785321278E-3</v>
      </c>
      <c r="AO5" s="74">
        <v>4.0964987168571205E-4</v>
      </c>
      <c r="AP5" s="74">
        <v>5.4051024736309228E-3</v>
      </c>
      <c r="AQ5" s="74">
        <v>1.4047666963746701E-2</v>
      </c>
      <c r="AR5" s="75"/>
      <c r="AS5" s="75"/>
      <c r="AT5" t="s">
        <v>222</v>
      </c>
      <c r="AU5" s="46">
        <f>IF(AU$2="",0,AO3)</f>
        <v>1.5173823863014145E-3</v>
      </c>
      <c r="AV5" s="46">
        <f>IF(AV$2="",0,AO4)</f>
        <v>3.3691233651466951E-4</v>
      </c>
      <c r="AW5" s="46">
        <f>IF(AW$2="",0,AO5)</f>
        <v>4.0964987168571205E-4</v>
      </c>
      <c r="AX5" s="46">
        <f>IF(AX$2="",0,AO6)</f>
        <v>0</v>
      </c>
      <c r="AY5" s="46">
        <f>IF(AY$2="",0,AO7)</f>
        <v>0</v>
      </c>
      <c r="AZ5" s="46">
        <f>IF(AZ$2="",0,AO8)</f>
        <v>0</v>
      </c>
      <c r="BA5" s="46">
        <f>IF(BA$2="",0,AO9)</f>
        <v>0</v>
      </c>
      <c r="BB5" s="46">
        <f>IF(BB$2="",0,AO10)</f>
        <v>0</v>
      </c>
      <c r="BC5" s="46">
        <f>IF(BC$2="",0,AO11)</f>
        <v>0</v>
      </c>
      <c r="BD5" s="46">
        <f>IF(BD$2="",0,AO12)</f>
        <v>0</v>
      </c>
      <c r="BE5" s="46">
        <f>IF(BE$2="",0,AO13)</f>
        <v>0</v>
      </c>
      <c r="BF5" s="46">
        <f>IF(BF$2="",0,AO14)</f>
        <v>0</v>
      </c>
    </row>
    <row r="6" spans="1:61" x14ac:dyDescent="0.35">
      <c r="A6" s="71" t="s">
        <v>301</v>
      </c>
      <c r="B6" s="8">
        <v>1058740</v>
      </c>
      <c r="C6">
        <v>126169.1</v>
      </c>
      <c r="D6">
        <v>124522</v>
      </c>
      <c r="E6" s="37">
        <v>8.5545656270808319</v>
      </c>
      <c r="F6" s="74">
        <v>0.78300450333182292</v>
      </c>
      <c r="G6" s="73">
        <v>0.19868092335365245</v>
      </c>
      <c r="H6" s="74">
        <v>4.233048687123298E-3</v>
      </c>
      <c r="I6" s="74">
        <v>1.9066792106783675E-2</v>
      </c>
      <c r="J6" s="75">
        <v>-3127.3319999999999</v>
      </c>
      <c r="K6" s="85">
        <v>3.4150011146469299</v>
      </c>
      <c r="Q6" s="71">
        <v>120126316</v>
      </c>
      <c r="R6" s="74">
        <v>6.1874628944648758E-3</v>
      </c>
      <c r="S6" s="75">
        <v>-950.22199999999998</v>
      </c>
      <c r="Y6" s="71" t="s">
        <v>301</v>
      </c>
      <c r="Z6" s="37">
        <v>181.5</v>
      </c>
      <c r="AA6" s="74">
        <v>1.788971929618078E-2</v>
      </c>
      <c r="AB6" s="74">
        <v>7.1794268228093918E-3</v>
      </c>
      <c r="AC6" s="74">
        <v>8.0032954746071909E-3</v>
      </c>
      <c r="AD6" s="74">
        <v>2.4539516271405874E-2</v>
      </c>
      <c r="AE6" s="74">
        <v>0.19868092335365245</v>
      </c>
      <c r="AF6" s="74">
        <v>1.9066792106783675E-2</v>
      </c>
      <c r="AG6" s="74">
        <v>0.58689290800996452</v>
      </c>
      <c r="AK6" s="74"/>
      <c r="AL6" s="71" t="s">
        <v>150</v>
      </c>
      <c r="AM6" s="74">
        <v>1.6805488679147741E-3</v>
      </c>
      <c r="AN6" s="74">
        <v>1.9743662595569696E-3</v>
      </c>
      <c r="AO6" s="74">
        <v>1.1060289552229036E-3</v>
      </c>
      <c r="AP6" s="74">
        <v>9.1164344362644235E-3</v>
      </c>
      <c r="AQ6" s="74">
        <v>9.5177202846291435E-3</v>
      </c>
      <c r="AR6" s="75"/>
      <c r="AS6" s="75"/>
      <c r="AT6" t="s">
        <v>223</v>
      </c>
      <c r="AU6" s="46">
        <f>IF(AU$2="",0,AP3)</f>
        <v>8.7006744107872829E-3</v>
      </c>
      <c r="AV6" s="46">
        <f>IF(AV$2="",0,AP4)</f>
        <v>1.1322463768115942E-2</v>
      </c>
      <c r="AW6" s="46">
        <f>IF(AW$2="",0,AP5)</f>
        <v>5.4051024736309228E-3</v>
      </c>
      <c r="AX6" s="46">
        <f>IF(AX$2="",0,AP6)</f>
        <v>0</v>
      </c>
      <c r="AY6" s="46">
        <f>IF(AY$2="",0,AP7)</f>
        <v>0</v>
      </c>
      <c r="AZ6" s="46">
        <f>IF(AZ$2="",0,AP8)</f>
        <v>0</v>
      </c>
      <c r="BA6" s="46">
        <f>IF(BA$2="",0,AP9)</f>
        <v>0</v>
      </c>
      <c r="BB6" s="46">
        <f>IF(BB$2="",0,AP10)</f>
        <v>0</v>
      </c>
      <c r="BC6" s="46">
        <f>IF(BC$2="",0,AP11)</f>
        <v>0</v>
      </c>
      <c r="BD6" s="46">
        <f>IF(BD$2="",0,AP12)</f>
        <v>0</v>
      </c>
      <c r="BE6" s="46">
        <f>IF(BE$2="",0,AP13)</f>
        <v>0</v>
      </c>
      <c r="BF6" s="46">
        <f>IF(BF$2="",0,AP14)</f>
        <v>0</v>
      </c>
    </row>
    <row r="7" spans="1:61" x14ac:dyDescent="0.35">
      <c r="A7" s="71" t="s">
        <v>144</v>
      </c>
      <c r="B7" s="8">
        <v>304487</v>
      </c>
      <c r="C7">
        <v>36211.199999999997</v>
      </c>
      <c r="D7">
        <v>35680</v>
      </c>
      <c r="E7" s="37">
        <v>8.5891960507757403</v>
      </c>
      <c r="F7" s="74">
        <v>0.78547469120619984</v>
      </c>
      <c r="G7" s="73">
        <v>3.6699569729182487E-2</v>
      </c>
      <c r="H7" s="74">
        <v>5.399666088961981E-3</v>
      </c>
      <c r="I7" s="74">
        <v>2.1021120537292333E-2</v>
      </c>
      <c r="J7" s="75">
        <v>-989.56</v>
      </c>
      <c r="K7" s="85">
        <v>4.0248999999999997</v>
      </c>
      <c r="Q7" s="71">
        <v>140126316</v>
      </c>
      <c r="R7" s="74">
        <v>8.497436684825126E-3</v>
      </c>
      <c r="S7" s="75">
        <v>-968.59100000000001</v>
      </c>
      <c r="Y7" s="71" t="s">
        <v>144</v>
      </c>
      <c r="Z7" s="37">
        <v>51.3</v>
      </c>
      <c r="AA7" s="74">
        <v>2.0090200902009019E-2</v>
      </c>
      <c r="AB7" s="74">
        <v>2.6650266502665026E-3</v>
      </c>
      <c r="AC7" s="74">
        <v>6.7650676506765071E-3</v>
      </c>
      <c r="AD7" s="74">
        <v>2.3575235752357523E-2</v>
      </c>
      <c r="AE7" s="74">
        <v>3.6699569729182487E-2</v>
      </c>
      <c r="AF7" s="74">
        <v>2.1021120537292333E-2</v>
      </c>
      <c r="AG7" s="74">
        <v>1</v>
      </c>
      <c r="AK7" s="74"/>
      <c r="AR7" s="75"/>
      <c r="AS7" s="75"/>
      <c r="AT7" t="s">
        <v>226</v>
      </c>
      <c r="AU7" s="46">
        <f>IF(AU$2="",0,AQ3)</f>
        <v>1.0038236857112293E-2</v>
      </c>
      <c r="AV7" s="46">
        <f>IF(AV$2="",0,AQ4)</f>
        <v>6.4461883408071796E-3</v>
      </c>
      <c r="AW7" s="46">
        <f>IF(AW$2="",0,AQ5)</f>
        <v>1.4047666963746701E-2</v>
      </c>
      <c r="AX7" s="46">
        <f>IF(AX$2="",0,AQ6)</f>
        <v>0</v>
      </c>
      <c r="AY7" s="46">
        <f>IF(AY$2="",0,AQ7)</f>
        <v>0</v>
      </c>
      <c r="AZ7" s="46">
        <f>IF(AZ$2="",0,AQ8)</f>
        <v>0</v>
      </c>
      <c r="BA7" s="46">
        <f>IF(BA$2="",0,AQ9)</f>
        <v>0</v>
      </c>
      <c r="BB7" s="46">
        <f>IF(BB$2="",0,AQ10)</f>
        <v>0</v>
      </c>
      <c r="BC7" s="46">
        <f>IF(BC$2="",0,AQ11)</f>
        <v>0</v>
      </c>
      <c r="BD7" s="46">
        <f>IF(BD$2="",0,AQ12)</f>
        <v>0</v>
      </c>
      <c r="BE7" s="46">
        <f>IF(BE$2="",0,AQ13)</f>
        <v>0</v>
      </c>
      <c r="BF7" s="46">
        <f>IF(BF$2="",0,AQ14)</f>
        <v>0</v>
      </c>
    </row>
    <row r="8" spans="1:61" x14ac:dyDescent="0.35">
      <c r="A8" s="71" t="s">
        <v>150</v>
      </c>
      <c r="B8" s="8">
        <v>3487728</v>
      </c>
      <c r="C8">
        <v>406408.89</v>
      </c>
      <c r="D8">
        <v>400769</v>
      </c>
      <c r="E8" s="37">
        <v>8.7859640759799351</v>
      </c>
      <c r="F8" s="74">
        <v>0.73669094778439781</v>
      </c>
      <c r="G8" s="73">
        <v>0.27495222361583393</v>
      </c>
      <c r="H8" s="74">
        <v>6.1763905344419832E-3</v>
      </c>
      <c r="I8" s="74">
        <v>2.3142308722626612E-2</v>
      </c>
      <c r="J8" s="75">
        <v>-12226.812</v>
      </c>
      <c r="K8" s="85">
        <v>3.3401202246584716</v>
      </c>
      <c r="Q8" s="71">
        <v>150126326</v>
      </c>
      <c r="R8" s="74">
        <v>3.4267205686146262E-3</v>
      </c>
      <c r="S8" s="75">
        <v>-470.58699999999999</v>
      </c>
      <c r="Y8" s="71" t="s">
        <v>150</v>
      </c>
      <c r="Z8" s="74">
        <v>682.99</v>
      </c>
      <c r="AA8" s="74">
        <v>4.4334797303403277E-2</v>
      </c>
      <c r="AB8" s="74">
        <v>2.9261327694337508E-2</v>
      </c>
      <c r="AC8" s="74">
        <v>6.633049576171628E-3</v>
      </c>
      <c r="AD8" s="74">
        <v>2.5610439371758029E-2</v>
      </c>
      <c r="AE8" s="74">
        <v>0.27495222361583393</v>
      </c>
      <c r="AF8" s="74">
        <v>2.3142308722626612E-2</v>
      </c>
      <c r="AG8" s="74">
        <v>0.378287591100677</v>
      </c>
      <c r="AK8" s="74"/>
      <c r="AR8" s="75"/>
      <c r="AS8" s="75"/>
    </row>
    <row r="9" spans="1:61" x14ac:dyDescent="0.35">
      <c r="Q9" s="71">
        <v>190126315</v>
      </c>
      <c r="R9" s="74">
        <v>7.7768187628303072E-3</v>
      </c>
      <c r="S9" s="75">
        <v>-1114.867</v>
      </c>
      <c r="AR9" s="75"/>
      <c r="AS9" s="75"/>
    </row>
    <row r="10" spans="1:61" x14ac:dyDescent="0.35">
      <c r="Q10" s="71">
        <v>190126316</v>
      </c>
      <c r="R10" s="74">
        <v>7.7768187628303072E-3</v>
      </c>
      <c r="S10" s="75">
        <v>-1114.867</v>
      </c>
      <c r="AR10" s="75"/>
      <c r="AS10" s="75"/>
    </row>
    <row r="11" spans="1:61" x14ac:dyDescent="0.35">
      <c r="Q11" s="71">
        <v>210126326</v>
      </c>
      <c r="R11" s="74">
        <v>2.8358697108695295E-3</v>
      </c>
      <c r="S11" s="75">
        <v>-677.625</v>
      </c>
      <c r="AR11" s="75"/>
      <c r="AS11" s="75"/>
    </row>
    <row r="12" spans="1:61" x14ac:dyDescent="0.35">
      <c r="Q12" s="71">
        <v>220126326</v>
      </c>
      <c r="R12" s="74">
        <v>5.399666088961981E-3</v>
      </c>
      <c r="S12" s="75">
        <v>-3958.24</v>
      </c>
      <c r="AR12" s="75"/>
      <c r="AS12" s="75"/>
    </row>
    <row r="13" spans="1:61" x14ac:dyDescent="0.35">
      <c r="Q13" s="71" t="s">
        <v>150</v>
      </c>
      <c r="R13" s="74">
        <v>6.1763905344419832E-3</v>
      </c>
      <c r="S13" s="75">
        <v>-12226.812</v>
      </c>
    </row>
    <row r="23" spans="1:6" x14ac:dyDescent="0.35">
      <c r="A23" t="s">
        <v>50</v>
      </c>
    </row>
    <row r="24" spans="1:6" x14ac:dyDescent="0.35">
      <c r="A24" t="s">
        <v>169</v>
      </c>
      <c r="B24" t="s">
        <v>170</v>
      </c>
      <c r="C24" t="s">
        <v>171</v>
      </c>
      <c r="D24" t="s">
        <v>172</v>
      </c>
      <c r="E24" t="s">
        <v>173</v>
      </c>
      <c r="F24" t="s">
        <v>182</v>
      </c>
    </row>
    <row r="25" spans="1:6" x14ac:dyDescent="0.35">
      <c r="A25">
        <v>225241.46574599997</v>
      </c>
      <c r="B25" s="74">
        <v>0.81975059404432926</v>
      </c>
      <c r="C25">
        <v>3125690</v>
      </c>
      <c r="D25">
        <v>32988.115000000005</v>
      </c>
      <c r="E25" s="74">
        <v>0.12005794216482046</v>
      </c>
      <c r="F25">
        <v>400769</v>
      </c>
    </row>
    <row r="50" spans="1:10" x14ac:dyDescent="0.35">
      <c r="A50" t="s">
        <v>160</v>
      </c>
    </row>
    <row r="51" spans="1:10" x14ac:dyDescent="0.35">
      <c r="A51" s="70" t="s">
        <v>149</v>
      </c>
      <c r="B51" t="s">
        <v>159</v>
      </c>
      <c r="C51" t="s">
        <v>157</v>
      </c>
      <c r="D51" t="s">
        <v>180</v>
      </c>
      <c r="E51" t="s">
        <v>156</v>
      </c>
      <c r="F51" t="s">
        <v>182</v>
      </c>
      <c r="G51" s="124" t="s">
        <v>242</v>
      </c>
      <c r="H51" s="124" t="s">
        <v>243</v>
      </c>
      <c r="I51" s="124" t="s">
        <v>109</v>
      </c>
      <c r="J51" s="124" t="s">
        <v>382</v>
      </c>
    </row>
    <row r="52" spans="1:10" x14ac:dyDescent="0.35">
      <c r="A52" s="71" t="s">
        <v>191</v>
      </c>
      <c r="B52" s="75">
        <v>-8143.2650000000003</v>
      </c>
      <c r="C52">
        <v>6264.05</v>
      </c>
      <c r="D52" s="8">
        <v>2260761</v>
      </c>
      <c r="E52" s="94">
        <v>8.6083787228034438</v>
      </c>
      <c r="F52">
        <v>258946</v>
      </c>
      <c r="G52">
        <f>IF(OR(A52="",A52="Total general"),"",MONTH(DATEVALUE(A52&amp;"-01")))</f>
        <v>1</v>
      </c>
      <c r="H52" cm="1">
        <f t="array" ref="H52">IF(G52="","",INDEX('Precio Leche_EBITDA_Ventas'!$H$39:$H$50,G52))</f>
        <v>0.43818069100502383</v>
      </c>
      <c r="I52">
        <f>IF(G52="","",D52*H52)</f>
        <v>990621.81717720872</v>
      </c>
      <c r="J52" cm="1">
        <f t="array" ref="J52">IF(G52="","",IFERROR(INDEX('Precio Leche_EBITDA_Ventas'!$J$99:$J$110,G52)/SUMIFS(Base_Rendimientos!$BK$3:$BK$247,Base_Rendimientos!$B$3:$B$247,G52),0))</f>
        <v>0.63061374826736416</v>
      </c>
    </row>
    <row r="53" spans="1:10" x14ac:dyDescent="0.35">
      <c r="A53" s="71" t="s">
        <v>227</v>
      </c>
      <c r="B53" s="75">
        <v>-2968.68</v>
      </c>
      <c r="C53">
        <v>2283.6000000000004</v>
      </c>
      <c r="D53" s="8">
        <v>913461</v>
      </c>
      <c r="E53" s="94">
        <v>8.4086415252739481</v>
      </c>
      <c r="F53">
        <v>107040</v>
      </c>
      <c r="G53">
        <f t="shared" ref="G53:G63" si="0">IF(OR(A53="",A53="Total general"),"",MONTH(DATEVALUE(A53&amp;"-01")))</f>
        <v>2</v>
      </c>
      <c r="H53" cm="1">
        <f t="array" ref="H53">IF(G53="","",INDEX('Precio Leche_EBITDA_Ventas'!$H$39:$H$50,G53))</f>
        <v>0.53385021224194606</v>
      </c>
      <c r="I53">
        <f t="shared" ref="I53:I63" si="1">IF(G53="","",D53*H53)</f>
        <v>487651.34872474027</v>
      </c>
      <c r="J53" cm="1">
        <f t="array" ref="J53">IF(G53="","",IFERROR(INDEX('Precio Leche_EBITDA_Ventas'!$J$99:$J$110,G53)/SUMIFS(Base_Rendimientos!$BK$3:$BK$247,Base_Rendimientos!$B$3:$B$247,G53),0))</f>
        <v>0.91877776525284638</v>
      </c>
    </row>
    <row r="54" spans="1:10" x14ac:dyDescent="0.35">
      <c r="A54" s="71" t="s">
        <v>224</v>
      </c>
      <c r="B54" s="75">
        <v>-1114.867</v>
      </c>
      <c r="C54">
        <v>857.58999999999992</v>
      </c>
      <c r="D54" s="8">
        <v>313506</v>
      </c>
      <c r="E54" s="94">
        <v>8.9185897689375579</v>
      </c>
      <c r="F54">
        <v>34783</v>
      </c>
      <c r="G54">
        <f t="shared" si="0"/>
        <v>3</v>
      </c>
      <c r="H54" cm="1">
        <f t="array" ref="H54">IF(G54="","",INDEX('Precio Leche_EBITDA_Ventas'!$H$39:$H$50,G54))</f>
        <v>0.43353512631972624</v>
      </c>
      <c r="I54">
        <f t="shared" si="1"/>
        <v>135915.86331199209</v>
      </c>
      <c r="J54" cm="1">
        <f t="array" ref="J54">IF(G54="","",IFERROR(INDEX('Precio Leche_EBITDA_Ventas'!$J$99:$J$110,G54)/SUMIFS(Base_Rendimientos!$BK$3:$BK$247,Base_Rendimientos!$B$3:$B$247,G54),0))</f>
        <v>0.55300355532541001</v>
      </c>
    </row>
    <row r="55" spans="1:10" x14ac:dyDescent="0.35">
      <c r="A55" s="71" t="s">
        <v>150</v>
      </c>
      <c r="B55" s="75">
        <v>-12226.812</v>
      </c>
      <c r="C55">
        <v>9405.24</v>
      </c>
      <c r="D55" s="8">
        <v>3487728</v>
      </c>
      <c r="E55" s="94">
        <v>8.5818201467000392</v>
      </c>
      <c r="F55">
        <v>400769</v>
      </c>
      <c r="G55" t="str">
        <f t="shared" si="0"/>
        <v/>
      </c>
      <c r="H55" t="str" cm="1">
        <f t="array" ref="H55">IF(G55="","",INDEX('Precio Leche_EBITDA_Ventas'!$H$39:$H$50,G55))</f>
        <v/>
      </c>
      <c r="I55" t="str">
        <f t="shared" si="1"/>
        <v/>
      </c>
      <c r="J55" t="str" cm="1">
        <f t="array" ref="J55">IF(G55="","",IFERROR(INDEX('Precio Leche_EBITDA_Ventas'!$J$99:$J$110,G55)/SUMIFS(Base_Rendimientos!$BK$3:$BK$247,Base_Rendimientos!$B$3:$B$247,G55),0))</f>
        <v/>
      </c>
    </row>
    <row r="56" spans="1:10" x14ac:dyDescent="0.35">
      <c r="G56" t="str">
        <f t="shared" si="0"/>
        <v/>
      </c>
      <c r="H56" t="str" cm="1">
        <f t="array" ref="H56">IF(G56="","",INDEX('Precio Leche_EBITDA_Ventas'!$H$39:$H$50,G56))</f>
        <v/>
      </c>
      <c r="I56" t="str">
        <f t="shared" si="1"/>
        <v/>
      </c>
      <c r="J56" t="str" cm="1">
        <f t="array" ref="J56">IF(G56="","",IFERROR(INDEX('Precio Leche_EBITDA_Ventas'!$J$99:$J$110,G56)/SUMIFS(Base_Rendimientos!$BK$3:$BK$247,Base_Rendimientos!$B$3:$B$247,G56),0))</f>
        <v/>
      </c>
    </row>
    <row r="57" spans="1:10" x14ac:dyDescent="0.35">
      <c r="G57" t="str">
        <f t="shared" si="0"/>
        <v/>
      </c>
      <c r="H57" t="str" cm="1">
        <f t="array" ref="H57">IF(G57="","",INDEX('Precio Leche_EBITDA_Ventas'!$H$39:$H$50,G57))</f>
        <v/>
      </c>
      <c r="I57" t="str">
        <f t="shared" si="1"/>
        <v/>
      </c>
      <c r="J57" t="str" cm="1">
        <f t="array" ref="J57">IF(G57="","",IFERROR(INDEX('Precio Leche_EBITDA_Ventas'!$J$99:$J$110,G57)/SUMIFS(Base_Rendimientos!$BK$3:$BK$247,Base_Rendimientos!$B$3:$B$247,G57),0))</f>
        <v/>
      </c>
    </row>
    <row r="58" spans="1:10" x14ac:dyDescent="0.35">
      <c r="G58" t="str">
        <f t="shared" si="0"/>
        <v/>
      </c>
      <c r="H58" t="str" cm="1">
        <f t="array" ref="H58">IF(G58="","",INDEX('Precio Leche_EBITDA_Ventas'!$H$39:$H$50,G58))</f>
        <v/>
      </c>
      <c r="I58" t="str">
        <f t="shared" si="1"/>
        <v/>
      </c>
      <c r="J58" t="str" cm="1">
        <f t="array" ref="J58">IF(G58="","",IFERROR(INDEX('Precio Leche_EBITDA_Ventas'!$J$99:$J$110,G58)/SUMIFS(Base_Rendimientos!$BK$3:$BK$247,Base_Rendimientos!$B$3:$B$247,G58),0))</f>
        <v/>
      </c>
    </row>
    <row r="59" spans="1:10" x14ac:dyDescent="0.35">
      <c r="G59" t="str">
        <f t="shared" si="0"/>
        <v/>
      </c>
      <c r="H59" t="str" cm="1">
        <f t="array" ref="H59">IF(G59="","",INDEX('Precio Leche_EBITDA_Ventas'!$H$39:$H$50,G59))</f>
        <v/>
      </c>
      <c r="I59" t="str">
        <f t="shared" si="1"/>
        <v/>
      </c>
      <c r="J59" t="str" cm="1">
        <f t="array" ref="J59">IF(G59="","",IFERROR(INDEX('Precio Leche_EBITDA_Ventas'!$J$99:$J$110,G59)/SUMIFS(Base_Rendimientos!$BK$3:$BK$247,Base_Rendimientos!$B$3:$B$247,G59),0))</f>
        <v/>
      </c>
    </row>
    <row r="60" spans="1:10" x14ac:dyDescent="0.35">
      <c r="G60" t="str">
        <f t="shared" si="0"/>
        <v/>
      </c>
      <c r="H60" t="str" cm="1">
        <f t="array" ref="H60">IF(G60="","",INDEX('Precio Leche_EBITDA_Ventas'!$H$39:$H$50,G60))</f>
        <v/>
      </c>
      <c r="I60" t="str">
        <f t="shared" si="1"/>
        <v/>
      </c>
      <c r="J60" t="str" cm="1">
        <f t="array" ref="J60">IF(G60="","",IFERROR(INDEX('Precio Leche_EBITDA_Ventas'!$J$99:$J$110,G60)/SUMIFS(Base_Rendimientos!$BK$3:$BK$247,Base_Rendimientos!$B$3:$B$247,G60),0))</f>
        <v/>
      </c>
    </row>
    <row r="61" spans="1:10" x14ac:dyDescent="0.35">
      <c r="G61" t="str">
        <f t="shared" si="0"/>
        <v/>
      </c>
      <c r="H61" t="str" cm="1">
        <f t="array" ref="H61">IF(G61="","",INDEX('Precio Leche_EBITDA_Ventas'!$H$39:$H$50,G61))</f>
        <v/>
      </c>
      <c r="I61" t="str">
        <f t="shared" si="1"/>
        <v/>
      </c>
      <c r="J61" t="str" cm="1">
        <f t="array" ref="J61">IF(G61="","",IFERROR(INDEX('Precio Leche_EBITDA_Ventas'!$J$99:$J$110,G61)/SUMIFS(Base_Rendimientos!$BK$3:$BK$247,Base_Rendimientos!$B$3:$B$247,G61),0))</f>
        <v/>
      </c>
    </row>
    <row r="62" spans="1:10" x14ac:dyDescent="0.35">
      <c r="G62" t="str">
        <f t="shared" si="0"/>
        <v/>
      </c>
      <c r="H62" t="str" cm="1">
        <f t="array" ref="H62">IF(G62="","",INDEX('Precio Leche_EBITDA_Ventas'!$H$39:$H$50,G62))</f>
        <v/>
      </c>
      <c r="I62" t="str">
        <f t="shared" si="1"/>
        <v/>
      </c>
      <c r="J62" t="str" cm="1">
        <f t="array" ref="J62">IF(G62="","",IFERROR(INDEX('Precio Leche_EBITDA_Ventas'!$J$99:$J$110,G62)/SUMIFS(Base_Rendimientos!$BK$3:$BK$247,Base_Rendimientos!$B$3:$B$247,G62),0))</f>
        <v/>
      </c>
    </row>
    <row r="63" spans="1:10" x14ac:dyDescent="0.35">
      <c r="G63" t="str">
        <f t="shared" si="0"/>
        <v/>
      </c>
      <c r="H63" t="str" cm="1">
        <f t="array" ref="H63">IF(G63="","",INDEX('Precio Leche_EBITDA_Ventas'!$H$39:$H$50,G63))</f>
        <v/>
      </c>
      <c r="I63" t="str">
        <f t="shared" si="1"/>
        <v/>
      </c>
      <c r="J63" t="str" cm="1">
        <f t="array" ref="J63">IF(G63="","",IFERROR(INDEX('Precio Leche_EBITDA_Ventas'!$J$99:$J$110,G63)/SUMIFS(Base_Rendimientos!$BK$3:$BK$247,Base_Rendimientos!$B$3:$B$247,G63),0))</f>
        <v/>
      </c>
    </row>
    <row r="70" spans="1:5" hidden="1" x14ac:dyDescent="0.35"/>
    <row r="71" spans="1:5" hidden="1" x14ac:dyDescent="0.35"/>
    <row r="72" spans="1:5" hidden="1" x14ac:dyDescent="0.35"/>
    <row r="73" spans="1:5" hidden="1" x14ac:dyDescent="0.35"/>
    <row r="74" spans="1:5" hidden="1" x14ac:dyDescent="0.35"/>
    <row r="78" spans="1:5" x14ac:dyDescent="0.35">
      <c r="A78" t="s">
        <v>174</v>
      </c>
    </row>
    <row r="79" spans="1:5" x14ac:dyDescent="0.35">
      <c r="A79" s="70" t="s">
        <v>149</v>
      </c>
      <c r="B79" t="s">
        <v>178</v>
      </c>
      <c r="C79" t="s">
        <v>179</v>
      </c>
      <c r="D79" t="s">
        <v>176</v>
      </c>
      <c r="E79" t="s">
        <v>170</v>
      </c>
    </row>
    <row r="80" spans="1:5" x14ac:dyDescent="0.35">
      <c r="A80" s="71" t="s">
        <v>191</v>
      </c>
      <c r="B80">
        <v>177984.18735700002</v>
      </c>
      <c r="C80">
        <v>129670.59760000001</v>
      </c>
      <c r="D80">
        <v>26019.200000000001</v>
      </c>
      <c r="E80" s="74">
        <v>0.81215356376609538</v>
      </c>
    </row>
    <row r="81" spans="1:5" x14ac:dyDescent="0.35">
      <c r="A81" s="71" t="s">
        <v>227</v>
      </c>
      <c r="B81">
        <v>71693.900045999995</v>
      </c>
      <c r="C81">
        <v>56313.743999999999</v>
      </c>
      <c r="D81">
        <v>6496.7999999999993</v>
      </c>
      <c r="E81" s="74">
        <v>0.86808207392913783</v>
      </c>
    </row>
    <row r="82" spans="1:5" x14ac:dyDescent="0.35">
      <c r="A82" s="71" t="s">
        <v>224</v>
      </c>
      <c r="B82">
        <v>25090.198686</v>
      </c>
      <c r="C82">
        <v>16434.967500000002</v>
      </c>
      <c r="D82">
        <v>5552</v>
      </c>
      <c r="E82" s="74">
        <v>0.73553758903860444</v>
      </c>
    </row>
    <row r="83" spans="1:5" x14ac:dyDescent="0.35">
      <c r="A83" s="71" t="s">
        <v>150</v>
      </c>
      <c r="B83">
        <v>274768.286089</v>
      </c>
      <c r="C83">
        <v>202419.30909999998</v>
      </c>
      <c r="D83">
        <v>38068</v>
      </c>
      <c r="E83" s="74">
        <v>0.81975059404432926</v>
      </c>
    </row>
    <row r="101" spans="1:6" x14ac:dyDescent="0.35">
      <c r="A101" t="s">
        <v>164</v>
      </c>
    </row>
    <row r="102" spans="1:6" x14ac:dyDescent="0.35">
      <c r="A102" s="70" t="s">
        <v>149</v>
      </c>
      <c r="B102" t="s">
        <v>180</v>
      </c>
      <c r="C102" t="s">
        <v>165</v>
      </c>
      <c r="D102" t="s">
        <v>166</v>
      </c>
      <c r="E102" t="s">
        <v>168</v>
      </c>
      <c r="F102" t="s">
        <v>167</v>
      </c>
    </row>
    <row r="103" spans="1:6" x14ac:dyDescent="0.35">
      <c r="A103" s="71" t="s">
        <v>191</v>
      </c>
      <c r="B103" s="8">
        <v>2260761</v>
      </c>
      <c r="C103">
        <v>65048</v>
      </c>
      <c r="D103">
        <v>0</v>
      </c>
      <c r="E103">
        <v>65048</v>
      </c>
      <c r="F103" s="75">
        <v>195144</v>
      </c>
    </row>
    <row r="104" spans="1:6" x14ac:dyDescent="0.35">
      <c r="A104" s="71" t="s">
        <v>227</v>
      </c>
      <c r="B104" s="8">
        <v>913461</v>
      </c>
      <c r="C104">
        <v>16242</v>
      </c>
      <c r="D104">
        <v>0</v>
      </c>
      <c r="E104">
        <v>16242</v>
      </c>
      <c r="F104" s="75">
        <v>48726</v>
      </c>
    </row>
    <row r="105" spans="1:6" x14ac:dyDescent="0.35">
      <c r="A105" s="71" t="s">
        <v>224</v>
      </c>
      <c r="B105" s="8">
        <v>313506</v>
      </c>
      <c r="C105">
        <v>13880</v>
      </c>
      <c r="D105">
        <v>0</v>
      </c>
      <c r="E105">
        <v>13880</v>
      </c>
      <c r="F105" s="75">
        <v>41640</v>
      </c>
    </row>
    <row r="106" spans="1:6" x14ac:dyDescent="0.35">
      <c r="A106" s="71" t="s">
        <v>150</v>
      </c>
      <c r="B106" s="8">
        <v>3487728</v>
      </c>
      <c r="C106">
        <v>95170</v>
      </c>
      <c r="D106">
        <v>0</v>
      </c>
      <c r="E106">
        <v>95170</v>
      </c>
      <c r="F106" s="75">
        <v>285510</v>
      </c>
    </row>
    <row r="158" spans="1:7" x14ac:dyDescent="0.35">
      <c r="A158" s="70" t="s">
        <v>149</v>
      </c>
      <c r="B158" t="s">
        <v>202</v>
      </c>
      <c r="C158" t="s">
        <v>201</v>
      </c>
      <c r="E158" s="6" t="s">
        <v>50</v>
      </c>
      <c r="F158" s="6" t="s">
        <v>206</v>
      </c>
      <c r="G158" s="6" t="s">
        <v>207</v>
      </c>
    </row>
    <row r="159" spans="1:7" x14ac:dyDescent="0.35">
      <c r="A159" s="71" t="s">
        <v>145</v>
      </c>
      <c r="B159" s="37">
        <v>8.5891960507757403</v>
      </c>
      <c r="C159" s="37">
        <v>8.2971330000000005</v>
      </c>
      <c r="E159" t="str">
        <f>IF(OR(A159="Total general",A159=""),"",A159)</f>
        <v>CABRA</v>
      </c>
      <c r="F159" s="37">
        <f>IF(E159="","",B159)</f>
        <v>8.5891960507757403</v>
      </c>
      <c r="G159" s="37">
        <f>IF(F159="","",C159)</f>
        <v>8.2971330000000005</v>
      </c>
    </row>
    <row r="160" spans="1:7" x14ac:dyDescent="0.35">
      <c r="A160" s="71" t="s">
        <v>40</v>
      </c>
      <c r="B160" s="37">
        <v>8.5158099876691171</v>
      </c>
      <c r="C160" s="37">
        <v>8.9338729999999984</v>
      </c>
      <c r="E160" t="str">
        <f t="shared" ref="E160:E178" si="2">IF(OR(A160="Total general",A160=""),"",A160)</f>
        <v>CREMOSO</v>
      </c>
      <c r="F160" s="37">
        <f t="shared" ref="F160:G163" si="3">IF(E160="","",B160)</f>
        <v>8.5158099876691171</v>
      </c>
      <c r="G160" s="37">
        <f t="shared" si="3"/>
        <v>8.9338729999999984</v>
      </c>
    </row>
    <row r="161" spans="1:7" x14ac:dyDescent="0.35">
      <c r="A161" s="71" t="s">
        <v>299</v>
      </c>
      <c r="B161" s="37">
        <v>9.1358139832865444</v>
      </c>
      <c r="C161" s="37">
        <v>9.8078500000000002</v>
      </c>
      <c r="E161" t="str">
        <f t="shared" si="2"/>
        <v>EDAM_F</v>
      </c>
      <c r="F161" s="37">
        <f t="shared" si="3"/>
        <v>9.1358139832865444</v>
      </c>
      <c r="G161" s="37">
        <f t="shared" si="3"/>
        <v>9.8078500000000002</v>
      </c>
    </row>
    <row r="162" spans="1:7" x14ac:dyDescent="0.35">
      <c r="A162" s="71" t="s">
        <v>301</v>
      </c>
      <c r="B162" s="37">
        <v>8.5545656270808319</v>
      </c>
      <c r="C162" s="37">
        <v>9.3549429999999987</v>
      </c>
      <c r="E162" t="str">
        <f t="shared" si="2"/>
        <v>GOUDA_F</v>
      </c>
      <c r="F162" s="37">
        <f t="shared" si="3"/>
        <v>8.5545656270808319</v>
      </c>
      <c r="G162" s="37">
        <f t="shared" si="3"/>
        <v>9.3549429999999987</v>
      </c>
    </row>
    <row r="163" spans="1:7" x14ac:dyDescent="0.35">
      <c r="A163" s="71" t="s">
        <v>144</v>
      </c>
      <c r="B163" s="37">
        <v>8.5891960507757403</v>
      </c>
      <c r="C163" s="37">
        <v>5.5961229999999995</v>
      </c>
      <c r="D163" s="37"/>
      <c r="E163" t="str">
        <f t="shared" si="2"/>
        <v>OVEJA</v>
      </c>
      <c r="F163" s="37">
        <f t="shared" si="3"/>
        <v>8.5891960507757403</v>
      </c>
      <c r="G163" s="37">
        <f t="shared" si="3"/>
        <v>5.5961229999999995</v>
      </c>
    </row>
    <row r="164" spans="1:7" x14ac:dyDescent="0.35">
      <c r="A164" s="71" t="s">
        <v>150</v>
      </c>
      <c r="B164" s="37">
        <v>8.7859640759799351</v>
      </c>
      <c r="C164" s="37">
        <v>9.0938479999999995</v>
      </c>
      <c r="D164" s="37"/>
      <c r="E164" t="str">
        <f t="shared" si="2"/>
        <v/>
      </c>
      <c r="F164" s="37" t="str">
        <f t="shared" ref="F164:F177" si="4">IF(E164="","",B164)</f>
        <v/>
      </c>
      <c r="G164" s="37" t="str">
        <f t="shared" ref="G164:G177" si="5">IF(F164="","",C164)</f>
        <v/>
      </c>
    </row>
    <row r="165" spans="1:7" x14ac:dyDescent="0.35">
      <c r="D165" s="37"/>
      <c r="E165" t="str">
        <f t="shared" si="2"/>
        <v/>
      </c>
      <c r="F165" s="37" t="str">
        <f t="shared" si="4"/>
        <v/>
      </c>
      <c r="G165" s="37" t="str">
        <f t="shared" si="5"/>
        <v/>
      </c>
    </row>
    <row r="166" spans="1:7" x14ac:dyDescent="0.35">
      <c r="D166" s="37"/>
      <c r="E166" t="str">
        <f t="shared" si="2"/>
        <v/>
      </c>
      <c r="F166" s="37" t="str">
        <f t="shared" si="4"/>
        <v/>
      </c>
      <c r="G166" s="37" t="str">
        <f t="shared" si="5"/>
        <v/>
      </c>
    </row>
    <row r="167" spans="1:7" x14ac:dyDescent="0.35">
      <c r="D167" s="37"/>
      <c r="E167" t="str">
        <f t="shared" si="2"/>
        <v/>
      </c>
      <c r="F167" s="37" t="str">
        <f t="shared" si="4"/>
        <v/>
      </c>
      <c r="G167" s="37" t="str">
        <f t="shared" si="5"/>
        <v/>
      </c>
    </row>
    <row r="168" spans="1:7" x14ac:dyDescent="0.35">
      <c r="D168" s="37"/>
      <c r="E168" t="str">
        <f t="shared" si="2"/>
        <v/>
      </c>
      <c r="F168" s="37" t="str">
        <f t="shared" si="4"/>
        <v/>
      </c>
      <c r="G168" s="37" t="str">
        <f t="shared" si="5"/>
        <v/>
      </c>
    </row>
    <row r="169" spans="1:7" x14ac:dyDescent="0.35">
      <c r="D169" s="37"/>
      <c r="E169" t="str">
        <f t="shared" si="2"/>
        <v/>
      </c>
      <c r="F169" s="37" t="str">
        <f t="shared" si="4"/>
        <v/>
      </c>
      <c r="G169" s="37" t="str">
        <f t="shared" si="5"/>
        <v/>
      </c>
    </row>
    <row r="170" spans="1:7" x14ac:dyDescent="0.35">
      <c r="D170" s="37"/>
      <c r="E170" t="str">
        <f t="shared" si="2"/>
        <v/>
      </c>
      <c r="F170" s="37" t="str">
        <f t="shared" si="4"/>
        <v/>
      </c>
      <c r="G170" s="37" t="str">
        <f t="shared" si="5"/>
        <v/>
      </c>
    </row>
    <row r="171" spans="1:7" x14ac:dyDescent="0.35">
      <c r="D171" s="37"/>
      <c r="E171" t="str">
        <f t="shared" si="2"/>
        <v/>
      </c>
      <c r="F171" s="37" t="str">
        <f t="shared" si="4"/>
        <v/>
      </c>
      <c r="G171" s="37" t="str">
        <f t="shared" si="5"/>
        <v/>
      </c>
    </row>
    <row r="172" spans="1:7" x14ac:dyDescent="0.35">
      <c r="D172" s="37"/>
      <c r="E172" t="str">
        <f t="shared" si="2"/>
        <v/>
      </c>
      <c r="F172" s="37" t="str">
        <f t="shared" si="4"/>
        <v/>
      </c>
      <c r="G172" s="37" t="str">
        <f t="shared" si="5"/>
        <v/>
      </c>
    </row>
    <row r="173" spans="1:7" x14ac:dyDescent="0.35">
      <c r="E173" t="str">
        <f t="shared" si="2"/>
        <v/>
      </c>
      <c r="F173" s="37" t="str">
        <f t="shared" si="4"/>
        <v/>
      </c>
      <c r="G173" s="37" t="str">
        <f t="shared" si="5"/>
        <v/>
      </c>
    </row>
    <row r="174" spans="1:7" x14ac:dyDescent="0.35">
      <c r="E174" t="str">
        <f t="shared" si="2"/>
        <v/>
      </c>
      <c r="F174" s="37" t="str">
        <f t="shared" si="4"/>
        <v/>
      </c>
      <c r="G174" s="37" t="str">
        <f t="shared" si="5"/>
        <v/>
      </c>
    </row>
    <row r="175" spans="1:7" x14ac:dyDescent="0.35">
      <c r="E175" t="str">
        <f t="shared" si="2"/>
        <v/>
      </c>
      <c r="F175" s="37" t="str">
        <f t="shared" si="4"/>
        <v/>
      </c>
      <c r="G175" s="37" t="str">
        <f t="shared" si="5"/>
        <v/>
      </c>
    </row>
    <row r="176" spans="1:7" x14ac:dyDescent="0.35">
      <c r="E176" t="str">
        <f t="shared" si="2"/>
        <v/>
      </c>
      <c r="F176" s="58" t="str">
        <f t="shared" si="4"/>
        <v/>
      </c>
      <c r="G176" s="58" t="str">
        <f t="shared" si="5"/>
        <v/>
      </c>
    </row>
    <row r="177" spans="1:7" x14ac:dyDescent="0.35">
      <c r="E177" t="str">
        <f t="shared" si="2"/>
        <v/>
      </c>
      <c r="F177" s="58" t="str">
        <f t="shared" si="4"/>
        <v/>
      </c>
      <c r="G177" s="58" t="str">
        <f t="shared" si="5"/>
        <v/>
      </c>
    </row>
    <row r="178" spans="1:7" x14ac:dyDescent="0.35">
      <c r="E178" t="str">
        <f t="shared" si="2"/>
        <v/>
      </c>
    </row>
    <row r="180" spans="1:7" x14ac:dyDescent="0.35">
      <c r="A180" t="s">
        <v>203</v>
      </c>
    </row>
    <row r="181" spans="1:7" x14ac:dyDescent="0.35">
      <c r="A181" s="70" t="s">
        <v>149</v>
      </c>
      <c r="B181" t="s">
        <v>204</v>
      </c>
      <c r="D181" s="6" t="s">
        <v>50</v>
      </c>
      <c r="E181" s="6" t="s">
        <v>205</v>
      </c>
    </row>
    <row r="182" spans="1:7" x14ac:dyDescent="0.35">
      <c r="A182" s="71" t="s">
        <v>145</v>
      </c>
      <c r="B182" s="8">
        <v>35.68</v>
      </c>
      <c r="D182" t="str">
        <f t="shared" ref="D182:D200" si="6">IF(OR(A182="Total general",A182=""),"",A182)</f>
        <v>CABRA</v>
      </c>
      <c r="E182" s="7">
        <f t="shared" ref="E182:E200" si="7">IF(D182="","",B182)</f>
        <v>35.68</v>
      </c>
    </row>
    <row r="183" spans="1:7" x14ac:dyDescent="0.35">
      <c r="A183" s="71" t="s">
        <v>40</v>
      </c>
      <c r="B183" s="8">
        <v>46.485999999999997</v>
      </c>
      <c r="D183" t="str">
        <f t="shared" si="6"/>
        <v>CREMOSO</v>
      </c>
      <c r="E183" s="7">
        <f t="shared" si="7"/>
        <v>46.485999999999997</v>
      </c>
    </row>
    <row r="184" spans="1:7" x14ac:dyDescent="0.35">
      <c r="A184" s="71" t="s">
        <v>299</v>
      </c>
      <c r="B184" s="8">
        <v>158.40100000000001</v>
      </c>
      <c r="D184" t="str">
        <f t="shared" si="6"/>
        <v>EDAM_F</v>
      </c>
      <c r="E184" s="7">
        <f t="shared" si="7"/>
        <v>158.40100000000001</v>
      </c>
    </row>
    <row r="185" spans="1:7" x14ac:dyDescent="0.35">
      <c r="A185" s="71" t="s">
        <v>301</v>
      </c>
      <c r="B185" s="8">
        <v>124.52200000000001</v>
      </c>
      <c r="D185" t="str">
        <f t="shared" si="6"/>
        <v>GOUDA_F</v>
      </c>
      <c r="E185" s="7">
        <f t="shared" si="7"/>
        <v>124.52200000000001</v>
      </c>
    </row>
    <row r="186" spans="1:7" x14ac:dyDescent="0.35">
      <c r="A186" s="71" t="s">
        <v>144</v>
      </c>
      <c r="B186" s="8">
        <v>35.68</v>
      </c>
      <c r="D186" t="str">
        <f t="shared" si="6"/>
        <v>OVEJA</v>
      </c>
      <c r="E186" s="7">
        <f t="shared" si="7"/>
        <v>35.68</v>
      </c>
    </row>
    <row r="187" spans="1:7" x14ac:dyDescent="0.35">
      <c r="A187" s="71" t="s">
        <v>150</v>
      </c>
      <c r="B187" s="8">
        <v>400.76900000000001</v>
      </c>
      <c r="D187" t="str">
        <f t="shared" si="6"/>
        <v/>
      </c>
      <c r="E187" s="7" t="str">
        <f t="shared" si="7"/>
        <v/>
      </c>
    </row>
    <row r="188" spans="1:7" x14ac:dyDescent="0.35">
      <c r="D188" t="str">
        <f t="shared" si="6"/>
        <v/>
      </c>
      <c r="E188" s="7" t="str">
        <f t="shared" si="7"/>
        <v/>
      </c>
    </row>
    <row r="189" spans="1:7" x14ac:dyDescent="0.35">
      <c r="D189" t="str">
        <f t="shared" si="6"/>
        <v/>
      </c>
      <c r="E189" s="7" t="str">
        <f t="shared" si="7"/>
        <v/>
      </c>
    </row>
    <row r="190" spans="1:7" x14ac:dyDescent="0.35">
      <c r="D190" t="str">
        <f t="shared" si="6"/>
        <v/>
      </c>
      <c r="E190" s="7" t="str">
        <f t="shared" si="7"/>
        <v/>
      </c>
    </row>
    <row r="191" spans="1:7" x14ac:dyDescent="0.35">
      <c r="D191" t="str">
        <f t="shared" si="6"/>
        <v/>
      </c>
      <c r="E191" s="7" t="str">
        <f t="shared" si="7"/>
        <v/>
      </c>
    </row>
    <row r="192" spans="1:7" x14ac:dyDescent="0.35">
      <c r="D192" t="str">
        <f t="shared" si="6"/>
        <v/>
      </c>
      <c r="E192" s="7" t="str">
        <f t="shared" si="7"/>
        <v/>
      </c>
    </row>
    <row r="193" spans="1:7" x14ac:dyDescent="0.35">
      <c r="D193" t="str">
        <f t="shared" si="6"/>
        <v/>
      </c>
      <c r="E193" s="7" t="str">
        <f t="shared" si="7"/>
        <v/>
      </c>
    </row>
    <row r="194" spans="1:7" x14ac:dyDescent="0.35">
      <c r="D194" t="str">
        <f t="shared" si="6"/>
        <v/>
      </c>
      <c r="E194" s="7" t="str">
        <f t="shared" si="7"/>
        <v/>
      </c>
    </row>
    <row r="195" spans="1:7" x14ac:dyDescent="0.35">
      <c r="D195" t="str">
        <f t="shared" si="6"/>
        <v/>
      </c>
      <c r="E195" s="7" t="str">
        <f t="shared" si="7"/>
        <v/>
      </c>
    </row>
    <row r="196" spans="1:7" x14ac:dyDescent="0.35">
      <c r="D196" t="str">
        <f t="shared" si="6"/>
        <v/>
      </c>
      <c r="E196" s="7" t="str">
        <f t="shared" si="7"/>
        <v/>
      </c>
    </row>
    <row r="197" spans="1:7" x14ac:dyDescent="0.35">
      <c r="D197" t="str">
        <f t="shared" si="6"/>
        <v/>
      </c>
      <c r="E197" s="7" t="str">
        <f t="shared" si="7"/>
        <v/>
      </c>
    </row>
    <row r="198" spans="1:7" x14ac:dyDescent="0.35">
      <c r="D198" t="str">
        <f t="shared" si="6"/>
        <v/>
      </c>
      <c r="E198" s="7" t="str">
        <f t="shared" si="7"/>
        <v/>
      </c>
    </row>
    <row r="199" spans="1:7" x14ac:dyDescent="0.35">
      <c r="D199" t="str">
        <f t="shared" si="6"/>
        <v/>
      </c>
      <c r="E199" s="7" t="str">
        <f t="shared" si="7"/>
        <v/>
      </c>
    </row>
    <row r="200" spans="1:7" x14ac:dyDescent="0.35">
      <c r="D200" t="str">
        <f t="shared" si="6"/>
        <v/>
      </c>
      <c r="E200" s="7" t="str">
        <f t="shared" si="7"/>
        <v/>
      </c>
    </row>
    <row r="201" spans="1:7" ht="15" thickBot="1" x14ac:dyDescent="0.4"/>
    <row r="202" spans="1:7" x14ac:dyDescent="0.35">
      <c r="A202" s="86"/>
      <c r="B202" s="87"/>
      <c r="C202" s="87"/>
      <c r="D202" s="87"/>
      <c r="E202" s="87"/>
      <c r="F202" s="87"/>
      <c r="G202" s="88"/>
    </row>
    <row r="203" spans="1:7" ht="15" thickBot="1" x14ac:dyDescent="0.4">
      <c r="A203" s="89" t="s">
        <v>208</v>
      </c>
      <c r="G203" s="90"/>
    </row>
    <row r="204" spans="1:7" ht="15" thickBot="1" x14ac:dyDescent="0.4">
      <c r="A204" s="109" t="s">
        <v>192</v>
      </c>
      <c r="B204" s="110" t="s" vm="1">
        <v>210</v>
      </c>
      <c r="G204" s="90"/>
    </row>
    <row r="205" spans="1:7" ht="15" thickBot="1" x14ac:dyDescent="0.4">
      <c r="A205" s="89"/>
      <c r="G205" s="90"/>
    </row>
    <row r="206" spans="1:7" ht="15" thickBot="1" x14ac:dyDescent="0.4">
      <c r="A206" s="114" t="s">
        <v>149</v>
      </c>
      <c r="B206" s="119" t="s">
        <v>183</v>
      </c>
      <c r="D206" s="6" t="s">
        <v>47</v>
      </c>
      <c r="E206" s="6" t="s">
        <v>209</v>
      </c>
      <c r="G206" s="90"/>
    </row>
    <row r="207" spans="1:7" x14ac:dyDescent="0.35">
      <c r="A207" s="115">
        <v>46027</v>
      </c>
      <c r="B207" s="111">
        <v>8.4811873985667994</v>
      </c>
      <c r="D207" s="9">
        <f t="shared" ref="D207" si="8">IF(OR(A207="Total general",A207=""),"",A207)</f>
        <v>46027</v>
      </c>
      <c r="E207" s="37">
        <f t="shared" ref="E207" si="9">IF(D207="","",B207)</f>
        <v>8.4811873985667994</v>
      </c>
      <c r="G207" s="90"/>
    </row>
    <row r="208" spans="1:7" x14ac:dyDescent="0.35">
      <c r="A208" s="116">
        <v>46029</v>
      </c>
      <c r="B208" s="112">
        <v>9.3232926656925983</v>
      </c>
      <c r="D208" s="9">
        <f t="shared" ref="D208:D261" si="10">IF(OR(A208="Total general",A208=""),"",A208)</f>
        <v>46029</v>
      </c>
      <c r="E208" s="37">
        <f t="shared" ref="E208:E261" si="11">IF(D208="","",B208)</f>
        <v>9.3232926656925983</v>
      </c>
      <c r="G208" s="90"/>
    </row>
    <row r="209" spans="1:7" x14ac:dyDescent="0.35">
      <c r="A209" s="116">
        <v>46031</v>
      </c>
      <c r="B209" s="112">
        <v>8.5515179552729315</v>
      </c>
      <c r="D209" s="9">
        <f t="shared" si="10"/>
        <v>46031</v>
      </c>
      <c r="E209" s="37">
        <f t="shared" si="11"/>
        <v>8.5515179552729315</v>
      </c>
      <c r="G209" s="90"/>
    </row>
    <row r="210" spans="1:7" x14ac:dyDescent="0.35">
      <c r="A210" s="116">
        <v>46034</v>
      </c>
      <c r="B210" s="112">
        <v>8.9527249823018131</v>
      </c>
      <c r="D210" s="9">
        <f t="shared" si="10"/>
        <v>46034</v>
      </c>
      <c r="E210" s="37">
        <f t="shared" si="11"/>
        <v>8.9527249823018131</v>
      </c>
      <c r="G210" s="90"/>
    </row>
    <row r="211" spans="1:7" x14ac:dyDescent="0.35">
      <c r="A211" s="116">
        <v>46036</v>
      </c>
      <c r="B211" s="112">
        <v>9.0810960968263377</v>
      </c>
      <c r="D211" s="9">
        <f t="shared" si="10"/>
        <v>46036</v>
      </c>
      <c r="E211" s="37">
        <f t="shared" si="11"/>
        <v>9.0810960968263377</v>
      </c>
      <c r="G211" s="90"/>
    </row>
    <row r="212" spans="1:7" x14ac:dyDescent="0.35">
      <c r="A212" s="116">
        <v>46037</v>
      </c>
      <c r="B212" s="112">
        <v>8.4148387762518571</v>
      </c>
      <c r="D212" s="9">
        <f t="shared" si="10"/>
        <v>46037</v>
      </c>
      <c r="E212" s="37">
        <f t="shared" si="11"/>
        <v>8.4148387762518571</v>
      </c>
      <c r="G212" s="90"/>
    </row>
    <row r="213" spans="1:7" x14ac:dyDescent="0.35">
      <c r="A213" s="116">
        <v>46041</v>
      </c>
      <c r="B213" s="112">
        <v>9.1416144569460052</v>
      </c>
      <c r="D213" s="9">
        <f t="shared" si="10"/>
        <v>46041</v>
      </c>
      <c r="E213" s="37">
        <f t="shared" si="11"/>
        <v>9.1416144569460052</v>
      </c>
      <c r="G213" s="90"/>
    </row>
    <row r="214" spans="1:7" x14ac:dyDescent="0.35">
      <c r="A214" s="116">
        <v>46043</v>
      </c>
      <c r="B214" s="112">
        <v>8.5555232679290061</v>
      </c>
      <c r="D214" s="9">
        <f t="shared" si="10"/>
        <v>46043</v>
      </c>
      <c r="E214" s="37">
        <f t="shared" si="11"/>
        <v>8.5555232679290061</v>
      </c>
      <c r="G214" s="90"/>
    </row>
    <row r="215" spans="1:7" x14ac:dyDescent="0.35">
      <c r="A215" s="116">
        <v>46044</v>
      </c>
      <c r="B215" s="112">
        <v>8.5891960507757403</v>
      </c>
      <c r="D215" s="9">
        <f t="shared" si="10"/>
        <v>46044</v>
      </c>
      <c r="E215" s="37">
        <f t="shared" si="11"/>
        <v>8.5891960507757403</v>
      </c>
      <c r="G215" s="90"/>
    </row>
    <row r="216" spans="1:7" x14ac:dyDescent="0.35">
      <c r="A216" s="116">
        <v>46056</v>
      </c>
      <c r="B216" s="112">
        <v>8.5891960507757403</v>
      </c>
      <c r="D216" s="9">
        <f t="shared" si="10"/>
        <v>46056</v>
      </c>
      <c r="E216" s="37">
        <f t="shared" si="11"/>
        <v>8.5891960507757403</v>
      </c>
      <c r="G216" s="90"/>
    </row>
    <row r="217" spans="1:7" x14ac:dyDescent="0.35">
      <c r="A217" s="116">
        <v>46057</v>
      </c>
      <c r="B217" s="112">
        <v>8.5891960507757403</v>
      </c>
      <c r="D217" s="9">
        <f t="shared" si="10"/>
        <v>46057</v>
      </c>
      <c r="E217" s="37">
        <f t="shared" si="11"/>
        <v>8.5891960507757403</v>
      </c>
      <c r="G217" s="90"/>
    </row>
    <row r="218" spans="1:7" x14ac:dyDescent="0.35">
      <c r="A218" s="116">
        <v>46058</v>
      </c>
      <c r="B218" s="112">
        <v>8.5891960507757403</v>
      </c>
      <c r="D218" s="9">
        <f t="shared" si="10"/>
        <v>46058</v>
      </c>
      <c r="E218" s="37">
        <f t="shared" si="11"/>
        <v>8.5891960507757403</v>
      </c>
      <c r="G218" s="90"/>
    </row>
    <row r="219" spans="1:7" ht="15" thickBot="1" x14ac:dyDescent="0.4">
      <c r="A219" s="117">
        <v>46086</v>
      </c>
      <c r="B219" s="112">
        <v>9.1416144569460052</v>
      </c>
      <c r="D219" s="9">
        <f t="shared" si="10"/>
        <v>46086</v>
      </c>
      <c r="E219" s="37">
        <f t="shared" si="11"/>
        <v>9.1416144569460052</v>
      </c>
      <c r="G219" s="90"/>
    </row>
    <row r="220" spans="1:7" ht="15" thickBot="1" x14ac:dyDescent="0.4">
      <c r="A220" s="118" t="s">
        <v>150</v>
      </c>
      <c r="B220" s="113">
        <v>8.7859640759799351</v>
      </c>
      <c r="D220" s="9" t="str">
        <f t="shared" si="10"/>
        <v/>
      </c>
      <c r="E220" s="37" t="str">
        <f t="shared" si="11"/>
        <v/>
      </c>
      <c r="G220" s="90"/>
    </row>
    <row r="221" spans="1:7" x14ac:dyDescent="0.35">
      <c r="A221" s="89"/>
      <c r="D221" s="9" t="str">
        <f t="shared" si="10"/>
        <v/>
      </c>
      <c r="E221" s="37" t="str">
        <f t="shared" si="11"/>
        <v/>
      </c>
      <c r="G221" s="90"/>
    </row>
    <row r="222" spans="1:7" x14ac:dyDescent="0.35">
      <c r="A222" s="89"/>
      <c r="D222" s="9" t="str">
        <f t="shared" si="10"/>
        <v/>
      </c>
      <c r="E222" s="37" t="str">
        <f t="shared" si="11"/>
        <v/>
      </c>
      <c r="G222" s="90"/>
    </row>
    <row r="223" spans="1:7" x14ac:dyDescent="0.35">
      <c r="A223" s="89"/>
      <c r="D223" s="9" t="str">
        <f t="shared" si="10"/>
        <v/>
      </c>
      <c r="E223" s="37" t="str">
        <f t="shared" si="11"/>
        <v/>
      </c>
      <c r="G223" s="90"/>
    </row>
    <row r="224" spans="1:7" x14ac:dyDescent="0.35">
      <c r="A224" s="89"/>
      <c r="D224" s="9" t="str">
        <f t="shared" si="10"/>
        <v/>
      </c>
      <c r="E224" s="37" t="str">
        <f t="shared" si="11"/>
        <v/>
      </c>
      <c r="G224" s="90"/>
    </row>
    <row r="225" spans="1:7" x14ac:dyDescent="0.35">
      <c r="A225" s="89"/>
      <c r="D225" s="9" t="str">
        <f t="shared" si="10"/>
        <v/>
      </c>
      <c r="E225" s="37" t="str">
        <f t="shared" si="11"/>
        <v/>
      </c>
      <c r="G225" s="90"/>
    </row>
    <row r="226" spans="1:7" x14ac:dyDescent="0.35">
      <c r="A226" s="89"/>
      <c r="D226" s="9" t="str">
        <f t="shared" si="10"/>
        <v/>
      </c>
      <c r="E226" s="37" t="str">
        <f t="shared" si="11"/>
        <v/>
      </c>
      <c r="G226" s="90"/>
    </row>
    <row r="227" spans="1:7" x14ac:dyDescent="0.35">
      <c r="A227" s="89"/>
      <c r="D227" s="9" t="str">
        <f t="shared" si="10"/>
        <v/>
      </c>
      <c r="E227" s="37" t="str">
        <f t="shared" si="11"/>
        <v/>
      </c>
      <c r="G227" s="90"/>
    </row>
    <row r="228" spans="1:7" x14ac:dyDescent="0.35">
      <c r="A228" s="89"/>
      <c r="D228" s="9" t="str">
        <f t="shared" si="10"/>
        <v/>
      </c>
      <c r="E228" s="37" t="str">
        <f t="shared" si="11"/>
        <v/>
      </c>
      <c r="G228" s="90"/>
    </row>
    <row r="229" spans="1:7" x14ac:dyDescent="0.35">
      <c r="A229" s="89"/>
      <c r="D229" s="9" t="str">
        <f t="shared" si="10"/>
        <v/>
      </c>
      <c r="E229" s="37" t="str">
        <f t="shared" si="11"/>
        <v/>
      </c>
      <c r="G229" s="90"/>
    </row>
    <row r="230" spans="1:7" x14ac:dyDescent="0.35">
      <c r="A230" s="89"/>
      <c r="D230" s="9" t="str">
        <f t="shared" si="10"/>
        <v/>
      </c>
      <c r="E230" s="37" t="str">
        <f t="shared" si="11"/>
        <v/>
      </c>
      <c r="G230" s="90"/>
    </row>
    <row r="231" spans="1:7" x14ac:dyDescent="0.35">
      <c r="A231" s="89"/>
      <c r="D231" s="9" t="str">
        <f t="shared" si="10"/>
        <v/>
      </c>
      <c r="E231" s="37" t="str">
        <f t="shared" si="11"/>
        <v/>
      </c>
      <c r="G231" s="90"/>
    </row>
    <row r="232" spans="1:7" x14ac:dyDescent="0.35">
      <c r="A232" s="89"/>
      <c r="D232" s="9" t="str">
        <f t="shared" si="10"/>
        <v/>
      </c>
      <c r="E232" s="37" t="str">
        <f t="shared" si="11"/>
        <v/>
      </c>
      <c r="G232" s="90"/>
    </row>
    <row r="233" spans="1:7" x14ac:dyDescent="0.35">
      <c r="A233" s="89"/>
      <c r="D233" s="9" t="str">
        <f t="shared" si="10"/>
        <v/>
      </c>
      <c r="E233" s="37" t="str">
        <f t="shared" si="11"/>
        <v/>
      </c>
      <c r="G233" s="90"/>
    </row>
    <row r="234" spans="1:7" x14ac:dyDescent="0.35">
      <c r="A234" s="89"/>
      <c r="D234" s="9" t="str">
        <f t="shared" si="10"/>
        <v/>
      </c>
      <c r="E234" s="37" t="str">
        <f t="shared" si="11"/>
        <v/>
      </c>
      <c r="G234" s="90"/>
    </row>
    <row r="235" spans="1:7" x14ac:dyDescent="0.35">
      <c r="A235" s="89"/>
      <c r="D235" s="9" t="str">
        <f t="shared" si="10"/>
        <v/>
      </c>
      <c r="E235" s="37" t="str">
        <f t="shared" si="11"/>
        <v/>
      </c>
      <c r="G235" s="90"/>
    </row>
    <row r="236" spans="1:7" x14ac:dyDescent="0.35">
      <c r="A236" s="89"/>
      <c r="D236" s="9" t="str">
        <f t="shared" si="10"/>
        <v/>
      </c>
      <c r="E236" s="37" t="str">
        <f t="shared" si="11"/>
        <v/>
      </c>
      <c r="G236" s="90"/>
    </row>
    <row r="237" spans="1:7" x14ac:dyDescent="0.35">
      <c r="A237" s="89"/>
      <c r="D237" s="9" t="str">
        <f t="shared" si="10"/>
        <v/>
      </c>
      <c r="E237" s="37" t="str">
        <f t="shared" si="11"/>
        <v/>
      </c>
      <c r="G237" s="90"/>
    </row>
    <row r="238" spans="1:7" x14ac:dyDescent="0.35">
      <c r="A238" s="89"/>
      <c r="D238" s="9" t="str">
        <f t="shared" si="10"/>
        <v/>
      </c>
      <c r="E238" s="37" t="str">
        <f t="shared" si="11"/>
        <v/>
      </c>
      <c r="G238" s="90"/>
    </row>
    <row r="239" spans="1:7" x14ac:dyDescent="0.35">
      <c r="A239" s="89"/>
      <c r="D239" s="9" t="str">
        <f t="shared" si="10"/>
        <v/>
      </c>
      <c r="E239" s="37" t="str">
        <f t="shared" si="11"/>
        <v/>
      </c>
      <c r="G239" s="90"/>
    </row>
    <row r="240" spans="1:7" x14ac:dyDescent="0.35">
      <c r="A240" s="89"/>
      <c r="D240" s="9" t="str">
        <f t="shared" si="10"/>
        <v/>
      </c>
      <c r="E240" s="37" t="str">
        <f t="shared" si="11"/>
        <v/>
      </c>
      <c r="G240" s="90"/>
    </row>
    <row r="241" spans="1:7" x14ac:dyDescent="0.35">
      <c r="A241" s="89"/>
      <c r="D241" s="9" t="str">
        <f t="shared" si="10"/>
        <v/>
      </c>
      <c r="E241" s="37" t="str">
        <f t="shared" si="11"/>
        <v/>
      </c>
      <c r="G241" s="90"/>
    </row>
    <row r="242" spans="1:7" x14ac:dyDescent="0.35">
      <c r="A242" s="89"/>
      <c r="D242" s="9" t="str">
        <f t="shared" si="10"/>
        <v/>
      </c>
      <c r="E242" s="37" t="str">
        <f t="shared" si="11"/>
        <v/>
      </c>
      <c r="G242" s="90"/>
    </row>
    <row r="243" spans="1:7" x14ac:dyDescent="0.35">
      <c r="A243" s="89"/>
      <c r="D243" s="9" t="str">
        <f t="shared" si="10"/>
        <v/>
      </c>
      <c r="E243" s="37" t="str">
        <f t="shared" si="11"/>
        <v/>
      </c>
      <c r="G243" s="90"/>
    </row>
    <row r="244" spans="1:7" x14ac:dyDescent="0.35">
      <c r="A244" s="89"/>
      <c r="D244" s="9" t="str">
        <f t="shared" si="10"/>
        <v/>
      </c>
      <c r="E244" s="37" t="str">
        <f t="shared" si="11"/>
        <v/>
      </c>
      <c r="G244" s="90"/>
    </row>
    <row r="245" spans="1:7" x14ac:dyDescent="0.35">
      <c r="A245" s="89"/>
      <c r="D245" s="9" t="str">
        <f t="shared" si="10"/>
        <v/>
      </c>
      <c r="E245" s="37" t="str">
        <f t="shared" si="11"/>
        <v/>
      </c>
      <c r="G245" s="90"/>
    </row>
    <row r="246" spans="1:7" x14ac:dyDescent="0.35">
      <c r="A246" s="89"/>
      <c r="D246" s="9" t="str">
        <f t="shared" si="10"/>
        <v/>
      </c>
      <c r="E246" s="37" t="str">
        <f t="shared" si="11"/>
        <v/>
      </c>
      <c r="G246" s="90"/>
    </row>
    <row r="247" spans="1:7" x14ac:dyDescent="0.35">
      <c r="A247" s="89"/>
      <c r="D247" s="9" t="str">
        <f t="shared" si="10"/>
        <v/>
      </c>
      <c r="E247" s="37" t="str">
        <f t="shared" si="11"/>
        <v/>
      </c>
      <c r="G247" s="90"/>
    </row>
    <row r="248" spans="1:7" x14ac:dyDescent="0.35">
      <c r="A248" s="89"/>
      <c r="D248" s="9" t="str">
        <f t="shared" si="10"/>
        <v/>
      </c>
      <c r="E248" s="37" t="str">
        <f t="shared" si="11"/>
        <v/>
      </c>
      <c r="G248" s="90"/>
    </row>
    <row r="249" spans="1:7" x14ac:dyDescent="0.35">
      <c r="A249" s="89"/>
      <c r="D249" s="9" t="str">
        <f t="shared" si="10"/>
        <v/>
      </c>
      <c r="E249" s="37" t="str">
        <f t="shared" si="11"/>
        <v/>
      </c>
      <c r="G249" s="90"/>
    </row>
    <row r="250" spans="1:7" x14ac:dyDescent="0.35">
      <c r="A250" s="89"/>
      <c r="D250" s="9" t="str">
        <f t="shared" si="10"/>
        <v/>
      </c>
      <c r="E250" s="37" t="str">
        <f t="shared" si="11"/>
        <v/>
      </c>
      <c r="G250" s="90"/>
    </row>
    <row r="251" spans="1:7" x14ac:dyDescent="0.35">
      <c r="A251" s="89"/>
      <c r="D251" s="9" t="str">
        <f t="shared" si="10"/>
        <v/>
      </c>
      <c r="E251" s="37" t="str">
        <f t="shared" si="11"/>
        <v/>
      </c>
      <c r="G251" s="90"/>
    </row>
    <row r="252" spans="1:7" x14ac:dyDescent="0.35">
      <c r="A252" s="89"/>
      <c r="D252" s="9" t="str">
        <f t="shared" si="10"/>
        <v/>
      </c>
      <c r="E252" s="37" t="str">
        <f t="shared" si="11"/>
        <v/>
      </c>
      <c r="G252" s="90"/>
    </row>
    <row r="253" spans="1:7" x14ac:dyDescent="0.35">
      <c r="A253" s="89"/>
      <c r="D253" s="9" t="str">
        <f t="shared" si="10"/>
        <v/>
      </c>
      <c r="E253" s="37" t="str">
        <f t="shared" si="11"/>
        <v/>
      </c>
      <c r="G253" s="90"/>
    </row>
    <row r="254" spans="1:7" x14ac:dyDescent="0.35">
      <c r="A254" s="89"/>
      <c r="D254" s="9" t="str">
        <f t="shared" si="10"/>
        <v/>
      </c>
      <c r="E254" s="37" t="str">
        <f t="shared" si="11"/>
        <v/>
      </c>
      <c r="G254" s="90"/>
    </row>
    <row r="255" spans="1:7" x14ac:dyDescent="0.35">
      <c r="A255" s="89"/>
      <c r="D255" s="9" t="str">
        <f t="shared" si="10"/>
        <v/>
      </c>
      <c r="E255" s="37" t="str">
        <f t="shared" si="11"/>
        <v/>
      </c>
      <c r="G255" s="90"/>
    </row>
    <row r="256" spans="1:7" x14ac:dyDescent="0.35">
      <c r="A256" s="89"/>
      <c r="D256" s="9" t="str">
        <f t="shared" si="10"/>
        <v/>
      </c>
      <c r="E256" s="37" t="str">
        <f t="shared" si="11"/>
        <v/>
      </c>
      <c r="G256" s="90"/>
    </row>
    <row r="257" spans="1:7" x14ac:dyDescent="0.35">
      <c r="A257" s="89"/>
      <c r="D257" s="9" t="str">
        <f t="shared" si="10"/>
        <v/>
      </c>
      <c r="E257" s="37" t="str">
        <f t="shared" si="11"/>
        <v/>
      </c>
      <c r="G257" s="90"/>
    </row>
    <row r="258" spans="1:7" x14ac:dyDescent="0.35">
      <c r="A258" s="89"/>
      <c r="D258" s="9" t="str">
        <f t="shared" si="10"/>
        <v/>
      </c>
      <c r="E258" s="37" t="str">
        <f t="shared" si="11"/>
        <v/>
      </c>
      <c r="G258" s="90"/>
    </row>
    <row r="259" spans="1:7" x14ac:dyDescent="0.35">
      <c r="A259" s="89"/>
      <c r="D259" s="9" t="str">
        <f t="shared" si="10"/>
        <v/>
      </c>
      <c r="E259" s="37" t="str">
        <f t="shared" si="11"/>
        <v/>
      </c>
      <c r="G259" s="90"/>
    </row>
    <row r="260" spans="1:7" x14ac:dyDescent="0.35">
      <c r="A260" s="89"/>
      <c r="D260" s="9" t="str">
        <f t="shared" si="10"/>
        <v/>
      </c>
      <c r="E260" s="37" t="str">
        <f t="shared" si="11"/>
        <v/>
      </c>
      <c r="G260" s="90"/>
    </row>
    <row r="261" spans="1:7" x14ac:dyDescent="0.35">
      <c r="A261" s="89"/>
      <c r="D261" s="9" t="str">
        <f t="shared" si="10"/>
        <v/>
      </c>
      <c r="E261" s="37" t="str">
        <f t="shared" si="11"/>
        <v/>
      </c>
      <c r="G261" s="90"/>
    </row>
    <row r="262" spans="1:7" x14ac:dyDescent="0.35">
      <c r="A262" s="89"/>
      <c r="D262" s="9" t="str">
        <f t="shared" ref="D262:D271" si="12">IF(OR(A262="Total general",A262=""),"",A262)</f>
        <v/>
      </c>
      <c r="E262" s="37" t="str">
        <f t="shared" ref="E262:E271" si="13">IF(D262="","",B262)</f>
        <v/>
      </c>
      <c r="G262" s="90"/>
    </row>
    <row r="263" spans="1:7" ht="15" thickBot="1" x14ac:dyDescent="0.4">
      <c r="A263" s="91"/>
      <c r="B263" s="92"/>
      <c r="C263" s="92"/>
      <c r="D263" s="108" t="str">
        <f t="shared" si="12"/>
        <v/>
      </c>
      <c r="E263" s="107" t="str">
        <f t="shared" si="13"/>
        <v/>
      </c>
      <c r="F263" s="92"/>
      <c r="G263" s="93"/>
    </row>
    <row r="264" spans="1:7" x14ac:dyDescent="0.35">
      <c r="D264" t="str">
        <f t="shared" si="12"/>
        <v/>
      </c>
      <c r="E264" s="7" t="str">
        <f t="shared" si="13"/>
        <v/>
      </c>
    </row>
    <row r="265" spans="1:7" x14ac:dyDescent="0.35">
      <c r="D265" t="str">
        <f t="shared" si="12"/>
        <v/>
      </c>
      <c r="E265" s="7" t="str">
        <f t="shared" si="13"/>
        <v/>
      </c>
    </row>
    <row r="266" spans="1:7" x14ac:dyDescent="0.35">
      <c r="D266" t="str">
        <f t="shared" si="12"/>
        <v/>
      </c>
      <c r="E266" s="7" t="str">
        <f t="shared" si="13"/>
        <v/>
      </c>
    </row>
    <row r="267" spans="1:7" x14ac:dyDescent="0.35">
      <c r="D267" t="str">
        <f t="shared" si="12"/>
        <v/>
      </c>
      <c r="E267" s="7" t="str">
        <f t="shared" si="13"/>
        <v/>
      </c>
    </row>
    <row r="268" spans="1:7" x14ac:dyDescent="0.35">
      <c r="D268" t="str">
        <f t="shared" si="12"/>
        <v/>
      </c>
      <c r="E268" s="7" t="str">
        <f t="shared" si="13"/>
        <v/>
      </c>
    </row>
    <row r="269" spans="1:7" x14ac:dyDescent="0.35">
      <c r="D269" t="str">
        <f t="shared" si="12"/>
        <v/>
      </c>
      <c r="E269" s="7" t="str">
        <f t="shared" si="13"/>
        <v/>
      </c>
    </row>
    <row r="270" spans="1:7" x14ac:dyDescent="0.35">
      <c r="D270" t="str">
        <f t="shared" si="12"/>
        <v/>
      </c>
      <c r="E270" s="7" t="str">
        <f t="shared" si="13"/>
        <v/>
      </c>
    </row>
    <row r="271" spans="1:7" x14ac:dyDescent="0.35">
      <c r="D271" t="str">
        <f t="shared" si="12"/>
        <v/>
      </c>
      <c r="E271" s="7" t="str">
        <f t="shared" si="13"/>
        <v/>
      </c>
    </row>
    <row r="389" spans="1:3" x14ac:dyDescent="0.35">
      <c r="A389" s="70" t="s">
        <v>149</v>
      </c>
      <c r="B389" t="s">
        <v>383</v>
      </c>
      <c r="C389" t="s">
        <v>384</v>
      </c>
    </row>
    <row r="390" spans="1:3" x14ac:dyDescent="0.35">
      <c r="A390" s="71" t="s">
        <v>318</v>
      </c>
      <c r="B390" s="65">
        <v>480000</v>
      </c>
      <c r="C390" s="65">
        <v>-480000</v>
      </c>
    </row>
    <row r="391" spans="1:3" x14ac:dyDescent="0.35">
      <c r="A391" s="71" t="s">
        <v>319</v>
      </c>
      <c r="B391" s="65">
        <v>440000</v>
      </c>
      <c r="C391" s="65">
        <v>-460000</v>
      </c>
    </row>
    <row r="392" spans="1:3" x14ac:dyDescent="0.35">
      <c r="A392" s="71" t="s">
        <v>191</v>
      </c>
      <c r="B392" s="65">
        <v>400000</v>
      </c>
      <c r="C392" s="65">
        <v>-480000</v>
      </c>
    </row>
    <row r="393" spans="1:3" x14ac:dyDescent="0.35">
      <c r="A393" s="71" t="s">
        <v>227</v>
      </c>
      <c r="B393" s="65">
        <v>380000</v>
      </c>
      <c r="C393" s="65">
        <v>-460000</v>
      </c>
    </row>
    <row r="394" spans="1:3" x14ac:dyDescent="0.35">
      <c r="A394" s="71" t="s">
        <v>224</v>
      </c>
      <c r="B394" s="65">
        <v>390000</v>
      </c>
      <c r="C394" s="65">
        <v>-385000</v>
      </c>
    </row>
    <row r="395" spans="1:3" x14ac:dyDescent="0.35">
      <c r="A395" s="71" t="s">
        <v>150</v>
      </c>
      <c r="B395" s="65">
        <v>418000</v>
      </c>
      <c r="C395" s="65">
        <v>-453000</v>
      </c>
    </row>
  </sheetData>
  <pageMargins left="0.7" right="0.7" top="0.75" bottom="0.75" header="0.3" footer="0.3"/>
  <drawing r:id="rId13"/>
  <extLst>
    <ext xmlns:x14="http://schemas.microsoft.com/office/spreadsheetml/2009/9/main" uri="{A8765BA9-456A-4dab-B4F3-ACF838C121DE}">
      <x14:slicerList>
        <x14:slicer r:id="rId14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ECF6C-6AC7-4C04-ADC5-0AB53D360453}">
  <dimension ref="A1:BE1556"/>
  <sheetViews>
    <sheetView topLeftCell="I140" zoomScaleNormal="100" workbookViewId="0">
      <selection activeCell="S146" sqref="S146"/>
    </sheetView>
  </sheetViews>
  <sheetFormatPr baseColWidth="10" defaultRowHeight="14.5" x14ac:dyDescent="0.35"/>
  <cols>
    <col min="1" max="1" width="16.81640625" bestFit="1" customWidth="1"/>
    <col min="2" max="2" width="14.81640625" bestFit="1" customWidth="1"/>
    <col min="3" max="3" width="12.1796875" bestFit="1" customWidth="1"/>
    <col min="4" max="4" width="12.453125" bestFit="1" customWidth="1"/>
    <col min="5" max="5" width="13.1796875" bestFit="1" customWidth="1"/>
    <col min="6" max="6" width="11.1796875" bestFit="1" customWidth="1"/>
    <col min="7" max="7" width="12.453125" bestFit="1" customWidth="1"/>
    <col min="8" max="8" width="18" bestFit="1" customWidth="1"/>
    <col min="9" max="10" width="12.54296875" bestFit="1" customWidth="1"/>
    <col min="11" max="11" width="12.7265625" bestFit="1" customWidth="1"/>
    <col min="12" max="17" width="12.54296875" bestFit="1" customWidth="1"/>
    <col min="18" max="18" width="15" bestFit="1" customWidth="1"/>
    <col min="19" max="19" width="17.453125" customWidth="1"/>
    <col min="20" max="22" width="12.54296875" bestFit="1" customWidth="1"/>
    <col min="35" max="35" width="12.7265625" customWidth="1"/>
    <col min="36" max="36" width="14.81640625" customWidth="1"/>
    <col min="37" max="37" width="11.54296875" customWidth="1"/>
    <col min="38" max="38" width="13.1796875" customWidth="1"/>
    <col min="39" max="39" width="12.54296875" customWidth="1"/>
    <col min="40" max="40" width="13.1796875" customWidth="1"/>
    <col min="41" max="41" width="13" customWidth="1"/>
    <col min="42" max="42" width="12" customWidth="1"/>
    <col min="47" max="47" width="13.81640625" customWidth="1"/>
    <col min="48" max="48" width="11.26953125" customWidth="1"/>
    <col min="49" max="49" width="12.453125" customWidth="1"/>
    <col min="50" max="50" width="11.26953125" customWidth="1"/>
  </cols>
  <sheetData>
    <row r="1" spans="1:22" x14ac:dyDescent="0.35">
      <c r="A1" s="6" t="s">
        <v>443</v>
      </c>
    </row>
    <row r="2" spans="1:22" x14ac:dyDescent="0.35">
      <c r="A2" s="6" t="s">
        <v>305</v>
      </c>
      <c r="B2" s="6" t="s">
        <v>133</v>
      </c>
      <c r="C2" s="6" t="s">
        <v>42</v>
      </c>
      <c r="D2" s="6" t="s">
        <v>306</v>
      </c>
      <c r="E2" s="6" t="s">
        <v>229</v>
      </c>
      <c r="F2" s="6" t="s">
        <v>230</v>
      </c>
      <c r="G2" s="6" t="s">
        <v>231</v>
      </c>
      <c r="H2" s="6" t="s">
        <v>307</v>
      </c>
    </row>
    <row r="3" spans="1:22" x14ac:dyDescent="0.35">
      <c r="A3" s="7">
        <v>2025</v>
      </c>
      <c r="B3" t="s">
        <v>318</v>
      </c>
      <c r="C3" t="s">
        <v>218</v>
      </c>
      <c r="D3" t="s">
        <v>244</v>
      </c>
      <c r="E3" s="7">
        <v>491.95791413844029</v>
      </c>
      <c r="F3" s="7">
        <v>18.094373079874689</v>
      </c>
      <c r="G3" s="7">
        <v>7.5478625588304915</v>
      </c>
      <c r="H3" s="58">
        <f>SUM(E3:G3)/1000</f>
        <v>0.51760014977714552</v>
      </c>
      <c r="I3" s="180" t="s">
        <v>574</v>
      </c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</row>
    <row r="4" spans="1:22" x14ac:dyDescent="0.35">
      <c r="A4" s="7">
        <v>2025</v>
      </c>
      <c r="B4" t="s">
        <v>319</v>
      </c>
      <c r="C4" t="s">
        <v>228</v>
      </c>
      <c r="D4" t="s">
        <v>244</v>
      </c>
      <c r="E4" s="7">
        <v>483.56053891269852</v>
      </c>
      <c r="F4" s="7">
        <v>22.437606610330448</v>
      </c>
      <c r="G4" s="7">
        <v>6.7724799613887594</v>
      </c>
      <c r="H4" s="58">
        <f t="shared" ref="H4:H37" si="0">SUM(E4:G4)/1000</f>
        <v>0.51277062548441765</v>
      </c>
      <c r="I4" s="180" t="s">
        <v>574</v>
      </c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</row>
    <row r="5" spans="1:22" x14ac:dyDescent="0.35">
      <c r="A5" s="7">
        <v>2025</v>
      </c>
      <c r="B5" t="s">
        <v>320</v>
      </c>
      <c r="C5" t="s">
        <v>225</v>
      </c>
      <c r="D5" t="s">
        <v>244</v>
      </c>
      <c r="E5" s="7">
        <v>480.85681468199675</v>
      </c>
      <c r="F5" s="7">
        <v>19.926258308864877</v>
      </c>
      <c r="G5" s="7">
        <v>5.4909676781328818</v>
      </c>
      <c r="H5" s="58">
        <f t="shared" si="0"/>
        <v>0.50627404066899451</v>
      </c>
      <c r="I5" s="180" t="s">
        <v>574</v>
      </c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</row>
    <row r="6" spans="1:22" x14ac:dyDescent="0.35">
      <c r="A6" s="7">
        <v>2025</v>
      </c>
      <c r="B6" t="s">
        <v>321</v>
      </c>
      <c r="C6" t="s">
        <v>232</v>
      </c>
      <c r="D6" t="s">
        <v>244</v>
      </c>
      <c r="E6" s="7">
        <v>479.64306851387045</v>
      </c>
      <c r="F6" s="7">
        <v>18.436190521476185</v>
      </c>
      <c r="G6" s="7">
        <v>5.1922842221218382</v>
      </c>
      <c r="H6" s="58">
        <f t="shared" si="0"/>
        <v>0.50327154325746848</v>
      </c>
      <c r="I6" s="180" t="s">
        <v>574</v>
      </c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</row>
    <row r="7" spans="1:22" x14ac:dyDescent="0.35">
      <c r="A7" s="7">
        <v>2025</v>
      </c>
      <c r="B7" t="s">
        <v>322</v>
      </c>
      <c r="C7" t="s">
        <v>233</v>
      </c>
      <c r="D7" t="s">
        <v>244</v>
      </c>
      <c r="E7" s="7">
        <v>472.6994219042997</v>
      </c>
      <c r="F7" s="7">
        <v>13.693772122266289</v>
      </c>
      <c r="G7" s="7">
        <v>5.0222992609753803</v>
      </c>
      <c r="H7" s="58">
        <f t="shared" si="0"/>
        <v>0.49141549328754136</v>
      </c>
      <c r="I7" s="180" t="s">
        <v>574</v>
      </c>
    </row>
    <row r="8" spans="1:22" x14ac:dyDescent="0.35">
      <c r="A8" s="7">
        <v>2025</v>
      </c>
      <c r="B8" t="s">
        <v>323</v>
      </c>
      <c r="C8" t="s">
        <v>234</v>
      </c>
      <c r="D8" t="s">
        <v>244</v>
      </c>
      <c r="E8" s="7">
        <v>485.15224466649101</v>
      </c>
      <c r="F8" s="7">
        <v>13.463021247571472</v>
      </c>
      <c r="G8" s="7">
        <v>7.7986574596524791</v>
      </c>
      <c r="H8" s="58">
        <f t="shared" si="0"/>
        <v>0.50641392337371494</v>
      </c>
      <c r="I8" s="180" t="s">
        <v>574</v>
      </c>
    </row>
    <row r="9" spans="1:22" x14ac:dyDescent="0.35">
      <c r="A9" s="7">
        <v>2025</v>
      </c>
      <c r="B9" t="s">
        <v>324</v>
      </c>
      <c r="C9" t="s">
        <v>235</v>
      </c>
      <c r="D9" t="s">
        <v>244</v>
      </c>
      <c r="E9" s="7">
        <v>488.07284495791617</v>
      </c>
      <c r="F9" s="7">
        <v>11.392013540948257</v>
      </c>
      <c r="G9" s="7">
        <v>7.3472059207607368</v>
      </c>
      <c r="H9" s="58">
        <f t="shared" si="0"/>
        <v>0.50681206441962523</v>
      </c>
      <c r="I9" s="180" t="s">
        <v>574</v>
      </c>
    </row>
    <row r="10" spans="1:22" x14ac:dyDescent="0.35">
      <c r="A10" s="7">
        <v>2025</v>
      </c>
      <c r="B10" t="s">
        <v>325</v>
      </c>
      <c r="C10" t="s">
        <v>236</v>
      </c>
      <c r="D10" t="s">
        <v>244</v>
      </c>
      <c r="E10" s="7">
        <v>499.42859803939064</v>
      </c>
      <c r="F10" s="7">
        <v>16.875773765145194</v>
      </c>
      <c r="G10" s="7">
        <v>10.345626158788392</v>
      </c>
      <c r="H10" s="58">
        <f t="shared" si="0"/>
        <v>0.52664999796332412</v>
      </c>
      <c r="I10" s="180" t="s">
        <v>574</v>
      </c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</row>
    <row r="11" spans="1:22" x14ac:dyDescent="0.35">
      <c r="A11" s="7">
        <v>2025</v>
      </c>
      <c r="B11" t="s">
        <v>326</v>
      </c>
      <c r="C11" t="s">
        <v>237</v>
      </c>
      <c r="D11" t="s">
        <v>244</v>
      </c>
      <c r="E11" s="7">
        <v>496.05444989320591</v>
      </c>
      <c r="F11" s="7">
        <v>54.5016761102994</v>
      </c>
      <c r="G11" s="7">
        <v>11.829209619488072</v>
      </c>
      <c r="H11" s="58">
        <f t="shared" si="0"/>
        <v>0.56238533562299342</v>
      </c>
      <c r="I11" s="180" t="s">
        <v>574</v>
      </c>
    </row>
    <row r="12" spans="1:22" x14ac:dyDescent="0.35">
      <c r="A12" s="7">
        <v>2025</v>
      </c>
      <c r="B12" t="s">
        <v>327</v>
      </c>
      <c r="C12" t="s">
        <v>238</v>
      </c>
      <c r="D12" t="s">
        <v>244</v>
      </c>
      <c r="E12" s="7">
        <v>486.96934498047153</v>
      </c>
      <c r="F12" s="7">
        <v>66.272190952302225</v>
      </c>
      <c r="G12" s="7">
        <v>15.175485154622855</v>
      </c>
      <c r="H12" s="58">
        <f t="shared" si="0"/>
        <v>0.56841702108739667</v>
      </c>
      <c r="I12" s="180" t="s">
        <v>574</v>
      </c>
    </row>
    <row r="13" spans="1:22" x14ac:dyDescent="0.35">
      <c r="A13" s="7">
        <v>2025</v>
      </c>
      <c r="B13" t="s">
        <v>328</v>
      </c>
      <c r="C13" t="s">
        <v>239</v>
      </c>
      <c r="D13" t="s">
        <v>244</v>
      </c>
      <c r="E13" s="7">
        <v>486.75868373520359</v>
      </c>
      <c r="F13" s="7">
        <v>56.06018939731694</v>
      </c>
      <c r="G13" s="7">
        <v>16.156383380823382</v>
      </c>
      <c r="H13" s="58">
        <f t="shared" si="0"/>
        <v>0.5589752565133439</v>
      </c>
      <c r="I13" s="180" t="s">
        <v>574</v>
      </c>
      <c r="K13" s="58"/>
      <c r="L13" s="58"/>
      <c r="M13" s="58"/>
      <c r="N13" s="58"/>
    </row>
    <row r="14" spans="1:22" x14ac:dyDescent="0.35">
      <c r="A14" s="7">
        <v>2025</v>
      </c>
      <c r="B14" t="s">
        <v>329</v>
      </c>
      <c r="C14" t="s">
        <v>240</v>
      </c>
      <c r="D14" t="s">
        <v>244</v>
      </c>
      <c r="E14" s="7">
        <v>477.4243187275527</v>
      </c>
      <c r="F14" s="7">
        <v>72.76187461972755</v>
      </c>
      <c r="G14" s="7">
        <v>11.258241586896531</v>
      </c>
      <c r="H14" s="58">
        <f t="shared" si="0"/>
        <v>0.56144443493417684</v>
      </c>
      <c r="I14" s="180" t="s">
        <v>574</v>
      </c>
      <c r="K14" s="58"/>
      <c r="L14" s="58"/>
      <c r="M14" s="58"/>
      <c r="N14" s="58"/>
    </row>
    <row r="15" spans="1:22" x14ac:dyDescent="0.35">
      <c r="A15" s="7">
        <v>2025</v>
      </c>
      <c r="B15" t="s">
        <v>318</v>
      </c>
      <c r="C15" t="s">
        <v>218</v>
      </c>
      <c r="D15" t="s">
        <v>145</v>
      </c>
      <c r="H15" s="58">
        <f t="shared" si="0"/>
        <v>0</v>
      </c>
      <c r="I15" s="180" t="s">
        <v>574</v>
      </c>
      <c r="K15" s="58"/>
      <c r="L15" s="58"/>
      <c r="M15" s="58"/>
      <c r="N15" s="58"/>
    </row>
    <row r="16" spans="1:22" x14ac:dyDescent="0.35">
      <c r="A16" s="7">
        <v>2025</v>
      </c>
      <c r="B16" t="s">
        <v>319</v>
      </c>
      <c r="C16" t="s">
        <v>228</v>
      </c>
      <c r="D16" t="s">
        <v>145</v>
      </c>
      <c r="H16" s="58">
        <f t="shared" si="0"/>
        <v>0</v>
      </c>
      <c r="I16" s="180" t="s">
        <v>574</v>
      </c>
      <c r="K16" s="58"/>
      <c r="L16" s="58"/>
      <c r="M16" s="58"/>
      <c r="N16" s="58"/>
    </row>
    <row r="17" spans="1:14" x14ac:dyDescent="0.35">
      <c r="A17" s="7">
        <v>2025</v>
      </c>
      <c r="B17" t="s">
        <v>320</v>
      </c>
      <c r="C17" t="s">
        <v>225</v>
      </c>
      <c r="D17" t="s">
        <v>145</v>
      </c>
      <c r="H17" s="58">
        <f t="shared" si="0"/>
        <v>0</v>
      </c>
      <c r="I17" s="180" t="s">
        <v>574</v>
      </c>
      <c r="K17" s="58"/>
      <c r="L17" s="58"/>
      <c r="M17" s="58"/>
      <c r="N17" s="58"/>
    </row>
    <row r="18" spans="1:14" x14ac:dyDescent="0.35">
      <c r="A18" s="7">
        <v>2025</v>
      </c>
      <c r="B18" t="s">
        <v>321</v>
      </c>
      <c r="C18" t="s">
        <v>232</v>
      </c>
      <c r="D18" t="s">
        <v>145</v>
      </c>
      <c r="H18" s="58">
        <f t="shared" si="0"/>
        <v>0</v>
      </c>
      <c r="I18" s="180" t="s">
        <v>574</v>
      </c>
      <c r="K18" s="58"/>
      <c r="L18" s="58"/>
      <c r="M18" s="58"/>
      <c r="N18" s="58"/>
    </row>
    <row r="19" spans="1:14" x14ac:dyDescent="0.35">
      <c r="A19" s="7">
        <v>2025</v>
      </c>
      <c r="B19" t="s">
        <v>322</v>
      </c>
      <c r="C19" t="s">
        <v>233</v>
      </c>
      <c r="D19" t="s">
        <v>145</v>
      </c>
      <c r="H19" s="58">
        <f t="shared" si="0"/>
        <v>0</v>
      </c>
      <c r="I19" s="180" t="s">
        <v>574</v>
      </c>
      <c r="K19" s="58"/>
      <c r="L19" s="58"/>
      <c r="M19" s="58"/>
      <c r="N19" s="58"/>
    </row>
    <row r="20" spans="1:14" x14ac:dyDescent="0.35">
      <c r="A20" s="7">
        <v>2025</v>
      </c>
      <c r="B20" t="s">
        <v>323</v>
      </c>
      <c r="C20" t="s">
        <v>234</v>
      </c>
      <c r="D20" t="s">
        <v>145</v>
      </c>
      <c r="H20" s="58">
        <f t="shared" si="0"/>
        <v>0</v>
      </c>
      <c r="I20" s="180" t="s">
        <v>574</v>
      </c>
      <c r="K20" s="58"/>
      <c r="L20" s="58"/>
      <c r="M20" s="58"/>
      <c r="N20" s="58"/>
    </row>
    <row r="21" spans="1:14" x14ac:dyDescent="0.35">
      <c r="A21" s="7">
        <v>2025</v>
      </c>
      <c r="B21" t="s">
        <v>324</v>
      </c>
      <c r="C21" t="s">
        <v>235</v>
      </c>
      <c r="D21" t="s">
        <v>145</v>
      </c>
      <c r="H21" s="58">
        <f t="shared" si="0"/>
        <v>0</v>
      </c>
      <c r="I21" s="180" t="s">
        <v>574</v>
      </c>
      <c r="K21" s="58"/>
      <c r="L21" s="58"/>
      <c r="M21" s="58"/>
      <c r="N21" s="58"/>
    </row>
    <row r="22" spans="1:14" x14ac:dyDescent="0.35">
      <c r="A22" s="7">
        <v>2025</v>
      </c>
      <c r="B22" t="s">
        <v>325</v>
      </c>
      <c r="C22" t="s">
        <v>236</v>
      </c>
      <c r="D22" t="s">
        <v>145</v>
      </c>
      <c r="H22" s="58">
        <f t="shared" si="0"/>
        <v>0</v>
      </c>
      <c r="I22" s="180" t="s">
        <v>574</v>
      </c>
      <c r="K22" s="58"/>
      <c r="L22" s="58"/>
      <c r="M22" s="58"/>
      <c r="N22" s="58"/>
    </row>
    <row r="23" spans="1:14" x14ac:dyDescent="0.35">
      <c r="A23" s="7">
        <v>2025</v>
      </c>
      <c r="B23" t="s">
        <v>326</v>
      </c>
      <c r="C23" t="s">
        <v>237</v>
      </c>
      <c r="D23" t="s">
        <v>145</v>
      </c>
      <c r="H23" s="58">
        <f t="shared" si="0"/>
        <v>0</v>
      </c>
      <c r="I23" s="180" t="s">
        <v>574</v>
      </c>
      <c r="K23" s="58"/>
      <c r="L23" s="58"/>
      <c r="M23" s="58"/>
      <c r="N23" s="58"/>
    </row>
    <row r="24" spans="1:14" x14ac:dyDescent="0.35">
      <c r="A24" s="7">
        <v>2025</v>
      </c>
      <c r="B24" t="s">
        <v>327</v>
      </c>
      <c r="C24" t="s">
        <v>238</v>
      </c>
      <c r="D24" t="s">
        <v>145</v>
      </c>
      <c r="H24" s="58">
        <f t="shared" si="0"/>
        <v>0</v>
      </c>
      <c r="I24" s="180" t="s">
        <v>574</v>
      </c>
      <c r="K24" s="58"/>
      <c r="L24" s="58"/>
      <c r="M24" s="58"/>
      <c r="N24" s="58"/>
    </row>
    <row r="25" spans="1:14" x14ac:dyDescent="0.35">
      <c r="A25" s="7">
        <v>2025</v>
      </c>
      <c r="B25" t="s">
        <v>328</v>
      </c>
      <c r="C25" t="s">
        <v>239</v>
      </c>
      <c r="D25" t="s">
        <v>145</v>
      </c>
      <c r="E25">
        <f>1.1*1000</f>
        <v>1100</v>
      </c>
      <c r="H25" s="58">
        <f t="shared" si="0"/>
        <v>1.1000000000000001</v>
      </c>
      <c r="I25" s="180" t="s">
        <v>574</v>
      </c>
    </row>
    <row r="26" spans="1:14" x14ac:dyDescent="0.35">
      <c r="A26" s="7">
        <v>2025</v>
      </c>
      <c r="B26" t="s">
        <v>329</v>
      </c>
      <c r="C26" t="s">
        <v>240</v>
      </c>
      <c r="D26" t="s">
        <v>145</v>
      </c>
      <c r="E26">
        <v>1239</v>
      </c>
      <c r="H26" s="58">
        <f t="shared" si="0"/>
        <v>1.2390000000000001</v>
      </c>
      <c r="I26" s="180" t="s">
        <v>574</v>
      </c>
    </row>
    <row r="27" spans="1:14" x14ac:dyDescent="0.35">
      <c r="A27" s="7">
        <v>2025</v>
      </c>
      <c r="B27" t="s">
        <v>318</v>
      </c>
      <c r="C27" t="s">
        <v>218</v>
      </c>
      <c r="D27" t="s">
        <v>144</v>
      </c>
      <c r="H27" s="58">
        <f t="shared" si="0"/>
        <v>0</v>
      </c>
      <c r="I27" s="180" t="s">
        <v>574</v>
      </c>
    </row>
    <row r="28" spans="1:14" x14ac:dyDescent="0.35">
      <c r="A28" s="7">
        <v>2025</v>
      </c>
      <c r="B28" t="s">
        <v>319</v>
      </c>
      <c r="C28" t="s">
        <v>228</v>
      </c>
      <c r="D28" t="s">
        <v>144</v>
      </c>
      <c r="H28" s="58">
        <f t="shared" si="0"/>
        <v>0</v>
      </c>
      <c r="I28" s="180" t="s">
        <v>574</v>
      </c>
    </row>
    <row r="29" spans="1:14" x14ac:dyDescent="0.35">
      <c r="A29" s="7">
        <v>2025</v>
      </c>
      <c r="B29" t="s">
        <v>320</v>
      </c>
      <c r="C29" t="s">
        <v>225</v>
      </c>
      <c r="D29" t="s">
        <v>144</v>
      </c>
      <c r="H29" s="58">
        <f t="shared" si="0"/>
        <v>0</v>
      </c>
      <c r="I29" s="180" t="s">
        <v>574</v>
      </c>
    </row>
    <row r="30" spans="1:14" x14ac:dyDescent="0.35">
      <c r="A30" s="7">
        <v>2025</v>
      </c>
      <c r="B30" t="s">
        <v>321</v>
      </c>
      <c r="C30" t="s">
        <v>232</v>
      </c>
      <c r="D30" t="s">
        <v>144</v>
      </c>
      <c r="H30" s="58">
        <f t="shared" si="0"/>
        <v>0</v>
      </c>
      <c r="I30" s="180" t="s">
        <v>574</v>
      </c>
    </row>
    <row r="31" spans="1:14" x14ac:dyDescent="0.35">
      <c r="A31" s="7">
        <v>2025</v>
      </c>
      <c r="B31" t="s">
        <v>322</v>
      </c>
      <c r="C31" t="s">
        <v>233</v>
      </c>
      <c r="D31" t="s">
        <v>144</v>
      </c>
      <c r="H31" s="58">
        <f t="shared" si="0"/>
        <v>0</v>
      </c>
      <c r="I31" s="180" t="s">
        <v>574</v>
      </c>
    </row>
    <row r="32" spans="1:14" x14ac:dyDescent="0.35">
      <c r="A32" s="7">
        <v>2025</v>
      </c>
      <c r="B32" t="s">
        <v>323</v>
      </c>
      <c r="C32" t="s">
        <v>234</v>
      </c>
      <c r="D32" t="s">
        <v>144</v>
      </c>
      <c r="H32" s="58">
        <f t="shared" si="0"/>
        <v>0</v>
      </c>
      <c r="I32" s="180" t="s">
        <v>574</v>
      </c>
    </row>
    <row r="33" spans="1:11" x14ac:dyDescent="0.35">
      <c r="A33" s="7">
        <v>2025</v>
      </c>
      <c r="B33" t="s">
        <v>324</v>
      </c>
      <c r="C33" t="s">
        <v>235</v>
      </c>
      <c r="D33" t="s">
        <v>144</v>
      </c>
      <c r="H33" s="58">
        <f t="shared" si="0"/>
        <v>0</v>
      </c>
      <c r="I33" s="180" t="s">
        <v>574</v>
      </c>
    </row>
    <row r="34" spans="1:11" x14ac:dyDescent="0.35">
      <c r="A34" s="7">
        <v>2025</v>
      </c>
      <c r="B34" t="s">
        <v>325</v>
      </c>
      <c r="C34" t="s">
        <v>236</v>
      </c>
      <c r="D34" t="s">
        <v>144</v>
      </c>
      <c r="H34" s="58">
        <f t="shared" si="0"/>
        <v>0</v>
      </c>
      <c r="I34" s="180" t="s">
        <v>574</v>
      </c>
    </row>
    <row r="35" spans="1:11" x14ac:dyDescent="0.35">
      <c r="A35" s="7">
        <v>2025</v>
      </c>
      <c r="B35" t="s">
        <v>326</v>
      </c>
      <c r="C35" t="s">
        <v>237</v>
      </c>
      <c r="D35" t="s">
        <v>144</v>
      </c>
      <c r="H35" s="58">
        <f t="shared" si="0"/>
        <v>0</v>
      </c>
      <c r="I35" s="180" t="s">
        <v>574</v>
      </c>
    </row>
    <row r="36" spans="1:11" x14ac:dyDescent="0.35">
      <c r="A36" s="7">
        <v>2025</v>
      </c>
      <c r="B36" t="s">
        <v>327</v>
      </c>
      <c r="C36" t="s">
        <v>238</v>
      </c>
      <c r="D36" t="s">
        <v>144</v>
      </c>
      <c r="H36" s="58">
        <f t="shared" si="0"/>
        <v>0</v>
      </c>
      <c r="I36" s="180" t="s">
        <v>574</v>
      </c>
    </row>
    <row r="37" spans="1:11" x14ac:dyDescent="0.35">
      <c r="A37" s="7">
        <v>2025</v>
      </c>
      <c r="B37" t="s">
        <v>328</v>
      </c>
      <c r="C37" t="s">
        <v>239</v>
      </c>
      <c r="D37" t="s">
        <v>144</v>
      </c>
      <c r="E37">
        <v>1451</v>
      </c>
      <c r="H37" s="58">
        <f t="shared" si="0"/>
        <v>1.4510000000000001</v>
      </c>
      <c r="I37" s="180" t="s">
        <v>574</v>
      </c>
    </row>
    <row r="38" spans="1:11" x14ac:dyDescent="0.35">
      <c r="A38" s="7">
        <v>2025</v>
      </c>
      <c r="B38" t="s">
        <v>329</v>
      </c>
      <c r="C38" t="s">
        <v>240</v>
      </c>
      <c r="D38" t="s">
        <v>144</v>
      </c>
      <c r="E38">
        <v>1615</v>
      </c>
      <c r="H38" s="58">
        <f>SUM(E38:G38)/1000</f>
        <v>1.615</v>
      </c>
      <c r="I38" s="180" t="s">
        <v>574</v>
      </c>
    </row>
    <row r="39" spans="1:11" x14ac:dyDescent="0.35">
      <c r="A39" s="7">
        <v>2026</v>
      </c>
      <c r="B39" t="s">
        <v>191</v>
      </c>
      <c r="C39" t="s">
        <v>218</v>
      </c>
      <c r="D39" t="s">
        <v>244</v>
      </c>
      <c r="E39" s="7">
        <v>406.35895735093084</v>
      </c>
      <c r="F39" s="7">
        <v>27.667567471714367</v>
      </c>
      <c r="G39" s="7">
        <v>4.1541661823786091</v>
      </c>
      <c r="H39" s="58">
        <f>SUM(E39:G39)/1000</f>
        <v>0.43818069100502383</v>
      </c>
      <c r="I39" s="180" t="s">
        <v>574</v>
      </c>
    </row>
    <row r="40" spans="1:11" x14ac:dyDescent="0.35">
      <c r="A40" s="7">
        <v>2026</v>
      </c>
      <c r="B40" t="s">
        <v>227</v>
      </c>
      <c r="C40" t="s">
        <v>228</v>
      </c>
      <c r="D40" t="s">
        <v>244</v>
      </c>
      <c r="E40" s="7">
        <v>488.8464984151081</v>
      </c>
      <c r="F40" s="7">
        <v>27.335997081062391</v>
      </c>
      <c r="G40" s="7">
        <v>17.667716745775522</v>
      </c>
      <c r="H40" s="58">
        <f>SUM(E40:G40)/1000</f>
        <v>0.53385021224194606</v>
      </c>
      <c r="I40" s="180" t="s">
        <v>574</v>
      </c>
    </row>
    <row r="41" spans="1:11" x14ac:dyDescent="0.35">
      <c r="A41" s="7">
        <v>2026</v>
      </c>
      <c r="B41" t="s">
        <v>224</v>
      </c>
      <c r="C41" t="s">
        <v>225</v>
      </c>
      <c r="D41" t="s">
        <v>244</v>
      </c>
      <c r="E41" s="7">
        <v>403.16980572606985</v>
      </c>
      <c r="F41" s="7">
        <v>25.174076762221222</v>
      </c>
      <c r="G41" s="7">
        <v>5.1912438314352114</v>
      </c>
      <c r="H41" s="58">
        <f t="shared" ref="H41:H72" si="1">SUM(E41:G41)/1000</f>
        <v>0.43353512631972624</v>
      </c>
      <c r="I41" s="180" t="s">
        <v>574</v>
      </c>
    </row>
    <row r="42" spans="1:11" x14ac:dyDescent="0.35">
      <c r="A42" s="7">
        <v>2026</v>
      </c>
      <c r="B42" t="s">
        <v>308</v>
      </c>
      <c r="C42" t="s">
        <v>232</v>
      </c>
      <c r="D42" t="s">
        <v>244</v>
      </c>
      <c r="E42" s="7">
        <v>326.11485254881052</v>
      </c>
      <c r="F42" s="7">
        <v>37.214933770588949</v>
      </c>
      <c r="G42" s="7">
        <v>4.6211530881243856</v>
      </c>
      <c r="H42" s="58">
        <f t="shared" si="1"/>
        <v>0.36795093940752388</v>
      </c>
      <c r="I42" s="180" t="s">
        <v>574</v>
      </c>
    </row>
    <row r="43" spans="1:11" x14ac:dyDescent="0.35">
      <c r="A43" s="7">
        <v>2026</v>
      </c>
      <c r="B43" t="s">
        <v>309</v>
      </c>
      <c r="C43" t="s">
        <v>233</v>
      </c>
      <c r="D43" t="s">
        <v>244</v>
      </c>
      <c r="E43" s="7">
        <v>334.33931921825507</v>
      </c>
      <c r="F43" s="7">
        <v>27.378307871892638</v>
      </c>
      <c r="G43" s="7">
        <v>2.6898951082857274</v>
      </c>
      <c r="H43" s="58">
        <f t="shared" si="1"/>
        <v>0.36440752219843342</v>
      </c>
      <c r="I43" s="180" t="s">
        <v>574</v>
      </c>
    </row>
    <row r="44" spans="1:11" x14ac:dyDescent="0.35">
      <c r="A44" s="7">
        <v>2026</v>
      </c>
      <c r="B44" t="s">
        <v>310</v>
      </c>
      <c r="C44" t="s">
        <v>234</v>
      </c>
      <c r="D44" t="s">
        <v>244</v>
      </c>
      <c r="E44" s="7">
        <v>419.8049758787148</v>
      </c>
      <c r="F44" s="7">
        <v>28.311887576461988</v>
      </c>
      <c r="G44" s="7">
        <v>4.402419603895952</v>
      </c>
      <c r="H44" s="58">
        <f t="shared" si="1"/>
        <v>0.45251928305907274</v>
      </c>
      <c r="I44" s="180" t="s">
        <v>574</v>
      </c>
    </row>
    <row r="45" spans="1:11" x14ac:dyDescent="0.35">
      <c r="A45" s="7">
        <v>2026</v>
      </c>
      <c r="B45" t="s">
        <v>311</v>
      </c>
      <c r="C45" t="s">
        <v>235</v>
      </c>
      <c r="D45" t="s">
        <v>244</v>
      </c>
      <c r="E45" s="7">
        <v>483.14504990293091</v>
      </c>
      <c r="F45" s="7">
        <v>1.2466432047345675</v>
      </c>
      <c r="G45" s="7">
        <v>4.7969780290266586</v>
      </c>
      <c r="H45" s="58">
        <f t="shared" si="1"/>
        <v>0.48918867113669212</v>
      </c>
      <c r="I45" s="180" t="s">
        <v>574</v>
      </c>
      <c r="J45">
        <v>0.47790520151006444</v>
      </c>
      <c r="K45">
        <f>+J45*1000</f>
        <v>477.90520151006444</v>
      </c>
    </row>
    <row r="46" spans="1:11" x14ac:dyDescent="0.35">
      <c r="A46" s="7">
        <v>2026</v>
      </c>
      <c r="B46" t="s">
        <v>312</v>
      </c>
      <c r="C46" t="s">
        <v>236</v>
      </c>
      <c r="D46" t="s">
        <v>244</v>
      </c>
      <c r="E46" s="7">
        <v>477.90520151006444</v>
      </c>
      <c r="F46" s="7">
        <v>6.1687158965609221</v>
      </c>
      <c r="G46" s="7">
        <v>1.1054514175880321</v>
      </c>
      <c r="H46" s="58">
        <f t="shared" si="1"/>
        <v>0.48517936882421336</v>
      </c>
      <c r="I46" s="180" t="s">
        <v>574</v>
      </c>
      <c r="J46">
        <v>6.1687158965609218E-3</v>
      </c>
      <c r="K46">
        <f t="shared" ref="K46:K47" si="2">+J46*1000</f>
        <v>6.1687158965609221</v>
      </c>
    </row>
    <row r="47" spans="1:11" x14ac:dyDescent="0.35">
      <c r="A47" s="7">
        <v>2026</v>
      </c>
      <c r="B47" t="s">
        <v>313</v>
      </c>
      <c r="C47" t="s">
        <v>237</v>
      </c>
      <c r="D47" t="s">
        <v>244</v>
      </c>
      <c r="E47" s="7"/>
      <c r="F47" s="7"/>
      <c r="G47" s="7"/>
      <c r="H47" s="58">
        <f t="shared" si="1"/>
        <v>0</v>
      </c>
      <c r="J47">
        <v>1.1054514175880322E-3</v>
      </c>
      <c r="K47">
        <f t="shared" si="2"/>
        <v>1.1054514175880321</v>
      </c>
    </row>
    <row r="48" spans="1:11" x14ac:dyDescent="0.35">
      <c r="A48" s="7">
        <v>2026</v>
      </c>
      <c r="B48" t="s">
        <v>314</v>
      </c>
      <c r="C48" t="s">
        <v>238</v>
      </c>
      <c r="D48" t="s">
        <v>244</v>
      </c>
      <c r="E48" s="7"/>
      <c r="F48" s="7"/>
      <c r="G48" s="7"/>
      <c r="H48" s="58">
        <f t="shared" si="1"/>
        <v>0</v>
      </c>
    </row>
    <row r="49" spans="1:9" x14ac:dyDescent="0.35">
      <c r="A49" s="7">
        <v>2026</v>
      </c>
      <c r="B49" t="s">
        <v>315</v>
      </c>
      <c r="C49" t="s">
        <v>239</v>
      </c>
      <c r="D49" t="s">
        <v>244</v>
      </c>
      <c r="E49" s="7"/>
      <c r="F49" s="7"/>
      <c r="G49" s="7"/>
      <c r="H49" s="58">
        <f t="shared" si="1"/>
        <v>0</v>
      </c>
    </row>
    <row r="50" spans="1:9" x14ac:dyDescent="0.35">
      <c r="A50" s="7">
        <v>2026</v>
      </c>
      <c r="B50" t="s">
        <v>316</v>
      </c>
      <c r="C50" t="s">
        <v>240</v>
      </c>
      <c r="D50" t="s">
        <v>244</v>
      </c>
      <c r="E50" s="7"/>
      <c r="F50" s="7"/>
      <c r="G50" s="7"/>
      <c r="H50" s="58">
        <f t="shared" si="1"/>
        <v>0</v>
      </c>
    </row>
    <row r="51" spans="1:9" x14ac:dyDescent="0.35">
      <c r="A51" s="7">
        <v>2026</v>
      </c>
      <c r="B51" t="s">
        <v>191</v>
      </c>
      <c r="C51" t="s">
        <v>218</v>
      </c>
      <c r="D51" t="s">
        <v>145</v>
      </c>
      <c r="H51" s="58">
        <f t="shared" si="1"/>
        <v>0</v>
      </c>
      <c r="I51" s="180" t="s">
        <v>574</v>
      </c>
    </row>
    <row r="52" spans="1:9" x14ac:dyDescent="0.35">
      <c r="A52" s="7">
        <v>2026</v>
      </c>
      <c r="B52" t="s">
        <v>227</v>
      </c>
      <c r="C52" t="s">
        <v>228</v>
      </c>
      <c r="D52" t="s">
        <v>145</v>
      </c>
      <c r="E52">
        <v>1179</v>
      </c>
      <c r="H52" s="58">
        <f t="shared" si="1"/>
        <v>1.179</v>
      </c>
      <c r="I52" s="180" t="s">
        <v>574</v>
      </c>
    </row>
    <row r="53" spans="1:9" x14ac:dyDescent="0.35">
      <c r="A53" s="7">
        <v>2026</v>
      </c>
      <c r="B53" t="s">
        <v>224</v>
      </c>
      <c r="C53" t="s">
        <v>225</v>
      </c>
      <c r="D53" t="s">
        <v>145</v>
      </c>
      <c r="H53" s="58">
        <f t="shared" si="1"/>
        <v>0</v>
      </c>
      <c r="I53" s="180" t="s">
        <v>574</v>
      </c>
    </row>
    <row r="54" spans="1:9" x14ac:dyDescent="0.35">
      <c r="A54" s="7">
        <v>2026</v>
      </c>
      <c r="B54" t="s">
        <v>308</v>
      </c>
      <c r="C54" t="s">
        <v>232</v>
      </c>
      <c r="D54" t="s">
        <v>145</v>
      </c>
      <c r="H54" s="58">
        <f t="shared" si="1"/>
        <v>0</v>
      </c>
      <c r="I54" s="180" t="s">
        <v>574</v>
      </c>
    </row>
    <row r="55" spans="1:9" x14ac:dyDescent="0.35">
      <c r="A55" s="7">
        <v>2026</v>
      </c>
      <c r="B55" t="s">
        <v>309</v>
      </c>
      <c r="C55" t="s">
        <v>233</v>
      </c>
      <c r="D55" t="s">
        <v>145</v>
      </c>
      <c r="E55" s="7">
        <f>1.2562003968254*1000</f>
        <v>1256.2003968254</v>
      </c>
      <c r="H55" s="58">
        <f t="shared" si="1"/>
        <v>1.2562003968254001</v>
      </c>
      <c r="I55" s="180" t="s">
        <v>574</v>
      </c>
    </row>
    <row r="56" spans="1:9" x14ac:dyDescent="0.35">
      <c r="A56" s="7">
        <v>2026</v>
      </c>
      <c r="B56" t="s">
        <v>310</v>
      </c>
      <c r="C56" t="s">
        <v>234</v>
      </c>
      <c r="D56" t="s">
        <v>145</v>
      </c>
      <c r="H56" s="58">
        <f t="shared" si="1"/>
        <v>0</v>
      </c>
      <c r="I56" s="180" t="s">
        <v>574</v>
      </c>
    </row>
    <row r="57" spans="1:9" x14ac:dyDescent="0.35">
      <c r="A57" s="7">
        <v>2026</v>
      </c>
      <c r="B57" t="s">
        <v>311</v>
      </c>
      <c r="C57" t="s">
        <v>235</v>
      </c>
      <c r="D57" t="s">
        <v>145</v>
      </c>
      <c r="H57" s="58">
        <f t="shared" si="1"/>
        <v>0</v>
      </c>
      <c r="I57" s="180" t="s">
        <v>574</v>
      </c>
    </row>
    <row r="58" spans="1:9" x14ac:dyDescent="0.35">
      <c r="A58" s="7">
        <v>2026</v>
      </c>
      <c r="B58" t="s">
        <v>312</v>
      </c>
      <c r="C58" t="s">
        <v>236</v>
      </c>
      <c r="D58" t="s">
        <v>145</v>
      </c>
      <c r="H58" s="58">
        <f t="shared" si="1"/>
        <v>0</v>
      </c>
      <c r="I58" s="180" t="s">
        <v>574</v>
      </c>
    </row>
    <row r="59" spans="1:9" x14ac:dyDescent="0.35">
      <c r="A59" s="7">
        <v>2026</v>
      </c>
      <c r="B59" t="s">
        <v>313</v>
      </c>
      <c r="C59" t="s">
        <v>237</v>
      </c>
      <c r="D59" t="s">
        <v>145</v>
      </c>
      <c r="H59" s="58">
        <f t="shared" si="1"/>
        <v>0</v>
      </c>
    </row>
    <row r="60" spans="1:9" x14ac:dyDescent="0.35">
      <c r="A60" s="7">
        <v>2026</v>
      </c>
      <c r="B60" t="s">
        <v>314</v>
      </c>
      <c r="C60" t="s">
        <v>238</v>
      </c>
      <c r="D60" t="s">
        <v>145</v>
      </c>
      <c r="H60" s="58">
        <f t="shared" si="1"/>
        <v>0</v>
      </c>
    </row>
    <row r="61" spans="1:9" x14ac:dyDescent="0.35">
      <c r="A61" s="7">
        <v>2026</v>
      </c>
      <c r="B61" t="s">
        <v>315</v>
      </c>
      <c r="C61" t="s">
        <v>239</v>
      </c>
      <c r="D61" t="s">
        <v>145</v>
      </c>
      <c r="H61" s="58">
        <f t="shared" si="1"/>
        <v>0</v>
      </c>
    </row>
    <row r="62" spans="1:9" x14ac:dyDescent="0.35">
      <c r="A62" s="7">
        <v>2026</v>
      </c>
      <c r="B62" t="s">
        <v>316</v>
      </c>
      <c r="C62" t="s">
        <v>240</v>
      </c>
      <c r="D62" t="s">
        <v>145</v>
      </c>
      <c r="H62" s="58">
        <f t="shared" si="1"/>
        <v>0</v>
      </c>
    </row>
    <row r="63" spans="1:9" x14ac:dyDescent="0.35">
      <c r="A63" s="7">
        <v>2026</v>
      </c>
      <c r="B63" t="s">
        <v>191</v>
      </c>
      <c r="C63" t="s">
        <v>218</v>
      </c>
      <c r="D63" t="s">
        <v>144</v>
      </c>
      <c r="H63" s="58">
        <f t="shared" si="1"/>
        <v>0</v>
      </c>
      <c r="I63" s="180" t="s">
        <v>574</v>
      </c>
    </row>
    <row r="64" spans="1:9" x14ac:dyDescent="0.35">
      <c r="A64" s="7">
        <v>2026</v>
      </c>
      <c r="B64" t="s">
        <v>227</v>
      </c>
      <c r="C64" t="s">
        <v>228</v>
      </c>
      <c r="D64" t="s">
        <v>144</v>
      </c>
      <c r="E64">
        <v>1382</v>
      </c>
      <c r="H64" s="58">
        <f t="shared" si="1"/>
        <v>1.3819999999999999</v>
      </c>
      <c r="I64" s="180" t="s">
        <v>574</v>
      </c>
    </row>
    <row r="65" spans="1:9" x14ac:dyDescent="0.35">
      <c r="A65" s="7">
        <v>2026</v>
      </c>
      <c r="B65" t="s">
        <v>224</v>
      </c>
      <c r="C65" t="s">
        <v>225</v>
      </c>
      <c r="D65" t="s">
        <v>144</v>
      </c>
      <c r="H65" s="58">
        <f t="shared" si="1"/>
        <v>0</v>
      </c>
      <c r="I65" s="180" t="s">
        <v>574</v>
      </c>
    </row>
    <row r="66" spans="1:9" x14ac:dyDescent="0.35">
      <c r="A66" s="7">
        <v>2026</v>
      </c>
      <c r="B66" t="s">
        <v>308</v>
      </c>
      <c r="C66" t="s">
        <v>232</v>
      </c>
      <c r="D66" t="s">
        <v>144</v>
      </c>
      <c r="H66" s="58">
        <f t="shared" si="1"/>
        <v>0</v>
      </c>
      <c r="I66" s="180" t="s">
        <v>574</v>
      </c>
    </row>
    <row r="67" spans="1:9" x14ac:dyDescent="0.35">
      <c r="A67" s="7">
        <v>2026</v>
      </c>
      <c r="B67" t="s">
        <v>309</v>
      </c>
      <c r="C67" t="s">
        <v>233</v>
      </c>
      <c r="D67" t="s">
        <v>144</v>
      </c>
      <c r="E67" s="7">
        <f>1.28009733606557*1000</f>
        <v>1280.0973360655701</v>
      </c>
      <c r="H67" s="58">
        <f t="shared" si="1"/>
        <v>1.2800973360655701</v>
      </c>
      <c r="I67" s="180" t="s">
        <v>574</v>
      </c>
    </row>
    <row r="68" spans="1:9" x14ac:dyDescent="0.35">
      <c r="A68" s="7">
        <v>2026</v>
      </c>
      <c r="B68" t="s">
        <v>310</v>
      </c>
      <c r="C68" t="s">
        <v>234</v>
      </c>
      <c r="D68" t="s">
        <v>144</v>
      </c>
      <c r="H68" s="58">
        <f t="shared" si="1"/>
        <v>0</v>
      </c>
      <c r="I68" s="180" t="s">
        <v>574</v>
      </c>
    </row>
    <row r="69" spans="1:9" x14ac:dyDescent="0.35">
      <c r="A69" s="7">
        <v>2026</v>
      </c>
      <c r="B69" t="s">
        <v>311</v>
      </c>
      <c r="C69" t="s">
        <v>235</v>
      </c>
      <c r="D69" t="s">
        <v>144</v>
      </c>
      <c r="H69" s="58">
        <f t="shared" si="1"/>
        <v>0</v>
      </c>
      <c r="I69" s="180" t="s">
        <v>574</v>
      </c>
    </row>
    <row r="70" spans="1:9" x14ac:dyDescent="0.35">
      <c r="A70" s="7">
        <v>2026</v>
      </c>
      <c r="B70" t="s">
        <v>312</v>
      </c>
      <c r="C70" t="s">
        <v>236</v>
      </c>
      <c r="D70" t="s">
        <v>144</v>
      </c>
      <c r="H70" s="58">
        <f t="shared" si="1"/>
        <v>0</v>
      </c>
      <c r="I70" s="180" t="s">
        <v>574</v>
      </c>
    </row>
    <row r="71" spans="1:9" x14ac:dyDescent="0.35">
      <c r="A71" s="7">
        <v>2026</v>
      </c>
      <c r="B71" t="s">
        <v>313</v>
      </c>
      <c r="C71" t="s">
        <v>237</v>
      </c>
      <c r="D71" t="s">
        <v>144</v>
      </c>
      <c r="H71" s="58">
        <f t="shared" si="1"/>
        <v>0</v>
      </c>
    </row>
    <row r="72" spans="1:9" x14ac:dyDescent="0.35">
      <c r="A72" s="7">
        <v>2026</v>
      </c>
      <c r="B72" t="s">
        <v>314</v>
      </c>
      <c r="C72" t="s">
        <v>238</v>
      </c>
      <c r="D72" t="s">
        <v>144</v>
      </c>
      <c r="H72" s="58">
        <f t="shared" si="1"/>
        <v>0</v>
      </c>
    </row>
    <row r="73" spans="1:9" x14ac:dyDescent="0.35">
      <c r="A73" s="7">
        <v>2026</v>
      </c>
      <c r="B73" t="s">
        <v>315</v>
      </c>
      <c r="C73" t="s">
        <v>239</v>
      </c>
      <c r="D73" t="s">
        <v>144</v>
      </c>
      <c r="H73" s="58">
        <f t="shared" ref="H73:H74" si="3">SUM(E73:G73)/1000</f>
        <v>0</v>
      </c>
    </row>
    <row r="74" spans="1:9" x14ac:dyDescent="0.35">
      <c r="A74" s="7">
        <v>2026</v>
      </c>
      <c r="B74" t="s">
        <v>316</v>
      </c>
      <c r="C74" t="s">
        <v>240</v>
      </c>
      <c r="D74" t="s">
        <v>144</v>
      </c>
      <c r="H74" s="58">
        <f t="shared" si="3"/>
        <v>0</v>
      </c>
    </row>
    <row r="75" spans="1:9" x14ac:dyDescent="0.35">
      <c r="E75" s="69"/>
    </row>
    <row r="85" spans="1:57" ht="15" thickBot="1" x14ac:dyDescent="0.4">
      <c r="A85" s="6" t="s">
        <v>298</v>
      </c>
      <c r="B85" s="6"/>
      <c r="C85" s="6"/>
      <c r="D85" s="6"/>
      <c r="E85" s="6"/>
      <c r="F85" s="6"/>
      <c r="G85" s="6" t="s">
        <v>317</v>
      </c>
      <c r="H85" s="6"/>
      <c r="I85" s="6"/>
      <c r="J85" s="6"/>
      <c r="K85" s="6"/>
      <c r="L85" s="6"/>
      <c r="M85" s="6"/>
      <c r="N85" s="6"/>
      <c r="P85" s="6"/>
      <c r="Q85" s="6"/>
      <c r="R85" s="6"/>
      <c r="S85" s="6"/>
      <c r="T85" s="6"/>
      <c r="U85" s="6"/>
      <c r="V85" s="6"/>
      <c r="W85" s="6"/>
      <c r="X85" s="6"/>
      <c r="Y85" s="6" t="s">
        <v>449</v>
      </c>
      <c r="Z85" s="6"/>
      <c r="AA85" s="6"/>
      <c r="AB85" s="6"/>
      <c r="AC85" s="6"/>
      <c r="AD85" s="6"/>
      <c r="AE85" s="6"/>
      <c r="AF85" s="6" t="s">
        <v>454</v>
      </c>
      <c r="AG85" s="6"/>
      <c r="AS85" s="6" t="s">
        <v>564</v>
      </c>
      <c r="AT85" s="6"/>
      <c r="AU85" s="6"/>
      <c r="AV85" s="6"/>
      <c r="AZ85" s="6" t="s">
        <v>573</v>
      </c>
    </row>
    <row r="86" spans="1:57" s="2" customFormat="1" ht="31.5" customHeight="1" thickBot="1" x14ac:dyDescent="0.4">
      <c r="A86" s="6" t="s">
        <v>47</v>
      </c>
      <c r="B86" s="6" t="s">
        <v>50</v>
      </c>
      <c r="C86" s="6" t="s">
        <v>381</v>
      </c>
      <c r="D86" s="6" t="s">
        <v>304</v>
      </c>
      <c r="E86"/>
      <c r="F86"/>
      <c r="G86" s="125" t="s">
        <v>305</v>
      </c>
      <c r="H86" s="6" t="s">
        <v>133</v>
      </c>
      <c r="I86" s="6" t="s">
        <v>42</v>
      </c>
      <c r="J86" t="s">
        <v>330</v>
      </c>
      <c r="K86" t="s">
        <v>331</v>
      </c>
      <c r="L86" t="s">
        <v>332</v>
      </c>
      <c r="O86"/>
      <c r="R86" s="127" t="s">
        <v>47</v>
      </c>
      <c r="S86" s="127" t="s">
        <v>437</v>
      </c>
      <c r="T86" s="127" t="s">
        <v>50</v>
      </c>
      <c r="U86" s="127" t="s">
        <v>438</v>
      </c>
      <c r="Y86" s="128" t="s">
        <v>305</v>
      </c>
      <c r="Z86" s="129" t="s">
        <v>133</v>
      </c>
      <c r="AA86" s="129" t="s">
        <v>42</v>
      </c>
      <c r="AB86" s="130" t="s">
        <v>448</v>
      </c>
      <c r="AC86"/>
      <c r="AD86"/>
      <c r="AE86"/>
      <c r="AF86" s="128" t="s">
        <v>305</v>
      </c>
      <c r="AG86" s="129" t="s">
        <v>133</v>
      </c>
      <c r="AH86" s="129" t="s">
        <v>42</v>
      </c>
      <c r="AI86" s="181" t="s">
        <v>450</v>
      </c>
      <c r="AJ86" s="181" t="s">
        <v>451</v>
      </c>
      <c r="AK86" s="181" t="s">
        <v>452</v>
      </c>
      <c r="AL86" s="181" t="s">
        <v>453</v>
      </c>
      <c r="AM86" s="181" t="s">
        <v>455</v>
      </c>
      <c r="AN86" s="181" t="s">
        <v>456</v>
      </c>
      <c r="AO86" s="181" t="s">
        <v>457</v>
      </c>
      <c r="AP86" s="181" t="s">
        <v>458</v>
      </c>
      <c r="AS86" s="6" t="s">
        <v>47</v>
      </c>
      <c r="AT86" s="181" t="s">
        <v>50</v>
      </c>
      <c r="AU86" s="181" t="s">
        <v>567</v>
      </c>
      <c r="AV86" s="181" t="s">
        <v>568</v>
      </c>
      <c r="AW86" s="181" t="s">
        <v>569</v>
      </c>
      <c r="AX86" s="181" t="s">
        <v>570</v>
      </c>
      <c r="AZ86" s="128" t="s">
        <v>305</v>
      </c>
      <c r="BA86" s="129" t="s">
        <v>133</v>
      </c>
      <c r="BB86" s="129" t="s">
        <v>42</v>
      </c>
      <c r="BC86" s="130" t="s">
        <v>571</v>
      </c>
      <c r="BD86" s="129" t="s">
        <v>572</v>
      </c>
    </row>
    <row r="87" spans="1:57" x14ac:dyDescent="0.35">
      <c r="A87" t="s">
        <v>385</v>
      </c>
      <c r="B87" t="s">
        <v>299</v>
      </c>
      <c r="C87">
        <v>2874.31</v>
      </c>
      <c r="D87" s="37">
        <v>4.8178414993511494</v>
      </c>
      <c r="E87" t="s">
        <v>592</v>
      </c>
      <c r="G87" s="7">
        <v>2025</v>
      </c>
      <c r="H87" t="s">
        <v>318</v>
      </c>
      <c r="I87" t="s">
        <v>218</v>
      </c>
      <c r="J87" s="126">
        <v>378859.20000000007</v>
      </c>
      <c r="K87" s="126">
        <v>-271140.87580000039</v>
      </c>
      <c r="L87" s="126">
        <v>-222313.67146002105</v>
      </c>
      <c r="M87" t="s">
        <v>574</v>
      </c>
      <c r="R87" t="s">
        <v>385</v>
      </c>
      <c r="U87" s="37" t="s">
        <v>440</v>
      </c>
      <c r="V87" t="s">
        <v>574</v>
      </c>
      <c r="Y87" s="131">
        <v>2025</v>
      </c>
      <c r="Z87" s="132" t="s">
        <v>318</v>
      </c>
      <c r="AA87" s="132" t="s">
        <v>218</v>
      </c>
      <c r="AB87" s="133">
        <v>99.7</v>
      </c>
      <c r="AC87" t="s">
        <v>574</v>
      </c>
      <c r="AF87" s="131">
        <v>2025</v>
      </c>
      <c r="AG87" s="132" t="s">
        <v>318</v>
      </c>
      <c r="AH87" s="132" t="s">
        <v>218</v>
      </c>
      <c r="AI87" s="182">
        <v>0</v>
      </c>
      <c r="AJ87" s="182">
        <v>185154.53999999998</v>
      </c>
      <c r="AK87" s="182">
        <v>21498.37</v>
      </c>
      <c r="AL87" s="182">
        <v>5503.1</v>
      </c>
      <c r="AM87" s="182">
        <v>0</v>
      </c>
      <c r="AN87" s="182">
        <v>22368.01</v>
      </c>
      <c r="AO87" s="182">
        <v>85993.5</v>
      </c>
      <c r="AP87" s="182">
        <v>61145.57</v>
      </c>
      <c r="AQ87" t="s">
        <v>574</v>
      </c>
      <c r="AS87" t="s">
        <v>385</v>
      </c>
      <c r="AT87" t="s">
        <v>566</v>
      </c>
      <c r="AU87" s="182"/>
      <c r="AV87" s="37"/>
      <c r="AW87" s="182"/>
      <c r="AX87" s="37"/>
      <c r="AY87" t="s">
        <v>574</v>
      </c>
      <c r="AZ87" s="131">
        <v>2025</v>
      </c>
      <c r="BA87" s="132" t="s">
        <v>318</v>
      </c>
      <c r="BB87" s="132" t="s">
        <v>218</v>
      </c>
      <c r="BC87" s="182">
        <v>1025.5999999999999</v>
      </c>
      <c r="BD87" s="184">
        <v>3.5</v>
      </c>
      <c r="BE87" t="s">
        <v>574</v>
      </c>
    </row>
    <row r="88" spans="1:57" x14ac:dyDescent="0.35">
      <c r="A88" t="s">
        <v>385</v>
      </c>
      <c r="B88" t="s">
        <v>445</v>
      </c>
      <c r="D88" s="37"/>
      <c r="E88" t="s">
        <v>592</v>
      </c>
      <c r="G88" s="7">
        <v>2025</v>
      </c>
      <c r="H88" t="s">
        <v>319</v>
      </c>
      <c r="I88" t="s">
        <v>228</v>
      </c>
      <c r="J88" s="126">
        <v>399071.8</v>
      </c>
      <c r="K88" s="126">
        <v>-230149.15420000014</v>
      </c>
      <c r="L88" s="126">
        <v>-191635.62949979943</v>
      </c>
      <c r="M88" t="s">
        <v>574</v>
      </c>
      <c r="R88" t="s">
        <v>386</v>
      </c>
      <c r="U88" s="37" t="s">
        <v>440</v>
      </c>
      <c r="V88" t="s">
        <v>574</v>
      </c>
      <c r="Y88" s="131">
        <v>2025</v>
      </c>
      <c r="Z88" s="132" t="s">
        <v>319</v>
      </c>
      <c r="AA88" s="132" t="s">
        <v>228</v>
      </c>
      <c r="AB88" s="133">
        <v>98</v>
      </c>
      <c r="AC88" t="s">
        <v>576</v>
      </c>
      <c r="AF88" s="131">
        <v>2025</v>
      </c>
      <c r="AG88" s="132" t="s">
        <v>319</v>
      </c>
      <c r="AH88" s="132" t="s">
        <v>228</v>
      </c>
      <c r="AI88" s="182">
        <v>0</v>
      </c>
      <c r="AJ88" s="182">
        <v>131760.88</v>
      </c>
      <c r="AK88" s="182">
        <v>23295.040000000001</v>
      </c>
      <c r="AL88" s="182">
        <v>5378.48</v>
      </c>
      <c r="AM88" s="182">
        <v>0</v>
      </c>
      <c r="AN88" s="182">
        <v>16470.11</v>
      </c>
      <c r="AO88" s="182">
        <v>93180.17</v>
      </c>
      <c r="AP88" s="182">
        <v>59760.94</v>
      </c>
      <c r="AQ88" t="s">
        <v>574</v>
      </c>
      <c r="AS88" t="s">
        <v>386</v>
      </c>
      <c r="AT88" t="s">
        <v>566</v>
      </c>
      <c r="AU88" s="182"/>
      <c r="AV88" s="37"/>
      <c r="AW88" s="182">
        <v>1260</v>
      </c>
      <c r="AX88" s="37">
        <v>1.85</v>
      </c>
      <c r="AY88" t="s">
        <v>574</v>
      </c>
      <c r="AZ88" s="131">
        <v>2025</v>
      </c>
      <c r="BA88" s="132" t="s">
        <v>319</v>
      </c>
      <c r="BB88" s="132" t="s">
        <v>228</v>
      </c>
      <c r="BC88" s="182">
        <v>1032.7</v>
      </c>
      <c r="BD88" s="184">
        <v>3.5</v>
      </c>
      <c r="BE88" t="s">
        <v>574</v>
      </c>
    </row>
    <row r="89" spans="1:57" x14ac:dyDescent="0.35">
      <c r="A89" t="s">
        <v>385</v>
      </c>
      <c r="B89" t="s">
        <v>189</v>
      </c>
      <c r="D89" s="37"/>
      <c r="E89" t="s">
        <v>592</v>
      </c>
      <c r="G89" s="7">
        <v>2025</v>
      </c>
      <c r="H89" t="s">
        <v>320</v>
      </c>
      <c r="I89" t="s">
        <v>225</v>
      </c>
      <c r="J89" s="126">
        <v>419317.09</v>
      </c>
      <c r="K89" s="126">
        <v>-208916.44999999966</v>
      </c>
      <c r="L89" s="126">
        <v>-156503.09737149649</v>
      </c>
      <c r="M89" t="s">
        <v>574</v>
      </c>
      <c r="R89" t="s">
        <v>387</v>
      </c>
      <c r="U89" s="37" t="s">
        <v>440</v>
      </c>
      <c r="V89" t="s">
        <v>574</v>
      </c>
      <c r="Y89" s="131">
        <v>2025</v>
      </c>
      <c r="Z89" s="132" t="s">
        <v>320</v>
      </c>
      <c r="AA89" s="132" t="s">
        <v>225</v>
      </c>
      <c r="AB89" s="133">
        <v>100</v>
      </c>
      <c r="AC89" t="s">
        <v>574</v>
      </c>
      <c r="AF89" s="131">
        <v>2025</v>
      </c>
      <c r="AG89" s="132" t="s">
        <v>320</v>
      </c>
      <c r="AH89" s="132" t="s">
        <v>225</v>
      </c>
      <c r="AI89" s="182">
        <v>0</v>
      </c>
      <c r="AJ89" s="182">
        <v>192862.24</v>
      </c>
      <c r="AK89" s="182">
        <v>28394.5</v>
      </c>
      <c r="AL89" s="182">
        <v>6505.61</v>
      </c>
      <c r="AM89" s="182">
        <v>0</v>
      </c>
      <c r="AN89" s="182">
        <v>24107.78</v>
      </c>
      <c r="AO89" s="182">
        <v>113578.01</v>
      </c>
      <c r="AP89" s="182">
        <v>72284.59</v>
      </c>
      <c r="AQ89" t="s">
        <v>574</v>
      </c>
      <c r="AS89" t="s">
        <v>387</v>
      </c>
      <c r="AT89" t="s">
        <v>566</v>
      </c>
      <c r="AU89" s="182">
        <v>8605.68</v>
      </c>
      <c r="AV89" s="37">
        <v>1.8</v>
      </c>
      <c r="AW89" s="182">
        <v>1605</v>
      </c>
      <c r="AX89" s="37">
        <v>1.85</v>
      </c>
      <c r="AY89" t="s">
        <v>574</v>
      </c>
      <c r="AZ89" s="131">
        <v>2025</v>
      </c>
      <c r="BA89" s="132" t="s">
        <v>320</v>
      </c>
      <c r="BB89" s="132" t="s">
        <v>225</v>
      </c>
      <c r="BC89" s="182">
        <v>1066.7</v>
      </c>
      <c r="BD89" s="184">
        <v>3.5</v>
      </c>
      <c r="BE89" t="s">
        <v>574</v>
      </c>
    </row>
    <row r="90" spans="1:57" x14ac:dyDescent="0.35">
      <c r="A90" t="s">
        <v>385</v>
      </c>
      <c r="B90" t="s">
        <v>190</v>
      </c>
      <c r="D90" s="37"/>
      <c r="E90" t="s">
        <v>592</v>
      </c>
      <c r="G90" s="7">
        <v>2025</v>
      </c>
      <c r="H90" t="s">
        <v>321</v>
      </c>
      <c r="I90" t="s">
        <v>232</v>
      </c>
      <c r="J90" s="126">
        <v>466257.37</v>
      </c>
      <c r="K90" s="126">
        <v>-199652.04000000004</v>
      </c>
      <c r="L90" s="126">
        <v>-207535.42239763294</v>
      </c>
      <c r="M90" t="s">
        <v>574</v>
      </c>
      <c r="R90" t="s">
        <v>388</v>
      </c>
      <c r="S90">
        <v>1333.41</v>
      </c>
      <c r="T90" t="s">
        <v>299</v>
      </c>
      <c r="U90" s="37" t="s">
        <v>440</v>
      </c>
      <c r="V90" t="s">
        <v>574</v>
      </c>
      <c r="Y90" s="131">
        <v>2025</v>
      </c>
      <c r="Z90" s="132" t="s">
        <v>321</v>
      </c>
      <c r="AA90" s="132" t="s">
        <v>232</v>
      </c>
      <c r="AB90" s="133">
        <v>99.2</v>
      </c>
      <c r="AC90" t="s">
        <v>574</v>
      </c>
      <c r="AF90" s="131">
        <v>2025</v>
      </c>
      <c r="AG90" s="132" t="s">
        <v>321</v>
      </c>
      <c r="AH90" s="132" t="s">
        <v>232</v>
      </c>
      <c r="AI90" s="182">
        <v>0</v>
      </c>
      <c r="AJ90" s="182">
        <v>282386</v>
      </c>
      <c r="AK90" s="182">
        <v>39226.94</v>
      </c>
      <c r="AL90" s="182">
        <v>8284.91</v>
      </c>
      <c r="AM90" s="182">
        <v>0</v>
      </c>
      <c r="AN90" s="182">
        <v>35298.25</v>
      </c>
      <c r="AO90" s="182">
        <v>156907.78</v>
      </c>
      <c r="AP90" s="182">
        <v>92054.57</v>
      </c>
      <c r="AQ90" t="s">
        <v>574</v>
      </c>
      <c r="AS90" t="s">
        <v>388</v>
      </c>
      <c r="AT90" t="s">
        <v>566</v>
      </c>
      <c r="AU90" s="182"/>
      <c r="AV90" s="37"/>
      <c r="AW90" s="182"/>
      <c r="AX90" s="37"/>
      <c r="AY90" t="s">
        <v>574</v>
      </c>
      <c r="AZ90" s="131">
        <v>2025</v>
      </c>
      <c r="BA90" s="132" t="s">
        <v>321</v>
      </c>
      <c r="BB90" s="132" t="s">
        <v>232</v>
      </c>
      <c r="BC90" s="182">
        <v>18342</v>
      </c>
      <c r="BD90" s="184">
        <v>3.081152000872315</v>
      </c>
      <c r="BE90" t="s">
        <v>574</v>
      </c>
    </row>
    <row r="91" spans="1:57" x14ac:dyDescent="0.35">
      <c r="A91" t="s">
        <v>385</v>
      </c>
      <c r="B91" t="s">
        <v>301</v>
      </c>
      <c r="C91">
        <v>1051.04</v>
      </c>
      <c r="D91" s="37">
        <v>4.7142829958897856</v>
      </c>
      <c r="E91" t="s">
        <v>592</v>
      </c>
      <c r="G91" s="7">
        <v>2025</v>
      </c>
      <c r="H91" t="s">
        <v>322</v>
      </c>
      <c r="I91" t="s">
        <v>233</v>
      </c>
      <c r="J91" s="126">
        <v>405044.08999999997</v>
      </c>
      <c r="K91" s="126">
        <v>-45876.619999999821</v>
      </c>
      <c r="L91" s="126">
        <v>-158884.22788340473</v>
      </c>
      <c r="M91" t="s">
        <v>574</v>
      </c>
      <c r="R91" t="s">
        <v>389</v>
      </c>
      <c r="U91" s="37" t="s">
        <v>440</v>
      </c>
      <c r="V91" t="s">
        <v>574</v>
      </c>
      <c r="Y91" s="131">
        <v>2025</v>
      </c>
      <c r="Z91" s="132" t="s">
        <v>322</v>
      </c>
      <c r="AA91" s="132" t="s">
        <v>233</v>
      </c>
      <c r="AB91" s="133">
        <v>99</v>
      </c>
      <c r="AC91" t="s">
        <v>574</v>
      </c>
      <c r="AF91" s="131">
        <v>2025</v>
      </c>
      <c r="AG91" s="132" t="s">
        <v>322</v>
      </c>
      <c r="AH91" s="132" t="s">
        <v>233</v>
      </c>
      <c r="AI91" s="182">
        <v>0</v>
      </c>
      <c r="AJ91" s="182">
        <v>303479.18</v>
      </c>
      <c r="AK91" s="182">
        <v>43815.29</v>
      </c>
      <c r="AL91" s="182">
        <v>10525.31</v>
      </c>
      <c r="AM91" s="182">
        <v>0</v>
      </c>
      <c r="AN91" s="182">
        <v>37748.19</v>
      </c>
      <c r="AO91" s="182">
        <v>175261.16</v>
      </c>
      <c r="AP91" s="182">
        <v>116947.85</v>
      </c>
      <c r="AQ91" t="s">
        <v>574</v>
      </c>
      <c r="AS91" t="s">
        <v>389</v>
      </c>
      <c r="AT91" t="s">
        <v>566</v>
      </c>
      <c r="AU91" s="182">
        <v>9481.619999999999</v>
      </c>
      <c r="AV91" s="37">
        <v>1.8</v>
      </c>
      <c r="AW91" s="182">
        <v>1335</v>
      </c>
      <c r="AX91" s="37">
        <v>1.85</v>
      </c>
      <c r="AY91" t="s">
        <v>574</v>
      </c>
      <c r="AZ91" s="131">
        <v>2025</v>
      </c>
      <c r="BA91" s="132" t="s">
        <v>322</v>
      </c>
      <c r="BB91" s="132" t="s">
        <v>233</v>
      </c>
      <c r="BC91" s="182">
        <v>2265.6</v>
      </c>
      <c r="BD91" s="184">
        <v>3.5</v>
      </c>
      <c r="BE91" t="s">
        <v>574</v>
      </c>
    </row>
    <row r="92" spans="1:57" x14ac:dyDescent="0.35">
      <c r="A92" t="s">
        <v>385</v>
      </c>
      <c r="B92" t="s">
        <v>446</v>
      </c>
      <c r="D92" s="37"/>
      <c r="E92" t="s">
        <v>592</v>
      </c>
      <c r="G92" s="7">
        <v>2025</v>
      </c>
      <c r="H92" t="s">
        <v>323</v>
      </c>
      <c r="I92" t="s">
        <v>234</v>
      </c>
      <c r="J92" s="126">
        <v>399703.28</v>
      </c>
      <c r="K92" s="126">
        <v>-252088.87000000058</v>
      </c>
      <c r="L92" s="126">
        <v>-205894.70757857521</v>
      </c>
      <c r="M92" t="s">
        <v>574</v>
      </c>
      <c r="R92" t="s">
        <v>390</v>
      </c>
      <c r="U92" s="37" t="s">
        <v>440</v>
      </c>
      <c r="V92" t="s">
        <v>574</v>
      </c>
      <c r="Y92" s="131">
        <v>2025</v>
      </c>
      <c r="Z92" s="132" t="s">
        <v>323</v>
      </c>
      <c r="AA92" s="132" t="s">
        <v>234</v>
      </c>
      <c r="AB92" s="133">
        <v>90</v>
      </c>
      <c r="AC92" t="s">
        <v>575</v>
      </c>
      <c r="AF92" s="131">
        <v>2025</v>
      </c>
      <c r="AG92" s="132" t="s">
        <v>323</v>
      </c>
      <c r="AH92" s="132" t="s">
        <v>234</v>
      </c>
      <c r="AI92" s="182">
        <v>0</v>
      </c>
      <c r="AJ92" s="182">
        <v>161811.88</v>
      </c>
      <c r="AK92" s="182">
        <v>28234.58</v>
      </c>
      <c r="AL92" s="182">
        <v>7378.77</v>
      </c>
      <c r="AM92" s="182">
        <v>0</v>
      </c>
      <c r="AN92" s="182">
        <v>19824.259999999998</v>
      </c>
      <c r="AO92" s="182">
        <v>112938.31</v>
      </c>
      <c r="AP92" s="182">
        <v>81986.3</v>
      </c>
      <c r="AQ92" t="s">
        <v>574</v>
      </c>
      <c r="AS92" t="s">
        <v>390</v>
      </c>
      <c r="AT92" t="s">
        <v>566</v>
      </c>
      <c r="AU92" s="182"/>
      <c r="AV92" s="37"/>
      <c r="AW92" s="182"/>
      <c r="AX92" s="37"/>
      <c r="AY92" t="s">
        <v>574</v>
      </c>
      <c r="AZ92" s="131">
        <v>2025</v>
      </c>
      <c r="BA92" s="132" t="s">
        <v>323</v>
      </c>
      <c r="BB92" s="132" t="s">
        <v>234</v>
      </c>
      <c r="BC92" s="182">
        <v>17914.8</v>
      </c>
      <c r="BD92" s="184">
        <v>3.4</v>
      </c>
      <c r="BE92" t="s">
        <v>574</v>
      </c>
    </row>
    <row r="93" spans="1:57" x14ac:dyDescent="0.35">
      <c r="A93" t="s">
        <v>385</v>
      </c>
      <c r="B93" t="s">
        <v>40</v>
      </c>
      <c r="D93" s="37"/>
      <c r="E93" t="s">
        <v>592</v>
      </c>
      <c r="G93" s="7">
        <v>2025</v>
      </c>
      <c r="H93" t="s">
        <v>324</v>
      </c>
      <c r="I93" t="s">
        <v>235</v>
      </c>
      <c r="J93" s="126">
        <v>402823.37</v>
      </c>
      <c r="K93" s="126">
        <v>-259135.40000000026</v>
      </c>
      <c r="L93" s="126">
        <v>-39446.254916912061</v>
      </c>
      <c r="M93" t="s">
        <v>574</v>
      </c>
      <c r="R93" t="s">
        <v>391</v>
      </c>
      <c r="U93" s="37" t="s">
        <v>440</v>
      </c>
      <c r="V93" t="s">
        <v>574</v>
      </c>
      <c r="Y93" s="131">
        <v>2025</v>
      </c>
      <c r="Z93" s="132" t="s">
        <v>324</v>
      </c>
      <c r="AA93" s="132" t="s">
        <v>235</v>
      </c>
      <c r="AB93" s="133">
        <v>97</v>
      </c>
      <c r="AC93" t="s">
        <v>577</v>
      </c>
      <c r="AF93" s="131">
        <v>2025</v>
      </c>
      <c r="AG93" s="132" t="s">
        <v>324</v>
      </c>
      <c r="AH93" s="132" t="s">
        <v>235</v>
      </c>
      <c r="AI93" s="182">
        <v>0</v>
      </c>
      <c r="AJ93" s="182">
        <v>224346.44</v>
      </c>
      <c r="AK93" s="182">
        <v>33698.49</v>
      </c>
      <c r="AL93" s="182">
        <v>5953.76</v>
      </c>
      <c r="AM93" s="182">
        <v>0</v>
      </c>
      <c r="AN93" s="182">
        <v>27469.119999999999</v>
      </c>
      <c r="AO93" s="182">
        <v>134793.97</v>
      </c>
      <c r="AP93" s="182">
        <v>66152.888888888891</v>
      </c>
      <c r="AQ93" t="s">
        <v>574</v>
      </c>
      <c r="AS93" t="s">
        <v>391</v>
      </c>
      <c r="AT93" t="s">
        <v>566</v>
      </c>
      <c r="AU93" s="182"/>
      <c r="AV93" s="37"/>
      <c r="AW93" s="182">
        <v>1440</v>
      </c>
      <c r="AX93" s="37">
        <v>1.85</v>
      </c>
      <c r="AY93" t="s">
        <v>574</v>
      </c>
      <c r="AZ93" s="131">
        <v>2025</v>
      </c>
      <c r="BA93" s="132" t="s">
        <v>324</v>
      </c>
      <c r="BB93" s="132" t="s">
        <v>235</v>
      </c>
      <c r="BC93" s="182">
        <v>24390.600000000002</v>
      </c>
      <c r="BD93" s="184">
        <v>3.64</v>
      </c>
      <c r="BE93" t="s">
        <v>574</v>
      </c>
    </row>
    <row r="94" spans="1:57" x14ac:dyDescent="0.35">
      <c r="A94" t="s">
        <v>385</v>
      </c>
      <c r="B94" t="s">
        <v>303</v>
      </c>
      <c r="D94" s="37"/>
      <c r="E94" t="s">
        <v>592</v>
      </c>
      <c r="G94" s="7">
        <v>2025</v>
      </c>
      <c r="H94" t="s">
        <v>325</v>
      </c>
      <c r="I94" t="s">
        <v>236</v>
      </c>
      <c r="J94" s="126">
        <v>372607.65</v>
      </c>
      <c r="K94" s="126">
        <v>-278953.47000000149</v>
      </c>
      <c r="L94" s="126">
        <v>-2547.8912629822153</v>
      </c>
      <c r="M94" t="s">
        <v>574</v>
      </c>
      <c r="R94" t="s">
        <v>392</v>
      </c>
      <c r="U94" s="37" t="s">
        <v>440</v>
      </c>
      <c r="V94" t="s">
        <v>574</v>
      </c>
      <c r="Y94" s="131">
        <v>2025</v>
      </c>
      <c r="Z94" s="132" t="s">
        <v>325</v>
      </c>
      <c r="AA94" s="132" t="s">
        <v>236</v>
      </c>
      <c r="AB94" s="133">
        <v>100</v>
      </c>
      <c r="AC94" t="s">
        <v>574</v>
      </c>
      <c r="AF94" s="131">
        <v>2025</v>
      </c>
      <c r="AG94" s="132" t="s">
        <v>325</v>
      </c>
      <c r="AH94" s="132" t="s">
        <v>236</v>
      </c>
      <c r="AI94" s="182">
        <v>0</v>
      </c>
      <c r="AJ94" s="182">
        <v>83004.929999999993</v>
      </c>
      <c r="AK94" s="182">
        <v>23189.21</v>
      </c>
      <c r="AL94" s="182">
        <v>5808</v>
      </c>
      <c r="AM94" s="182">
        <v>0</v>
      </c>
      <c r="AN94" s="182">
        <v>10560.66</v>
      </c>
      <c r="AO94" s="182">
        <v>92756.83</v>
      </c>
      <c r="AP94" s="182">
        <v>64533.34</v>
      </c>
      <c r="AQ94" t="s">
        <v>574</v>
      </c>
      <c r="AS94" t="s">
        <v>392</v>
      </c>
      <c r="AT94" t="s">
        <v>566</v>
      </c>
      <c r="AU94" s="182">
        <v>3792.79</v>
      </c>
      <c r="AV94" s="37">
        <v>1.8</v>
      </c>
      <c r="AW94" s="182"/>
      <c r="AX94" s="37"/>
      <c r="AY94" t="s">
        <v>574</v>
      </c>
      <c r="AZ94" s="131">
        <v>2025</v>
      </c>
      <c r="BA94" s="132" t="s">
        <v>325</v>
      </c>
      <c r="BB94" s="132" t="s">
        <v>236</v>
      </c>
      <c r="BC94" s="182">
        <v>23904.5</v>
      </c>
      <c r="BD94" s="184">
        <v>3.61</v>
      </c>
      <c r="BE94" t="s">
        <v>574</v>
      </c>
    </row>
    <row r="95" spans="1:57" x14ac:dyDescent="0.35">
      <c r="A95" t="s">
        <v>385</v>
      </c>
      <c r="B95" t="s">
        <v>199</v>
      </c>
      <c r="D95" s="37"/>
      <c r="E95" t="s">
        <v>592</v>
      </c>
      <c r="G95" s="7">
        <v>2025</v>
      </c>
      <c r="H95" t="s">
        <v>326</v>
      </c>
      <c r="I95" t="s">
        <v>237</v>
      </c>
      <c r="J95" s="126">
        <v>380925.25</v>
      </c>
      <c r="K95" s="126">
        <v>-353600.59999999986</v>
      </c>
      <c r="L95" s="126">
        <v>-30110.377559313492</v>
      </c>
      <c r="M95" t="s">
        <v>574</v>
      </c>
      <c r="R95" t="s">
        <v>393</v>
      </c>
      <c r="S95">
        <v>25394</v>
      </c>
      <c r="T95" t="s">
        <v>299</v>
      </c>
      <c r="U95" s="37" t="s">
        <v>440</v>
      </c>
      <c r="V95" t="s">
        <v>574</v>
      </c>
      <c r="Y95" s="131">
        <v>2025</v>
      </c>
      <c r="Z95" s="132" t="s">
        <v>326</v>
      </c>
      <c r="AA95" s="132" t="s">
        <v>237</v>
      </c>
      <c r="AB95" s="133">
        <v>99.2</v>
      </c>
      <c r="AC95" t="s">
        <v>574</v>
      </c>
      <c r="AF95" s="131">
        <v>2025</v>
      </c>
      <c r="AG95" s="132" t="s">
        <v>326</v>
      </c>
      <c r="AH95" s="132" t="s">
        <v>237</v>
      </c>
      <c r="AI95" s="182">
        <v>0</v>
      </c>
      <c r="AJ95" s="182">
        <v>118058.81000000001</v>
      </c>
      <c r="AK95" s="182">
        <v>17932.669999999998</v>
      </c>
      <c r="AL95" s="182">
        <v>3586.7</v>
      </c>
      <c r="AM95" s="182">
        <v>0</v>
      </c>
      <c r="AN95" s="182">
        <v>15017.920000000002</v>
      </c>
      <c r="AO95" s="182">
        <v>71730.67</v>
      </c>
      <c r="AP95" s="182">
        <v>39852.25</v>
      </c>
      <c r="AQ95" t="s">
        <v>574</v>
      </c>
      <c r="AS95" t="s">
        <v>393</v>
      </c>
      <c r="AT95" t="s">
        <v>566</v>
      </c>
      <c r="AU95" s="182">
        <v>9584.2999999999993</v>
      </c>
      <c r="AV95" s="37">
        <v>1.8</v>
      </c>
      <c r="AW95" s="182">
        <v>960</v>
      </c>
      <c r="AX95" s="37">
        <v>1.85</v>
      </c>
      <c r="AY95" t="s">
        <v>574</v>
      </c>
      <c r="AZ95" s="131">
        <v>2025</v>
      </c>
      <c r="BA95" s="132" t="s">
        <v>326</v>
      </c>
      <c r="BB95" s="132" t="s">
        <v>237</v>
      </c>
      <c r="BC95" s="182">
        <v>2114.6000000000004</v>
      </c>
      <c r="BD95" s="184">
        <v>3.63</v>
      </c>
      <c r="BE95" t="s">
        <v>574</v>
      </c>
    </row>
    <row r="96" spans="1:57" x14ac:dyDescent="0.35">
      <c r="A96" t="s">
        <v>385</v>
      </c>
      <c r="B96" t="s">
        <v>194</v>
      </c>
      <c r="D96" s="37"/>
      <c r="E96" t="s">
        <v>592</v>
      </c>
      <c r="G96" s="7">
        <v>2025</v>
      </c>
      <c r="H96" t="s">
        <v>327</v>
      </c>
      <c r="I96" t="s">
        <v>238</v>
      </c>
      <c r="J96" s="126">
        <v>361206.9</v>
      </c>
      <c r="K96" s="126">
        <v>-345233.95000000013</v>
      </c>
      <c r="L96" s="126">
        <v>-49316.436497388699</v>
      </c>
      <c r="M96" t="s">
        <v>574</v>
      </c>
      <c r="R96" t="s">
        <v>394</v>
      </c>
      <c r="S96">
        <v>120</v>
      </c>
      <c r="T96" t="s">
        <v>590</v>
      </c>
      <c r="U96" s="37" t="s">
        <v>440</v>
      </c>
      <c r="V96" t="s">
        <v>574</v>
      </c>
      <c r="Y96" s="131">
        <v>2025</v>
      </c>
      <c r="Z96" s="132" t="s">
        <v>327</v>
      </c>
      <c r="AA96" s="132" t="s">
        <v>238</v>
      </c>
      <c r="AB96" s="133">
        <v>98.3</v>
      </c>
      <c r="AC96" t="s">
        <v>574</v>
      </c>
      <c r="AF96" s="131">
        <v>2025</v>
      </c>
      <c r="AG96" s="132" t="s">
        <v>327</v>
      </c>
      <c r="AH96" s="132" t="s">
        <v>238</v>
      </c>
      <c r="AI96" s="182">
        <v>0</v>
      </c>
      <c r="AJ96" s="182">
        <v>98601.17</v>
      </c>
      <c r="AK96" s="182">
        <v>16572.689999999999</v>
      </c>
      <c r="AL96" s="182">
        <v>3618.35</v>
      </c>
      <c r="AM96" s="182">
        <v>0</v>
      </c>
      <c r="AN96" s="182">
        <v>13493.09</v>
      </c>
      <c r="AO96" s="182">
        <v>66290.740000000005</v>
      </c>
      <c r="AP96" s="182">
        <v>40203.919999999998</v>
      </c>
      <c r="AQ96" t="s">
        <v>574</v>
      </c>
      <c r="AS96" t="s">
        <v>394</v>
      </c>
      <c r="AT96" t="s">
        <v>566</v>
      </c>
      <c r="AU96" s="182">
        <v>-1095</v>
      </c>
      <c r="AV96" s="37">
        <v>1.8</v>
      </c>
      <c r="AW96" s="182"/>
      <c r="AX96" s="37"/>
      <c r="AY96" t="s">
        <v>574</v>
      </c>
      <c r="AZ96" s="131">
        <v>2025</v>
      </c>
      <c r="BA96" s="132" t="s">
        <v>327</v>
      </c>
      <c r="BB96" s="132" t="s">
        <v>238</v>
      </c>
      <c r="BC96" s="182">
        <v>2087.1999999999998</v>
      </c>
      <c r="BD96" s="184">
        <v>3.61</v>
      </c>
      <c r="BE96" t="s">
        <v>574</v>
      </c>
    </row>
    <row r="97" spans="1:57" x14ac:dyDescent="0.35">
      <c r="A97" t="s">
        <v>385</v>
      </c>
      <c r="B97" t="s">
        <v>144</v>
      </c>
      <c r="D97" s="37"/>
      <c r="E97" t="s">
        <v>592</v>
      </c>
      <c r="G97" s="7">
        <v>2025</v>
      </c>
      <c r="H97" t="s">
        <v>328</v>
      </c>
      <c r="I97" t="s">
        <v>239</v>
      </c>
      <c r="J97" s="126">
        <v>362055.22</v>
      </c>
      <c r="K97" s="126">
        <v>-350933.53999999957</v>
      </c>
      <c r="L97" s="126">
        <v>-6641.153413210588</v>
      </c>
      <c r="M97" t="s">
        <v>574</v>
      </c>
      <c r="R97" t="s">
        <v>395</v>
      </c>
      <c r="U97" s="37" t="s">
        <v>440</v>
      </c>
      <c r="V97" t="s">
        <v>574</v>
      </c>
      <c r="Y97" s="131">
        <v>2025</v>
      </c>
      <c r="Z97" s="132" t="s">
        <v>328</v>
      </c>
      <c r="AA97" s="132" t="s">
        <v>239</v>
      </c>
      <c r="AB97" s="133">
        <v>98</v>
      </c>
      <c r="AC97" t="s">
        <v>576</v>
      </c>
      <c r="AF97" s="131">
        <v>2025</v>
      </c>
      <c r="AG97" s="132" t="s">
        <v>328</v>
      </c>
      <c r="AH97" s="132" t="s">
        <v>239</v>
      </c>
      <c r="AI97" s="182">
        <v>0</v>
      </c>
      <c r="AJ97" s="182">
        <v>41093.619999999995</v>
      </c>
      <c r="AK97" s="182">
        <v>11319.01</v>
      </c>
      <c r="AL97" s="182">
        <v>2260.0300000000002</v>
      </c>
      <c r="AM97" s="182">
        <v>0</v>
      </c>
      <c r="AN97" s="182">
        <v>5840.63</v>
      </c>
      <c r="AO97" s="182">
        <v>45276.03</v>
      </c>
      <c r="AP97" s="182">
        <v>25111.41</v>
      </c>
      <c r="AQ97" t="s">
        <v>574</v>
      </c>
      <c r="AS97" t="s">
        <v>395</v>
      </c>
      <c r="AT97" t="s">
        <v>566</v>
      </c>
      <c r="AU97" s="182">
        <v>9169.4399999999987</v>
      </c>
      <c r="AV97" s="37">
        <v>1.8</v>
      </c>
      <c r="AW97" s="182"/>
      <c r="AX97" s="37"/>
      <c r="AY97" t="s">
        <v>574</v>
      </c>
      <c r="AZ97" s="131">
        <v>2025</v>
      </c>
      <c r="BA97" s="132" t="s">
        <v>328</v>
      </c>
      <c r="BB97" s="132" t="s">
        <v>239</v>
      </c>
      <c r="BC97" s="182">
        <v>1286.5</v>
      </c>
      <c r="BD97" s="184">
        <v>3.85</v>
      </c>
      <c r="BE97" t="s">
        <v>574</v>
      </c>
    </row>
    <row r="98" spans="1:57" x14ac:dyDescent="0.35">
      <c r="A98" t="s">
        <v>385</v>
      </c>
      <c r="B98" t="s">
        <v>145</v>
      </c>
      <c r="D98" s="37"/>
      <c r="E98" t="s">
        <v>592</v>
      </c>
      <c r="G98" s="7">
        <v>2025</v>
      </c>
      <c r="H98" t="s">
        <v>329</v>
      </c>
      <c r="I98" t="s">
        <v>240</v>
      </c>
      <c r="J98" s="126">
        <v>347177.77</v>
      </c>
      <c r="K98" s="126">
        <v>-360682.66</v>
      </c>
      <c r="L98" s="126">
        <v>46644.206097675895</v>
      </c>
      <c r="M98" t="s">
        <v>574</v>
      </c>
      <c r="R98" t="s">
        <v>396</v>
      </c>
      <c r="S98">
        <v>18.73</v>
      </c>
      <c r="T98" t="s">
        <v>299</v>
      </c>
      <c r="U98" s="37" t="s">
        <v>440</v>
      </c>
      <c r="V98" t="s">
        <v>574</v>
      </c>
      <c r="Y98" s="131">
        <v>2025</v>
      </c>
      <c r="Z98" s="132" t="s">
        <v>329</v>
      </c>
      <c r="AA98" s="132" t="s">
        <v>240</v>
      </c>
      <c r="AB98" s="133">
        <v>99</v>
      </c>
      <c r="AC98" t="s">
        <v>576</v>
      </c>
      <c r="AF98" s="131">
        <v>2025</v>
      </c>
      <c r="AG98" s="132" t="s">
        <v>329</v>
      </c>
      <c r="AH98" s="132" t="s">
        <v>240</v>
      </c>
      <c r="AI98" s="182">
        <v>931.16</v>
      </c>
      <c r="AJ98" s="182">
        <v>46065.15</v>
      </c>
      <c r="AK98" s="182">
        <v>11636.89</v>
      </c>
      <c r="AL98" s="182">
        <v>5260.14</v>
      </c>
      <c r="AM98" s="182">
        <v>232.79</v>
      </c>
      <c r="AN98" s="182">
        <v>8319.32</v>
      </c>
      <c r="AO98" s="182">
        <v>45568.15</v>
      </c>
      <c r="AP98" s="182">
        <v>58446.02</v>
      </c>
      <c r="AQ98" t="s">
        <v>574</v>
      </c>
      <c r="AS98" t="s">
        <v>396</v>
      </c>
      <c r="AT98" t="s">
        <v>566</v>
      </c>
      <c r="AU98" s="182"/>
      <c r="AV98" s="37"/>
      <c r="AW98" s="182"/>
      <c r="AX98" s="37"/>
      <c r="AY98" t="s">
        <v>574</v>
      </c>
      <c r="AZ98" s="131">
        <v>2025</v>
      </c>
      <c r="BA98" s="132" t="s">
        <v>329</v>
      </c>
      <c r="BB98" s="132" t="s">
        <v>240</v>
      </c>
      <c r="BC98" s="182">
        <v>1012.5</v>
      </c>
      <c r="BD98" s="184">
        <v>3.5</v>
      </c>
      <c r="BE98" t="s">
        <v>574</v>
      </c>
    </row>
    <row r="99" spans="1:57" x14ac:dyDescent="0.35">
      <c r="A99" t="s">
        <v>385</v>
      </c>
      <c r="B99" t="s">
        <v>146</v>
      </c>
      <c r="D99" s="37"/>
      <c r="E99" t="s">
        <v>592</v>
      </c>
      <c r="G99" s="7">
        <v>2026</v>
      </c>
      <c r="H99" t="s">
        <v>191</v>
      </c>
      <c r="I99" t="s">
        <v>218</v>
      </c>
      <c r="J99" s="126">
        <v>378975.52999999997</v>
      </c>
      <c r="K99" s="126">
        <v>-442814.49999999988</v>
      </c>
      <c r="L99" s="126">
        <v>-399046.04389967938</v>
      </c>
      <c r="M99" t="s">
        <v>574</v>
      </c>
      <c r="R99" t="s">
        <v>397</v>
      </c>
      <c r="S99">
        <v>555</v>
      </c>
      <c r="T99" t="s">
        <v>590</v>
      </c>
      <c r="U99" s="37" t="s">
        <v>440</v>
      </c>
      <c r="V99" t="s">
        <v>574</v>
      </c>
      <c r="Y99" s="131">
        <v>2026</v>
      </c>
      <c r="Z99" s="132" t="s">
        <v>191</v>
      </c>
      <c r="AA99" s="132" t="s">
        <v>218</v>
      </c>
      <c r="AB99" s="133">
        <v>99.8</v>
      </c>
      <c r="AC99" t="s">
        <v>574</v>
      </c>
      <c r="AF99" s="131">
        <v>2026</v>
      </c>
      <c r="AG99" s="132" t="s">
        <v>191</v>
      </c>
      <c r="AH99" s="132" t="s">
        <v>218</v>
      </c>
      <c r="AI99" s="187">
        <v>0</v>
      </c>
      <c r="AJ99" s="182">
        <v>133452.47999999998</v>
      </c>
      <c r="AK99" s="182">
        <v>31060.38</v>
      </c>
      <c r="AL99" s="182">
        <v>5228.76</v>
      </c>
      <c r="AM99" s="187">
        <v>0</v>
      </c>
      <c r="AN99" s="182">
        <v>37120.910000000003</v>
      </c>
      <c r="AO99" s="182">
        <v>118479.96</v>
      </c>
      <c r="AP99" s="182">
        <v>58097.42</v>
      </c>
      <c r="AQ99" t="s">
        <v>574</v>
      </c>
      <c r="AS99" t="s">
        <v>397</v>
      </c>
      <c r="AT99" t="s">
        <v>566</v>
      </c>
      <c r="AU99" s="182"/>
      <c r="AV99" s="37"/>
      <c r="AW99" s="182">
        <v>885</v>
      </c>
      <c r="AX99" s="37">
        <v>1.85</v>
      </c>
      <c r="AY99" t="s">
        <v>574</v>
      </c>
      <c r="AZ99" s="131">
        <v>2026</v>
      </c>
      <c r="BA99" s="132" t="s">
        <v>191</v>
      </c>
      <c r="BB99" s="132" t="s">
        <v>218</v>
      </c>
      <c r="BC99" s="182">
        <v>1195.4000000000001</v>
      </c>
      <c r="BD99" s="184">
        <v>3.7</v>
      </c>
      <c r="BE99" t="s">
        <v>574</v>
      </c>
    </row>
    <row r="100" spans="1:57" x14ac:dyDescent="0.35">
      <c r="A100" t="s">
        <v>385</v>
      </c>
      <c r="B100" t="s">
        <v>147</v>
      </c>
      <c r="D100" s="37"/>
      <c r="E100" t="s">
        <v>592</v>
      </c>
      <c r="G100" s="7">
        <v>2026</v>
      </c>
      <c r="H100" t="s">
        <v>227</v>
      </c>
      <c r="I100" t="s">
        <v>228</v>
      </c>
      <c r="J100" s="126">
        <v>334176.93000000005</v>
      </c>
      <c r="K100" s="126">
        <v>-464103.32000000018</v>
      </c>
      <c r="L100" s="126">
        <v>-400366.79612837604</v>
      </c>
      <c r="M100" t="s">
        <v>574</v>
      </c>
      <c r="R100" t="s">
        <v>398</v>
      </c>
      <c r="U100" s="37" t="s">
        <v>440</v>
      </c>
      <c r="V100" t="s">
        <v>574</v>
      </c>
      <c r="Y100" s="131">
        <v>2026</v>
      </c>
      <c r="Z100" s="132" t="s">
        <v>227</v>
      </c>
      <c r="AA100" s="132" t="s">
        <v>228</v>
      </c>
      <c r="AB100" s="133">
        <v>98</v>
      </c>
      <c r="AC100" t="s">
        <v>576</v>
      </c>
      <c r="AF100" s="131">
        <v>2026</v>
      </c>
      <c r="AG100" s="132" t="s">
        <v>227</v>
      </c>
      <c r="AH100" s="132" t="s">
        <v>228</v>
      </c>
      <c r="AI100" s="187">
        <f>7526.86-7526.86+3653.67</f>
        <v>3653.67</v>
      </c>
      <c r="AJ100" s="182">
        <v>37235.629999999997</v>
      </c>
      <c r="AK100" s="182">
        <v>9202.0499999999993</v>
      </c>
      <c r="AL100" s="182">
        <v>1378.28</v>
      </c>
      <c r="AM100" s="187">
        <v>1958.8</v>
      </c>
      <c r="AN100" s="182">
        <v>9785.66</v>
      </c>
      <c r="AO100" s="182">
        <v>32311.69</v>
      </c>
      <c r="AP100" s="182">
        <v>15314.21</v>
      </c>
      <c r="AQ100" t="s">
        <v>591</v>
      </c>
      <c r="AS100" t="s">
        <v>398</v>
      </c>
      <c r="AT100" t="s">
        <v>566</v>
      </c>
      <c r="AU100" s="182">
        <v>4022.72</v>
      </c>
      <c r="AV100" s="37">
        <v>1.8</v>
      </c>
      <c r="AW100" s="182">
        <v>1005</v>
      </c>
      <c r="AX100" s="37">
        <v>1.85</v>
      </c>
      <c r="AY100" t="s">
        <v>574</v>
      </c>
      <c r="AZ100" s="131">
        <v>2026</v>
      </c>
      <c r="BA100" s="132" t="s">
        <v>227</v>
      </c>
      <c r="BB100" s="132" t="s">
        <v>228</v>
      </c>
      <c r="BC100" s="182">
        <v>4359.3999999999996</v>
      </c>
      <c r="BD100" s="184">
        <v>2.0299999999999998</v>
      </c>
      <c r="BE100" t="s">
        <v>574</v>
      </c>
    </row>
    <row r="101" spans="1:57" x14ac:dyDescent="0.35">
      <c r="A101" t="s">
        <v>386</v>
      </c>
      <c r="B101" t="s">
        <v>299</v>
      </c>
      <c r="C101">
        <v>15591.28</v>
      </c>
      <c r="D101" s="37">
        <v>4.5385311533113386</v>
      </c>
      <c r="E101" t="s">
        <v>592</v>
      </c>
      <c r="G101" s="7">
        <v>2026</v>
      </c>
      <c r="H101" t="s">
        <v>224</v>
      </c>
      <c r="I101" t="s">
        <v>225</v>
      </c>
      <c r="J101" s="126">
        <v>350281.29999999993</v>
      </c>
      <c r="K101" s="126">
        <v>-506444.64999999991</v>
      </c>
      <c r="L101" s="126">
        <v>-415610.99292692466</v>
      </c>
      <c r="M101" t="s">
        <v>574</v>
      </c>
      <c r="R101" t="s">
        <v>399</v>
      </c>
      <c r="U101" s="37" t="s">
        <v>440</v>
      </c>
      <c r="V101" t="s">
        <v>574</v>
      </c>
      <c r="Y101" s="131">
        <v>2026</v>
      </c>
      <c r="Z101" s="132" t="s">
        <v>224</v>
      </c>
      <c r="AA101" s="132" t="s">
        <v>225</v>
      </c>
      <c r="AB101" s="133">
        <v>99</v>
      </c>
      <c r="AC101" t="s">
        <v>574</v>
      </c>
      <c r="AF101" s="131">
        <v>2026</v>
      </c>
      <c r="AG101" s="132" t="s">
        <v>224</v>
      </c>
      <c r="AH101" s="132" t="s">
        <v>225</v>
      </c>
      <c r="AI101" s="187">
        <f>8626.64-8626.64+4022.73</f>
        <v>4022.73</v>
      </c>
      <c r="AJ101" s="182">
        <v>94638.040000000008</v>
      </c>
      <c r="AK101" s="182">
        <v>25215.85</v>
      </c>
      <c r="AL101" s="182">
        <v>4144.2299999999996</v>
      </c>
      <c r="AM101" s="187">
        <v>2156.66</v>
      </c>
      <c r="AN101" s="182">
        <v>21255.43</v>
      </c>
      <c r="AO101" s="182">
        <v>68043</v>
      </c>
      <c r="AP101" s="182">
        <v>46047.03</v>
      </c>
      <c r="AQ101" t="s">
        <v>591</v>
      </c>
      <c r="AS101" t="s">
        <v>399</v>
      </c>
      <c r="AT101" t="s">
        <v>566</v>
      </c>
      <c r="AU101" s="182"/>
      <c r="AV101" s="37"/>
      <c r="AW101" s="182">
        <v>2385</v>
      </c>
      <c r="AX101" s="37">
        <v>1.85</v>
      </c>
      <c r="AY101" t="s">
        <v>574</v>
      </c>
      <c r="AZ101" s="131">
        <v>2026</v>
      </c>
      <c r="BA101" s="132" t="s">
        <v>224</v>
      </c>
      <c r="BB101" s="132" t="s">
        <v>225</v>
      </c>
      <c r="BC101" s="182">
        <v>0</v>
      </c>
      <c r="BD101" s="184">
        <v>0</v>
      </c>
      <c r="BE101" t="s">
        <v>574</v>
      </c>
    </row>
    <row r="102" spans="1:57" x14ac:dyDescent="0.35">
      <c r="A102" t="s">
        <v>386</v>
      </c>
      <c r="B102" t="s">
        <v>445</v>
      </c>
      <c r="D102" s="37"/>
      <c r="E102" t="s">
        <v>592</v>
      </c>
      <c r="G102" s="7">
        <v>2026</v>
      </c>
      <c r="H102" t="s">
        <v>308</v>
      </c>
      <c r="I102" t="s">
        <v>232</v>
      </c>
      <c r="J102" s="126">
        <v>366591.29</v>
      </c>
      <c r="K102" s="126">
        <v>-188166.97000000029</v>
      </c>
      <c r="L102" s="126">
        <v>-223358.8088900288</v>
      </c>
      <c r="M102" t="s">
        <v>574</v>
      </c>
      <c r="R102" t="s">
        <v>400</v>
      </c>
      <c r="S102">
        <v>28494</v>
      </c>
      <c r="T102" t="s">
        <v>299</v>
      </c>
      <c r="U102" s="37" t="s">
        <v>440</v>
      </c>
      <c r="V102" t="s">
        <v>574</v>
      </c>
      <c r="Y102" s="131">
        <v>2026</v>
      </c>
      <c r="Z102" s="132" t="s">
        <v>308</v>
      </c>
      <c r="AA102" s="132" t="s">
        <v>232</v>
      </c>
      <c r="AB102" s="133">
        <v>100</v>
      </c>
      <c r="AC102" t="s">
        <v>574</v>
      </c>
      <c r="AF102" s="131">
        <v>2026</v>
      </c>
      <c r="AG102" s="132" t="s">
        <v>308</v>
      </c>
      <c r="AH102" s="132" t="s">
        <v>232</v>
      </c>
      <c r="AI102" s="187">
        <f>-3565.01+3565.01+4912.09</f>
        <v>4912.09</v>
      </c>
      <c r="AJ102" s="182">
        <v>202545.37999999998</v>
      </c>
      <c r="AK102" s="182">
        <v>55633.97</v>
      </c>
      <c r="AL102" s="182">
        <v>4700.46</v>
      </c>
      <c r="AM102" s="187">
        <v>2633.4700000000003</v>
      </c>
      <c r="AN102" s="182">
        <v>45010.080000000002</v>
      </c>
      <c r="AO102" s="182">
        <v>156079.53</v>
      </c>
      <c r="AP102" s="182">
        <v>52227.37</v>
      </c>
      <c r="AQ102" t="s">
        <v>591</v>
      </c>
      <c r="AS102" t="s">
        <v>400</v>
      </c>
      <c r="AT102" t="s">
        <v>566</v>
      </c>
      <c r="AU102" s="182"/>
      <c r="AV102" s="37"/>
      <c r="AW102" s="182">
        <v>4305</v>
      </c>
      <c r="AX102" s="37">
        <v>1.85</v>
      </c>
      <c r="AY102" t="s">
        <v>574</v>
      </c>
      <c r="AZ102" s="131">
        <v>2026</v>
      </c>
      <c r="BA102" s="132" t="s">
        <v>308</v>
      </c>
      <c r="BB102" s="132" t="s">
        <v>232</v>
      </c>
      <c r="BC102" s="182">
        <v>0</v>
      </c>
      <c r="BD102" s="184">
        <v>0</v>
      </c>
      <c r="BE102" t="s">
        <v>574</v>
      </c>
    </row>
    <row r="103" spans="1:57" x14ac:dyDescent="0.35">
      <c r="A103" t="s">
        <v>386</v>
      </c>
      <c r="B103" t="s">
        <v>189</v>
      </c>
      <c r="D103" s="37"/>
      <c r="E103" t="s">
        <v>592</v>
      </c>
      <c r="G103" s="7">
        <v>2026</v>
      </c>
      <c r="H103" t="s">
        <v>309</v>
      </c>
      <c r="I103" t="s">
        <v>233</v>
      </c>
      <c r="J103" s="126">
        <v>-367774.04000000004</v>
      </c>
      <c r="K103" s="126">
        <v>-170296.11</v>
      </c>
      <c r="L103" s="126">
        <v>-219088.60394293017</v>
      </c>
      <c r="M103" t="s">
        <v>574</v>
      </c>
      <c r="R103" t="s">
        <v>401</v>
      </c>
      <c r="U103" s="37" t="s">
        <v>440</v>
      </c>
      <c r="V103" t="s">
        <v>574</v>
      </c>
      <c r="Y103" s="131">
        <v>2026</v>
      </c>
      <c r="Z103" s="132" t="s">
        <v>309</v>
      </c>
      <c r="AA103" s="132" t="s">
        <v>233</v>
      </c>
      <c r="AB103" s="133">
        <v>100</v>
      </c>
      <c r="AC103" t="s">
        <v>574</v>
      </c>
      <c r="AF103" s="131">
        <v>2026</v>
      </c>
      <c r="AG103" s="132" t="s">
        <v>309</v>
      </c>
      <c r="AH103" s="132" t="s">
        <v>233</v>
      </c>
      <c r="AI103" s="182">
        <v>6149.36</v>
      </c>
      <c r="AJ103" s="182">
        <f>24333.16+121939.03</f>
        <v>146272.19</v>
      </c>
      <c r="AK103" s="182">
        <f>12789.35+31273.87</f>
        <v>44063.22</v>
      </c>
      <c r="AL103" s="182">
        <f>574.51+3721.18</f>
        <v>4295.6899999999996</v>
      </c>
      <c r="AM103" s="182">
        <v>1537.34</v>
      </c>
      <c r="AN103" s="182">
        <f>5593.83+27097.56</f>
        <v>32691.39</v>
      </c>
      <c r="AO103" s="182">
        <f>44101.2+80811.04</f>
        <v>124912.23999999999</v>
      </c>
      <c r="AP103" s="182">
        <f>6383.46+41346.42</f>
        <v>47729.88</v>
      </c>
      <c r="AQ103" t="s">
        <v>574</v>
      </c>
      <c r="AR103" s="8"/>
      <c r="AS103" t="s">
        <v>401</v>
      </c>
      <c r="AT103" t="s">
        <v>566</v>
      </c>
      <c r="AU103" s="182">
        <v>8659.49</v>
      </c>
      <c r="AV103" s="37">
        <v>1.8</v>
      </c>
      <c r="AW103" s="182"/>
      <c r="AX103" s="37"/>
      <c r="AY103" t="s">
        <v>574</v>
      </c>
      <c r="AZ103" s="131">
        <v>2026</v>
      </c>
      <c r="BA103" s="132" t="s">
        <v>309</v>
      </c>
      <c r="BB103" s="132" t="s">
        <v>233</v>
      </c>
      <c r="BC103" s="182">
        <v>-1187.0999999999999</v>
      </c>
      <c r="BD103" s="184">
        <v>1.7</v>
      </c>
      <c r="BE103" t="s">
        <v>574</v>
      </c>
    </row>
    <row r="104" spans="1:57" x14ac:dyDescent="0.35">
      <c r="A104" t="s">
        <v>386</v>
      </c>
      <c r="B104" t="s">
        <v>190</v>
      </c>
      <c r="C104">
        <v>20844.43</v>
      </c>
      <c r="D104" s="37">
        <v>4.7751212194336805</v>
      </c>
      <c r="E104" t="s">
        <v>592</v>
      </c>
      <c r="G104" s="7">
        <v>2026</v>
      </c>
      <c r="H104" t="s">
        <v>310</v>
      </c>
      <c r="I104" t="s">
        <v>234</v>
      </c>
      <c r="J104" s="126">
        <v>-352922.53</v>
      </c>
      <c r="K104" s="126">
        <v>-249766.20000000036</v>
      </c>
      <c r="L104" s="126">
        <v>-242072.98415325372</v>
      </c>
      <c r="M104" t="s">
        <v>574</v>
      </c>
      <c r="R104" t="s">
        <v>402</v>
      </c>
      <c r="U104" s="37" t="s">
        <v>440</v>
      </c>
      <c r="V104" t="s">
        <v>574</v>
      </c>
      <c r="Y104" s="131">
        <v>2026</v>
      </c>
      <c r="Z104" s="132" t="s">
        <v>310</v>
      </c>
      <c r="AA104" s="132" t="s">
        <v>234</v>
      </c>
      <c r="AB104" s="133">
        <v>100</v>
      </c>
      <c r="AC104" s="190" t="s">
        <v>612</v>
      </c>
      <c r="AF104" s="131">
        <v>2026</v>
      </c>
      <c r="AG104" s="132" t="s">
        <v>310</v>
      </c>
      <c r="AH104" s="132" t="s">
        <v>234</v>
      </c>
      <c r="AI104" s="182">
        <v>3720.82</v>
      </c>
      <c r="AJ104" s="182">
        <f>44973.18+13059.5</f>
        <v>58032.68</v>
      </c>
      <c r="AK104" s="182">
        <f>9821.94+6537.37-1800</f>
        <v>14559.310000000001</v>
      </c>
      <c r="AL104" s="182">
        <f>906.71+1675.43</f>
        <v>2582.1400000000003</v>
      </c>
      <c r="AM104" s="182">
        <v>976.69</v>
      </c>
      <c r="AN104" s="182">
        <f>10725.87+2902.11</f>
        <v>13627.980000000001</v>
      </c>
      <c r="AO104" s="182">
        <f>33868.78+16892.44</f>
        <v>50761.22</v>
      </c>
      <c r="AP104" s="182">
        <f>10074.6+18615.9</f>
        <v>28690.5</v>
      </c>
      <c r="AQ104" t="s">
        <v>574</v>
      </c>
      <c r="AR104" s="8"/>
      <c r="AS104" t="s">
        <v>402</v>
      </c>
      <c r="AT104" t="s">
        <v>566</v>
      </c>
      <c r="AU104" s="182">
        <v>-1040</v>
      </c>
      <c r="AV104" s="37">
        <v>1.8</v>
      </c>
      <c r="AW104" s="182"/>
      <c r="AX104" s="37"/>
      <c r="AY104" t="s">
        <v>574</v>
      </c>
      <c r="AZ104" s="131">
        <v>2026</v>
      </c>
      <c r="BA104" s="132" t="s">
        <v>310</v>
      </c>
      <c r="BB104" s="132" t="s">
        <v>234</v>
      </c>
      <c r="BC104" s="182">
        <v>18386.599999999999</v>
      </c>
      <c r="BD104" s="184">
        <v>2.2273557917178817</v>
      </c>
      <c r="BE104" t="s">
        <v>574</v>
      </c>
    </row>
    <row r="105" spans="1:57" x14ac:dyDescent="0.35">
      <c r="A105" t="s">
        <v>386</v>
      </c>
      <c r="B105" t="s">
        <v>301</v>
      </c>
      <c r="D105" s="37"/>
      <c r="E105" t="s">
        <v>592</v>
      </c>
      <c r="G105" s="7">
        <v>2026</v>
      </c>
      <c r="H105" t="s">
        <v>311</v>
      </c>
      <c r="I105" t="s">
        <v>235</v>
      </c>
      <c r="J105" s="126">
        <v>-328654.84000000008</v>
      </c>
      <c r="K105" s="126">
        <v>-449726.42000000039</v>
      </c>
      <c r="L105" s="126">
        <v>-180777.50858920751</v>
      </c>
      <c r="M105" t="s">
        <v>574</v>
      </c>
      <c r="R105" t="s">
        <v>403</v>
      </c>
      <c r="U105" s="37" t="s">
        <v>440</v>
      </c>
      <c r="V105" t="s">
        <v>574</v>
      </c>
      <c r="Y105" s="131">
        <v>2026</v>
      </c>
      <c r="Z105" s="132" t="s">
        <v>311</v>
      </c>
      <c r="AA105" s="132" t="s">
        <v>235</v>
      </c>
      <c r="AB105" s="133">
        <v>100</v>
      </c>
      <c r="AC105" s="190" t="s">
        <v>612</v>
      </c>
      <c r="AF105" s="131">
        <v>2026</v>
      </c>
      <c r="AG105" s="132" t="s">
        <v>311</v>
      </c>
      <c r="AH105" s="132" t="s">
        <v>235</v>
      </c>
      <c r="AI105" s="182">
        <v>0</v>
      </c>
      <c r="AJ105" s="182">
        <v>27745.839999999997</v>
      </c>
      <c r="AK105" s="182">
        <f>9119.7+1661.41</f>
        <v>10781.11</v>
      </c>
      <c r="AL105" s="182">
        <v>2743.58</v>
      </c>
      <c r="AM105" s="182">
        <v>0</v>
      </c>
      <c r="AN105" s="182">
        <v>6165.74</v>
      </c>
      <c r="AO105" s="182">
        <f>31447.24+4293.04</f>
        <v>35740.28</v>
      </c>
      <c r="AP105" s="182">
        <v>30484.22</v>
      </c>
      <c r="AQ105" t="s">
        <v>574</v>
      </c>
      <c r="AS105" t="s">
        <v>403</v>
      </c>
      <c r="AT105" t="s">
        <v>566</v>
      </c>
      <c r="AU105" s="182"/>
      <c r="AV105" s="37"/>
      <c r="AW105" s="182"/>
      <c r="AX105" s="37"/>
      <c r="AY105" t="s">
        <v>574</v>
      </c>
      <c r="AZ105" s="131">
        <v>2026</v>
      </c>
      <c r="BA105" s="132" t="s">
        <v>311</v>
      </c>
      <c r="BB105" s="132" t="s">
        <v>235</v>
      </c>
      <c r="BC105" s="182">
        <v>0</v>
      </c>
      <c r="BD105" s="184">
        <v>0</v>
      </c>
      <c r="BE105" t="s">
        <v>574</v>
      </c>
    </row>
    <row r="106" spans="1:57" x14ac:dyDescent="0.35">
      <c r="A106" t="s">
        <v>386</v>
      </c>
      <c r="B106" t="s">
        <v>446</v>
      </c>
      <c r="D106" s="37"/>
      <c r="E106" t="s">
        <v>592</v>
      </c>
      <c r="G106" s="7">
        <v>2026</v>
      </c>
      <c r="H106" t="s">
        <v>312</v>
      </c>
      <c r="I106" t="s">
        <v>236</v>
      </c>
      <c r="J106" s="126">
        <v>-323449.95999999996</v>
      </c>
      <c r="K106" s="126">
        <v>-358479.79000000015</v>
      </c>
      <c r="L106" s="126">
        <v>-160054.67614917958</v>
      </c>
      <c r="M106" t="s">
        <v>574</v>
      </c>
      <c r="R106" t="s">
        <v>404</v>
      </c>
      <c r="U106" s="37" t="s">
        <v>440</v>
      </c>
      <c r="V106" t="s">
        <v>574</v>
      </c>
      <c r="Y106" s="131">
        <v>2026</v>
      </c>
      <c r="Z106" s="132" t="s">
        <v>312</v>
      </c>
      <c r="AA106" s="132" t="s">
        <v>236</v>
      </c>
      <c r="AB106" s="133">
        <v>100</v>
      </c>
      <c r="AC106" s="190" t="s">
        <v>612</v>
      </c>
      <c r="AF106" s="131">
        <v>2026</v>
      </c>
      <c r="AG106" s="132" t="s">
        <v>312</v>
      </c>
      <c r="AH106" s="132" t="s">
        <v>236</v>
      </c>
      <c r="AI106" s="182">
        <v>0</v>
      </c>
      <c r="AJ106" s="182">
        <v>24765.49</v>
      </c>
      <c r="AK106" s="182">
        <v>4564.8100000000004</v>
      </c>
      <c r="AL106" s="182">
        <v>1515.58</v>
      </c>
      <c r="AM106" s="182">
        <v>0</v>
      </c>
      <c r="AN106" s="182">
        <v>5565.2800000000007</v>
      </c>
      <c r="AO106" s="182">
        <v>15740.71</v>
      </c>
      <c r="AP106" s="182">
        <v>16839.72</v>
      </c>
      <c r="AQ106" t="s">
        <v>574</v>
      </c>
      <c r="AS106" t="s">
        <v>404</v>
      </c>
      <c r="AT106" t="s">
        <v>566</v>
      </c>
      <c r="AU106" s="182">
        <v>10050.11</v>
      </c>
      <c r="AV106" s="37">
        <v>1.8</v>
      </c>
      <c r="AW106" s="182">
        <v>360</v>
      </c>
      <c r="AX106" s="37">
        <v>1.85</v>
      </c>
      <c r="AY106" t="s">
        <v>574</v>
      </c>
      <c r="AZ106" s="131">
        <v>2026</v>
      </c>
      <c r="BA106" s="132" t="s">
        <v>312</v>
      </c>
      <c r="BB106" s="132" t="s">
        <v>236</v>
      </c>
      <c r="BC106" s="182">
        <v>1234.8</v>
      </c>
      <c r="BD106" s="184">
        <v>3.5</v>
      </c>
      <c r="BE106" t="s">
        <v>574</v>
      </c>
    </row>
    <row r="107" spans="1:57" x14ac:dyDescent="0.35">
      <c r="A107" t="s">
        <v>386</v>
      </c>
      <c r="B107" t="s">
        <v>40</v>
      </c>
      <c r="C107">
        <v>14811.8</v>
      </c>
      <c r="D107" s="37">
        <v>4.8546287419489866</v>
      </c>
      <c r="E107" t="s">
        <v>592</v>
      </c>
      <c r="G107" s="7">
        <v>2026</v>
      </c>
      <c r="H107" t="s">
        <v>313</v>
      </c>
      <c r="I107" t="s">
        <v>237</v>
      </c>
      <c r="J107" s="126"/>
      <c r="K107" s="126"/>
      <c r="L107" s="126"/>
      <c r="R107" t="s">
        <v>405</v>
      </c>
      <c r="S107">
        <v>9198</v>
      </c>
      <c r="T107" t="s">
        <v>299</v>
      </c>
      <c r="U107" s="37" t="s">
        <v>440</v>
      </c>
      <c r="V107" t="s">
        <v>574</v>
      </c>
      <c r="Y107" s="131">
        <v>2026</v>
      </c>
      <c r="Z107" s="132" t="s">
        <v>313</v>
      </c>
      <c r="AA107" s="132" t="s">
        <v>237</v>
      </c>
      <c r="AB107" s="133"/>
      <c r="AF107" s="131">
        <v>2026</v>
      </c>
      <c r="AG107" s="132" t="s">
        <v>313</v>
      </c>
      <c r="AH107" s="132" t="s">
        <v>237</v>
      </c>
      <c r="AI107" s="182"/>
      <c r="AJ107" s="182"/>
      <c r="AK107" s="182"/>
      <c r="AL107" s="182"/>
      <c r="AM107" s="182"/>
      <c r="AN107" s="182"/>
      <c r="AO107" s="182"/>
      <c r="AP107" s="182"/>
      <c r="AS107" t="s">
        <v>405</v>
      </c>
      <c r="AT107" t="s">
        <v>566</v>
      </c>
      <c r="AU107" s="182"/>
      <c r="AV107" s="37"/>
      <c r="AW107" s="182">
        <v>1050</v>
      </c>
      <c r="AX107" s="37">
        <v>1.85</v>
      </c>
      <c r="AY107" t="s">
        <v>574</v>
      </c>
      <c r="AZ107" s="131">
        <v>2026</v>
      </c>
      <c r="BA107" s="132" t="s">
        <v>313</v>
      </c>
      <c r="BB107" s="132" t="s">
        <v>237</v>
      </c>
      <c r="BC107" s="182"/>
      <c r="BD107" s="184"/>
    </row>
    <row r="108" spans="1:57" x14ac:dyDescent="0.35">
      <c r="A108" t="s">
        <v>386</v>
      </c>
      <c r="B108" t="s">
        <v>303</v>
      </c>
      <c r="D108" s="37"/>
      <c r="E108" t="s">
        <v>592</v>
      </c>
      <c r="G108" s="7">
        <v>2026</v>
      </c>
      <c r="H108" t="s">
        <v>314</v>
      </c>
      <c r="I108" t="s">
        <v>238</v>
      </c>
      <c r="J108" s="126"/>
      <c r="K108" s="126"/>
      <c r="L108" s="126"/>
      <c r="R108" t="s">
        <v>406</v>
      </c>
      <c r="S108">
        <v>240</v>
      </c>
      <c r="T108" t="s">
        <v>590</v>
      </c>
      <c r="U108" s="37" t="s">
        <v>440</v>
      </c>
      <c r="V108" t="s">
        <v>574</v>
      </c>
      <c r="Y108" s="131">
        <v>2026</v>
      </c>
      <c r="Z108" s="132" t="s">
        <v>314</v>
      </c>
      <c r="AA108" s="132" t="s">
        <v>238</v>
      </c>
      <c r="AB108" s="133"/>
      <c r="AF108" s="131">
        <v>2026</v>
      </c>
      <c r="AG108" s="132" t="s">
        <v>314</v>
      </c>
      <c r="AH108" s="132" t="s">
        <v>238</v>
      </c>
      <c r="AI108" s="182"/>
      <c r="AJ108" s="182"/>
      <c r="AK108" s="182"/>
      <c r="AL108" s="182"/>
      <c r="AM108" s="182"/>
      <c r="AN108" s="182"/>
      <c r="AO108" s="182"/>
      <c r="AP108" s="182"/>
      <c r="AS108" t="s">
        <v>406</v>
      </c>
      <c r="AT108" t="s">
        <v>566</v>
      </c>
      <c r="AU108" s="182">
        <v>10060.369999999999</v>
      </c>
      <c r="AV108" s="37">
        <v>1.8</v>
      </c>
      <c r="AW108" s="182">
        <v>3270</v>
      </c>
      <c r="AX108" s="37">
        <v>1.85</v>
      </c>
      <c r="AY108" t="s">
        <v>574</v>
      </c>
      <c r="AZ108" s="131">
        <v>2026</v>
      </c>
      <c r="BA108" s="132" t="s">
        <v>314</v>
      </c>
      <c r="BB108" s="132" t="s">
        <v>238</v>
      </c>
      <c r="BC108" s="182"/>
      <c r="BD108" s="184"/>
    </row>
    <row r="109" spans="1:57" x14ac:dyDescent="0.35">
      <c r="A109" t="s">
        <v>386</v>
      </c>
      <c r="B109" t="s">
        <v>199</v>
      </c>
      <c r="D109" s="37"/>
      <c r="E109" t="s">
        <v>592</v>
      </c>
      <c r="G109" s="7">
        <v>2026</v>
      </c>
      <c r="H109" t="s">
        <v>315</v>
      </c>
      <c r="I109" t="s">
        <v>239</v>
      </c>
      <c r="J109" s="126"/>
      <c r="K109" s="126"/>
      <c r="L109" s="126"/>
      <c r="R109" t="s">
        <v>407</v>
      </c>
      <c r="U109" s="37" t="s">
        <v>440</v>
      </c>
      <c r="V109" t="s">
        <v>574</v>
      </c>
      <c r="Y109" s="131">
        <v>2026</v>
      </c>
      <c r="Z109" s="132" t="s">
        <v>315</v>
      </c>
      <c r="AA109" s="132" t="s">
        <v>239</v>
      </c>
      <c r="AB109" s="133"/>
      <c r="AF109" s="131">
        <v>2026</v>
      </c>
      <c r="AG109" s="132" t="s">
        <v>315</v>
      </c>
      <c r="AH109" s="132" t="s">
        <v>239</v>
      </c>
      <c r="AI109" s="182"/>
      <c r="AJ109" s="182"/>
      <c r="AK109" s="182"/>
      <c r="AL109" s="182"/>
      <c r="AM109" s="182"/>
      <c r="AN109" s="182"/>
      <c r="AO109" s="182"/>
      <c r="AP109" s="182"/>
      <c r="AS109" t="s">
        <v>407</v>
      </c>
      <c r="AT109" t="s">
        <v>566</v>
      </c>
      <c r="AU109" s="182"/>
      <c r="AV109" s="37"/>
      <c r="AW109" s="182"/>
      <c r="AX109" s="37"/>
      <c r="AY109" t="s">
        <v>574</v>
      </c>
      <c r="AZ109" s="131">
        <v>2026</v>
      </c>
      <c r="BA109" s="132" t="s">
        <v>315</v>
      </c>
      <c r="BB109" s="132" t="s">
        <v>239</v>
      </c>
      <c r="BC109" s="182"/>
      <c r="BD109" s="184"/>
    </row>
    <row r="110" spans="1:57" x14ac:dyDescent="0.35">
      <c r="A110" t="s">
        <v>386</v>
      </c>
      <c r="B110" t="s">
        <v>194</v>
      </c>
      <c r="D110" s="37"/>
      <c r="E110" t="s">
        <v>592</v>
      </c>
      <c r="G110" s="7">
        <v>2026</v>
      </c>
      <c r="H110" t="s">
        <v>316</v>
      </c>
      <c r="I110" t="s">
        <v>240</v>
      </c>
      <c r="J110" s="126"/>
      <c r="K110" s="126"/>
      <c r="L110" s="126"/>
      <c r="R110" t="s">
        <v>408</v>
      </c>
      <c r="S110">
        <v>4965</v>
      </c>
      <c r="T110" t="s">
        <v>299</v>
      </c>
      <c r="U110" s="37" t="s">
        <v>440</v>
      </c>
      <c r="V110" t="s">
        <v>574</v>
      </c>
      <c r="Y110" s="134">
        <v>2026</v>
      </c>
      <c r="Z110" s="132" t="s">
        <v>316</v>
      </c>
      <c r="AA110" s="135" t="s">
        <v>240</v>
      </c>
      <c r="AB110" s="136"/>
      <c r="AF110" s="134">
        <v>2026</v>
      </c>
      <c r="AG110" s="132" t="s">
        <v>316</v>
      </c>
      <c r="AH110" s="135" t="s">
        <v>240</v>
      </c>
      <c r="AI110" s="183"/>
      <c r="AJ110" s="183"/>
      <c r="AK110" s="183"/>
      <c r="AL110" s="183"/>
      <c r="AM110" s="183"/>
      <c r="AN110" s="183"/>
      <c r="AO110" s="183"/>
      <c r="AP110" s="183"/>
      <c r="AS110" t="s">
        <v>408</v>
      </c>
      <c r="AT110" t="s">
        <v>566</v>
      </c>
      <c r="AU110" s="182"/>
      <c r="AV110" s="37"/>
      <c r="AW110" s="182">
        <v>3150</v>
      </c>
      <c r="AX110" s="37">
        <v>1.85</v>
      </c>
      <c r="AY110" t="s">
        <v>574</v>
      </c>
      <c r="AZ110" s="134">
        <v>2026</v>
      </c>
      <c r="BA110" s="132" t="s">
        <v>316</v>
      </c>
      <c r="BB110" s="135" t="s">
        <v>240</v>
      </c>
      <c r="BC110" s="182"/>
      <c r="BD110" s="184"/>
    </row>
    <row r="111" spans="1:57" x14ac:dyDescent="0.35">
      <c r="A111" t="s">
        <v>386</v>
      </c>
      <c r="B111" t="s">
        <v>144</v>
      </c>
      <c r="D111" s="37"/>
      <c r="E111" t="s">
        <v>592</v>
      </c>
      <c r="G111" s="7">
        <v>2027</v>
      </c>
      <c r="H111" t="s">
        <v>333</v>
      </c>
      <c r="I111" t="s">
        <v>218</v>
      </c>
      <c r="J111" s="126"/>
      <c r="K111" s="126"/>
      <c r="L111" s="126"/>
      <c r="R111" t="s">
        <v>409</v>
      </c>
      <c r="U111" s="37" t="s">
        <v>440</v>
      </c>
      <c r="V111" t="s">
        <v>574</v>
      </c>
      <c r="AS111" t="s">
        <v>409</v>
      </c>
      <c r="AT111" t="s">
        <v>566</v>
      </c>
      <c r="AU111" s="182">
        <v>5915.89</v>
      </c>
      <c r="AV111" s="37">
        <v>1.8</v>
      </c>
      <c r="AW111" s="182">
        <v>9090</v>
      </c>
      <c r="AX111" s="37">
        <v>1.85</v>
      </c>
      <c r="AY111" t="s">
        <v>574</v>
      </c>
    </row>
    <row r="112" spans="1:57" x14ac:dyDescent="0.35">
      <c r="A112" t="s">
        <v>386</v>
      </c>
      <c r="B112" t="s">
        <v>145</v>
      </c>
      <c r="D112" s="37"/>
      <c r="E112" t="s">
        <v>592</v>
      </c>
      <c r="G112" s="7">
        <v>2027</v>
      </c>
      <c r="H112" t="s">
        <v>334</v>
      </c>
      <c r="I112" t="s">
        <v>228</v>
      </c>
      <c r="J112" s="126"/>
      <c r="K112" s="126"/>
      <c r="L112" s="126"/>
      <c r="R112" t="s">
        <v>410</v>
      </c>
      <c r="U112" s="37" t="s">
        <v>440</v>
      </c>
      <c r="V112" t="s">
        <v>574</v>
      </c>
      <c r="AS112" t="s">
        <v>410</v>
      </c>
      <c r="AT112" t="s">
        <v>566</v>
      </c>
      <c r="AU112" s="182">
        <v>5155.3999999999996</v>
      </c>
      <c r="AV112" s="37">
        <v>1.8</v>
      </c>
      <c r="AW112" s="182">
        <v>1800</v>
      </c>
      <c r="AX112" s="37">
        <v>1.85</v>
      </c>
      <c r="AY112" t="s">
        <v>574</v>
      </c>
    </row>
    <row r="113" spans="1:51" x14ac:dyDescent="0.35">
      <c r="A113" t="s">
        <v>386</v>
      </c>
      <c r="B113" t="s">
        <v>146</v>
      </c>
      <c r="D113" s="37"/>
      <c r="E113" t="s">
        <v>592</v>
      </c>
      <c r="G113" s="7">
        <v>2027</v>
      </c>
      <c r="H113" t="s">
        <v>335</v>
      </c>
      <c r="I113" t="s">
        <v>225</v>
      </c>
      <c r="J113" s="126"/>
      <c r="K113" s="126"/>
      <c r="L113" s="126"/>
      <c r="R113" t="s">
        <v>411</v>
      </c>
      <c r="U113" s="37" t="s">
        <v>440</v>
      </c>
      <c r="V113" t="s">
        <v>574</v>
      </c>
      <c r="AS113" t="s">
        <v>411</v>
      </c>
      <c r="AT113" t="s">
        <v>566</v>
      </c>
      <c r="AU113" s="182"/>
      <c r="AV113" s="37"/>
      <c r="AW113" s="182"/>
      <c r="AX113" s="37"/>
      <c r="AY113" t="s">
        <v>574</v>
      </c>
    </row>
    <row r="114" spans="1:51" x14ac:dyDescent="0.35">
      <c r="A114" t="s">
        <v>386</v>
      </c>
      <c r="B114" t="s">
        <v>147</v>
      </c>
      <c r="D114" s="37"/>
      <c r="E114" t="s">
        <v>592</v>
      </c>
      <c r="G114" s="7">
        <v>2027</v>
      </c>
      <c r="H114" t="s">
        <v>336</v>
      </c>
      <c r="I114" t="s">
        <v>232</v>
      </c>
      <c r="J114" s="126"/>
      <c r="K114" s="126"/>
      <c r="L114" s="126"/>
      <c r="R114" t="s">
        <v>412</v>
      </c>
      <c r="S114">
        <v>21.44</v>
      </c>
      <c r="T114" t="s">
        <v>299</v>
      </c>
      <c r="U114" s="37" t="s">
        <v>440</v>
      </c>
      <c r="V114" t="s">
        <v>574</v>
      </c>
      <c r="AS114" t="s">
        <v>412</v>
      </c>
      <c r="AT114" t="s">
        <v>566</v>
      </c>
      <c r="AU114" s="182"/>
      <c r="AV114" s="37"/>
      <c r="AW114" s="182"/>
      <c r="AX114" s="37"/>
      <c r="AY114" t="s">
        <v>574</v>
      </c>
    </row>
    <row r="115" spans="1:51" x14ac:dyDescent="0.35">
      <c r="A115" t="s">
        <v>387</v>
      </c>
      <c r="B115" t="s">
        <v>299</v>
      </c>
      <c r="C115">
        <v>16098.96</v>
      </c>
      <c r="D115" s="37">
        <v>4.8556732857277742</v>
      </c>
      <c r="E115" t="s">
        <v>592</v>
      </c>
      <c r="G115" s="7">
        <v>2027</v>
      </c>
      <c r="H115" t="s">
        <v>337</v>
      </c>
      <c r="I115" t="s">
        <v>233</v>
      </c>
      <c r="J115" s="126"/>
      <c r="K115" s="126"/>
      <c r="L115" s="126"/>
      <c r="R115" t="s">
        <v>413</v>
      </c>
      <c r="U115" s="37" t="s">
        <v>440</v>
      </c>
      <c r="V115" t="s">
        <v>574</v>
      </c>
      <c r="AS115" t="s">
        <v>413</v>
      </c>
      <c r="AT115" t="s">
        <v>566</v>
      </c>
      <c r="AU115" s="182"/>
      <c r="AV115" s="37"/>
      <c r="AW115" s="182">
        <v>675</v>
      </c>
      <c r="AX115" s="37">
        <v>1.85</v>
      </c>
      <c r="AY115" t="s">
        <v>574</v>
      </c>
    </row>
    <row r="116" spans="1:51" x14ac:dyDescent="0.35">
      <c r="A116" t="s">
        <v>387</v>
      </c>
      <c r="B116" t="s">
        <v>445</v>
      </c>
      <c r="D116" s="37"/>
      <c r="E116" t="s">
        <v>592</v>
      </c>
      <c r="G116" s="7">
        <v>2027</v>
      </c>
      <c r="H116" t="s">
        <v>338</v>
      </c>
      <c r="I116" t="s">
        <v>234</v>
      </c>
      <c r="J116" s="126"/>
      <c r="K116" s="126"/>
      <c r="L116" s="126"/>
      <c r="R116" t="s">
        <v>414</v>
      </c>
      <c r="U116" s="37" t="s">
        <v>440</v>
      </c>
      <c r="V116" t="s">
        <v>574</v>
      </c>
      <c r="AS116" t="s">
        <v>414</v>
      </c>
      <c r="AT116" t="s">
        <v>566</v>
      </c>
      <c r="AU116" s="182">
        <v>4532.3500000000004</v>
      </c>
      <c r="AV116" s="37">
        <v>1.8</v>
      </c>
      <c r="AW116" s="182">
        <v>600</v>
      </c>
      <c r="AX116" s="37">
        <v>1.85</v>
      </c>
      <c r="AY116" t="s">
        <v>574</v>
      </c>
    </row>
    <row r="117" spans="1:51" x14ac:dyDescent="0.35">
      <c r="A117" t="s">
        <v>387</v>
      </c>
      <c r="B117" t="s">
        <v>189</v>
      </c>
      <c r="D117" s="37"/>
      <c r="E117" t="s">
        <v>592</v>
      </c>
      <c r="G117" s="7">
        <v>2027</v>
      </c>
      <c r="H117" t="s">
        <v>339</v>
      </c>
      <c r="I117" t="s">
        <v>235</v>
      </c>
      <c r="J117" s="126"/>
      <c r="K117" s="126"/>
      <c r="L117" s="126"/>
      <c r="R117" t="s">
        <v>415</v>
      </c>
      <c r="U117" s="37" t="s">
        <v>440</v>
      </c>
      <c r="V117" t="s">
        <v>574</v>
      </c>
      <c r="AS117" t="s">
        <v>415</v>
      </c>
      <c r="AT117" t="s">
        <v>566</v>
      </c>
      <c r="AU117" s="182"/>
      <c r="AV117" s="37"/>
      <c r="AW117" s="182"/>
      <c r="AX117" s="37"/>
      <c r="AY117" t="s">
        <v>574</v>
      </c>
    </row>
    <row r="118" spans="1:51" x14ac:dyDescent="0.35">
      <c r="A118" t="s">
        <v>387</v>
      </c>
      <c r="B118" t="s">
        <v>190</v>
      </c>
      <c r="D118" s="37"/>
      <c r="E118" t="s">
        <v>592</v>
      </c>
      <c r="G118" s="7">
        <v>2027</v>
      </c>
      <c r="H118" t="s">
        <v>340</v>
      </c>
      <c r="I118" t="s">
        <v>236</v>
      </c>
      <c r="J118" s="126"/>
      <c r="K118" s="126"/>
      <c r="L118" s="126"/>
      <c r="R118" t="s">
        <v>416</v>
      </c>
      <c r="S118">
        <v>6813</v>
      </c>
      <c r="T118" t="s">
        <v>299</v>
      </c>
      <c r="U118" s="37" t="s">
        <v>440</v>
      </c>
      <c r="V118" t="s">
        <v>574</v>
      </c>
      <c r="AS118" t="s">
        <v>416</v>
      </c>
      <c r="AT118" t="s">
        <v>566</v>
      </c>
      <c r="AU118" s="182">
        <v>4494.42</v>
      </c>
      <c r="AV118" s="37">
        <v>1.8</v>
      </c>
      <c r="AW118" s="182">
        <v>390</v>
      </c>
      <c r="AX118" s="37">
        <v>1.85</v>
      </c>
      <c r="AY118" t="s">
        <v>574</v>
      </c>
    </row>
    <row r="119" spans="1:51" x14ac:dyDescent="0.35">
      <c r="A119" t="s">
        <v>387</v>
      </c>
      <c r="B119" t="s">
        <v>301</v>
      </c>
      <c r="C119">
        <f>12484.89+958.9</f>
        <v>13443.789999999999</v>
      </c>
      <c r="D119" s="37">
        <v>4.867475003784576</v>
      </c>
      <c r="E119" t="s">
        <v>592</v>
      </c>
      <c r="G119" s="7">
        <v>2027</v>
      </c>
      <c r="H119" t="s">
        <v>341</v>
      </c>
      <c r="I119" t="s">
        <v>237</v>
      </c>
      <c r="J119" s="126"/>
      <c r="K119" s="126"/>
      <c r="L119" s="126"/>
      <c r="R119" t="s">
        <v>417</v>
      </c>
      <c r="U119" s="37" t="s">
        <v>440</v>
      </c>
      <c r="V119" t="s">
        <v>574</v>
      </c>
      <c r="AS119" t="s">
        <v>417</v>
      </c>
      <c r="AT119" t="s">
        <v>566</v>
      </c>
      <c r="AU119" s="182">
        <v>6299.58</v>
      </c>
      <c r="AV119" s="37">
        <v>1.8</v>
      </c>
      <c r="AW119" s="182">
        <v>795</v>
      </c>
      <c r="AX119" s="37">
        <v>1.85</v>
      </c>
      <c r="AY119" t="s">
        <v>574</v>
      </c>
    </row>
    <row r="120" spans="1:51" x14ac:dyDescent="0.35">
      <c r="A120" t="s">
        <v>387</v>
      </c>
      <c r="B120" t="s">
        <v>446</v>
      </c>
      <c r="D120" s="37"/>
      <c r="E120" t="s">
        <v>592</v>
      </c>
      <c r="G120" s="7">
        <v>2027</v>
      </c>
      <c r="H120" t="s">
        <v>342</v>
      </c>
      <c r="I120" t="s">
        <v>238</v>
      </c>
      <c r="J120" s="126"/>
      <c r="K120" s="126"/>
      <c r="L120" s="126"/>
      <c r="R120" t="s">
        <v>418</v>
      </c>
      <c r="U120" s="37" t="s">
        <v>440</v>
      </c>
      <c r="V120" t="s">
        <v>574</v>
      </c>
      <c r="AS120" t="s">
        <v>418</v>
      </c>
      <c r="AT120" t="s">
        <v>566</v>
      </c>
      <c r="AU120" s="182"/>
      <c r="AV120" s="37"/>
      <c r="AW120" s="182">
        <v>135</v>
      </c>
      <c r="AX120" s="37">
        <v>1.85</v>
      </c>
      <c r="AY120" t="s">
        <v>574</v>
      </c>
    </row>
    <row r="121" spans="1:51" x14ac:dyDescent="0.35">
      <c r="A121" t="s">
        <v>387</v>
      </c>
      <c r="B121" t="s">
        <v>40</v>
      </c>
      <c r="D121" s="37"/>
      <c r="E121" t="s">
        <v>592</v>
      </c>
      <c r="G121" s="7">
        <v>2027</v>
      </c>
      <c r="H121" t="s">
        <v>343</v>
      </c>
      <c r="I121" t="s">
        <v>239</v>
      </c>
      <c r="J121" s="126"/>
      <c r="K121" s="126"/>
      <c r="L121" s="126"/>
      <c r="R121" t="s">
        <v>419</v>
      </c>
      <c r="U121" s="37" t="s">
        <v>440</v>
      </c>
      <c r="V121" t="s">
        <v>574</v>
      </c>
      <c r="AS121" t="s">
        <v>419</v>
      </c>
      <c r="AT121" t="s">
        <v>566</v>
      </c>
      <c r="AU121" s="182">
        <v>6578.52</v>
      </c>
      <c r="AV121" s="37">
        <v>1.8</v>
      </c>
      <c r="AW121" s="182">
        <v>150</v>
      </c>
      <c r="AX121" s="37">
        <v>1.85</v>
      </c>
      <c r="AY121" t="s">
        <v>574</v>
      </c>
    </row>
    <row r="122" spans="1:51" x14ac:dyDescent="0.35">
      <c r="A122" t="s">
        <v>387</v>
      </c>
      <c r="B122" t="s">
        <v>303</v>
      </c>
      <c r="D122" s="37"/>
      <c r="E122" t="s">
        <v>592</v>
      </c>
      <c r="G122" s="7">
        <v>2027</v>
      </c>
      <c r="H122" t="s">
        <v>344</v>
      </c>
      <c r="I122" t="s">
        <v>240</v>
      </c>
      <c r="J122" s="126"/>
      <c r="K122" s="126"/>
      <c r="L122" s="126"/>
      <c r="R122" t="s">
        <v>420</v>
      </c>
      <c r="S122">
        <v>5816</v>
      </c>
      <c r="T122" t="s">
        <v>299</v>
      </c>
      <c r="U122" s="37" t="s">
        <v>440</v>
      </c>
      <c r="V122" t="s">
        <v>574</v>
      </c>
      <c r="AS122" t="s">
        <v>420</v>
      </c>
      <c r="AT122" t="s">
        <v>566</v>
      </c>
      <c r="AU122" s="182"/>
      <c r="AV122" s="37"/>
      <c r="AW122" s="182">
        <v>150</v>
      </c>
      <c r="AX122" s="37">
        <v>1.85</v>
      </c>
      <c r="AY122" t="s">
        <v>574</v>
      </c>
    </row>
    <row r="123" spans="1:51" x14ac:dyDescent="0.35">
      <c r="A123" t="s">
        <v>387</v>
      </c>
      <c r="B123" t="s">
        <v>199</v>
      </c>
      <c r="D123" s="37"/>
      <c r="E123" t="s">
        <v>592</v>
      </c>
      <c r="G123" s="7">
        <v>2028</v>
      </c>
      <c r="H123" t="s">
        <v>345</v>
      </c>
      <c r="I123" t="s">
        <v>218</v>
      </c>
      <c r="J123" s="126"/>
      <c r="K123" s="126"/>
      <c r="L123" s="126"/>
      <c r="R123" t="s">
        <v>421</v>
      </c>
      <c r="S123">
        <v>2380</v>
      </c>
      <c r="T123" t="s">
        <v>590</v>
      </c>
      <c r="U123" s="37" t="s">
        <v>440</v>
      </c>
      <c r="V123" t="s">
        <v>574</v>
      </c>
      <c r="AS123" t="s">
        <v>421</v>
      </c>
      <c r="AT123" t="s">
        <v>566</v>
      </c>
      <c r="AU123" s="182">
        <v>4557.32</v>
      </c>
      <c r="AV123" s="37">
        <v>1.8</v>
      </c>
      <c r="AW123" s="182">
        <v>90</v>
      </c>
      <c r="AX123" s="37">
        <v>1.85</v>
      </c>
      <c r="AY123" t="s">
        <v>574</v>
      </c>
    </row>
    <row r="124" spans="1:51" x14ac:dyDescent="0.35">
      <c r="A124" t="s">
        <v>387</v>
      </c>
      <c r="B124" t="s">
        <v>194</v>
      </c>
      <c r="D124" s="37"/>
      <c r="E124" t="s">
        <v>592</v>
      </c>
      <c r="G124" s="7">
        <v>2028</v>
      </c>
      <c r="H124" t="s">
        <v>346</v>
      </c>
      <c r="I124" t="s">
        <v>228</v>
      </c>
      <c r="J124" s="126"/>
      <c r="K124" s="126"/>
      <c r="L124" s="126"/>
      <c r="R124" t="s">
        <v>422</v>
      </c>
      <c r="U124" s="37" t="s">
        <v>440</v>
      </c>
      <c r="V124" t="s">
        <v>574</v>
      </c>
      <c r="AS124" t="s">
        <v>422</v>
      </c>
      <c r="AT124" t="s">
        <v>566</v>
      </c>
      <c r="AU124" s="182">
        <v>3300</v>
      </c>
      <c r="AV124" s="37">
        <v>1.8</v>
      </c>
      <c r="AW124" s="182"/>
      <c r="AX124" s="37"/>
      <c r="AY124" t="s">
        <v>574</v>
      </c>
    </row>
    <row r="125" spans="1:51" x14ac:dyDescent="0.35">
      <c r="A125" t="s">
        <v>387</v>
      </c>
      <c r="B125" t="s">
        <v>144</v>
      </c>
      <c r="D125" s="37"/>
      <c r="E125" t="s">
        <v>592</v>
      </c>
      <c r="G125" s="7">
        <v>2028</v>
      </c>
      <c r="H125" t="s">
        <v>347</v>
      </c>
      <c r="I125" t="s">
        <v>225</v>
      </c>
      <c r="R125" t="s">
        <v>423</v>
      </c>
      <c r="U125" s="37" t="s">
        <v>440</v>
      </c>
      <c r="V125" t="s">
        <v>574</v>
      </c>
      <c r="AS125" t="s">
        <v>423</v>
      </c>
      <c r="AT125" t="s">
        <v>566</v>
      </c>
      <c r="AU125" s="182">
        <v>8477.92</v>
      </c>
      <c r="AV125" s="37">
        <v>1.8</v>
      </c>
      <c r="AW125" s="182"/>
      <c r="AX125" s="37"/>
      <c r="AY125" t="s">
        <v>574</v>
      </c>
    </row>
    <row r="126" spans="1:51" x14ac:dyDescent="0.35">
      <c r="A126" t="s">
        <v>387</v>
      </c>
      <c r="B126" t="s">
        <v>145</v>
      </c>
      <c r="D126" s="37"/>
      <c r="E126" t="s">
        <v>592</v>
      </c>
      <c r="G126" s="7">
        <v>2028</v>
      </c>
      <c r="H126" t="s">
        <v>348</v>
      </c>
      <c r="I126" t="s">
        <v>232</v>
      </c>
      <c r="R126" t="s">
        <v>424</v>
      </c>
      <c r="U126" s="37" t="s">
        <v>440</v>
      </c>
      <c r="V126" t="s">
        <v>574</v>
      </c>
      <c r="AS126" t="s">
        <v>424</v>
      </c>
      <c r="AT126" t="s">
        <v>566</v>
      </c>
      <c r="AU126" s="182"/>
      <c r="AV126" s="37"/>
      <c r="AW126" s="182">
        <v>1215</v>
      </c>
      <c r="AX126" s="37">
        <v>1.85</v>
      </c>
      <c r="AY126" t="s">
        <v>574</v>
      </c>
    </row>
    <row r="127" spans="1:51" x14ac:dyDescent="0.35">
      <c r="A127" t="s">
        <v>387</v>
      </c>
      <c r="B127" t="s">
        <v>146</v>
      </c>
      <c r="D127" s="37"/>
      <c r="E127" t="s">
        <v>592</v>
      </c>
      <c r="G127" s="7">
        <v>2028</v>
      </c>
      <c r="H127" t="s">
        <v>349</v>
      </c>
      <c r="I127" t="s">
        <v>233</v>
      </c>
      <c r="R127" t="s">
        <v>425</v>
      </c>
      <c r="S127">
        <v>411</v>
      </c>
      <c r="T127" t="s">
        <v>299</v>
      </c>
      <c r="U127" s="37" t="s">
        <v>440</v>
      </c>
      <c r="V127" t="s">
        <v>574</v>
      </c>
      <c r="AS127" t="s">
        <v>425</v>
      </c>
      <c r="AT127" t="s">
        <v>566</v>
      </c>
      <c r="AU127" s="182">
        <v>6298.45</v>
      </c>
      <c r="AV127" s="37">
        <v>1.8</v>
      </c>
      <c r="AW127" s="182">
        <v>675</v>
      </c>
      <c r="AX127" s="37">
        <v>1.85</v>
      </c>
      <c r="AY127" t="s">
        <v>574</v>
      </c>
    </row>
    <row r="128" spans="1:51" x14ac:dyDescent="0.35">
      <c r="A128" t="s">
        <v>387</v>
      </c>
      <c r="B128" t="s">
        <v>147</v>
      </c>
      <c r="D128" s="37"/>
      <c r="E128" t="s">
        <v>592</v>
      </c>
      <c r="G128" s="7">
        <v>2028</v>
      </c>
      <c r="H128" t="s">
        <v>350</v>
      </c>
      <c r="I128" t="s">
        <v>234</v>
      </c>
      <c r="R128" t="s">
        <v>426</v>
      </c>
      <c r="S128">
        <v>90</v>
      </c>
      <c r="T128" t="s">
        <v>590</v>
      </c>
      <c r="U128" s="37" t="s">
        <v>440</v>
      </c>
      <c r="V128" t="s">
        <v>574</v>
      </c>
      <c r="AS128" t="s">
        <v>426</v>
      </c>
      <c r="AT128" t="s">
        <v>566</v>
      </c>
      <c r="AU128" s="182"/>
      <c r="AV128" s="37"/>
      <c r="AW128" s="182"/>
      <c r="AX128" s="37"/>
      <c r="AY128" t="s">
        <v>574</v>
      </c>
    </row>
    <row r="129" spans="1:51" x14ac:dyDescent="0.35">
      <c r="A129" t="s">
        <v>388</v>
      </c>
      <c r="B129" t="s">
        <v>299</v>
      </c>
      <c r="C129">
        <v>6051.92</v>
      </c>
      <c r="D129" s="37">
        <v>4.6564148237253633</v>
      </c>
      <c r="E129" t="s">
        <v>592</v>
      </c>
      <c r="G129" s="7">
        <v>2028</v>
      </c>
      <c r="H129" t="s">
        <v>351</v>
      </c>
      <c r="I129" t="s">
        <v>235</v>
      </c>
      <c r="R129" t="s">
        <v>427</v>
      </c>
      <c r="U129" s="37" t="s">
        <v>440</v>
      </c>
      <c r="V129" t="s">
        <v>574</v>
      </c>
      <c r="AS129" t="s">
        <v>427</v>
      </c>
      <c r="AT129" t="s">
        <v>566</v>
      </c>
      <c r="AU129" s="182">
        <v>4933.71</v>
      </c>
      <c r="AV129" s="37">
        <v>1.8</v>
      </c>
      <c r="AW129" s="182">
        <v>1620</v>
      </c>
      <c r="AX129" s="37">
        <v>1.85</v>
      </c>
      <c r="AY129" t="s">
        <v>574</v>
      </c>
    </row>
    <row r="130" spans="1:51" x14ac:dyDescent="0.35">
      <c r="A130" t="s">
        <v>388</v>
      </c>
      <c r="B130" t="s">
        <v>445</v>
      </c>
      <c r="D130" s="37"/>
      <c r="E130" t="s">
        <v>592</v>
      </c>
      <c r="G130" s="7">
        <v>2028</v>
      </c>
      <c r="H130" t="s">
        <v>352</v>
      </c>
      <c r="I130" t="s">
        <v>236</v>
      </c>
      <c r="R130" t="s">
        <v>428</v>
      </c>
      <c r="U130" s="37" t="s">
        <v>440</v>
      </c>
      <c r="V130" t="s">
        <v>574</v>
      </c>
      <c r="AS130" t="s">
        <v>428</v>
      </c>
      <c r="AT130" t="s">
        <v>566</v>
      </c>
      <c r="AU130" s="182">
        <v>6599.24</v>
      </c>
      <c r="AV130" s="37">
        <v>1.8</v>
      </c>
      <c r="AW130" s="182"/>
      <c r="AX130" s="37"/>
      <c r="AY130" t="s">
        <v>574</v>
      </c>
    </row>
    <row r="131" spans="1:51" x14ac:dyDescent="0.35">
      <c r="A131" t="s">
        <v>388</v>
      </c>
      <c r="B131" t="s">
        <v>189</v>
      </c>
      <c r="D131" s="37"/>
      <c r="E131" t="s">
        <v>592</v>
      </c>
      <c r="G131" s="7">
        <v>2028</v>
      </c>
      <c r="H131" t="s">
        <v>353</v>
      </c>
      <c r="I131" t="s">
        <v>237</v>
      </c>
      <c r="R131" t="s">
        <v>429</v>
      </c>
      <c r="U131" s="37" t="s">
        <v>440</v>
      </c>
      <c r="V131" t="s">
        <v>574</v>
      </c>
      <c r="AS131" t="s">
        <v>429</v>
      </c>
      <c r="AT131" t="s">
        <v>566</v>
      </c>
      <c r="AU131" s="182"/>
      <c r="AV131" s="37"/>
      <c r="AW131" s="182"/>
      <c r="AX131" s="37"/>
      <c r="AY131" t="s">
        <v>574</v>
      </c>
    </row>
    <row r="132" spans="1:51" x14ac:dyDescent="0.35">
      <c r="A132" t="s">
        <v>388</v>
      </c>
      <c r="B132" t="s">
        <v>190</v>
      </c>
      <c r="D132" s="37"/>
      <c r="E132" t="s">
        <v>592</v>
      </c>
      <c r="G132" s="7">
        <v>2028</v>
      </c>
      <c r="H132" t="s">
        <v>354</v>
      </c>
      <c r="I132" t="s">
        <v>238</v>
      </c>
      <c r="R132" t="s">
        <v>430</v>
      </c>
      <c r="U132" s="37" t="s">
        <v>440</v>
      </c>
      <c r="V132" t="s">
        <v>574</v>
      </c>
      <c r="AS132" t="s">
        <v>430</v>
      </c>
      <c r="AT132" t="s">
        <v>566</v>
      </c>
      <c r="AU132" s="182"/>
      <c r="AV132" s="37"/>
      <c r="AW132" s="182">
        <v>1425</v>
      </c>
      <c r="AX132" s="37">
        <v>1.85</v>
      </c>
      <c r="AY132" t="s">
        <v>574</v>
      </c>
    </row>
    <row r="133" spans="1:51" x14ac:dyDescent="0.35">
      <c r="A133" t="s">
        <v>388</v>
      </c>
      <c r="B133" t="s">
        <v>301</v>
      </c>
      <c r="C133">
        <v>789.79</v>
      </c>
      <c r="D133" s="37">
        <v>5.0300079768039607</v>
      </c>
      <c r="E133" t="s">
        <v>592</v>
      </c>
      <c r="G133" s="7">
        <v>2028</v>
      </c>
      <c r="H133" t="s">
        <v>355</v>
      </c>
      <c r="I133" t="s">
        <v>239</v>
      </c>
      <c r="R133" t="s">
        <v>431</v>
      </c>
      <c r="S133">
        <v>826</v>
      </c>
      <c r="T133" t="s">
        <v>299</v>
      </c>
      <c r="U133" s="37" t="s">
        <v>440</v>
      </c>
      <c r="V133" t="s">
        <v>574</v>
      </c>
      <c r="AS133" t="s">
        <v>431</v>
      </c>
      <c r="AT133" t="s">
        <v>566</v>
      </c>
      <c r="AU133" s="182">
        <v>6025.89</v>
      </c>
      <c r="AV133" s="37">
        <v>1.8</v>
      </c>
      <c r="AW133" s="182">
        <v>300</v>
      </c>
      <c r="AX133" s="37">
        <v>1.85</v>
      </c>
      <c r="AY133" t="s">
        <v>574</v>
      </c>
    </row>
    <row r="134" spans="1:51" x14ac:dyDescent="0.35">
      <c r="A134" t="s">
        <v>388</v>
      </c>
      <c r="B134" t="s">
        <v>446</v>
      </c>
      <c r="D134" s="37"/>
      <c r="E134" t="s">
        <v>592</v>
      </c>
      <c r="G134" s="7">
        <v>2028</v>
      </c>
      <c r="H134" t="s">
        <v>356</v>
      </c>
      <c r="I134" t="s">
        <v>240</v>
      </c>
      <c r="R134" t="s">
        <v>432</v>
      </c>
      <c r="U134" s="37" t="s">
        <v>440</v>
      </c>
      <c r="V134" t="s">
        <v>574</v>
      </c>
      <c r="AS134" t="s">
        <v>432</v>
      </c>
      <c r="AT134" t="s">
        <v>566</v>
      </c>
      <c r="AU134" s="182"/>
      <c r="AV134" s="37"/>
      <c r="AW134" s="182">
        <v>45</v>
      </c>
      <c r="AX134" s="37">
        <v>1.85</v>
      </c>
      <c r="AY134" t="s">
        <v>574</v>
      </c>
    </row>
    <row r="135" spans="1:51" x14ac:dyDescent="0.35">
      <c r="A135" t="s">
        <v>388</v>
      </c>
      <c r="B135" t="s">
        <v>40</v>
      </c>
      <c r="C135">
        <v>11121.7</v>
      </c>
      <c r="D135" s="37">
        <v>4.9499995504284415</v>
      </c>
      <c r="E135" t="s">
        <v>592</v>
      </c>
      <c r="G135" s="7">
        <v>2029</v>
      </c>
      <c r="H135" t="s">
        <v>357</v>
      </c>
      <c r="I135" t="s">
        <v>218</v>
      </c>
      <c r="R135" t="s">
        <v>433</v>
      </c>
      <c r="U135" s="37" t="s">
        <v>440</v>
      </c>
      <c r="V135" t="s">
        <v>574</v>
      </c>
      <c r="AS135" t="s">
        <v>433</v>
      </c>
      <c r="AT135" t="s">
        <v>566</v>
      </c>
      <c r="AU135" s="182"/>
      <c r="AV135" s="37"/>
      <c r="AW135" s="182"/>
      <c r="AX135" s="37"/>
      <c r="AY135" t="s">
        <v>574</v>
      </c>
    </row>
    <row r="136" spans="1:51" x14ac:dyDescent="0.35">
      <c r="A136" t="s">
        <v>388</v>
      </c>
      <c r="B136" t="s">
        <v>303</v>
      </c>
      <c r="D136" s="37"/>
      <c r="E136" t="s">
        <v>592</v>
      </c>
      <c r="G136" s="7">
        <v>2029</v>
      </c>
      <c r="H136" t="s">
        <v>358</v>
      </c>
      <c r="I136" t="s">
        <v>228</v>
      </c>
      <c r="R136" t="s">
        <v>434</v>
      </c>
      <c r="U136" s="37" t="s">
        <v>440</v>
      </c>
      <c r="V136" t="s">
        <v>574</v>
      </c>
      <c r="AS136" t="s">
        <v>434</v>
      </c>
      <c r="AT136" t="s">
        <v>566</v>
      </c>
      <c r="AU136" s="182">
        <v>6344.6</v>
      </c>
      <c r="AV136" s="37">
        <v>1.8</v>
      </c>
      <c r="AW136" s="182">
        <v>450</v>
      </c>
      <c r="AX136" s="37">
        <v>1.85</v>
      </c>
      <c r="AY136" t="s">
        <v>574</v>
      </c>
    </row>
    <row r="137" spans="1:51" x14ac:dyDescent="0.35">
      <c r="A137" t="s">
        <v>388</v>
      </c>
      <c r="B137" t="s">
        <v>199</v>
      </c>
      <c r="D137" s="37"/>
      <c r="E137" t="s">
        <v>592</v>
      </c>
      <c r="G137" s="7">
        <v>2029</v>
      </c>
      <c r="H137" t="s">
        <v>359</v>
      </c>
      <c r="I137" t="s">
        <v>225</v>
      </c>
      <c r="R137" t="s">
        <v>435</v>
      </c>
      <c r="U137" s="37" t="s">
        <v>440</v>
      </c>
      <c r="V137" t="s">
        <v>574</v>
      </c>
      <c r="AS137" t="s">
        <v>435</v>
      </c>
      <c r="AT137" t="s">
        <v>566</v>
      </c>
      <c r="AU137" s="182">
        <v>-2380</v>
      </c>
      <c r="AV137" s="37">
        <v>1.8</v>
      </c>
      <c r="AW137" s="182">
        <v>3945</v>
      </c>
      <c r="AX137" s="37">
        <v>1.85</v>
      </c>
      <c r="AY137" t="s">
        <v>574</v>
      </c>
    </row>
    <row r="138" spans="1:51" x14ac:dyDescent="0.35">
      <c r="A138" t="s">
        <v>388</v>
      </c>
      <c r="B138" t="s">
        <v>194</v>
      </c>
      <c r="D138" s="37"/>
      <c r="E138" t="s">
        <v>592</v>
      </c>
      <c r="G138" s="7">
        <v>2029</v>
      </c>
      <c r="H138" t="s">
        <v>360</v>
      </c>
      <c r="I138" t="s">
        <v>232</v>
      </c>
      <c r="R138" t="s">
        <v>436</v>
      </c>
      <c r="U138" s="37" t="s">
        <v>440</v>
      </c>
      <c r="V138" t="s">
        <v>574</v>
      </c>
      <c r="AS138" t="s">
        <v>436</v>
      </c>
      <c r="AT138" t="s">
        <v>566</v>
      </c>
      <c r="AU138" s="182">
        <v>7332.47</v>
      </c>
      <c r="AV138" s="37">
        <v>1.8</v>
      </c>
      <c r="AW138" s="182">
        <v>300</v>
      </c>
      <c r="AX138" s="37">
        <v>1.85</v>
      </c>
      <c r="AY138" t="s">
        <v>574</v>
      </c>
    </row>
    <row r="139" spans="1:51" x14ac:dyDescent="0.35">
      <c r="A139" t="s">
        <v>388</v>
      </c>
      <c r="B139" t="s">
        <v>144</v>
      </c>
      <c r="D139" s="37"/>
      <c r="E139" t="s">
        <v>592</v>
      </c>
      <c r="G139" s="7">
        <v>2029</v>
      </c>
      <c r="H139" t="s">
        <v>361</v>
      </c>
      <c r="I139" t="s">
        <v>233</v>
      </c>
      <c r="R139" t="s">
        <v>245</v>
      </c>
      <c r="U139" s="37" t="s">
        <v>440</v>
      </c>
      <c r="V139" t="s">
        <v>574</v>
      </c>
      <c r="AS139" t="s">
        <v>565</v>
      </c>
      <c r="AT139" t="s">
        <v>566</v>
      </c>
      <c r="AU139" s="182"/>
      <c r="AV139" s="37"/>
      <c r="AW139" s="182"/>
      <c r="AX139" s="37"/>
      <c r="AY139" t="s">
        <v>574</v>
      </c>
    </row>
    <row r="140" spans="1:51" x14ac:dyDescent="0.35">
      <c r="A140" t="s">
        <v>388</v>
      </c>
      <c r="B140" t="s">
        <v>145</v>
      </c>
      <c r="D140" s="37"/>
      <c r="E140" t="s">
        <v>592</v>
      </c>
      <c r="G140" s="7">
        <v>2029</v>
      </c>
      <c r="H140" t="s">
        <v>362</v>
      </c>
      <c r="I140" t="s">
        <v>234</v>
      </c>
      <c r="R140" t="s">
        <v>246</v>
      </c>
      <c r="U140" s="37" t="s">
        <v>440</v>
      </c>
      <c r="V140" t="s">
        <v>574</v>
      </c>
      <c r="AS140" t="s">
        <v>245</v>
      </c>
      <c r="AT140" t="s">
        <v>566</v>
      </c>
      <c r="AU140" s="182"/>
      <c r="AV140" s="37"/>
      <c r="AW140" s="182"/>
      <c r="AX140" s="37"/>
      <c r="AY140" t="s">
        <v>574</v>
      </c>
    </row>
    <row r="141" spans="1:51" x14ac:dyDescent="0.35">
      <c r="A141" t="s">
        <v>388</v>
      </c>
      <c r="B141" t="s">
        <v>146</v>
      </c>
      <c r="D141" s="37"/>
      <c r="E141" t="s">
        <v>592</v>
      </c>
      <c r="G141" s="7">
        <v>2029</v>
      </c>
      <c r="H141" t="s">
        <v>363</v>
      </c>
      <c r="I141" t="s">
        <v>235</v>
      </c>
      <c r="R141" t="s">
        <v>247</v>
      </c>
      <c r="U141" s="37" t="s">
        <v>440</v>
      </c>
      <c r="V141" t="s">
        <v>574</v>
      </c>
      <c r="AS141" t="s">
        <v>246</v>
      </c>
      <c r="AT141" t="s">
        <v>566</v>
      </c>
      <c r="AU141" s="182"/>
      <c r="AV141" s="37"/>
      <c r="AW141" s="182"/>
      <c r="AX141" s="37"/>
      <c r="AY141" t="s">
        <v>574</v>
      </c>
    </row>
    <row r="142" spans="1:51" x14ac:dyDescent="0.35">
      <c r="A142" t="s">
        <v>388</v>
      </c>
      <c r="B142" t="s">
        <v>147</v>
      </c>
      <c r="D142" s="37"/>
      <c r="E142" t="s">
        <v>592</v>
      </c>
      <c r="G142" s="7">
        <v>2029</v>
      </c>
      <c r="H142" t="s">
        <v>364</v>
      </c>
      <c r="I142" t="s">
        <v>236</v>
      </c>
      <c r="R142" t="s">
        <v>248</v>
      </c>
      <c r="S142">
        <v>7</v>
      </c>
      <c r="T142" t="s">
        <v>299</v>
      </c>
      <c r="U142" s="37" t="s">
        <v>440</v>
      </c>
      <c r="V142" t="s">
        <v>574</v>
      </c>
      <c r="AS142" t="s">
        <v>247</v>
      </c>
      <c r="AT142" t="s">
        <v>566</v>
      </c>
      <c r="AU142" s="182"/>
      <c r="AV142" s="37"/>
      <c r="AW142" s="182"/>
      <c r="AX142" s="37"/>
      <c r="AY142" t="s">
        <v>574</v>
      </c>
    </row>
    <row r="143" spans="1:51" x14ac:dyDescent="0.35">
      <c r="A143" t="s">
        <v>389</v>
      </c>
      <c r="B143" t="s">
        <v>299</v>
      </c>
      <c r="C143">
        <v>60913.74</v>
      </c>
      <c r="D143" s="37">
        <v>4.6756905749014921</v>
      </c>
      <c r="E143" t="s">
        <v>592</v>
      </c>
      <c r="G143" s="7">
        <v>2029</v>
      </c>
      <c r="H143" t="s">
        <v>365</v>
      </c>
      <c r="I143" t="s">
        <v>237</v>
      </c>
      <c r="R143" t="s">
        <v>249</v>
      </c>
      <c r="S143">
        <v>1575</v>
      </c>
      <c r="T143" t="s">
        <v>590</v>
      </c>
      <c r="U143" s="37" t="s">
        <v>440</v>
      </c>
      <c r="V143" t="s">
        <v>574</v>
      </c>
      <c r="AS143" t="s">
        <v>248</v>
      </c>
      <c r="AT143" t="s">
        <v>566</v>
      </c>
      <c r="AU143" s="182">
        <v>5604.85</v>
      </c>
      <c r="AV143" s="37">
        <v>1.85</v>
      </c>
      <c r="AW143" s="182">
        <v>3075</v>
      </c>
      <c r="AX143" s="37">
        <v>1.85</v>
      </c>
      <c r="AY143" t="s">
        <v>574</v>
      </c>
    </row>
    <row r="144" spans="1:51" x14ac:dyDescent="0.35">
      <c r="A144" t="s">
        <v>389</v>
      </c>
      <c r="B144" t="s">
        <v>445</v>
      </c>
      <c r="D144" s="37"/>
      <c r="E144" t="s">
        <v>592</v>
      </c>
      <c r="G144" s="7">
        <v>2029</v>
      </c>
      <c r="H144" t="s">
        <v>366</v>
      </c>
      <c r="I144" t="s">
        <v>238</v>
      </c>
      <c r="R144" t="s">
        <v>250</v>
      </c>
      <c r="U144" s="37" t="s">
        <v>440</v>
      </c>
      <c r="V144" t="s">
        <v>574</v>
      </c>
      <c r="AS144" t="s">
        <v>249</v>
      </c>
      <c r="AT144" t="s">
        <v>566</v>
      </c>
      <c r="AU144" s="182">
        <v>5171.3599999999997</v>
      </c>
      <c r="AV144" s="37">
        <v>1.87</v>
      </c>
      <c r="AW144" s="182">
        <v>435</v>
      </c>
      <c r="AX144" s="37">
        <v>1.85</v>
      </c>
      <c r="AY144" t="s">
        <v>574</v>
      </c>
    </row>
    <row r="145" spans="1:51" x14ac:dyDescent="0.35">
      <c r="A145" t="s">
        <v>389</v>
      </c>
      <c r="B145" t="s">
        <v>189</v>
      </c>
      <c r="D145" s="37"/>
      <c r="E145" t="s">
        <v>592</v>
      </c>
      <c r="G145" s="7">
        <v>2029</v>
      </c>
      <c r="H145" t="s">
        <v>367</v>
      </c>
      <c r="I145" t="s">
        <v>239</v>
      </c>
      <c r="R145" t="s">
        <v>251</v>
      </c>
      <c r="U145" s="37" t="s">
        <v>440</v>
      </c>
      <c r="V145" t="s">
        <v>574</v>
      </c>
      <c r="AS145" t="s">
        <v>250</v>
      </c>
      <c r="AT145" t="s">
        <v>566</v>
      </c>
      <c r="AU145" s="182"/>
      <c r="AV145" s="37"/>
      <c r="AW145" s="182">
        <v>750</v>
      </c>
      <c r="AX145" s="37">
        <v>1.95</v>
      </c>
      <c r="AY145" t="s">
        <v>574</v>
      </c>
    </row>
    <row r="146" spans="1:51" x14ac:dyDescent="0.35">
      <c r="A146" t="s">
        <v>389</v>
      </c>
      <c r="B146" t="s">
        <v>190</v>
      </c>
      <c r="D146" s="37"/>
      <c r="E146" t="s">
        <v>592</v>
      </c>
      <c r="G146" s="7">
        <v>2030</v>
      </c>
      <c r="H146" t="s">
        <v>368</v>
      </c>
      <c r="I146" t="s">
        <v>240</v>
      </c>
      <c r="R146" t="s">
        <v>252</v>
      </c>
      <c r="S146">
        <v>532.53</v>
      </c>
      <c r="T146" t="s">
        <v>301</v>
      </c>
      <c r="U146" s="37" t="s">
        <v>440</v>
      </c>
      <c r="V146" t="s">
        <v>574</v>
      </c>
      <c r="AS146" t="s">
        <v>251</v>
      </c>
      <c r="AT146" t="s">
        <v>566</v>
      </c>
      <c r="AU146" s="182"/>
      <c r="AV146" s="37"/>
      <c r="AW146" s="182"/>
      <c r="AX146" s="37"/>
      <c r="AY146" t="s">
        <v>574</v>
      </c>
    </row>
    <row r="147" spans="1:51" x14ac:dyDescent="0.35">
      <c r="A147" t="s">
        <v>389</v>
      </c>
      <c r="B147" t="s">
        <v>301</v>
      </c>
      <c r="C147">
        <v>7962.58</v>
      </c>
      <c r="D147" s="37">
        <v>5.0166993612623036</v>
      </c>
      <c r="E147" t="s">
        <v>592</v>
      </c>
      <c r="G147" s="7">
        <v>2030</v>
      </c>
      <c r="H147" t="s">
        <v>369</v>
      </c>
      <c r="I147" t="s">
        <v>218</v>
      </c>
      <c r="R147" t="s">
        <v>253</v>
      </c>
      <c r="U147" s="37" t="s">
        <v>440</v>
      </c>
      <c r="V147" t="s">
        <v>574</v>
      </c>
      <c r="AS147" t="s">
        <v>252</v>
      </c>
      <c r="AT147" t="s">
        <v>566</v>
      </c>
      <c r="AU147" s="182">
        <v>6097.81</v>
      </c>
      <c r="AV147" s="37">
        <v>1.85</v>
      </c>
      <c r="AW147" s="182">
        <v>435</v>
      </c>
      <c r="AX147" s="37">
        <v>1.95</v>
      </c>
      <c r="AY147" t="s">
        <v>574</v>
      </c>
    </row>
    <row r="148" spans="1:51" x14ac:dyDescent="0.35">
      <c r="A148" t="s">
        <v>389</v>
      </c>
      <c r="B148" t="s">
        <v>446</v>
      </c>
      <c r="D148" s="37"/>
      <c r="E148" t="s">
        <v>592</v>
      </c>
      <c r="G148" s="7">
        <v>2030</v>
      </c>
      <c r="H148" t="s">
        <v>370</v>
      </c>
      <c r="I148" t="s">
        <v>228</v>
      </c>
      <c r="R148" t="s">
        <v>254</v>
      </c>
      <c r="U148" s="37" t="s">
        <v>440</v>
      </c>
      <c r="V148" t="s">
        <v>574</v>
      </c>
      <c r="AS148" t="s">
        <v>253</v>
      </c>
      <c r="AT148" t="s">
        <v>566</v>
      </c>
      <c r="AU148" s="182"/>
      <c r="AV148" s="37"/>
      <c r="AW148" s="182"/>
      <c r="AX148" s="37"/>
      <c r="AY148" t="s">
        <v>574</v>
      </c>
    </row>
    <row r="149" spans="1:51" x14ac:dyDescent="0.35">
      <c r="A149" t="s">
        <v>389</v>
      </c>
      <c r="B149" t="s">
        <v>40</v>
      </c>
      <c r="C149">
        <v>6990.62</v>
      </c>
      <c r="D149" s="37">
        <v>5.0228005527406729</v>
      </c>
      <c r="E149" t="s">
        <v>592</v>
      </c>
      <c r="G149" s="7">
        <v>2030</v>
      </c>
      <c r="H149" t="s">
        <v>371</v>
      </c>
      <c r="I149" t="s">
        <v>225</v>
      </c>
      <c r="R149" t="s">
        <v>255</v>
      </c>
      <c r="U149" s="37" t="s">
        <v>440</v>
      </c>
      <c r="V149" t="s">
        <v>574</v>
      </c>
      <c r="AS149" t="s">
        <v>254</v>
      </c>
      <c r="AT149" t="s">
        <v>566</v>
      </c>
      <c r="AU149" s="182"/>
      <c r="AV149" s="37"/>
      <c r="AW149" s="182"/>
      <c r="AX149" s="37"/>
      <c r="AY149" t="s">
        <v>574</v>
      </c>
    </row>
    <row r="150" spans="1:51" x14ac:dyDescent="0.35">
      <c r="A150" t="s">
        <v>389</v>
      </c>
      <c r="B150" t="s">
        <v>303</v>
      </c>
      <c r="D150" s="37"/>
      <c r="E150" t="s">
        <v>592</v>
      </c>
      <c r="G150" s="7">
        <v>2030</v>
      </c>
      <c r="H150" t="s">
        <v>372</v>
      </c>
      <c r="I150" t="s">
        <v>232</v>
      </c>
      <c r="R150" t="s">
        <v>256</v>
      </c>
      <c r="S150">
        <v>2</v>
      </c>
      <c r="T150" t="s">
        <v>299</v>
      </c>
      <c r="U150" s="37" t="s">
        <v>440</v>
      </c>
      <c r="V150" t="s">
        <v>574</v>
      </c>
      <c r="AS150" t="s">
        <v>255</v>
      </c>
      <c r="AT150" t="s">
        <v>566</v>
      </c>
      <c r="AU150" s="182">
        <v>6361.13</v>
      </c>
      <c r="AV150" s="37">
        <v>1.85</v>
      </c>
      <c r="AW150" s="182">
        <v>5205</v>
      </c>
      <c r="AX150" s="37">
        <v>1.95</v>
      </c>
      <c r="AY150" t="s">
        <v>574</v>
      </c>
    </row>
    <row r="151" spans="1:51" x14ac:dyDescent="0.35">
      <c r="A151" t="s">
        <v>389</v>
      </c>
      <c r="B151" t="s">
        <v>199</v>
      </c>
      <c r="D151" s="37"/>
      <c r="E151" t="s">
        <v>592</v>
      </c>
      <c r="G151" s="7">
        <v>2030</v>
      </c>
      <c r="H151" t="s">
        <v>373</v>
      </c>
      <c r="I151" t="s">
        <v>233</v>
      </c>
      <c r="R151" t="s">
        <v>257</v>
      </c>
      <c r="U151" s="37" t="s">
        <v>440</v>
      </c>
      <c r="V151" t="s">
        <v>574</v>
      </c>
      <c r="AS151" t="s">
        <v>256</v>
      </c>
      <c r="AT151" t="s">
        <v>566</v>
      </c>
      <c r="AU151" s="182"/>
      <c r="AV151" s="37"/>
      <c r="AW151" s="182"/>
      <c r="AX151" s="37"/>
      <c r="AY151" t="s">
        <v>574</v>
      </c>
    </row>
    <row r="152" spans="1:51" x14ac:dyDescent="0.35">
      <c r="A152" t="s">
        <v>389</v>
      </c>
      <c r="B152" t="s">
        <v>194</v>
      </c>
      <c r="D152" s="37"/>
      <c r="E152" t="s">
        <v>592</v>
      </c>
      <c r="G152" s="7">
        <v>2030</v>
      </c>
      <c r="H152" t="s">
        <v>374</v>
      </c>
      <c r="I152" t="s">
        <v>234</v>
      </c>
      <c r="R152" t="s">
        <v>258</v>
      </c>
      <c r="U152" s="37" t="s">
        <v>440</v>
      </c>
      <c r="V152" t="s">
        <v>574</v>
      </c>
      <c r="AS152" t="s">
        <v>257</v>
      </c>
      <c r="AT152" t="s">
        <v>566</v>
      </c>
      <c r="AU152" s="182">
        <v>5299.5400000000009</v>
      </c>
      <c r="AV152" s="37">
        <v>1.85</v>
      </c>
      <c r="AW152" s="182"/>
      <c r="AX152" s="37"/>
      <c r="AY152" t="s">
        <v>574</v>
      </c>
    </row>
    <row r="153" spans="1:51" x14ac:dyDescent="0.35">
      <c r="A153" t="s">
        <v>389</v>
      </c>
      <c r="B153" t="s">
        <v>144</v>
      </c>
      <c r="D153" s="37"/>
      <c r="E153" t="s">
        <v>592</v>
      </c>
      <c r="G153" s="7">
        <v>2030</v>
      </c>
      <c r="H153" t="s">
        <v>375</v>
      </c>
      <c r="I153" t="s">
        <v>235</v>
      </c>
      <c r="R153" t="s">
        <v>259</v>
      </c>
      <c r="U153" s="37" t="s">
        <v>440</v>
      </c>
      <c r="V153" t="s">
        <v>574</v>
      </c>
      <c r="AS153" t="s">
        <v>258</v>
      </c>
      <c r="AT153" t="s">
        <v>566</v>
      </c>
      <c r="AU153" s="182">
        <v>6488.65</v>
      </c>
      <c r="AV153" s="37">
        <v>1.85</v>
      </c>
      <c r="AW153" s="182"/>
      <c r="AX153" s="37"/>
      <c r="AY153" t="s">
        <v>574</v>
      </c>
    </row>
    <row r="154" spans="1:51" x14ac:dyDescent="0.35">
      <c r="A154" t="s">
        <v>389</v>
      </c>
      <c r="B154" t="s">
        <v>145</v>
      </c>
      <c r="D154" s="37"/>
      <c r="E154" t="s">
        <v>592</v>
      </c>
      <c r="G154" s="7">
        <v>2030</v>
      </c>
      <c r="H154" t="s">
        <v>376</v>
      </c>
      <c r="I154" t="s">
        <v>236</v>
      </c>
      <c r="R154" t="s">
        <v>260</v>
      </c>
      <c r="S154">
        <v>3.7</v>
      </c>
      <c r="T154" t="s">
        <v>301</v>
      </c>
      <c r="U154" s="37" t="s">
        <v>440</v>
      </c>
      <c r="V154" t="s">
        <v>574</v>
      </c>
      <c r="AS154" t="s">
        <v>259</v>
      </c>
      <c r="AT154" t="s">
        <v>566</v>
      </c>
      <c r="AU154" s="182">
        <v>6060.23</v>
      </c>
      <c r="AV154" s="37">
        <v>1.85</v>
      </c>
      <c r="AW154" s="182"/>
      <c r="AX154" s="37"/>
      <c r="AY154" t="s">
        <v>574</v>
      </c>
    </row>
    <row r="155" spans="1:51" x14ac:dyDescent="0.35">
      <c r="A155" t="s">
        <v>389</v>
      </c>
      <c r="B155" t="s">
        <v>146</v>
      </c>
      <c r="D155" s="37"/>
      <c r="E155" t="s">
        <v>592</v>
      </c>
      <c r="G155" s="7">
        <v>2030</v>
      </c>
      <c r="H155" t="s">
        <v>377</v>
      </c>
      <c r="I155" t="s">
        <v>237</v>
      </c>
      <c r="R155" t="s">
        <v>261</v>
      </c>
      <c r="S155">
        <v>3.29</v>
      </c>
      <c r="T155" t="s">
        <v>40</v>
      </c>
      <c r="U155" s="37" t="s">
        <v>440</v>
      </c>
      <c r="V155" t="s">
        <v>574</v>
      </c>
      <c r="AS155" t="s">
        <v>260</v>
      </c>
      <c r="AT155" t="s">
        <v>566</v>
      </c>
      <c r="AU155" s="182">
        <v>5093.53</v>
      </c>
      <c r="AV155" s="37">
        <v>1.85</v>
      </c>
      <c r="AW155" s="182">
        <v>3495</v>
      </c>
      <c r="AX155" s="37">
        <v>1.95</v>
      </c>
      <c r="AY155" t="s">
        <v>574</v>
      </c>
    </row>
    <row r="156" spans="1:51" x14ac:dyDescent="0.35">
      <c r="A156" t="s">
        <v>389</v>
      </c>
      <c r="B156" t="s">
        <v>147</v>
      </c>
      <c r="D156" s="37"/>
      <c r="E156" t="s">
        <v>592</v>
      </c>
      <c r="G156" s="7">
        <v>2030</v>
      </c>
      <c r="H156" t="s">
        <v>378</v>
      </c>
      <c r="I156" t="s">
        <v>238</v>
      </c>
      <c r="R156" t="s">
        <v>262</v>
      </c>
      <c r="U156" s="37" t="s">
        <v>440</v>
      </c>
      <c r="V156" t="s">
        <v>574</v>
      </c>
      <c r="AS156" t="s">
        <v>261</v>
      </c>
      <c r="AT156" t="s">
        <v>566</v>
      </c>
      <c r="AU156" s="182"/>
      <c r="AV156" s="37"/>
      <c r="AW156" s="182"/>
      <c r="AX156" s="37"/>
      <c r="AY156" t="s">
        <v>574</v>
      </c>
    </row>
    <row r="157" spans="1:51" x14ac:dyDescent="0.35">
      <c r="A157" t="s">
        <v>390</v>
      </c>
      <c r="B157" t="s">
        <v>299</v>
      </c>
      <c r="C157">
        <v>25123.919999999998</v>
      </c>
      <c r="D157" s="37">
        <v>4.5878119338065089</v>
      </c>
      <c r="E157" t="s">
        <v>592</v>
      </c>
      <c r="G157" s="7">
        <v>2030</v>
      </c>
      <c r="H157" t="s">
        <v>379</v>
      </c>
      <c r="I157" t="s">
        <v>239</v>
      </c>
      <c r="R157" t="s">
        <v>263</v>
      </c>
      <c r="S157">
        <v>3.5579999999999998</v>
      </c>
      <c r="T157" t="s">
        <v>299</v>
      </c>
      <c r="U157" s="37" t="s">
        <v>440</v>
      </c>
      <c r="V157" t="s">
        <v>574</v>
      </c>
      <c r="AS157" t="s">
        <v>262</v>
      </c>
      <c r="AT157" t="s">
        <v>566</v>
      </c>
      <c r="AU157" s="182"/>
      <c r="AV157" s="37"/>
      <c r="AW157" s="182"/>
      <c r="AX157" s="37"/>
      <c r="AY157" t="s">
        <v>574</v>
      </c>
    </row>
    <row r="158" spans="1:51" x14ac:dyDescent="0.35">
      <c r="A158" t="s">
        <v>390</v>
      </c>
      <c r="B158" t="s">
        <v>445</v>
      </c>
      <c r="D158" s="37"/>
      <c r="E158" t="s">
        <v>592</v>
      </c>
      <c r="G158" s="7">
        <v>2030</v>
      </c>
      <c r="H158" t="s">
        <v>380</v>
      </c>
      <c r="I158" t="s">
        <v>240</v>
      </c>
      <c r="R158" t="s">
        <v>264</v>
      </c>
      <c r="U158" s="37" t="s">
        <v>440</v>
      </c>
      <c r="V158" t="s">
        <v>574</v>
      </c>
      <c r="AS158" t="s">
        <v>263</v>
      </c>
      <c r="AT158" t="s">
        <v>566</v>
      </c>
      <c r="AU158" s="182"/>
      <c r="AV158" s="37"/>
      <c r="AW158" s="182"/>
      <c r="AX158" s="37"/>
      <c r="AY158" t="s">
        <v>574</v>
      </c>
    </row>
    <row r="159" spans="1:51" x14ac:dyDescent="0.35">
      <c r="A159" t="s">
        <v>390</v>
      </c>
      <c r="B159" t="s">
        <v>189</v>
      </c>
      <c r="D159" s="37"/>
      <c r="E159" t="s">
        <v>592</v>
      </c>
      <c r="R159" t="s">
        <v>265</v>
      </c>
      <c r="U159" s="37" t="s">
        <v>440</v>
      </c>
      <c r="V159" t="s">
        <v>574</v>
      </c>
      <c r="AS159" t="s">
        <v>264</v>
      </c>
      <c r="AT159" t="s">
        <v>566</v>
      </c>
      <c r="AU159" s="182">
        <v>4846.67</v>
      </c>
      <c r="AV159" s="37">
        <v>1.85</v>
      </c>
      <c r="AW159" s="182">
        <v>3000</v>
      </c>
      <c r="AX159" s="37">
        <v>1.95</v>
      </c>
      <c r="AY159" t="s">
        <v>574</v>
      </c>
    </row>
    <row r="160" spans="1:51" x14ac:dyDescent="0.35">
      <c r="A160" t="s">
        <v>390</v>
      </c>
      <c r="B160" t="s">
        <v>190</v>
      </c>
      <c r="D160" s="37"/>
      <c r="E160" t="s">
        <v>592</v>
      </c>
      <c r="R160" t="s">
        <v>266</v>
      </c>
      <c r="U160" s="37" t="s">
        <v>440</v>
      </c>
      <c r="V160" t="s">
        <v>574</v>
      </c>
      <c r="AS160" t="s">
        <v>265</v>
      </c>
      <c r="AT160" t="s">
        <v>566</v>
      </c>
      <c r="AU160" s="182"/>
      <c r="AV160" s="37"/>
      <c r="AW160" s="182"/>
      <c r="AX160" s="37"/>
      <c r="AY160" t="s">
        <v>574</v>
      </c>
    </row>
    <row r="161" spans="1:51" x14ac:dyDescent="0.35">
      <c r="A161" t="s">
        <v>390</v>
      </c>
      <c r="B161" t="s">
        <v>301</v>
      </c>
      <c r="C161">
        <f>11784.73+644.19</f>
        <v>12428.92</v>
      </c>
      <c r="D161" s="37">
        <v>4.7450000000000001</v>
      </c>
      <c r="E161" t="s">
        <v>592</v>
      </c>
      <c r="R161" t="s">
        <v>267</v>
      </c>
      <c r="U161" s="37" t="s">
        <v>440</v>
      </c>
      <c r="V161" t="s">
        <v>574</v>
      </c>
      <c r="AS161" t="s">
        <v>266</v>
      </c>
      <c r="AT161" t="s">
        <v>566</v>
      </c>
      <c r="AU161" s="182"/>
      <c r="AV161" s="37"/>
      <c r="AW161" s="182"/>
      <c r="AX161" s="37"/>
      <c r="AY161" t="s">
        <v>574</v>
      </c>
    </row>
    <row r="162" spans="1:51" x14ac:dyDescent="0.35">
      <c r="A162" t="s">
        <v>390</v>
      </c>
      <c r="B162" t="s">
        <v>446</v>
      </c>
      <c r="D162" s="37"/>
      <c r="E162" t="s">
        <v>592</v>
      </c>
      <c r="R162" t="s">
        <v>268</v>
      </c>
      <c r="U162" s="37" t="s">
        <v>440</v>
      </c>
      <c r="V162" t="s">
        <v>574</v>
      </c>
      <c r="AS162" t="s">
        <v>267</v>
      </c>
      <c r="AT162" t="s">
        <v>566</v>
      </c>
      <c r="AU162" s="182"/>
      <c r="AV162" s="37"/>
      <c r="AW162" s="182"/>
      <c r="AX162" s="37"/>
      <c r="AY162" t="s">
        <v>574</v>
      </c>
    </row>
    <row r="163" spans="1:51" x14ac:dyDescent="0.35">
      <c r="A163" t="s">
        <v>390</v>
      </c>
      <c r="B163" t="s">
        <v>40</v>
      </c>
      <c r="C163">
        <v>3179.99</v>
      </c>
      <c r="D163" s="37">
        <v>5.2299944339447615</v>
      </c>
      <c r="E163" t="s">
        <v>592</v>
      </c>
      <c r="R163" t="s">
        <v>269</v>
      </c>
      <c r="S163">
        <v>100</v>
      </c>
      <c r="T163" t="s">
        <v>301</v>
      </c>
      <c r="U163" s="37" t="s">
        <v>440</v>
      </c>
      <c r="V163" t="s">
        <v>574</v>
      </c>
      <c r="AS163" t="s">
        <v>268</v>
      </c>
      <c r="AT163" t="s">
        <v>566</v>
      </c>
      <c r="AU163" s="182">
        <v>6874.14</v>
      </c>
      <c r="AV163" s="37">
        <v>1.85</v>
      </c>
      <c r="AW163" s="182">
        <v>1650</v>
      </c>
      <c r="AX163" s="37">
        <v>1.95</v>
      </c>
      <c r="AY163" t="s">
        <v>574</v>
      </c>
    </row>
    <row r="164" spans="1:51" x14ac:dyDescent="0.35">
      <c r="A164" t="s">
        <v>390</v>
      </c>
      <c r="B164" t="s">
        <v>303</v>
      </c>
      <c r="D164" s="37"/>
      <c r="E164" t="s">
        <v>592</v>
      </c>
      <c r="R164" t="s">
        <v>270</v>
      </c>
      <c r="S164">
        <v>15754.3</v>
      </c>
      <c r="T164" t="s">
        <v>299</v>
      </c>
      <c r="U164" s="37" t="s">
        <v>440</v>
      </c>
      <c r="V164" t="s">
        <v>574</v>
      </c>
      <c r="AS164" t="s">
        <v>269</v>
      </c>
      <c r="AT164" t="s">
        <v>566</v>
      </c>
      <c r="AU164" s="182"/>
      <c r="AV164" s="37"/>
      <c r="AW164" s="182">
        <v>1410</v>
      </c>
      <c r="AX164" s="37">
        <v>1.95</v>
      </c>
      <c r="AY164" t="s">
        <v>574</v>
      </c>
    </row>
    <row r="165" spans="1:51" x14ac:dyDescent="0.35">
      <c r="A165" t="s">
        <v>390</v>
      </c>
      <c r="B165" t="s">
        <v>199</v>
      </c>
      <c r="D165" s="37"/>
      <c r="E165" t="s">
        <v>592</v>
      </c>
      <c r="R165" t="s">
        <v>271</v>
      </c>
      <c r="S165">
        <f>6.4+6.4</f>
        <v>12.8</v>
      </c>
      <c r="T165" t="s">
        <v>301</v>
      </c>
      <c r="U165" s="37" t="s">
        <v>440</v>
      </c>
      <c r="V165" t="s">
        <v>574</v>
      </c>
      <c r="AS165" t="s">
        <v>270</v>
      </c>
      <c r="AT165" t="s">
        <v>566</v>
      </c>
      <c r="AU165" s="182"/>
      <c r="AV165" s="37"/>
      <c r="AW165" s="182"/>
      <c r="AX165" s="37"/>
      <c r="AY165" t="s">
        <v>574</v>
      </c>
    </row>
    <row r="166" spans="1:51" x14ac:dyDescent="0.35">
      <c r="A166" t="s">
        <v>390</v>
      </c>
      <c r="B166" t="s">
        <v>194</v>
      </c>
      <c r="D166" s="37"/>
      <c r="E166" t="s">
        <v>592</v>
      </c>
      <c r="R166" t="s">
        <v>272</v>
      </c>
      <c r="S166">
        <v>320</v>
      </c>
      <c r="T166" t="s">
        <v>301</v>
      </c>
      <c r="U166" s="37" t="s">
        <v>440</v>
      </c>
      <c r="V166" t="s">
        <v>574</v>
      </c>
      <c r="AS166" t="s">
        <v>271</v>
      </c>
      <c r="AT166" t="s">
        <v>566</v>
      </c>
      <c r="AU166" s="182">
        <v>6336.96</v>
      </c>
      <c r="AV166" s="37">
        <v>1.85</v>
      </c>
      <c r="AW166" s="182">
        <v>450</v>
      </c>
      <c r="AX166" s="37">
        <v>1.95</v>
      </c>
      <c r="AY166" t="s">
        <v>574</v>
      </c>
    </row>
    <row r="167" spans="1:51" x14ac:dyDescent="0.35">
      <c r="A167" t="s">
        <v>390</v>
      </c>
      <c r="B167" t="s">
        <v>144</v>
      </c>
      <c r="D167" s="37"/>
      <c r="E167" t="s">
        <v>592</v>
      </c>
      <c r="R167" t="s">
        <v>273</v>
      </c>
      <c r="T167" t="s">
        <v>301</v>
      </c>
      <c r="U167" s="37" t="s">
        <v>440</v>
      </c>
      <c r="V167" t="s">
        <v>617</v>
      </c>
      <c r="AS167" t="s">
        <v>272</v>
      </c>
      <c r="AT167" t="s">
        <v>566</v>
      </c>
      <c r="AU167" s="182"/>
      <c r="AV167" s="37"/>
      <c r="AW167" s="182"/>
      <c r="AX167" s="37"/>
      <c r="AY167" t="s">
        <v>574</v>
      </c>
    </row>
    <row r="168" spans="1:51" x14ac:dyDescent="0.35">
      <c r="A168" t="s">
        <v>390</v>
      </c>
      <c r="B168" t="s">
        <v>145</v>
      </c>
      <c r="D168" s="37"/>
      <c r="E168" t="s">
        <v>592</v>
      </c>
      <c r="R168" t="s">
        <v>274</v>
      </c>
      <c r="S168">
        <v>3.43</v>
      </c>
      <c r="T168" t="s">
        <v>40</v>
      </c>
      <c r="U168" s="37" t="s">
        <v>440</v>
      </c>
      <c r="V168" t="s">
        <v>574</v>
      </c>
      <c r="AS168" t="s">
        <v>273</v>
      </c>
      <c r="AT168" t="s">
        <v>566</v>
      </c>
      <c r="AU168" s="182">
        <v>4387.8100000000004</v>
      </c>
      <c r="AV168" s="37">
        <v>1.85</v>
      </c>
      <c r="AW168" s="182"/>
      <c r="AX168" s="37"/>
      <c r="AY168" t="s">
        <v>574</v>
      </c>
    </row>
    <row r="169" spans="1:51" x14ac:dyDescent="0.35">
      <c r="A169" t="s">
        <v>390</v>
      </c>
      <c r="B169" t="s">
        <v>146</v>
      </c>
      <c r="D169" s="37"/>
      <c r="E169" t="s">
        <v>592</v>
      </c>
      <c r="R169" t="s">
        <v>275</v>
      </c>
      <c r="S169">
        <v>3.43</v>
      </c>
      <c r="T169" t="s">
        <v>40</v>
      </c>
      <c r="U169" s="37" t="s">
        <v>440</v>
      </c>
      <c r="V169" t="s">
        <v>574</v>
      </c>
      <c r="AS169" t="s">
        <v>274</v>
      </c>
      <c r="AT169" t="s">
        <v>566</v>
      </c>
      <c r="AU169" s="182"/>
      <c r="AV169" s="37"/>
      <c r="AW169" s="182"/>
      <c r="AX169" s="37"/>
      <c r="AY169" t="s">
        <v>574</v>
      </c>
    </row>
    <row r="170" spans="1:51" x14ac:dyDescent="0.35">
      <c r="A170" t="s">
        <v>390</v>
      </c>
      <c r="B170" t="s">
        <v>147</v>
      </c>
      <c r="D170" s="37"/>
      <c r="E170" t="s">
        <v>592</v>
      </c>
      <c r="R170" t="s">
        <v>276</v>
      </c>
      <c r="S170">
        <v>244</v>
      </c>
      <c r="T170" t="s">
        <v>301</v>
      </c>
      <c r="U170" s="37" t="s">
        <v>440</v>
      </c>
      <c r="V170" t="s">
        <v>574</v>
      </c>
      <c r="AS170" t="s">
        <v>275</v>
      </c>
      <c r="AT170" t="s">
        <v>566</v>
      </c>
      <c r="AU170" s="182">
        <v>6257.18</v>
      </c>
      <c r="AV170" s="37">
        <v>1.85</v>
      </c>
      <c r="AW170" s="182">
        <v>600</v>
      </c>
      <c r="AX170" s="37">
        <v>1.95</v>
      </c>
      <c r="AY170" t="s">
        <v>574</v>
      </c>
    </row>
    <row r="171" spans="1:51" x14ac:dyDescent="0.35">
      <c r="A171" t="s">
        <v>391</v>
      </c>
      <c r="B171" t="s">
        <v>299</v>
      </c>
      <c r="C171">
        <v>12200.11</v>
      </c>
      <c r="D171" s="37">
        <v>5.3667901354987784</v>
      </c>
      <c r="E171" t="s">
        <v>592</v>
      </c>
      <c r="R171" t="s">
        <v>277</v>
      </c>
      <c r="U171" s="37" t="s">
        <v>440</v>
      </c>
      <c r="V171" t="s">
        <v>574</v>
      </c>
      <c r="AS171" t="s">
        <v>276</v>
      </c>
      <c r="AT171" t="s">
        <v>566</v>
      </c>
      <c r="AU171" s="182"/>
      <c r="AV171" s="37"/>
      <c r="AW171" s="182">
        <v>1800</v>
      </c>
      <c r="AX171" s="37">
        <v>1.95</v>
      </c>
      <c r="AY171" t="s">
        <v>574</v>
      </c>
    </row>
    <row r="172" spans="1:51" x14ac:dyDescent="0.35">
      <c r="A172" t="s">
        <v>391</v>
      </c>
      <c r="B172" t="s">
        <v>445</v>
      </c>
      <c r="D172" s="37"/>
      <c r="E172" t="s">
        <v>592</v>
      </c>
      <c r="R172" t="s">
        <v>278</v>
      </c>
      <c r="S172">
        <v>14.46</v>
      </c>
      <c r="T172" t="s">
        <v>301</v>
      </c>
      <c r="U172" s="37" t="s">
        <v>440</v>
      </c>
      <c r="V172" t="s">
        <v>574</v>
      </c>
      <c r="W172" t="s">
        <v>623</v>
      </c>
      <c r="AS172" t="s">
        <v>277</v>
      </c>
      <c r="AT172" t="s">
        <v>566</v>
      </c>
      <c r="AU172" s="182"/>
      <c r="AV172" s="37"/>
      <c r="AW172" s="182"/>
      <c r="AX172" s="37"/>
      <c r="AY172" t="s">
        <v>574</v>
      </c>
    </row>
    <row r="173" spans="1:51" x14ac:dyDescent="0.35">
      <c r="A173" t="s">
        <v>391</v>
      </c>
      <c r="B173" t="s">
        <v>189</v>
      </c>
      <c r="D173" s="37"/>
      <c r="E173" t="s">
        <v>592</v>
      </c>
      <c r="R173" t="s">
        <v>279</v>
      </c>
      <c r="U173" s="37" t="s">
        <v>440</v>
      </c>
      <c r="V173" t="s">
        <v>574</v>
      </c>
      <c r="AS173" t="s">
        <v>278</v>
      </c>
      <c r="AT173" t="s">
        <v>566</v>
      </c>
      <c r="AU173" s="182">
        <v>4186.99</v>
      </c>
      <c r="AV173" s="37">
        <v>1.85</v>
      </c>
      <c r="AW173" s="182"/>
      <c r="AX173" s="37"/>
      <c r="AY173" t="s">
        <v>574</v>
      </c>
    </row>
    <row r="174" spans="1:51" x14ac:dyDescent="0.35">
      <c r="A174" t="s">
        <v>391</v>
      </c>
      <c r="B174" t="s">
        <v>190</v>
      </c>
      <c r="D174" s="37"/>
      <c r="E174" t="s">
        <v>592</v>
      </c>
      <c r="R174" t="s">
        <v>280</v>
      </c>
      <c r="U174" s="37" t="s">
        <v>440</v>
      </c>
      <c r="V174" t="s">
        <v>574</v>
      </c>
      <c r="AS174" t="s">
        <v>279</v>
      </c>
      <c r="AT174" t="s">
        <v>566</v>
      </c>
      <c r="AU174" s="182"/>
      <c r="AV174" s="37"/>
      <c r="AW174" s="182">
        <v>360</v>
      </c>
      <c r="AX174" s="37">
        <v>1.95</v>
      </c>
      <c r="AY174" t="s">
        <v>574</v>
      </c>
    </row>
    <row r="175" spans="1:51" x14ac:dyDescent="0.35">
      <c r="A175" t="s">
        <v>391</v>
      </c>
      <c r="B175" t="s">
        <v>301</v>
      </c>
      <c r="C175">
        <v>4929.41</v>
      </c>
      <c r="D175" s="37">
        <v>7.5128707086649307</v>
      </c>
      <c r="E175" t="s">
        <v>592</v>
      </c>
      <c r="R175" t="s">
        <v>281</v>
      </c>
      <c r="U175" s="37" t="s">
        <v>440</v>
      </c>
      <c r="V175" t="s">
        <v>574</v>
      </c>
      <c r="AS175" t="s">
        <v>280</v>
      </c>
      <c r="AT175" t="s">
        <v>566</v>
      </c>
      <c r="AU175" s="182"/>
      <c r="AV175" s="37"/>
      <c r="AW175" s="182">
        <v>465</v>
      </c>
      <c r="AX175" s="37">
        <v>1.95</v>
      </c>
      <c r="AY175" t="s">
        <v>574</v>
      </c>
    </row>
    <row r="176" spans="1:51" x14ac:dyDescent="0.35">
      <c r="A176" t="s">
        <v>391</v>
      </c>
      <c r="B176" t="s">
        <v>446</v>
      </c>
      <c r="C176">
        <v>4579.5</v>
      </c>
      <c r="D176" s="37">
        <v>5.1500010918222516</v>
      </c>
      <c r="E176" t="s">
        <v>592</v>
      </c>
      <c r="R176" t="s">
        <v>282</v>
      </c>
      <c r="U176" s="37" t="s">
        <v>440</v>
      </c>
      <c r="AS176" t="s">
        <v>281</v>
      </c>
      <c r="AU176" s="182"/>
      <c r="AV176" s="37"/>
      <c r="AW176" s="182"/>
      <c r="AX176" s="37"/>
    </row>
    <row r="177" spans="1:50" x14ac:dyDescent="0.35">
      <c r="A177" t="s">
        <v>391</v>
      </c>
      <c r="B177" t="s">
        <v>40</v>
      </c>
      <c r="C177">
        <v>5941.5</v>
      </c>
      <c r="D177" s="37">
        <v>5.3928906841706636</v>
      </c>
      <c r="E177" t="s">
        <v>592</v>
      </c>
      <c r="R177" t="s">
        <v>283</v>
      </c>
      <c r="U177" s="37" t="s">
        <v>440</v>
      </c>
      <c r="AS177" t="s">
        <v>282</v>
      </c>
      <c r="AU177" s="182"/>
      <c r="AV177" s="37"/>
      <c r="AW177" s="182"/>
      <c r="AX177" s="37"/>
    </row>
    <row r="178" spans="1:50" x14ac:dyDescent="0.35">
      <c r="A178" t="s">
        <v>391</v>
      </c>
      <c r="B178" t="s">
        <v>303</v>
      </c>
      <c r="D178" s="37"/>
      <c r="E178" t="s">
        <v>592</v>
      </c>
      <c r="R178" t="s">
        <v>284</v>
      </c>
      <c r="U178" s="37" t="s">
        <v>440</v>
      </c>
      <c r="AS178" t="s">
        <v>283</v>
      </c>
      <c r="AU178" s="182"/>
      <c r="AV178" s="37"/>
      <c r="AW178" s="182"/>
      <c r="AX178" s="37"/>
    </row>
    <row r="179" spans="1:50" x14ac:dyDescent="0.35">
      <c r="A179" t="s">
        <v>391</v>
      </c>
      <c r="B179" t="s">
        <v>199</v>
      </c>
      <c r="D179" s="37"/>
      <c r="E179" t="s">
        <v>592</v>
      </c>
      <c r="R179" t="s">
        <v>285</v>
      </c>
      <c r="U179" s="37" t="s">
        <v>440</v>
      </c>
      <c r="AS179" t="s">
        <v>284</v>
      </c>
      <c r="AU179" s="182"/>
      <c r="AV179" s="37"/>
      <c r="AW179" s="182"/>
      <c r="AX179" s="37"/>
    </row>
    <row r="180" spans="1:50" x14ac:dyDescent="0.35">
      <c r="A180" t="s">
        <v>391</v>
      </c>
      <c r="B180" t="s">
        <v>194</v>
      </c>
      <c r="D180" s="37"/>
      <c r="E180" t="s">
        <v>592</v>
      </c>
      <c r="R180" t="s">
        <v>286</v>
      </c>
      <c r="U180" s="37" t="s">
        <v>440</v>
      </c>
      <c r="AS180" t="s">
        <v>285</v>
      </c>
      <c r="AU180" s="182"/>
      <c r="AV180" s="37"/>
      <c r="AW180" s="182"/>
      <c r="AX180" s="37"/>
    </row>
    <row r="181" spans="1:50" x14ac:dyDescent="0.35">
      <c r="A181" t="s">
        <v>391</v>
      </c>
      <c r="B181" t="s">
        <v>144</v>
      </c>
      <c r="D181" s="37"/>
      <c r="E181" t="s">
        <v>592</v>
      </c>
      <c r="R181" t="s">
        <v>287</v>
      </c>
      <c r="U181" s="37" t="s">
        <v>440</v>
      </c>
      <c r="AS181" t="s">
        <v>286</v>
      </c>
      <c r="AU181" s="182"/>
      <c r="AV181" s="37"/>
      <c r="AW181" s="182"/>
      <c r="AX181" s="37"/>
    </row>
    <row r="182" spans="1:50" x14ac:dyDescent="0.35">
      <c r="A182" t="s">
        <v>391</v>
      </c>
      <c r="B182" t="s">
        <v>145</v>
      </c>
      <c r="D182" s="37"/>
      <c r="E182" t="s">
        <v>592</v>
      </c>
      <c r="R182" t="s">
        <v>288</v>
      </c>
      <c r="U182" s="37" t="s">
        <v>440</v>
      </c>
      <c r="AS182" t="s">
        <v>287</v>
      </c>
      <c r="AU182" s="182"/>
      <c r="AV182" s="37"/>
      <c r="AW182" s="182"/>
      <c r="AX182" s="37"/>
    </row>
    <row r="183" spans="1:50" x14ac:dyDescent="0.35">
      <c r="A183" t="s">
        <v>391</v>
      </c>
      <c r="B183" t="s">
        <v>146</v>
      </c>
      <c r="D183" s="37"/>
      <c r="E183" t="s">
        <v>592</v>
      </c>
      <c r="R183" t="s">
        <v>289</v>
      </c>
      <c r="U183" s="37" t="s">
        <v>440</v>
      </c>
      <c r="AS183" t="s">
        <v>288</v>
      </c>
      <c r="AU183" s="182"/>
      <c r="AV183" s="37"/>
      <c r="AW183" s="182"/>
      <c r="AX183" s="37"/>
    </row>
    <row r="184" spans="1:50" x14ac:dyDescent="0.35">
      <c r="A184" t="s">
        <v>391</v>
      </c>
      <c r="B184" t="s">
        <v>147</v>
      </c>
      <c r="D184" s="37"/>
      <c r="E184" t="s">
        <v>592</v>
      </c>
      <c r="R184" t="s">
        <v>290</v>
      </c>
      <c r="U184" s="37" t="s">
        <v>440</v>
      </c>
      <c r="AS184" t="s">
        <v>289</v>
      </c>
      <c r="AU184" s="182"/>
      <c r="AV184" s="37"/>
      <c r="AW184" s="182"/>
      <c r="AX184" s="37"/>
    </row>
    <row r="185" spans="1:50" x14ac:dyDescent="0.35">
      <c r="A185" t="s">
        <v>392</v>
      </c>
      <c r="B185" t="s">
        <v>299</v>
      </c>
      <c r="C185">
        <v>55250.97</v>
      </c>
      <c r="D185" s="37">
        <v>4.6585050000027142</v>
      </c>
      <c r="E185" t="s">
        <v>592</v>
      </c>
      <c r="R185" t="s">
        <v>291</v>
      </c>
      <c r="U185" s="37" t="s">
        <v>440</v>
      </c>
      <c r="AS185" t="s">
        <v>290</v>
      </c>
      <c r="AU185" s="182"/>
      <c r="AV185" s="37"/>
      <c r="AW185" s="182"/>
      <c r="AX185" s="37"/>
    </row>
    <row r="186" spans="1:50" x14ac:dyDescent="0.35">
      <c r="A186" t="s">
        <v>392</v>
      </c>
      <c r="B186" t="s">
        <v>445</v>
      </c>
      <c r="D186" s="37"/>
      <c r="E186" t="s">
        <v>592</v>
      </c>
      <c r="R186" t="s">
        <v>292</v>
      </c>
      <c r="U186" s="37" t="s">
        <v>440</v>
      </c>
      <c r="AS186" t="s">
        <v>291</v>
      </c>
      <c r="AU186" s="182"/>
      <c r="AV186" s="37"/>
      <c r="AW186" s="182"/>
      <c r="AX186" s="37"/>
    </row>
    <row r="187" spans="1:50" x14ac:dyDescent="0.35">
      <c r="A187" t="s">
        <v>392</v>
      </c>
      <c r="B187" t="s">
        <v>189</v>
      </c>
      <c r="D187" s="37"/>
      <c r="E187" t="s">
        <v>592</v>
      </c>
      <c r="R187" t="s">
        <v>293</v>
      </c>
      <c r="U187" s="37" t="s">
        <v>440</v>
      </c>
      <c r="AS187" t="s">
        <v>292</v>
      </c>
      <c r="AU187" s="182"/>
      <c r="AV187" s="37"/>
      <c r="AW187" s="182"/>
      <c r="AX187" s="37"/>
    </row>
    <row r="188" spans="1:50" x14ac:dyDescent="0.35">
      <c r="A188" t="s">
        <v>392</v>
      </c>
      <c r="B188" t="s">
        <v>190</v>
      </c>
      <c r="D188" s="37"/>
      <c r="E188" t="s">
        <v>592</v>
      </c>
      <c r="R188" t="s">
        <v>294</v>
      </c>
      <c r="U188" s="37" t="s">
        <v>440</v>
      </c>
      <c r="AS188" t="s">
        <v>293</v>
      </c>
      <c r="AU188" s="182"/>
      <c r="AV188" s="37"/>
      <c r="AW188" s="182"/>
      <c r="AX188" s="37"/>
    </row>
    <row r="189" spans="1:50" x14ac:dyDescent="0.35">
      <c r="A189" t="s">
        <v>392</v>
      </c>
      <c r="B189" t="s">
        <v>301</v>
      </c>
      <c r="C189">
        <v>38631.689999999995</v>
      </c>
      <c r="D189" s="37">
        <v>4.311446638756939</v>
      </c>
      <c r="E189" t="s">
        <v>592</v>
      </c>
      <c r="R189" t="s">
        <v>295</v>
      </c>
      <c r="U189" s="37" t="s">
        <v>440</v>
      </c>
      <c r="AS189" t="s">
        <v>294</v>
      </c>
      <c r="AU189" s="182"/>
      <c r="AV189" s="37"/>
      <c r="AW189" s="182"/>
      <c r="AX189" s="37"/>
    </row>
    <row r="190" spans="1:50" x14ac:dyDescent="0.35">
      <c r="A190" t="s">
        <v>392</v>
      </c>
      <c r="B190" t="s">
        <v>446</v>
      </c>
      <c r="D190" s="37"/>
      <c r="E190" t="s">
        <v>592</v>
      </c>
      <c r="R190" t="s">
        <v>296</v>
      </c>
      <c r="U190" s="37" t="s">
        <v>440</v>
      </c>
      <c r="AS190" t="s">
        <v>295</v>
      </c>
      <c r="AU190" s="182"/>
      <c r="AV190" s="37"/>
      <c r="AW190" s="182"/>
      <c r="AX190" s="37"/>
    </row>
    <row r="191" spans="1:50" x14ac:dyDescent="0.35">
      <c r="A191" t="s">
        <v>392</v>
      </c>
      <c r="B191" t="s">
        <v>40</v>
      </c>
      <c r="C191">
        <v>5282.95</v>
      </c>
      <c r="D191" s="37">
        <v>4.9534956794972507</v>
      </c>
      <c r="E191" t="s">
        <v>592</v>
      </c>
      <c r="R191" t="s">
        <v>297</v>
      </c>
      <c r="U191" s="37" t="s">
        <v>440</v>
      </c>
      <c r="AS191" t="s">
        <v>296</v>
      </c>
      <c r="AU191" s="182"/>
      <c r="AV191" s="37"/>
      <c r="AW191" s="182"/>
      <c r="AX191" s="37"/>
    </row>
    <row r="192" spans="1:50" x14ac:dyDescent="0.35">
      <c r="A192" t="s">
        <v>392</v>
      </c>
      <c r="B192" t="s">
        <v>303</v>
      </c>
      <c r="D192" s="37"/>
      <c r="E192" t="s">
        <v>592</v>
      </c>
      <c r="R192" t="s">
        <v>270</v>
      </c>
      <c r="S192">
        <v>20.234999999999999</v>
      </c>
      <c r="T192" t="s">
        <v>301</v>
      </c>
      <c r="U192" s="37" t="s">
        <v>440</v>
      </c>
      <c r="V192" t="s">
        <v>574</v>
      </c>
      <c r="AS192" t="s">
        <v>297</v>
      </c>
      <c r="AU192" s="182"/>
      <c r="AV192" s="37"/>
      <c r="AW192" s="182"/>
      <c r="AX192" s="37"/>
    </row>
    <row r="193" spans="1:22" x14ac:dyDescent="0.35">
      <c r="A193" t="s">
        <v>392</v>
      </c>
      <c r="B193" t="s">
        <v>199</v>
      </c>
      <c r="D193" s="37"/>
      <c r="E193" t="s">
        <v>592</v>
      </c>
      <c r="R193" t="s">
        <v>270</v>
      </c>
      <c r="S193">
        <v>1555.8</v>
      </c>
      <c r="T193" t="s">
        <v>445</v>
      </c>
      <c r="U193" s="37" t="s">
        <v>440</v>
      </c>
      <c r="V193" t="s">
        <v>574</v>
      </c>
    </row>
    <row r="194" spans="1:22" x14ac:dyDescent="0.35">
      <c r="A194" t="s">
        <v>392</v>
      </c>
      <c r="B194" t="s">
        <v>194</v>
      </c>
      <c r="D194" s="37"/>
      <c r="E194" t="s">
        <v>592</v>
      </c>
    </row>
    <row r="195" spans="1:22" x14ac:dyDescent="0.35">
      <c r="A195" t="s">
        <v>392</v>
      </c>
      <c r="B195" t="s">
        <v>144</v>
      </c>
      <c r="D195" s="37"/>
      <c r="E195" t="s">
        <v>592</v>
      </c>
    </row>
    <row r="196" spans="1:22" x14ac:dyDescent="0.35">
      <c r="A196" t="s">
        <v>392</v>
      </c>
      <c r="B196" t="s">
        <v>145</v>
      </c>
      <c r="D196" s="37"/>
      <c r="E196" t="s">
        <v>592</v>
      </c>
    </row>
    <row r="197" spans="1:22" x14ac:dyDescent="0.35">
      <c r="A197" t="s">
        <v>392</v>
      </c>
      <c r="B197" t="s">
        <v>146</v>
      </c>
      <c r="D197" s="37"/>
      <c r="E197" t="s">
        <v>592</v>
      </c>
    </row>
    <row r="198" spans="1:22" x14ac:dyDescent="0.35">
      <c r="A198" t="s">
        <v>392</v>
      </c>
      <c r="B198" t="s">
        <v>147</v>
      </c>
      <c r="D198" s="37"/>
      <c r="E198" t="s">
        <v>592</v>
      </c>
    </row>
    <row r="199" spans="1:22" x14ac:dyDescent="0.35">
      <c r="A199" t="s">
        <v>393</v>
      </c>
      <c r="B199" t="s">
        <v>299</v>
      </c>
      <c r="C199">
        <v>36952.229999999996</v>
      </c>
      <c r="D199" s="37">
        <v>5.0457298517572555</v>
      </c>
      <c r="E199" t="s">
        <v>592</v>
      </c>
    </row>
    <row r="200" spans="1:22" x14ac:dyDescent="0.35">
      <c r="A200" t="s">
        <v>393</v>
      </c>
      <c r="B200" t="s">
        <v>445</v>
      </c>
      <c r="D200" s="37"/>
      <c r="E200" t="s">
        <v>592</v>
      </c>
    </row>
    <row r="201" spans="1:22" x14ac:dyDescent="0.35">
      <c r="A201" t="s">
        <v>393</v>
      </c>
      <c r="B201" t="s">
        <v>189</v>
      </c>
      <c r="D201" s="37"/>
      <c r="E201" t="s">
        <v>592</v>
      </c>
    </row>
    <row r="202" spans="1:22" x14ac:dyDescent="0.35">
      <c r="A202" t="s">
        <v>393</v>
      </c>
      <c r="B202" t="s">
        <v>190</v>
      </c>
      <c r="D202" s="37"/>
      <c r="E202" t="s">
        <v>592</v>
      </c>
    </row>
    <row r="203" spans="1:22" x14ac:dyDescent="0.35">
      <c r="A203" t="s">
        <v>393</v>
      </c>
      <c r="B203" t="s">
        <v>301</v>
      </c>
      <c r="C203">
        <v>33488.17</v>
      </c>
      <c r="D203" s="37">
        <v>4.9253488620011181</v>
      </c>
      <c r="E203" t="s">
        <v>592</v>
      </c>
    </row>
    <row r="204" spans="1:22" x14ac:dyDescent="0.35">
      <c r="A204" t="s">
        <v>393</v>
      </c>
      <c r="B204" t="s">
        <v>446</v>
      </c>
      <c r="D204" s="37"/>
      <c r="E204" t="s">
        <v>592</v>
      </c>
    </row>
    <row r="205" spans="1:22" x14ac:dyDescent="0.35">
      <c r="A205" t="s">
        <v>393</v>
      </c>
      <c r="B205" t="s">
        <v>40</v>
      </c>
      <c r="D205" s="37"/>
      <c r="E205" t="s">
        <v>592</v>
      </c>
    </row>
    <row r="206" spans="1:22" x14ac:dyDescent="0.35">
      <c r="A206" t="s">
        <v>393</v>
      </c>
      <c r="B206" t="s">
        <v>303</v>
      </c>
      <c r="D206" s="37"/>
      <c r="E206" t="s">
        <v>592</v>
      </c>
    </row>
    <row r="207" spans="1:22" x14ac:dyDescent="0.35">
      <c r="A207" t="s">
        <v>393</v>
      </c>
      <c r="B207" t="s">
        <v>199</v>
      </c>
      <c r="D207" s="37"/>
      <c r="E207" t="s">
        <v>592</v>
      </c>
    </row>
    <row r="208" spans="1:22" x14ac:dyDescent="0.35">
      <c r="A208" t="s">
        <v>393</v>
      </c>
      <c r="B208" t="s">
        <v>194</v>
      </c>
      <c r="D208" s="37"/>
      <c r="E208" t="s">
        <v>592</v>
      </c>
    </row>
    <row r="209" spans="1:5" x14ac:dyDescent="0.35">
      <c r="A209" t="s">
        <v>393</v>
      </c>
      <c r="B209" t="s">
        <v>144</v>
      </c>
      <c r="D209" s="37"/>
      <c r="E209" t="s">
        <v>592</v>
      </c>
    </row>
    <row r="210" spans="1:5" x14ac:dyDescent="0.35">
      <c r="A210" t="s">
        <v>393</v>
      </c>
      <c r="B210" t="s">
        <v>145</v>
      </c>
      <c r="D210" s="37"/>
      <c r="E210" t="s">
        <v>592</v>
      </c>
    </row>
    <row r="211" spans="1:5" x14ac:dyDescent="0.35">
      <c r="A211" t="s">
        <v>393</v>
      </c>
      <c r="B211" t="s">
        <v>146</v>
      </c>
      <c r="D211" s="37"/>
      <c r="E211" t="s">
        <v>592</v>
      </c>
    </row>
    <row r="212" spans="1:5" x14ac:dyDescent="0.35">
      <c r="A212" t="s">
        <v>393</v>
      </c>
      <c r="B212" t="s">
        <v>147</v>
      </c>
      <c r="D212" s="37"/>
      <c r="E212" t="s">
        <v>592</v>
      </c>
    </row>
    <row r="213" spans="1:5" x14ac:dyDescent="0.35">
      <c r="A213" t="s">
        <v>394</v>
      </c>
      <c r="B213" t="s">
        <v>299</v>
      </c>
      <c r="C213">
        <v>-50.83</v>
      </c>
      <c r="D213" s="37">
        <v>4.4117647058823533</v>
      </c>
      <c r="E213" t="s">
        <v>592</v>
      </c>
    </row>
    <row r="214" spans="1:5" x14ac:dyDescent="0.35">
      <c r="A214" t="s">
        <v>394</v>
      </c>
      <c r="B214" t="s">
        <v>445</v>
      </c>
      <c r="D214" s="37"/>
      <c r="E214" t="s">
        <v>592</v>
      </c>
    </row>
    <row r="215" spans="1:5" x14ac:dyDescent="0.35">
      <c r="A215" t="s">
        <v>394</v>
      </c>
      <c r="B215" t="s">
        <v>189</v>
      </c>
      <c r="D215" s="37"/>
      <c r="E215" t="s">
        <v>592</v>
      </c>
    </row>
    <row r="216" spans="1:5" x14ac:dyDescent="0.35">
      <c r="A216" t="s">
        <v>394</v>
      </c>
      <c r="B216" t="s">
        <v>190</v>
      </c>
      <c r="D216" s="37"/>
      <c r="E216" t="s">
        <v>592</v>
      </c>
    </row>
    <row r="217" spans="1:5" x14ac:dyDescent="0.35">
      <c r="A217" t="s">
        <v>394</v>
      </c>
      <c r="B217" t="s">
        <v>301</v>
      </c>
      <c r="C217">
        <v>-16.54</v>
      </c>
      <c r="D217" s="37">
        <v>4.428657799274486</v>
      </c>
      <c r="E217" t="s">
        <v>592</v>
      </c>
    </row>
    <row r="218" spans="1:5" x14ac:dyDescent="0.35">
      <c r="A218" t="s">
        <v>394</v>
      </c>
      <c r="B218" t="s">
        <v>446</v>
      </c>
      <c r="D218" s="37"/>
      <c r="E218" t="s">
        <v>592</v>
      </c>
    </row>
    <row r="219" spans="1:5" x14ac:dyDescent="0.35">
      <c r="A219" t="s">
        <v>394</v>
      </c>
      <c r="B219" t="s">
        <v>40</v>
      </c>
      <c r="C219">
        <v>-56.1</v>
      </c>
      <c r="D219" s="37">
        <v>4.8335115864527625</v>
      </c>
      <c r="E219" t="s">
        <v>592</v>
      </c>
    </row>
    <row r="220" spans="1:5" x14ac:dyDescent="0.35">
      <c r="A220" t="s">
        <v>394</v>
      </c>
      <c r="B220" t="s">
        <v>303</v>
      </c>
      <c r="D220" s="37"/>
      <c r="E220" t="s">
        <v>592</v>
      </c>
    </row>
    <row r="221" spans="1:5" x14ac:dyDescent="0.35">
      <c r="A221" t="s">
        <v>394</v>
      </c>
      <c r="B221" t="s">
        <v>199</v>
      </c>
      <c r="D221" s="37"/>
      <c r="E221" t="s">
        <v>592</v>
      </c>
    </row>
    <row r="222" spans="1:5" x14ac:dyDescent="0.35">
      <c r="A222" t="s">
        <v>394</v>
      </c>
      <c r="B222" t="s">
        <v>194</v>
      </c>
      <c r="D222" s="37"/>
      <c r="E222" t="s">
        <v>592</v>
      </c>
    </row>
    <row r="223" spans="1:5" x14ac:dyDescent="0.35">
      <c r="A223" t="s">
        <v>394</v>
      </c>
      <c r="B223" t="s">
        <v>144</v>
      </c>
      <c r="D223" s="37"/>
      <c r="E223" t="s">
        <v>592</v>
      </c>
    </row>
    <row r="224" spans="1:5" x14ac:dyDescent="0.35">
      <c r="A224" t="s">
        <v>394</v>
      </c>
      <c r="B224" t="s">
        <v>145</v>
      </c>
      <c r="D224" s="37"/>
      <c r="E224" t="s">
        <v>592</v>
      </c>
    </row>
    <row r="225" spans="1:5" x14ac:dyDescent="0.35">
      <c r="A225" t="s">
        <v>394</v>
      </c>
      <c r="B225" t="s">
        <v>146</v>
      </c>
      <c r="D225" s="37"/>
      <c r="E225" t="s">
        <v>592</v>
      </c>
    </row>
    <row r="226" spans="1:5" x14ac:dyDescent="0.35">
      <c r="A226" t="s">
        <v>394</v>
      </c>
      <c r="B226" t="s">
        <v>147</v>
      </c>
      <c r="D226" s="37"/>
      <c r="E226" t="s">
        <v>592</v>
      </c>
    </row>
    <row r="227" spans="1:5" x14ac:dyDescent="0.35">
      <c r="A227" t="s">
        <v>395</v>
      </c>
      <c r="B227" t="s">
        <v>299</v>
      </c>
      <c r="C227">
        <v>52905.11</v>
      </c>
      <c r="D227" s="37">
        <v>4.5434274685375389</v>
      </c>
      <c r="E227" t="s">
        <v>592</v>
      </c>
    </row>
    <row r="228" spans="1:5" x14ac:dyDescent="0.35">
      <c r="A228" t="s">
        <v>395</v>
      </c>
      <c r="B228" t="s">
        <v>445</v>
      </c>
      <c r="D228" s="37"/>
      <c r="E228" t="s">
        <v>592</v>
      </c>
    </row>
    <row r="229" spans="1:5" x14ac:dyDescent="0.35">
      <c r="A229" t="s">
        <v>395</v>
      </c>
      <c r="B229" t="s">
        <v>189</v>
      </c>
      <c r="D229" s="37"/>
      <c r="E229" t="s">
        <v>592</v>
      </c>
    </row>
    <row r="230" spans="1:5" x14ac:dyDescent="0.35">
      <c r="A230" t="s">
        <v>395</v>
      </c>
      <c r="B230" t="s">
        <v>190</v>
      </c>
      <c r="D230" s="37"/>
      <c r="E230" t="s">
        <v>592</v>
      </c>
    </row>
    <row r="231" spans="1:5" x14ac:dyDescent="0.35">
      <c r="A231" t="s">
        <v>395</v>
      </c>
      <c r="B231" t="s">
        <v>301</v>
      </c>
      <c r="C231">
        <v>53447.209999999992</v>
      </c>
      <c r="D231" s="37">
        <v>4.5750938168708908</v>
      </c>
      <c r="E231" t="s">
        <v>592</v>
      </c>
    </row>
    <row r="232" spans="1:5" x14ac:dyDescent="0.35">
      <c r="A232" t="s">
        <v>395</v>
      </c>
      <c r="B232" t="s">
        <v>446</v>
      </c>
      <c r="C232">
        <v>4630.3999999999996</v>
      </c>
      <c r="D232" s="37">
        <v>5.0599991361437464</v>
      </c>
      <c r="E232" t="s">
        <v>592</v>
      </c>
    </row>
    <row r="233" spans="1:5" x14ac:dyDescent="0.35">
      <c r="A233" t="s">
        <v>395</v>
      </c>
      <c r="B233" t="s">
        <v>40</v>
      </c>
      <c r="D233" s="37"/>
      <c r="E233" t="s">
        <v>592</v>
      </c>
    </row>
    <row r="234" spans="1:5" x14ac:dyDescent="0.35">
      <c r="A234" t="s">
        <v>395</v>
      </c>
      <c r="B234" t="s">
        <v>303</v>
      </c>
      <c r="D234" s="37"/>
      <c r="E234" t="s">
        <v>592</v>
      </c>
    </row>
    <row r="235" spans="1:5" x14ac:dyDescent="0.35">
      <c r="A235" t="s">
        <v>395</v>
      </c>
      <c r="B235" t="s">
        <v>199</v>
      </c>
      <c r="D235" s="37"/>
      <c r="E235" t="s">
        <v>592</v>
      </c>
    </row>
    <row r="236" spans="1:5" x14ac:dyDescent="0.35">
      <c r="A236" t="s">
        <v>395</v>
      </c>
      <c r="B236" t="s">
        <v>194</v>
      </c>
      <c r="D236" s="37"/>
      <c r="E236" t="s">
        <v>592</v>
      </c>
    </row>
    <row r="237" spans="1:5" x14ac:dyDescent="0.35">
      <c r="A237" t="s">
        <v>395</v>
      </c>
      <c r="B237" t="s">
        <v>144</v>
      </c>
      <c r="D237" s="37"/>
      <c r="E237" t="s">
        <v>592</v>
      </c>
    </row>
    <row r="238" spans="1:5" x14ac:dyDescent="0.35">
      <c r="A238" t="s">
        <v>395</v>
      </c>
      <c r="B238" t="s">
        <v>145</v>
      </c>
      <c r="D238" s="37"/>
      <c r="E238" t="s">
        <v>592</v>
      </c>
    </row>
    <row r="239" spans="1:5" x14ac:dyDescent="0.35">
      <c r="A239" t="s">
        <v>395</v>
      </c>
      <c r="B239" t="s">
        <v>146</v>
      </c>
      <c r="D239" s="37"/>
      <c r="E239" t="s">
        <v>592</v>
      </c>
    </row>
    <row r="240" spans="1:5" x14ac:dyDescent="0.35">
      <c r="A240" t="s">
        <v>395</v>
      </c>
      <c r="B240" t="s">
        <v>147</v>
      </c>
      <c r="D240" s="37"/>
      <c r="E240" t="s">
        <v>592</v>
      </c>
    </row>
    <row r="241" spans="1:5" x14ac:dyDescent="0.35">
      <c r="A241" t="s">
        <v>396</v>
      </c>
      <c r="B241" t="s">
        <v>299</v>
      </c>
      <c r="C241">
        <v>38098.07</v>
      </c>
      <c r="D241" s="37">
        <v>4.828015959863583</v>
      </c>
      <c r="E241" t="s">
        <v>592</v>
      </c>
    </row>
    <row r="242" spans="1:5" x14ac:dyDescent="0.35">
      <c r="A242" t="s">
        <v>396</v>
      </c>
      <c r="B242" t="s">
        <v>445</v>
      </c>
      <c r="D242" s="37"/>
      <c r="E242" t="s">
        <v>592</v>
      </c>
    </row>
    <row r="243" spans="1:5" x14ac:dyDescent="0.35">
      <c r="A243" t="s">
        <v>396</v>
      </c>
      <c r="B243" t="s">
        <v>189</v>
      </c>
      <c r="D243" s="37"/>
      <c r="E243" t="s">
        <v>592</v>
      </c>
    </row>
    <row r="244" spans="1:5" x14ac:dyDescent="0.35">
      <c r="A244" t="s">
        <v>396</v>
      </c>
      <c r="B244" t="s">
        <v>190</v>
      </c>
      <c r="D244" s="37"/>
      <c r="E244" t="s">
        <v>592</v>
      </c>
    </row>
    <row r="245" spans="1:5" x14ac:dyDescent="0.35">
      <c r="A245" t="s">
        <v>396</v>
      </c>
      <c r="B245" t="s">
        <v>301</v>
      </c>
      <c r="C245">
        <v>20502.580000000002</v>
      </c>
      <c r="D245" s="37">
        <v>4.4981592560546035</v>
      </c>
      <c r="E245" t="s">
        <v>592</v>
      </c>
    </row>
    <row r="246" spans="1:5" x14ac:dyDescent="0.35">
      <c r="A246" t="s">
        <v>396</v>
      </c>
      <c r="B246" t="s">
        <v>446</v>
      </c>
      <c r="D246" s="37"/>
      <c r="E246" t="s">
        <v>592</v>
      </c>
    </row>
    <row r="247" spans="1:5" x14ac:dyDescent="0.35">
      <c r="A247" t="s">
        <v>396</v>
      </c>
      <c r="B247" t="s">
        <v>40</v>
      </c>
      <c r="D247" s="37"/>
      <c r="E247" t="s">
        <v>592</v>
      </c>
    </row>
    <row r="248" spans="1:5" x14ac:dyDescent="0.35">
      <c r="A248" t="s">
        <v>396</v>
      </c>
      <c r="B248" t="s">
        <v>303</v>
      </c>
      <c r="D248" s="37"/>
      <c r="E248" t="s">
        <v>592</v>
      </c>
    </row>
    <row r="249" spans="1:5" x14ac:dyDescent="0.35">
      <c r="A249" t="s">
        <v>396</v>
      </c>
      <c r="B249" t="s">
        <v>199</v>
      </c>
      <c r="D249" s="37"/>
      <c r="E249" t="s">
        <v>592</v>
      </c>
    </row>
    <row r="250" spans="1:5" x14ac:dyDescent="0.35">
      <c r="A250" t="s">
        <v>396</v>
      </c>
      <c r="B250" t="s">
        <v>194</v>
      </c>
      <c r="D250" s="37"/>
      <c r="E250" t="s">
        <v>592</v>
      </c>
    </row>
    <row r="251" spans="1:5" x14ac:dyDescent="0.35">
      <c r="A251" t="s">
        <v>396</v>
      </c>
      <c r="B251" t="s">
        <v>144</v>
      </c>
      <c r="D251" s="37"/>
      <c r="E251" t="s">
        <v>592</v>
      </c>
    </row>
    <row r="252" spans="1:5" x14ac:dyDescent="0.35">
      <c r="A252" t="s">
        <v>396</v>
      </c>
      <c r="B252" t="s">
        <v>145</v>
      </c>
      <c r="D252" s="37"/>
      <c r="E252" t="s">
        <v>592</v>
      </c>
    </row>
    <row r="253" spans="1:5" x14ac:dyDescent="0.35">
      <c r="A253" t="s">
        <v>396</v>
      </c>
      <c r="B253" t="s">
        <v>146</v>
      </c>
      <c r="D253" s="37"/>
      <c r="E253" t="s">
        <v>592</v>
      </c>
    </row>
    <row r="254" spans="1:5" x14ac:dyDescent="0.35">
      <c r="A254" t="s">
        <v>396</v>
      </c>
      <c r="B254" t="s">
        <v>147</v>
      </c>
      <c r="D254" s="37"/>
      <c r="E254" t="s">
        <v>592</v>
      </c>
    </row>
    <row r="255" spans="1:5" x14ac:dyDescent="0.35">
      <c r="A255" t="s">
        <v>397</v>
      </c>
      <c r="B255" t="s">
        <v>299</v>
      </c>
      <c r="C255">
        <v>55957.119999999995</v>
      </c>
      <c r="D255" s="37">
        <v>4.5789661798176899</v>
      </c>
      <c r="E255" t="s">
        <v>592</v>
      </c>
    </row>
    <row r="256" spans="1:5" x14ac:dyDescent="0.35">
      <c r="A256" t="s">
        <v>397</v>
      </c>
      <c r="B256" t="s">
        <v>445</v>
      </c>
      <c r="D256" s="37"/>
      <c r="E256" t="s">
        <v>592</v>
      </c>
    </row>
    <row r="257" spans="1:5" x14ac:dyDescent="0.35">
      <c r="A257" t="s">
        <v>397</v>
      </c>
      <c r="B257" t="s">
        <v>189</v>
      </c>
      <c r="D257" s="37"/>
      <c r="E257" t="s">
        <v>592</v>
      </c>
    </row>
    <row r="258" spans="1:5" x14ac:dyDescent="0.35">
      <c r="A258" t="s">
        <v>397</v>
      </c>
      <c r="B258" t="s">
        <v>190</v>
      </c>
      <c r="D258" s="37"/>
      <c r="E258" t="s">
        <v>592</v>
      </c>
    </row>
    <row r="259" spans="1:5" x14ac:dyDescent="0.35">
      <c r="A259" t="s">
        <v>397</v>
      </c>
      <c r="B259" t="s">
        <v>301</v>
      </c>
      <c r="C259">
        <v>12203.01</v>
      </c>
      <c r="D259" s="37">
        <v>4.5407403583214299</v>
      </c>
      <c r="E259" t="s">
        <v>592</v>
      </c>
    </row>
    <row r="260" spans="1:5" x14ac:dyDescent="0.35">
      <c r="A260" t="s">
        <v>397</v>
      </c>
      <c r="B260" t="s">
        <v>446</v>
      </c>
      <c r="D260" s="37"/>
      <c r="E260" t="s">
        <v>592</v>
      </c>
    </row>
    <row r="261" spans="1:5" x14ac:dyDescent="0.35">
      <c r="A261" t="s">
        <v>397</v>
      </c>
      <c r="B261" t="s">
        <v>40</v>
      </c>
      <c r="C261">
        <v>23657.11</v>
      </c>
      <c r="D261" s="37">
        <v>5.2147223392882731</v>
      </c>
      <c r="E261" t="s">
        <v>592</v>
      </c>
    </row>
    <row r="262" spans="1:5" x14ac:dyDescent="0.35">
      <c r="A262" t="s">
        <v>397</v>
      </c>
      <c r="B262" t="s">
        <v>303</v>
      </c>
      <c r="D262" s="37"/>
      <c r="E262" t="s">
        <v>592</v>
      </c>
    </row>
    <row r="263" spans="1:5" x14ac:dyDescent="0.35">
      <c r="A263" t="s">
        <v>397</v>
      </c>
      <c r="B263" t="s">
        <v>199</v>
      </c>
      <c r="D263" s="37"/>
      <c r="E263" t="s">
        <v>592</v>
      </c>
    </row>
    <row r="264" spans="1:5" x14ac:dyDescent="0.35">
      <c r="A264" t="s">
        <v>397</v>
      </c>
      <c r="B264" t="s">
        <v>194</v>
      </c>
      <c r="D264" s="37"/>
      <c r="E264" t="s">
        <v>592</v>
      </c>
    </row>
    <row r="265" spans="1:5" x14ac:dyDescent="0.35">
      <c r="A265" t="s">
        <v>397</v>
      </c>
      <c r="B265" t="s">
        <v>144</v>
      </c>
      <c r="D265" s="37"/>
      <c r="E265" t="s">
        <v>592</v>
      </c>
    </row>
    <row r="266" spans="1:5" x14ac:dyDescent="0.35">
      <c r="A266" t="s">
        <v>397</v>
      </c>
      <c r="B266" t="s">
        <v>145</v>
      </c>
      <c r="C266">
        <v>1025</v>
      </c>
      <c r="D266" s="37">
        <v>8.9950048780487801</v>
      </c>
      <c r="E266" t="s">
        <v>592</v>
      </c>
    </row>
    <row r="267" spans="1:5" x14ac:dyDescent="0.35">
      <c r="A267" t="s">
        <v>397</v>
      </c>
      <c r="B267" t="s">
        <v>146</v>
      </c>
      <c r="D267" s="37"/>
      <c r="E267" t="s">
        <v>592</v>
      </c>
    </row>
    <row r="268" spans="1:5" x14ac:dyDescent="0.35">
      <c r="A268" t="s">
        <v>397</v>
      </c>
      <c r="B268" t="s">
        <v>147</v>
      </c>
      <c r="D268" s="37"/>
      <c r="E268" t="s">
        <v>592</v>
      </c>
    </row>
    <row r="269" spans="1:5" x14ac:dyDescent="0.35">
      <c r="A269" t="s">
        <v>398</v>
      </c>
      <c r="B269" t="s">
        <v>299</v>
      </c>
      <c r="C269">
        <v>29380.959999999999</v>
      </c>
      <c r="D269" s="37">
        <v>4.5115874362171962</v>
      </c>
      <c r="E269" t="s">
        <v>592</v>
      </c>
    </row>
    <row r="270" spans="1:5" x14ac:dyDescent="0.35">
      <c r="A270" t="s">
        <v>398</v>
      </c>
      <c r="B270" t="s">
        <v>445</v>
      </c>
      <c r="D270" s="37"/>
      <c r="E270" t="s">
        <v>592</v>
      </c>
    </row>
    <row r="271" spans="1:5" x14ac:dyDescent="0.35">
      <c r="A271" t="s">
        <v>398</v>
      </c>
      <c r="B271" t="s">
        <v>189</v>
      </c>
      <c r="D271" s="37"/>
      <c r="E271" t="s">
        <v>592</v>
      </c>
    </row>
    <row r="272" spans="1:5" x14ac:dyDescent="0.35">
      <c r="A272" t="s">
        <v>398</v>
      </c>
      <c r="B272" t="s">
        <v>190</v>
      </c>
      <c r="D272" s="37"/>
      <c r="E272" t="s">
        <v>592</v>
      </c>
    </row>
    <row r="273" spans="1:5" x14ac:dyDescent="0.35">
      <c r="A273" t="s">
        <v>398</v>
      </c>
      <c r="B273" t="s">
        <v>301</v>
      </c>
      <c r="C273">
        <f>60651.39+722.6</f>
        <v>61373.99</v>
      </c>
      <c r="D273" s="37">
        <v>5.13</v>
      </c>
      <c r="E273" t="s">
        <v>592</v>
      </c>
    </row>
    <row r="274" spans="1:5" x14ac:dyDescent="0.35">
      <c r="A274" t="s">
        <v>398</v>
      </c>
      <c r="B274" t="s">
        <v>446</v>
      </c>
      <c r="C274">
        <v>2774.2</v>
      </c>
      <c r="D274" s="37">
        <v>5.0599992790714445</v>
      </c>
      <c r="E274" t="s">
        <v>592</v>
      </c>
    </row>
    <row r="275" spans="1:5" x14ac:dyDescent="0.35">
      <c r="A275" t="s">
        <v>398</v>
      </c>
      <c r="B275" t="s">
        <v>40</v>
      </c>
      <c r="D275" s="37"/>
      <c r="E275" t="s">
        <v>592</v>
      </c>
    </row>
    <row r="276" spans="1:5" x14ac:dyDescent="0.35">
      <c r="A276" t="s">
        <v>398</v>
      </c>
      <c r="B276" t="s">
        <v>303</v>
      </c>
      <c r="D276" s="37"/>
      <c r="E276" t="s">
        <v>592</v>
      </c>
    </row>
    <row r="277" spans="1:5" x14ac:dyDescent="0.35">
      <c r="A277" t="s">
        <v>398</v>
      </c>
      <c r="B277" t="s">
        <v>199</v>
      </c>
      <c r="D277" s="37"/>
      <c r="E277" t="s">
        <v>592</v>
      </c>
    </row>
    <row r="278" spans="1:5" x14ac:dyDescent="0.35">
      <c r="A278" t="s">
        <v>398</v>
      </c>
      <c r="B278" t="s">
        <v>194</v>
      </c>
      <c r="D278" s="37"/>
      <c r="E278" t="s">
        <v>592</v>
      </c>
    </row>
    <row r="279" spans="1:5" x14ac:dyDescent="0.35">
      <c r="A279" t="s">
        <v>398</v>
      </c>
      <c r="B279" t="s">
        <v>144</v>
      </c>
      <c r="D279" s="37"/>
      <c r="E279" t="s">
        <v>592</v>
      </c>
    </row>
    <row r="280" spans="1:5" x14ac:dyDescent="0.35">
      <c r="A280" t="s">
        <v>398</v>
      </c>
      <c r="B280" t="s">
        <v>145</v>
      </c>
      <c r="D280" s="37"/>
      <c r="E280" t="s">
        <v>592</v>
      </c>
    </row>
    <row r="281" spans="1:5" x14ac:dyDescent="0.35">
      <c r="A281" t="s">
        <v>398</v>
      </c>
      <c r="B281" t="s">
        <v>146</v>
      </c>
      <c r="D281" s="37"/>
      <c r="E281" t="s">
        <v>592</v>
      </c>
    </row>
    <row r="282" spans="1:5" x14ac:dyDescent="0.35">
      <c r="A282" t="s">
        <v>398</v>
      </c>
      <c r="B282" t="s">
        <v>147</v>
      </c>
      <c r="D282" s="37"/>
      <c r="E282" t="s">
        <v>592</v>
      </c>
    </row>
    <row r="283" spans="1:5" x14ac:dyDescent="0.35">
      <c r="A283" t="s">
        <v>399</v>
      </c>
      <c r="B283" t="s">
        <v>299</v>
      </c>
      <c r="C283">
        <v>50051.98000000001</v>
      </c>
      <c r="D283" s="37">
        <v>5.1422808847921688</v>
      </c>
      <c r="E283" t="s">
        <v>592</v>
      </c>
    </row>
    <row r="284" spans="1:5" x14ac:dyDescent="0.35">
      <c r="A284" t="s">
        <v>399</v>
      </c>
      <c r="B284" t="s">
        <v>445</v>
      </c>
      <c r="D284" s="37"/>
      <c r="E284" t="s">
        <v>592</v>
      </c>
    </row>
    <row r="285" spans="1:5" x14ac:dyDescent="0.35">
      <c r="A285" t="s">
        <v>399</v>
      </c>
      <c r="B285" t="s">
        <v>189</v>
      </c>
      <c r="D285" s="37"/>
      <c r="E285" t="s">
        <v>592</v>
      </c>
    </row>
    <row r="286" spans="1:5" x14ac:dyDescent="0.35">
      <c r="A286" t="s">
        <v>399</v>
      </c>
      <c r="B286" t="s">
        <v>190</v>
      </c>
      <c r="D286" s="37"/>
      <c r="E286" t="s">
        <v>592</v>
      </c>
    </row>
    <row r="287" spans="1:5" x14ac:dyDescent="0.35">
      <c r="A287" t="s">
        <v>399</v>
      </c>
      <c r="B287" t="s">
        <v>301</v>
      </c>
      <c r="C287">
        <v>57294.73000000001</v>
      </c>
      <c r="D287" s="37">
        <v>5.0642125375230824</v>
      </c>
      <c r="E287" t="s">
        <v>592</v>
      </c>
    </row>
    <row r="288" spans="1:5" x14ac:dyDescent="0.35">
      <c r="A288" t="s">
        <v>399</v>
      </c>
      <c r="B288" t="s">
        <v>446</v>
      </c>
      <c r="C288">
        <v>6998.5</v>
      </c>
      <c r="D288" s="37">
        <v>5.0600000000000005</v>
      </c>
      <c r="E288" t="s">
        <v>592</v>
      </c>
    </row>
    <row r="289" spans="1:5" x14ac:dyDescent="0.35">
      <c r="A289" t="s">
        <v>399</v>
      </c>
      <c r="B289" t="s">
        <v>40</v>
      </c>
      <c r="C289">
        <v>11279.17</v>
      </c>
      <c r="D289" s="37">
        <v>5.1956491479426239</v>
      </c>
      <c r="E289" t="s">
        <v>592</v>
      </c>
    </row>
    <row r="290" spans="1:5" x14ac:dyDescent="0.35">
      <c r="A290" t="s">
        <v>399</v>
      </c>
      <c r="B290" t="s">
        <v>303</v>
      </c>
      <c r="D290" s="37"/>
      <c r="E290" t="s">
        <v>592</v>
      </c>
    </row>
    <row r="291" spans="1:5" x14ac:dyDescent="0.35">
      <c r="A291" t="s">
        <v>399</v>
      </c>
      <c r="B291" t="s">
        <v>199</v>
      </c>
      <c r="D291" s="37"/>
      <c r="E291" t="s">
        <v>592</v>
      </c>
    </row>
    <row r="292" spans="1:5" x14ac:dyDescent="0.35">
      <c r="A292" t="s">
        <v>399</v>
      </c>
      <c r="B292" t="s">
        <v>194</v>
      </c>
      <c r="D292" s="37"/>
      <c r="E292" t="s">
        <v>592</v>
      </c>
    </row>
    <row r="293" spans="1:5" x14ac:dyDescent="0.35">
      <c r="A293" t="s">
        <v>399</v>
      </c>
      <c r="B293" t="s">
        <v>144</v>
      </c>
      <c r="D293" s="37"/>
      <c r="E293" t="s">
        <v>592</v>
      </c>
    </row>
    <row r="294" spans="1:5" x14ac:dyDescent="0.35">
      <c r="A294" t="s">
        <v>399</v>
      </c>
      <c r="B294" t="s">
        <v>145</v>
      </c>
      <c r="D294" s="37"/>
      <c r="E294" t="s">
        <v>592</v>
      </c>
    </row>
    <row r="295" spans="1:5" x14ac:dyDescent="0.35">
      <c r="A295" t="s">
        <v>399</v>
      </c>
      <c r="B295" t="s">
        <v>146</v>
      </c>
      <c r="D295" s="37"/>
      <c r="E295" t="s">
        <v>592</v>
      </c>
    </row>
    <row r="296" spans="1:5" x14ac:dyDescent="0.35">
      <c r="A296" t="s">
        <v>399</v>
      </c>
      <c r="B296" t="s">
        <v>147</v>
      </c>
      <c r="D296" s="37"/>
      <c r="E296" t="s">
        <v>592</v>
      </c>
    </row>
    <row r="297" spans="1:5" x14ac:dyDescent="0.35">
      <c r="A297" t="s">
        <v>400</v>
      </c>
      <c r="B297" t="s">
        <v>299</v>
      </c>
      <c r="C297">
        <v>37612.92</v>
      </c>
      <c r="D297" s="37">
        <v>4.5347207821142312</v>
      </c>
      <c r="E297" t="s">
        <v>592</v>
      </c>
    </row>
    <row r="298" spans="1:5" x14ac:dyDescent="0.35">
      <c r="A298" t="s">
        <v>400</v>
      </c>
      <c r="B298" t="s">
        <v>445</v>
      </c>
      <c r="D298" s="37"/>
      <c r="E298" t="s">
        <v>592</v>
      </c>
    </row>
    <row r="299" spans="1:5" x14ac:dyDescent="0.35">
      <c r="A299" t="s">
        <v>400</v>
      </c>
      <c r="B299" t="s">
        <v>189</v>
      </c>
      <c r="D299" s="37"/>
      <c r="E299" t="s">
        <v>592</v>
      </c>
    </row>
    <row r="300" spans="1:5" x14ac:dyDescent="0.35">
      <c r="A300" t="s">
        <v>400</v>
      </c>
      <c r="B300" t="s">
        <v>190</v>
      </c>
      <c r="D300" s="37"/>
      <c r="E300" t="s">
        <v>592</v>
      </c>
    </row>
    <row r="301" spans="1:5" x14ac:dyDescent="0.35">
      <c r="A301" t="s">
        <v>400</v>
      </c>
      <c r="B301" t="s">
        <v>301</v>
      </c>
      <c r="C301">
        <v>27302.73</v>
      </c>
      <c r="D301" s="37">
        <v>4.5591151507559866</v>
      </c>
      <c r="E301" t="s">
        <v>592</v>
      </c>
    </row>
    <row r="302" spans="1:5" x14ac:dyDescent="0.35">
      <c r="A302" t="s">
        <v>400</v>
      </c>
      <c r="B302" t="s">
        <v>446</v>
      </c>
      <c r="C302">
        <v>1403.2</v>
      </c>
      <c r="D302" s="37">
        <v>5.0599985746864302</v>
      </c>
      <c r="E302" t="s">
        <v>592</v>
      </c>
    </row>
    <row r="303" spans="1:5" x14ac:dyDescent="0.35">
      <c r="A303" t="s">
        <v>400</v>
      </c>
      <c r="B303" t="s">
        <v>40</v>
      </c>
      <c r="C303">
        <v>5013.7000000000007</v>
      </c>
      <c r="D303" s="37">
        <v>5.1899994016395068</v>
      </c>
      <c r="E303" t="s">
        <v>592</v>
      </c>
    </row>
    <row r="304" spans="1:5" x14ac:dyDescent="0.35">
      <c r="A304" t="s">
        <v>400</v>
      </c>
      <c r="B304" t="s">
        <v>303</v>
      </c>
      <c r="D304" s="37"/>
      <c r="E304" t="s">
        <v>592</v>
      </c>
    </row>
    <row r="305" spans="1:5" x14ac:dyDescent="0.35">
      <c r="A305" t="s">
        <v>400</v>
      </c>
      <c r="B305" t="s">
        <v>199</v>
      </c>
      <c r="D305" s="37"/>
      <c r="E305" t="s">
        <v>592</v>
      </c>
    </row>
    <row r="306" spans="1:5" x14ac:dyDescent="0.35">
      <c r="A306" t="s">
        <v>400</v>
      </c>
      <c r="B306" t="s">
        <v>194</v>
      </c>
      <c r="D306" s="37"/>
      <c r="E306" t="s">
        <v>592</v>
      </c>
    </row>
    <row r="307" spans="1:5" x14ac:dyDescent="0.35">
      <c r="A307" t="s">
        <v>400</v>
      </c>
      <c r="B307" t="s">
        <v>144</v>
      </c>
      <c r="D307" s="37"/>
      <c r="E307" t="s">
        <v>592</v>
      </c>
    </row>
    <row r="308" spans="1:5" x14ac:dyDescent="0.35">
      <c r="A308" t="s">
        <v>400</v>
      </c>
      <c r="B308" t="s">
        <v>145</v>
      </c>
      <c r="D308" s="37"/>
      <c r="E308" t="s">
        <v>592</v>
      </c>
    </row>
    <row r="309" spans="1:5" x14ac:dyDescent="0.35">
      <c r="A309" t="s">
        <v>400</v>
      </c>
      <c r="B309" t="s">
        <v>146</v>
      </c>
      <c r="D309" s="37"/>
      <c r="E309" t="s">
        <v>592</v>
      </c>
    </row>
    <row r="310" spans="1:5" x14ac:dyDescent="0.35">
      <c r="A310" t="s">
        <v>400</v>
      </c>
      <c r="B310" t="s">
        <v>147</v>
      </c>
      <c r="D310" s="37"/>
      <c r="E310" t="s">
        <v>592</v>
      </c>
    </row>
    <row r="311" spans="1:5" x14ac:dyDescent="0.35">
      <c r="A311" t="s">
        <v>401</v>
      </c>
      <c r="B311" t="s">
        <v>299</v>
      </c>
      <c r="C311">
        <v>50963.650000000009</v>
      </c>
      <c r="D311" s="37">
        <v>4.5594071460737204</v>
      </c>
      <c r="E311" t="s">
        <v>592</v>
      </c>
    </row>
    <row r="312" spans="1:5" x14ac:dyDescent="0.35">
      <c r="A312" t="s">
        <v>401</v>
      </c>
      <c r="B312" t="s">
        <v>445</v>
      </c>
      <c r="D312" s="37"/>
      <c r="E312" t="s">
        <v>592</v>
      </c>
    </row>
    <row r="313" spans="1:5" x14ac:dyDescent="0.35">
      <c r="A313" t="s">
        <v>401</v>
      </c>
      <c r="B313" t="s">
        <v>189</v>
      </c>
      <c r="D313" s="37"/>
      <c r="E313" t="s">
        <v>592</v>
      </c>
    </row>
    <row r="314" spans="1:5" x14ac:dyDescent="0.35">
      <c r="A314" t="s">
        <v>401</v>
      </c>
      <c r="B314" t="s">
        <v>190</v>
      </c>
      <c r="D314" s="37"/>
      <c r="E314" t="s">
        <v>592</v>
      </c>
    </row>
    <row r="315" spans="1:5" x14ac:dyDescent="0.35">
      <c r="A315" t="s">
        <v>401</v>
      </c>
      <c r="B315" t="s">
        <v>301</v>
      </c>
      <c r="C315">
        <v>83675.58</v>
      </c>
      <c r="D315" s="37">
        <v>5.0973730926036005</v>
      </c>
      <c r="E315" t="s">
        <v>592</v>
      </c>
    </row>
    <row r="316" spans="1:5" x14ac:dyDescent="0.35">
      <c r="A316" t="s">
        <v>401</v>
      </c>
      <c r="B316" t="s">
        <v>446</v>
      </c>
      <c r="C316">
        <v>4677.8</v>
      </c>
      <c r="D316" s="37">
        <v>5.0600004275514125</v>
      </c>
      <c r="E316" t="s">
        <v>592</v>
      </c>
    </row>
    <row r="317" spans="1:5" x14ac:dyDescent="0.35">
      <c r="A317" t="s">
        <v>401</v>
      </c>
      <c r="B317" t="s">
        <v>40</v>
      </c>
      <c r="C317">
        <v>7043</v>
      </c>
      <c r="D317" s="37">
        <v>5.1968749112594059</v>
      </c>
      <c r="E317" t="s">
        <v>592</v>
      </c>
    </row>
    <row r="318" spans="1:5" x14ac:dyDescent="0.35">
      <c r="A318" t="s">
        <v>401</v>
      </c>
      <c r="B318" t="s">
        <v>303</v>
      </c>
      <c r="D318" s="37"/>
      <c r="E318" t="s">
        <v>592</v>
      </c>
    </row>
    <row r="319" spans="1:5" x14ac:dyDescent="0.35">
      <c r="A319" t="s">
        <v>401</v>
      </c>
      <c r="B319" t="s">
        <v>199</v>
      </c>
      <c r="D319" s="37"/>
      <c r="E319" t="s">
        <v>592</v>
      </c>
    </row>
    <row r="320" spans="1:5" x14ac:dyDescent="0.35">
      <c r="A320" t="s">
        <v>401</v>
      </c>
      <c r="B320" t="s">
        <v>194</v>
      </c>
      <c r="D320" s="37"/>
      <c r="E320" t="s">
        <v>592</v>
      </c>
    </row>
    <row r="321" spans="1:5" x14ac:dyDescent="0.35">
      <c r="A321" t="s">
        <v>401</v>
      </c>
      <c r="B321" t="s">
        <v>144</v>
      </c>
      <c r="D321" s="37"/>
      <c r="E321" t="s">
        <v>592</v>
      </c>
    </row>
    <row r="322" spans="1:5" x14ac:dyDescent="0.35">
      <c r="A322" t="s">
        <v>401</v>
      </c>
      <c r="B322" t="s">
        <v>145</v>
      </c>
      <c r="D322" s="37"/>
      <c r="E322" t="s">
        <v>592</v>
      </c>
    </row>
    <row r="323" spans="1:5" x14ac:dyDescent="0.35">
      <c r="A323" t="s">
        <v>401</v>
      </c>
      <c r="B323" t="s">
        <v>146</v>
      </c>
      <c r="D323" s="37"/>
      <c r="E323" t="s">
        <v>592</v>
      </c>
    </row>
    <row r="324" spans="1:5" x14ac:dyDescent="0.35">
      <c r="A324" t="s">
        <v>401</v>
      </c>
      <c r="B324" t="s">
        <v>147</v>
      </c>
      <c r="D324" s="37"/>
      <c r="E324" t="s">
        <v>592</v>
      </c>
    </row>
    <row r="325" spans="1:5" x14ac:dyDescent="0.35">
      <c r="A325" t="s">
        <v>402</v>
      </c>
      <c r="B325" t="s">
        <v>299</v>
      </c>
      <c r="C325">
        <v>14715.41</v>
      </c>
      <c r="D325" s="37">
        <v>4.5933820396441556</v>
      </c>
      <c r="E325" t="s">
        <v>592</v>
      </c>
    </row>
    <row r="326" spans="1:5" x14ac:dyDescent="0.35">
      <c r="A326" t="s">
        <v>402</v>
      </c>
      <c r="B326" t="s">
        <v>445</v>
      </c>
      <c r="D326" s="37"/>
      <c r="E326" t="s">
        <v>592</v>
      </c>
    </row>
    <row r="327" spans="1:5" x14ac:dyDescent="0.35">
      <c r="A327" t="s">
        <v>402</v>
      </c>
      <c r="B327" t="s">
        <v>189</v>
      </c>
      <c r="D327" s="37"/>
      <c r="E327" t="s">
        <v>592</v>
      </c>
    </row>
    <row r="328" spans="1:5" x14ac:dyDescent="0.35">
      <c r="A328" t="s">
        <v>402</v>
      </c>
      <c r="B328" t="s">
        <v>190</v>
      </c>
      <c r="D328" s="37"/>
      <c r="E328" t="s">
        <v>592</v>
      </c>
    </row>
    <row r="329" spans="1:5" x14ac:dyDescent="0.35">
      <c r="A329" t="s">
        <v>402</v>
      </c>
      <c r="B329" t="s">
        <v>301</v>
      </c>
      <c r="C329">
        <f>9078.49+523.2</f>
        <v>9601.69</v>
      </c>
      <c r="D329" s="37">
        <v>4.6500000000000004</v>
      </c>
      <c r="E329" t="s">
        <v>592</v>
      </c>
    </row>
    <row r="330" spans="1:5" x14ac:dyDescent="0.35">
      <c r="A330" t="s">
        <v>402</v>
      </c>
      <c r="B330" t="s">
        <v>446</v>
      </c>
      <c r="C330">
        <v>942.4</v>
      </c>
      <c r="D330" s="37">
        <v>5.0599957555178268</v>
      </c>
      <c r="E330" t="s">
        <v>592</v>
      </c>
    </row>
    <row r="331" spans="1:5" x14ac:dyDescent="0.35">
      <c r="A331" t="s">
        <v>402</v>
      </c>
      <c r="B331" t="s">
        <v>40</v>
      </c>
      <c r="C331">
        <v>22272.44</v>
      </c>
      <c r="D331" s="37">
        <v>5.2185907785586139</v>
      </c>
      <c r="E331" t="s">
        <v>592</v>
      </c>
    </row>
    <row r="332" spans="1:5" x14ac:dyDescent="0.35">
      <c r="A332" t="s">
        <v>402</v>
      </c>
      <c r="B332" t="s">
        <v>303</v>
      </c>
      <c r="D332" s="37"/>
      <c r="E332" t="s">
        <v>592</v>
      </c>
    </row>
    <row r="333" spans="1:5" x14ac:dyDescent="0.35">
      <c r="A333" t="s">
        <v>402</v>
      </c>
      <c r="B333" t="s">
        <v>199</v>
      </c>
      <c r="D333" s="37"/>
      <c r="E333" t="s">
        <v>592</v>
      </c>
    </row>
    <row r="334" spans="1:5" x14ac:dyDescent="0.35">
      <c r="A334" t="s">
        <v>402</v>
      </c>
      <c r="B334" t="s">
        <v>194</v>
      </c>
      <c r="D334" s="37"/>
      <c r="E334" t="s">
        <v>592</v>
      </c>
    </row>
    <row r="335" spans="1:5" x14ac:dyDescent="0.35">
      <c r="A335" t="s">
        <v>402</v>
      </c>
      <c r="B335" t="s">
        <v>144</v>
      </c>
      <c r="D335" s="37"/>
      <c r="E335" t="s">
        <v>592</v>
      </c>
    </row>
    <row r="336" spans="1:5" x14ac:dyDescent="0.35">
      <c r="A336" t="s">
        <v>402</v>
      </c>
      <c r="B336" t="s">
        <v>145</v>
      </c>
      <c r="D336" s="37"/>
      <c r="E336" t="s">
        <v>592</v>
      </c>
    </row>
    <row r="337" spans="1:5" x14ac:dyDescent="0.35">
      <c r="A337" t="s">
        <v>402</v>
      </c>
      <c r="B337" t="s">
        <v>146</v>
      </c>
      <c r="D337" s="37"/>
      <c r="E337" t="s">
        <v>592</v>
      </c>
    </row>
    <row r="338" spans="1:5" x14ac:dyDescent="0.35">
      <c r="A338" t="s">
        <v>402</v>
      </c>
      <c r="B338" t="s">
        <v>147</v>
      </c>
      <c r="D338" s="37"/>
      <c r="E338" t="s">
        <v>592</v>
      </c>
    </row>
    <row r="339" spans="1:5" x14ac:dyDescent="0.35">
      <c r="A339" t="s">
        <v>403</v>
      </c>
      <c r="B339" t="s">
        <v>299</v>
      </c>
      <c r="C339">
        <v>40636.689999999995</v>
      </c>
      <c r="D339" s="37">
        <v>4.5740627496973794</v>
      </c>
      <c r="E339" t="s">
        <v>592</v>
      </c>
    </row>
    <row r="340" spans="1:5" x14ac:dyDescent="0.35">
      <c r="A340" t="s">
        <v>403</v>
      </c>
      <c r="B340" t="s">
        <v>445</v>
      </c>
      <c r="D340" s="37"/>
      <c r="E340" t="s">
        <v>592</v>
      </c>
    </row>
    <row r="341" spans="1:5" x14ac:dyDescent="0.35">
      <c r="A341" t="s">
        <v>403</v>
      </c>
      <c r="B341" t="s">
        <v>189</v>
      </c>
      <c r="D341" s="37"/>
      <c r="E341" t="s">
        <v>592</v>
      </c>
    </row>
    <row r="342" spans="1:5" x14ac:dyDescent="0.35">
      <c r="A342" t="s">
        <v>403</v>
      </c>
      <c r="B342" t="s">
        <v>190</v>
      </c>
      <c r="D342" s="37"/>
      <c r="E342" t="s">
        <v>592</v>
      </c>
    </row>
    <row r="343" spans="1:5" x14ac:dyDescent="0.35">
      <c r="A343" t="s">
        <v>403</v>
      </c>
      <c r="B343" t="s">
        <v>301</v>
      </c>
      <c r="C343">
        <v>56799.87</v>
      </c>
      <c r="D343" s="37">
        <v>4.9976952412038971</v>
      </c>
      <c r="E343" t="s">
        <v>592</v>
      </c>
    </row>
    <row r="344" spans="1:5" x14ac:dyDescent="0.35">
      <c r="A344" t="s">
        <v>403</v>
      </c>
      <c r="B344" t="s">
        <v>446</v>
      </c>
      <c r="C344">
        <v>1404.3</v>
      </c>
      <c r="D344" s="37">
        <v>5.0600014241971092</v>
      </c>
      <c r="E344" t="s">
        <v>592</v>
      </c>
    </row>
    <row r="345" spans="1:5" x14ac:dyDescent="0.35">
      <c r="A345" t="s">
        <v>403</v>
      </c>
      <c r="B345" t="s">
        <v>40</v>
      </c>
      <c r="C345">
        <v>16314.59</v>
      </c>
      <c r="D345" s="37">
        <v>5.2135818307416857</v>
      </c>
      <c r="E345" t="s">
        <v>592</v>
      </c>
    </row>
    <row r="346" spans="1:5" x14ac:dyDescent="0.35">
      <c r="A346" t="s">
        <v>403</v>
      </c>
      <c r="B346" t="s">
        <v>303</v>
      </c>
      <c r="D346" s="37"/>
      <c r="E346" t="s">
        <v>592</v>
      </c>
    </row>
    <row r="347" spans="1:5" x14ac:dyDescent="0.35">
      <c r="A347" t="s">
        <v>403</v>
      </c>
      <c r="B347" t="s">
        <v>199</v>
      </c>
      <c r="D347" s="37"/>
      <c r="E347" t="s">
        <v>592</v>
      </c>
    </row>
    <row r="348" spans="1:5" x14ac:dyDescent="0.35">
      <c r="A348" t="s">
        <v>403</v>
      </c>
      <c r="B348" t="s">
        <v>194</v>
      </c>
      <c r="D348" s="37"/>
      <c r="E348" t="s">
        <v>592</v>
      </c>
    </row>
    <row r="349" spans="1:5" x14ac:dyDescent="0.35">
      <c r="A349" t="s">
        <v>403</v>
      </c>
      <c r="B349" t="s">
        <v>144</v>
      </c>
      <c r="D349" s="37"/>
      <c r="E349" t="s">
        <v>592</v>
      </c>
    </row>
    <row r="350" spans="1:5" x14ac:dyDescent="0.35">
      <c r="A350" t="s">
        <v>403</v>
      </c>
      <c r="B350" t="s">
        <v>145</v>
      </c>
      <c r="D350" s="37"/>
      <c r="E350" t="s">
        <v>592</v>
      </c>
    </row>
    <row r="351" spans="1:5" x14ac:dyDescent="0.35">
      <c r="A351" t="s">
        <v>403</v>
      </c>
      <c r="B351" t="s">
        <v>146</v>
      </c>
      <c r="D351" s="37"/>
      <c r="E351" t="s">
        <v>592</v>
      </c>
    </row>
    <row r="352" spans="1:5" x14ac:dyDescent="0.35">
      <c r="A352" t="s">
        <v>403</v>
      </c>
      <c r="B352" t="s">
        <v>147</v>
      </c>
      <c r="D352" s="37"/>
      <c r="E352" t="s">
        <v>592</v>
      </c>
    </row>
    <row r="353" spans="1:5" x14ac:dyDescent="0.35">
      <c r="A353" t="s">
        <v>404</v>
      </c>
      <c r="B353" t="s">
        <v>299</v>
      </c>
      <c r="C353">
        <v>34331.93</v>
      </c>
      <c r="D353" s="37">
        <v>4.5207755579135807</v>
      </c>
      <c r="E353" t="s">
        <v>592</v>
      </c>
    </row>
    <row r="354" spans="1:5" x14ac:dyDescent="0.35">
      <c r="A354" t="s">
        <v>404</v>
      </c>
      <c r="B354" t="s">
        <v>445</v>
      </c>
      <c r="D354" s="37"/>
      <c r="E354" t="s">
        <v>592</v>
      </c>
    </row>
    <row r="355" spans="1:5" x14ac:dyDescent="0.35">
      <c r="A355" t="s">
        <v>404</v>
      </c>
      <c r="B355" t="s">
        <v>189</v>
      </c>
      <c r="D355" s="37"/>
      <c r="E355" t="s">
        <v>592</v>
      </c>
    </row>
    <row r="356" spans="1:5" x14ac:dyDescent="0.35">
      <c r="A356" t="s">
        <v>404</v>
      </c>
      <c r="B356" t="s">
        <v>190</v>
      </c>
      <c r="D356" s="37"/>
      <c r="E356" t="s">
        <v>592</v>
      </c>
    </row>
    <row r="357" spans="1:5" x14ac:dyDescent="0.35">
      <c r="A357" t="s">
        <v>404</v>
      </c>
      <c r="B357" t="s">
        <v>301</v>
      </c>
      <c r="C357">
        <v>86909.959999999992</v>
      </c>
      <c r="D357" s="37">
        <v>5.2001104361341319</v>
      </c>
      <c r="E357" t="s">
        <v>592</v>
      </c>
    </row>
    <row r="358" spans="1:5" x14ac:dyDescent="0.35">
      <c r="A358" t="s">
        <v>404</v>
      </c>
      <c r="B358" t="s">
        <v>446</v>
      </c>
      <c r="C358">
        <v>945.4</v>
      </c>
      <c r="D358" s="37">
        <v>5.0599957689866724</v>
      </c>
      <c r="E358" t="s">
        <v>592</v>
      </c>
    </row>
    <row r="359" spans="1:5" x14ac:dyDescent="0.35">
      <c r="A359" t="s">
        <v>404</v>
      </c>
      <c r="B359" t="s">
        <v>40</v>
      </c>
      <c r="C359">
        <v>2807.4500000000003</v>
      </c>
      <c r="D359" s="37">
        <v>5.2018059092771018</v>
      </c>
      <c r="E359" t="s">
        <v>592</v>
      </c>
    </row>
    <row r="360" spans="1:5" x14ac:dyDescent="0.35">
      <c r="A360" t="s">
        <v>404</v>
      </c>
      <c r="B360" t="s">
        <v>303</v>
      </c>
      <c r="D360" s="37"/>
      <c r="E360" t="s">
        <v>592</v>
      </c>
    </row>
    <row r="361" spans="1:5" x14ac:dyDescent="0.35">
      <c r="A361" t="s">
        <v>404</v>
      </c>
      <c r="B361" t="s">
        <v>199</v>
      </c>
      <c r="D361" s="37"/>
      <c r="E361" t="s">
        <v>592</v>
      </c>
    </row>
    <row r="362" spans="1:5" x14ac:dyDescent="0.35">
      <c r="A362" t="s">
        <v>404</v>
      </c>
      <c r="B362" t="s">
        <v>194</v>
      </c>
      <c r="D362" s="37"/>
      <c r="E362" t="s">
        <v>592</v>
      </c>
    </row>
    <row r="363" spans="1:5" x14ac:dyDescent="0.35">
      <c r="A363" t="s">
        <v>404</v>
      </c>
      <c r="B363" t="s">
        <v>144</v>
      </c>
      <c r="D363" s="37"/>
      <c r="E363" t="s">
        <v>592</v>
      </c>
    </row>
    <row r="364" spans="1:5" x14ac:dyDescent="0.35">
      <c r="A364" t="s">
        <v>404</v>
      </c>
      <c r="B364" t="s">
        <v>145</v>
      </c>
      <c r="D364" s="37"/>
      <c r="E364" t="s">
        <v>592</v>
      </c>
    </row>
    <row r="365" spans="1:5" x14ac:dyDescent="0.35">
      <c r="A365" t="s">
        <v>404</v>
      </c>
      <c r="B365" t="s">
        <v>146</v>
      </c>
      <c r="D365" s="37"/>
      <c r="E365" t="s">
        <v>592</v>
      </c>
    </row>
    <row r="366" spans="1:5" x14ac:dyDescent="0.35">
      <c r="A366" t="s">
        <v>404</v>
      </c>
      <c r="B366" t="s">
        <v>147</v>
      </c>
      <c r="D366" s="37"/>
      <c r="E366" t="s">
        <v>592</v>
      </c>
    </row>
    <row r="367" spans="1:5" x14ac:dyDescent="0.35">
      <c r="A367" t="s">
        <v>405</v>
      </c>
      <c r="B367" t="s">
        <v>299</v>
      </c>
      <c r="C367">
        <v>99489.75</v>
      </c>
      <c r="D367" s="37">
        <v>4.8585732701107407</v>
      </c>
      <c r="E367" t="s">
        <v>592</v>
      </c>
    </row>
    <row r="368" spans="1:5" x14ac:dyDescent="0.35">
      <c r="A368" t="s">
        <v>405</v>
      </c>
      <c r="B368" t="s">
        <v>445</v>
      </c>
      <c r="D368" s="37"/>
      <c r="E368" t="s">
        <v>592</v>
      </c>
    </row>
    <row r="369" spans="1:5" x14ac:dyDescent="0.35">
      <c r="A369" t="s">
        <v>405</v>
      </c>
      <c r="B369" t="s">
        <v>189</v>
      </c>
      <c r="D369" s="37"/>
      <c r="E369" t="s">
        <v>592</v>
      </c>
    </row>
    <row r="370" spans="1:5" x14ac:dyDescent="0.35">
      <c r="A370" t="s">
        <v>405</v>
      </c>
      <c r="B370" t="s">
        <v>190</v>
      </c>
      <c r="D370" s="37"/>
      <c r="E370" t="s">
        <v>592</v>
      </c>
    </row>
    <row r="371" spans="1:5" x14ac:dyDescent="0.35">
      <c r="A371" t="s">
        <v>405</v>
      </c>
      <c r="B371" t="s">
        <v>301</v>
      </c>
      <c r="C371">
        <f>1085.4+157.49</f>
        <v>1242.8900000000001</v>
      </c>
      <c r="D371" s="37">
        <v>4.71</v>
      </c>
      <c r="E371" t="s">
        <v>592</v>
      </c>
    </row>
    <row r="372" spans="1:5" x14ac:dyDescent="0.35">
      <c r="A372" t="s">
        <v>405</v>
      </c>
      <c r="B372" t="s">
        <v>446</v>
      </c>
      <c r="C372">
        <v>946.9</v>
      </c>
      <c r="D372" s="37">
        <v>5.0599957756890914</v>
      </c>
      <c r="E372" t="s">
        <v>592</v>
      </c>
    </row>
    <row r="373" spans="1:5" x14ac:dyDescent="0.35">
      <c r="A373" t="s">
        <v>405</v>
      </c>
      <c r="B373" t="s">
        <v>40</v>
      </c>
      <c r="C373">
        <v>9788.2000000000007</v>
      </c>
      <c r="D373" s="37">
        <v>5.1900002043276592</v>
      </c>
      <c r="E373" t="s">
        <v>592</v>
      </c>
    </row>
    <row r="374" spans="1:5" x14ac:dyDescent="0.35">
      <c r="A374" t="s">
        <v>405</v>
      </c>
      <c r="B374" t="s">
        <v>303</v>
      </c>
      <c r="D374" s="37"/>
      <c r="E374" t="s">
        <v>592</v>
      </c>
    </row>
    <row r="375" spans="1:5" x14ac:dyDescent="0.35">
      <c r="A375" t="s">
        <v>405</v>
      </c>
      <c r="B375" t="s">
        <v>199</v>
      </c>
      <c r="D375" s="37"/>
      <c r="E375" t="s">
        <v>592</v>
      </c>
    </row>
    <row r="376" spans="1:5" x14ac:dyDescent="0.35">
      <c r="A376" t="s">
        <v>405</v>
      </c>
      <c r="B376" t="s">
        <v>194</v>
      </c>
      <c r="D376" s="37"/>
      <c r="E376" t="s">
        <v>592</v>
      </c>
    </row>
    <row r="377" spans="1:5" x14ac:dyDescent="0.35">
      <c r="A377" t="s">
        <v>405</v>
      </c>
      <c r="B377" t="s">
        <v>144</v>
      </c>
      <c r="D377" s="37"/>
      <c r="E377" t="s">
        <v>592</v>
      </c>
    </row>
    <row r="378" spans="1:5" x14ac:dyDescent="0.35">
      <c r="A378" t="s">
        <v>405</v>
      </c>
      <c r="B378" t="s">
        <v>145</v>
      </c>
      <c r="C378">
        <v>10043.799999999999</v>
      </c>
      <c r="D378" s="37">
        <v>6.9</v>
      </c>
      <c r="E378" t="s">
        <v>592</v>
      </c>
    </row>
    <row r="379" spans="1:5" x14ac:dyDescent="0.35">
      <c r="A379" t="s">
        <v>405</v>
      </c>
      <c r="B379" t="s">
        <v>146</v>
      </c>
      <c r="D379" s="37"/>
      <c r="E379" t="s">
        <v>592</v>
      </c>
    </row>
    <row r="380" spans="1:5" x14ac:dyDescent="0.35">
      <c r="A380" t="s">
        <v>405</v>
      </c>
      <c r="B380" t="s">
        <v>147</v>
      </c>
      <c r="D380" s="37"/>
      <c r="E380" t="s">
        <v>592</v>
      </c>
    </row>
    <row r="381" spans="1:5" x14ac:dyDescent="0.35">
      <c r="A381" t="s">
        <v>406</v>
      </c>
      <c r="B381" t="s">
        <v>299</v>
      </c>
      <c r="C381">
        <v>55989.56</v>
      </c>
      <c r="D381" s="37">
        <v>4.0121079715575547</v>
      </c>
      <c r="E381" t="s">
        <v>592</v>
      </c>
    </row>
    <row r="382" spans="1:5" x14ac:dyDescent="0.35">
      <c r="A382" t="s">
        <v>406</v>
      </c>
      <c r="B382" t="s">
        <v>445</v>
      </c>
      <c r="D382" s="37"/>
      <c r="E382" t="s">
        <v>592</v>
      </c>
    </row>
    <row r="383" spans="1:5" x14ac:dyDescent="0.35">
      <c r="A383" t="s">
        <v>406</v>
      </c>
      <c r="B383" t="s">
        <v>189</v>
      </c>
      <c r="D383" s="37"/>
      <c r="E383" t="s">
        <v>592</v>
      </c>
    </row>
    <row r="384" spans="1:5" x14ac:dyDescent="0.35">
      <c r="A384" t="s">
        <v>406</v>
      </c>
      <c r="B384" t="s">
        <v>190</v>
      </c>
      <c r="D384" s="37"/>
      <c r="E384" t="s">
        <v>592</v>
      </c>
    </row>
    <row r="385" spans="1:5" x14ac:dyDescent="0.35">
      <c r="A385" t="s">
        <v>406</v>
      </c>
      <c r="B385" t="s">
        <v>301</v>
      </c>
      <c r="C385">
        <v>24899.329999999998</v>
      </c>
      <c r="D385" s="37">
        <v>4.6897350249986651</v>
      </c>
      <c r="E385" t="s">
        <v>592</v>
      </c>
    </row>
    <row r="386" spans="1:5" x14ac:dyDescent="0.35">
      <c r="A386" t="s">
        <v>406</v>
      </c>
      <c r="B386" t="s">
        <v>446</v>
      </c>
      <c r="C386">
        <v>1435.4</v>
      </c>
      <c r="D386" s="37">
        <v>5.0599972133203286</v>
      </c>
      <c r="E386" t="s">
        <v>592</v>
      </c>
    </row>
    <row r="387" spans="1:5" x14ac:dyDescent="0.35">
      <c r="A387" t="s">
        <v>406</v>
      </c>
      <c r="B387" t="s">
        <v>40</v>
      </c>
      <c r="C387">
        <v>9586.380000000001</v>
      </c>
      <c r="D387" s="37">
        <v>5.1992305750450116</v>
      </c>
      <c r="E387" t="s">
        <v>592</v>
      </c>
    </row>
    <row r="388" spans="1:5" x14ac:dyDescent="0.35">
      <c r="A388" t="s">
        <v>406</v>
      </c>
      <c r="B388" t="s">
        <v>303</v>
      </c>
      <c r="D388" s="37"/>
      <c r="E388" t="s">
        <v>592</v>
      </c>
    </row>
    <row r="389" spans="1:5" x14ac:dyDescent="0.35">
      <c r="A389" t="s">
        <v>406</v>
      </c>
      <c r="B389" t="s">
        <v>199</v>
      </c>
      <c r="D389" s="37"/>
      <c r="E389" t="s">
        <v>592</v>
      </c>
    </row>
    <row r="390" spans="1:5" x14ac:dyDescent="0.35">
      <c r="A390" t="s">
        <v>406</v>
      </c>
      <c r="B390" t="s">
        <v>194</v>
      </c>
      <c r="D390" s="37"/>
      <c r="E390" t="s">
        <v>592</v>
      </c>
    </row>
    <row r="391" spans="1:5" x14ac:dyDescent="0.35">
      <c r="A391" t="s">
        <v>406</v>
      </c>
      <c r="B391" t="s">
        <v>144</v>
      </c>
      <c r="D391" s="37"/>
      <c r="E391" t="s">
        <v>592</v>
      </c>
    </row>
    <row r="392" spans="1:5" x14ac:dyDescent="0.35">
      <c r="A392" t="s">
        <v>406</v>
      </c>
      <c r="B392" t="s">
        <v>145</v>
      </c>
      <c r="D392" s="37"/>
      <c r="E392" t="s">
        <v>592</v>
      </c>
    </row>
    <row r="393" spans="1:5" x14ac:dyDescent="0.35">
      <c r="A393" t="s">
        <v>406</v>
      </c>
      <c r="B393" t="s">
        <v>146</v>
      </c>
      <c r="D393" s="37"/>
      <c r="E393" t="s">
        <v>592</v>
      </c>
    </row>
    <row r="394" spans="1:5" x14ac:dyDescent="0.35">
      <c r="A394" t="s">
        <v>406</v>
      </c>
      <c r="B394" t="s">
        <v>147</v>
      </c>
      <c r="D394" s="37"/>
      <c r="E394" t="s">
        <v>592</v>
      </c>
    </row>
    <row r="395" spans="1:5" x14ac:dyDescent="0.35">
      <c r="A395" t="s">
        <v>407</v>
      </c>
      <c r="B395" t="s">
        <v>299</v>
      </c>
      <c r="D395" s="37"/>
      <c r="E395" t="s">
        <v>592</v>
      </c>
    </row>
    <row r="396" spans="1:5" x14ac:dyDescent="0.35">
      <c r="A396" t="s">
        <v>407</v>
      </c>
      <c r="B396" t="s">
        <v>445</v>
      </c>
      <c r="D396" s="37"/>
      <c r="E396" t="s">
        <v>592</v>
      </c>
    </row>
    <row r="397" spans="1:5" x14ac:dyDescent="0.35">
      <c r="A397" t="s">
        <v>407</v>
      </c>
      <c r="B397" t="s">
        <v>189</v>
      </c>
      <c r="D397" s="37"/>
      <c r="E397" t="s">
        <v>592</v>
      </c>
    </row>
    <row r="398" spans="1:5" x14ac:dyDescent="0.35">
      <c r="A398" t="s">
        <v>407</v>
      </c>
      <c r="B398" t="s">
        <v>190</v>
      </c>
      <c r="D398" s="37"/>
      <c r="E398" t="s">
        <v>592</v>
      </c>
    </row>
    <row r="399" spans="1:5" x14ac:dyDescent="0.35">
      <c r="A399" t="s">
        <v>407</v>
      </c>
      <c r="B399" t="s">
        <v>301</v>
      </c>
      <c r="D399" s="37"/>
      <c r="E399" t="s">
        <v>592</v>
      </c>
    </row>
    <row r="400" spans="1:5" x14ac:dyDescent="0.35">
      <c r="A400" t="s">
        <v>407</v>
      </c>
      <c r="B400" t="s">
        <v>446</v>
      </c>
      <c r="D400" s="37"/>
      <c r="E400" t="s">
        <v>592</v>
      </c>
    </row>
    <row r="401" spans="1:5" x14ac:dyDescent="0.35">
      <c r="A401" t="s">
        <v>407</v>
      </c>
      <c r="B401" t="s">
        <v>40</v>
      </c>
      <c r="D401" s="37"/>
      <c r="E401" t="s">
        <v>592</v>
      </c>
    </row>
    <row r="402" spans="1:5" x14ac:dyDescent="0.35">
      <c r="A402" t="s">
        <v>407</v>
      </c>
      <c r="B402" t="s">
        <v>303</v>
      </c>
      <c r="D402" s="37"/>
      <c r="E402" t="s">
        <v>592</v>
      </c>
    </row>
    <row r="403" spans="1:5" x14ac:dyDescent="0.35">
      <c r="A403" t="s">
        <v>407</v>
      </c>
      <c r="B403" t="s">
        <v>199</v>
      </c>
      <c r="D403" s="37"/>
      <c r="E403" t="s">
        <v>592</v>
      </c>
    </row>
    <row r="404" spans="1:5" x14ac:dyDescent="0.35">
      <c r="A404" t="s">
        <v>407</v>
      </c>
      <c r="B404" t="s">
        <v>194</v>
      </c>
      <c r="D404" s="37"/>
      <c r="E404" t="s">
        <v>592</v>
      </c>
    </row>
    <row r="405" spans="1:5" x14ac:dyDescent="0.35">
      <c r="A405" t="s">
        <v>407</v>
      </c>
      <c r="B405" t="s">
        <v>144</v>
      </c>
      <c r="D405" s="37"/>
      <c r="E405" t="s">
        <v>592</v>
      </c>
    </row>
    <row r="406" spans="1:5" x14ac:dyDescent="0.35">
      <c r="A406" t="s">
        <v>407</v>
      </c>
      <c r="B406" t="s">
        <v>145</v>
      </c>
      <c r="D406" s="37"/>
      <c r="E406" t="s">
        <v>592</v>
      </c>
    </row>
    <row r="407" spans="1:5" x14ac:dyDescent="0.35">
      <c r="A407" t="s">
        <v>407</v>
      </c>
      <c r="B407" t="s">
        <v>146</v>
      </c>
      <c r="D407" s="37"/>
      <c r="E407" t="s">
        <v>592</v>
      </c>
    </row>
    <row r="408" spans="1:5" x14ac:dyDescent="0.35">
      <c r="A408" t="s">
        <v>407</v>
      </c>
      <c r="B408" t="s">
        <v>147</v>
      </c>
      <c r="D408" s="37"/>
      <c r="E408" t="s">
        <v>592</v>
      </c>
    </row>
    <row r="409" spans="1:5" x14ac:dyDescent="0.35">
      <c r="A409" t="s">
        <v>408</v>
      </c>
      <c r="B409" t="s">
        <v>299</v>
      </c>
      <c r="C409">
        <v>47616.979999999996</v>
      </c>
      <c r="D409" s="37">
        <v>4.5447878046864796</v>
      </c>
      <c r="E409" t="s">
        <v>592</v>
      </c>
    </row>
    <row r="410" spans="1:5" x14ac:dyDescent="0.35">
      <c r="A410" t="s">
        <v>408</v>
      </c>
      <c r="B410" t="s">
        <v>445</v>
      </c>
      <c r="D410" s="37"/>
      <c r="E410" t="s">
        <v>592</v>
      </c>
    </row>
    <row r="411" spans="1:5" x14ac:dyDescent="0.35">
      <c r="A411" t="s">
        <v>408</v>
      </c>
      <c r="B411" t="s">
        <v>189</v>
      </c>
      <c r="D411" s="37"/>
      <c r="E411" t="s">
        <v>592</v>
      </c>
    </row>
    <row r="412" spans="1:5" x14ac:dyDescent="0.35">
      <c r="A412" t="s">
        <v>408</v>
      </c>
      <c r="B412" t="s">
        <v>190</v>
      </c>
      <c r="D412" s="37"/>
      <c r="E412" t="s">
        <v>592</v>
      </c>
    </row>
    <row r="413" spans="1:5" x14ac:dyDescent="0.35">
      <c r="A413" t="s">
        <v>408</v>
      </c>
      <c r="B413" t="s">
        <v>301</v>
      </c>
      <c r="C413">
        <v>57458.81</v>
      </c>
      <c r="D413" s="37">
        <v>4.7999279831935269</v>
      </c>
      <c r="E413" t="s">
        <v>592</v>
      </c>
    </row>
    <row r="414" spans="1:5" x14ac:dyDescent="0.35">
      <c r="A414" t="s">
        <v>408</v>
      </c>
      <c r="B414" t="s">
        <v>446</v>
      </c>
      <c r="C414">
        <v>4716</v>
      </c>
      <c r="D414" s="37">
        <v>5.0599999999999996</v>
      </c>
      <c r="E414" t="s">
        <v>592</v>
      </c>
    </row>
    <row r="415" spans="1:5" x14ac:dyDescent="0.35">
      <c r="A415" t="s">
        <v>408</v>
      </c>
      <c r="B415" t="s">
        <v>40</v>
      </c>
      <c r="C415">
        <v>19800.629999999997</v>
      </c>
      <c r="D415" s="37">
        <v>5.2234681421752747</v>
      </c>
      <c r="E415" t="s">
        <v>592</v>
      </c>
    </row>
    <row r="416" spans="1:5" x14ac:dyDescent="0.35">
      <c r="A416" t="s">
        <v>408</v>
      </c>
      <c r="B416" t="s">
        <v>303</v>
      </c>
      <c r="D416" s="37"/>
      <c r="E416" t="s">
        <v>592</v>
      </c>
    </row>
    <row r="417" spans="1:5" x14ac:dyDescent="0.35">
      <c r="A417" t="s">
        <v>408</v>
      </c>
      <c r="B417" t="s">
        <v>199</v>
      </c>
      <c r="D417" s="37"/>
      <c r="E417" t="s">
        <v>592</v>
      </c>
    </row>
    <row r="418" spans="1:5" x14ac:dyDescent="0.35">
      <c r="A418" t="s">
        <v>408</v>
      </c>
      <c r="B418" t="s">
        <v>194</v>
      </c>
      <c r="D418" s="37"/>
      <c r="E418" t="s">
        <v>592</v>
      </c>
    </row>
    <row r="419" spans="1:5" x14ac:dyDescent="0.35">
      <c r="A419" t="s">
        <v>408</v>
      </c>
      <c r="B419" t="s">
        <v>144</v>
      </c>
      <c r="D419" s="37"/>
      <c r="E419" t="s">
        <v>592</v>
      </c>
    </row>
    <row r="420" spans="1:5" x14ac:dyDescent="0.35">
      <c r="A420" t="s">
        <v>408</v>
      </c>
      <c r="B420" t="s">
        <v>145</v>
      </c>
      <c r="D420" s="37"/>
      <c r="E420" t="s">
        <v>592</v>
      </c>
    </row>
    <row r="421" spans="1:5" x14ac:dyDescent="0.35">
      <c r="A421" t="s">
        <v>408</v>
      </c>
      <c r="B421" t="s">
        <v>146</v>
      </c>
      <c r="D421" s="37"/>
      <c r="E421" t="s">
        <v>592</v>
      </c>
    </row>
    <row r="422" spans="1:5" x14ac:dyDescent="0.35">
      <c r="A422" t="s">
        <v>408</v>
      </c>
      <c r="B422" t="s">
        <v>147</v>
      </c>
      <c r="D422" s="37"/>
      <c r="E422" t="s">
        <v>592</v>
      </c>
    </row>
    <row r="423" spans="1:5" x14ac:dyDescent="0.35">
      <c r="A423" t="s">
        <v>409</v>
      </c>
      <c r="B423" t="s">
        <v>299</v>
      </c>
      <c r="C423">
        <v>40895.040000000001</v>
      </c>
      <c r="D423" s="37">
        <v>4.5797011080072298</v>
      </c>
      <c r="E423" t="s">
        <v>592</v>
      </c>
    </row>
    <row r="424" spans="1:5" x14ac:dyDescent="0.35">
      <c r="A424" t="s">
        <v>409</v>
      </c>
      <c r="B424" t="s">
        <v>445</v>
      </c>
      <c r="D424" s="37"/>
      <c r="E424" t="s">
        <v>592</v>
      </c>
    </row>
    <row r="425" spans="1:5" x14ac:dyDescent="0.35">
      <c r="A425" t="s">
        <v>409</v>
      </c>
      <c r="B425" t="s">
        <v>189</v>
      </c>
      <c r="D425" s="37"/>
      <c r="E425" t="s">
        <v>592</v>
      </c>
    </row>
    <row r="426" spans="1:5" x14ac:dyDescent="0.35">
      <c r="A426" t="s">
        <v>409</v>
      </c>
      <c r="B426" t="s">
        <v>190</v>
      </c>
      <c r="D426" s="37"/>
      <c r="E426" t="s">
        <v>592</v>
      </c>
    </row>
    <row r="427" spans="1:5" x14ac:dyDescent="0.35">
      <c r="A427" t="s">
        <v>409</v>
      </c>
      <c r="B427" t="s">
        <v>301</v>
      </c>
      <c r="C427">
        <f>14446.69+1515.27</f>
        <v>15961.960000000001</v>
      </c>
      <c r="D427" s="37">
        <v>4.6150000000000002</v>
      </c>
      <c r="E427" t="s">
        <v>592</v>
      </c>
    </row>
    <row r="428" spans="1:5" x14ac:dyDescent="0.35">
      <c r="A428" t="s">
        <v>409</v>
      </c>
      <c r="B428" t="s">
        <v>446</v>
      </c>
      <c r="C428">
        <v>6133.2</v>
      </c>
      <c r="D428" s="37">
        <v>5.0599996739059545</v>
      </c>
      <c r="E428" t="s">
        <v>592</v>
      </c>
    </row>
    <row r="429" spans="1:5" x14ac:dyDescent="0.35">
      <c r="A429" t="s">
        <v>409</v>
      </c>
      <c r="B429" t="s">
        <v>40</v>
      </c>
      <c r="C429">
        <v>10560.61</v>
      </c>
      <c r="D429" s="37">
        <v>5.1930087371846891</v>
      </c>
      <c r="E429" t="s">
        <v>592</v>
      </c>
    </row>
    <row r="430" spans="1:5" x14ac:dyDescent="0.35">
      <c r="A430" t="s">
        <v>409</v>
      </c>
      <c r="B430" t="s">
        <v>303</v>
      </c>
      <c r="D430" s="37"/>
      <c r="E430" t="s">
        <v>592</v>
      </c>
    </row>
    <row r="431" spans="1:5" x14ac:dyDescent="0.35">
      <c r="A431" t="s">
        <v>409</v>
      </c>
      <c r="B431" t="s">
        <v>199</v>
      </c>
      <c r="D431" s="37"/>
      <c r="E431" t="s">
        <v>592</v>
      </c>
    </row>
    <row r="432" spans="1:5" x14ac:dyDescent="0.35">
      <c r="A432" t="s">
        <v>409</v>
      </c>
      <c r="B432" t="s">
        <v>194</v>
      </c>
      <c r="D432" s="37"/>
      <c r="E432" t="s">
        <v>592</v>
      </c>
    </row>
    <row r="433" spans="1:5" x14ac:dyDescent="0.35">
      <c r="A433" t="s">
        <v>409</v>
      </c>
      <c r="B433" t="s">
        <v>144</v>
      </c>
      <c r="D433" s="37"/>
      <c r="E433" t="s">
        <v>592</v>
      </c>
    </row>
    <row r="434" spans="1:5" x14ac:dyDescent="0.35">
      <c r="A434" t="s">
        <v>409</v>
      </c>
      <c r="B434" t="s">
        <v>145</v>
      </c>
      <c r="D434" s="37"/>
      <c r="E434" t="s">
        <v>592</v>
      </c>
    </row>
    <row r="435" spans="1:5" x14ac:dyDescent="0.35">
      <c r="A435" t="s">
        <v>409</v>
      </c>
      <c r="B435" t="s">
        <v>146</v>
      </c>
      <c r="D435" s="37"/>
      <c r="E435" t="s">
        <v>592</v>
      </c>
    </row>
    <row r="436" spans="1:5" x14ac:dyDescent="0.35">
      <c r="A436" t="s">
        <v>409</v>
      </c>
      <c r="B436" t="s">
        <v>147</v>
      </c>
      <c r="D436" s="37"/>
      <c r="E436" t="s">
        <v>592</v>
      </c>
    </row>
    <row r="437" spans="1:5" x14ac:dyDescent="0.35">
      <c r="A437" t="s">
        <v>410</v>
      </c>
      <c r="B437" t="s">
        <v>299</v>
      </c>
      <c r="C437">
        <v>28370.760000000002</v>
      </c>
      <c r="D437" s="37">
        <v>4.5214491962851886</v>
      </c>
      <c r="E437" t="s">
        <v>592</v>
      </c>
    </row>
    <row r="438" spans="1:5" x14ac:dyDescent="0.35">
      <c r="A438" t="s">
        <v>410</v>
      </c>
      <c r="B438" t="s">
        <v>445</v>
      </c>
      <c r="D438" s="37"/>
      <c r="E438" t="s">
        <v>592</v>
      </c>
    </row>
    <row r="439" spans="1:5" x14ac:dyDescent="0.35">
      <c r="A439" t="s">
        <v>410</v>
      </c>
      <c r="B439" t="s">
        <v>189</v>
      </c>
      <c r="D439" s="37"/>
      <c r="E439" t="s">
        <v>592</v>
      </c>
    </row>
    <row r="440" spans="1:5" x14ac:dyDescent="0.35">
      <c r="A440" t="s">
        <v>410</v>
      </c>
      <c r="B440" t="s">
        <v>190</v>
      </c>
      <c r="D440" s="37"/>
      <c r="E440" t="s">
        <v>592</v>
      </c>
    </row>
    <row r="441" spans="1:5" x14ac:dyDescent="0.35">
      <c r="A441" t="s">
        <v>410</v>
      </c>
      <c r="B441" t="s">
        <v>301</v>
      </c>
      <c r="C441">
        <v>18493.5</v>
      </c>
      <c r="D441" s="37">
        <v>4.6838624381539455</v>
      </c>
      <c r="E441" t="s">
        <v>592</v>
      </c>
    </row>
    <row r="442" spans="1:5" x14ac:dyDescent="0.35">
      <c r="A442" t="s">
        <v>410</v>
      </c>
      <c r="B442" t="s">
        <v>446</v>
      </c>
      <c r="D442" s="37"/>
      <c r="E442" t="s">
        <v>592</v>
      </c>
    </row>
    <row r="443" spans="1:5" x14ac:dyDescent="0.35">
      <c r="A443" t="s">
        <v>410</v>
      </c>
      <c r="B443" t="s">
        <v>40</v>
      </c>
      <c r="C443">
        <v>7112.78</v>
      </c>
      <c r="D443" s="37">
        <v>5.2118299736530584</v>
      </c>
      <c r="E443" t="s">
        <v>592</v>
      </c>
    </row>
    <row r="444" spans="1:5" x14ac:dyDescent="0.35">
      <c r="A444" t="s">
        <v>410</v>
      </c>
      <c r="B444" t="s">
        <v>303</v>
      </c>
      <c r="D444" s="37"/>
      <c r="E444" t="s">
        <v>592</v>
      </c>
    </row>
    <row r="445" spans="1:5" x14ac:dyDescent="0.35">
      <c r="A445" t="s">
        <v>410</v>
      </c>
      <c r="B445" t="s">
        <v>199</v>
      </c>
      <c r="D445" s="37"/>
      <c r="E445" t="s">
        <v>592</v>
      </c>
    </row>
    <row r="446" spans="1:5" x14ac:dyDescent="0.35">
      <c r="A446" t="s">
        <v>410</v>
      </c>
      <c r="B446" t="s">
        <v>194</v>
      </c>
      <c r="D446" s="37"/>
      <c r="E446" t="s">
        <v>592</v>
      </c>
    </row>
    <row r="447" spans="1:5" x14ac:dyDescent="0.35">
      <c r="A447" t="s">
        <v>410</v>
      </c>
      <c r="B447" t="s">
        <v>144</v>
      </c>
      <c r="D447" s="37"/>
      <c r="E447" t="s">
        <v>592</v>
      </c>
    </row>
    <row r="448" spans="1:5" x14ac:dyDescent="0.35">
      <c r="A448" t="s">
        <v>410</v>
      </c>
      <c r="B448" t="s">
        <v>145</v>
      </c>
      <c r="D448" s="37"/>
      <c r="E448" t="s">
        <v>592</v>
      </c>
    </row>
    <row r="449" spans="1:5" x14ac:dyDescent="0.35">
      <c r="A449" t="s">
        <v>410</v>
      </c>
      <c r="B449" t="s">
        <v>146</v>
      </c>
      <c r="D449" s="37"/>
      <c r="E449" t="s">
        <v>592</v>
      </c>
    </row>
    <row r="450" spans="1:5" x14ac:dyDescent="0.35">
      <c r="A450" t="s">
        <v>410</v>
      </c>
      <c r="B450" t="s">
        <v>147</v>
      </c>
      <c r="D450" s="37"/>
      <c r="E450" t="s">
        <v>592</v>
      </c>
    </row>
    <row r="451" spans="1:5" x14ac:dyDescent="0.35">
      <c r="A451" t="s">
        <v>411</v>
      </c>
      <c r="B451" t="s">
        <v>299</v>
      </c>
      <c r="C451">
        <v>58090.82</v>
      </c>
      <c r="D451" s="37">
        <v>4.546831495923108</v>
      </c>
      <c r="E451" t="s">
        <v>592</v>
      </c>
    </row>
    <row r="452" spans="1:5" x14ac:dyDescent="0.35">
      <c r="A452" t="s">
        <v>411</v>
      </c>
      <c r="B452" t="s">
        <v>445</v>
      </c>
      <c r="D452" s="37"/>
      <c r="E452" t="s">
        <v>592</v>
      </c>
    </row>
    <row r="453" spans="1:5" x14ac:dyDescent="0.35">
      <c r="A453" t="s">
        <v>411</v>
      </c>
      <c r="B453" t="s">
        <v>189</v>
      </c>
      <c r="D453" s="37"/>
      <c r="E453" t="s">
        <v>592</v>
      </c>
    </row>
    <row r="454" spans="1:5" x14ac:dyDescent="0.35">
      <c r="A454" t="s">
        <v>411</v>
      </c>
      <c r="B454" t="s">
        <v>190</v>
      </c>
      <c r="D454" s="37"/>
      <c r="E454" t="s">
        <v>592</v>
      </c>
    </row>
    <row r="455" spans="1:5" x14ac:dyDescent="0.35">
      <c r="A455" t="s">
        <v>411</v>
      </c>
      <c r="B455" t="s">
        <v>301</v>
      </c>
      <c r="C455">
        <v>22065.21</v>
      </c>
      <c r="D455" s="37">
        <v>4.5603930350085049</v>
      </c>
      <c r="E455" t="s">
        <v>592</v>
      </c>
    </row>
    <row r="456" spans="1:5" x14ac:dyDescent="0.35">
      <c r="A456" t="s">
        <v>411</v>
      </c>
      <c r="B456" t="s">
        <v>446</v>
      </c>
      <c r="C456">
        <v>1415.1</v>
      </c>
      <c r="D456" s="37">
        <v>5.0600028266553601</v>
      </c>
      <c r="E456" t="s">
        <v>592</v>
      </c>
    </row>
    <row r="457" spans="1:5" x14ac:dyDescent="0.35">
      <c r="A457" t="s">
        <v>411</v>
      </c>
      <c r="B457" t="s">
        <v>40</v>
      </c>
      <c r="C457">
        <v>12201.599999999999</v>
      </c>
      <c r="D457" s="37">
        <v>5.2201326055599271</v>
      </c>
      <c r="E457" t="s">
        <v>592</v>
      </c>
    </row>
    <row r="458" spans="1:5" x14ac:dyDescent="0.35">
      <c r="A458" t="s">
        <v>411</v>
      </c>
      <c r="B458" t="s">
        <v>303</v>
      </c>
      <c r="D458" s="37"/>
      <c r="E458" t="s">
        <v>592</v>
      </c>
    </row>
    <row r="459" spans="1:5" x14ac:dyDescent="0.35">
      <c r="A459" t="s">
        <v>411</v>
      </c>
      <c r="B459" t="s">
        <v>199</v>
      </c>
      <c r="D459" s="37"/>
      <c r="E459" t="s">
        <v>592</v>
      </c>
    </row>
    <row r="460" spans="1:5" x14ac:dyDescent="0.35">
      <c r="A460" t="s">
        <v>411</v>
      </c>
      <c r="B460" t="s">
        <v>194</v>
      </c>
      <c r="D460" s="37"/>
      <c r="E460" t="s">
        <v>592</v>
      </c>
    </row>
    <row r="461" spans="1:5" x14ac:dyDescent="0.35">
      <c r="A461" t="s">
        <v>411</v>
      </c>
      <c r="B461" t="s">
        <v>144</v>
      </c>
      <c r="D461" s="37"/>
      <c r="E461" t="s">
        <v>592</v>
      </c>
    </row>
    <row r="462" spans="1:5" x14ac:dyDescent="0.35">
      <c r="A462" t="s">
        <v>411</v>
      </c>
      <c r="B462" t="s">
        <v>145</v>
      </c>
      <c r="D462" s="37"/>
      <c r="E462" t="s">
        <v>592</v>
      </c>
    </row>
    <row r="463" spans="1:5" x14ac:dyDescent="0.35">
      <c r="A463" t="s">
        <v>411</v>
      </c>
      <c r="B463" t="s">
        <v>146</v>
      </c>
      <c r="D463" s="37"/>
      <c r="E463" t="s">
        <v>592</v>
      </c>
    </row>
    <row r="464" spans="1:5" x14ac:dyDescent="0.35">
      <c r="A464" t="s">
        <v>411</v>
      </c>
      <c r="B464" t="s">
        <v>147</v>
      </c>
      <c r="D464" s="37"/>
      <c r="E464" t="s">
        <v>592</v>
      </c>
    </row>
    <row r="465" spans="1:5" x14ac:dyDescent="0.35">
      <c r="A465" t="s">
        <v>412</v>
      </c>
      <c r="B465" t="s">
        <v>299</v>
      </c>
      <c r="C465">
        <v>23911.440000000002</v>
      </c>
      <c r="D465" s="37">
        <v>4.6437675857246568</v>
      </c>
      <c r="E465" t="s">
        <v>592</v>
      </c>
    </row>
    <row r="466" spans="1:5" x14ac:dyDescent="0.35">
      <c r="A466" t="s">
        <v>412</v>
      </c>
      <c r="B466" t="s">
        <v>445</v>
      </c>
      <c r="D466" s="37"/>
      <c r="E466" t="s">
        <v>592</v>
      </c>
    </row>
    <row r="467" spans="1:5" x14ac:dyDescent="0.35">
      <c r="A467" t="s">
        <v>412</v>
      </c>
      <c r="B467" t="s">
        <v>189</v>
      </c>
      <c r="D467" s="37"/>
      <c r="E467" t="s">
        <v>592</v>
      </c>
    </row>
    <row r="468" spans="1:5" x14ac:dyDescent="0.35">
      <c r="A468" t="s">
        <v>412</v>
      </c>
      <c r="B468" t="s">
        <v>190</v>
      </c>
      <c r="D468" s="37"/>
      <c r="E468" t="s">
        <v>592</v>
      </c>
    </row>
    <row r="469" spans="1:5" x14ac:dyDescent="0.35">
      <c r="A469" t="s">
        <v>412</v>
      </c>
      <c r="B469" t="s">
        <v>301</v>
      </c>
      <c r="C469">
        <v>19487.52</v>
      </c>
      <c r="D469" s="37">
        <v>4.5526629350476613</v>
      </c>
      <c r="E469" t="s">
        <v>592</v>
      </c>
    </row>
    <row r="470" spans="1:5" x14ac:dyDescent="0.35">
      <c r="A470" t="s">
        <v>412</v>
      </c>
      <c r="B470" t="s">
        <v>446</v>
      </c>
      <c r="C470">
        <v>2367.4</v>
      </c>
      <c r="D470" s="37">
        <v>5.0599983103826984</v>
      </c>
      <c r="E470" t="s">
        <v>592</v>
      </c>
    </row>
    <row r="471" spans="1:5" x14ac:dyDescent="0.35">
      <c r="A471" t="s">
        <v>412</v>
      </c>
      <c r="B471" t="s">
        <v>40</v>
      </c>
      <c r="D471" s="37"/>
      <c r="E471" t="s">
        <v>592</v>
      </c>
    </row>
    <row r="472" spans="1:5" x14ac:dyDescent="0.35">
      <c r="A472" t="s">
        <v>412</v>
      </c>
      <c r="B472" t="s">
        <v>303</v>
      </c>
      <c r="D472" s="37"/>
      <c r="E472" t="s">
        <v>592</v>
      </c>
    </row>
    <row r="473" spans="1:5" x14ac:dyDescent="0.35">
      <c r="A473" t="s">
        <v>412</v>
      </c>
      <c r="B473" t="s">
        <v>199</v>
      </c>
      <c r="D473" s="37"/>
      <c r="E473" t="s">
        <v>592</v>
      </c>
    </row>
    <row r="474" spans="1:5" x14ac:dyDescent="0.35">
      <c r="A474" t="s">
        <v>412</v>
      </c>
      <c r="B474" t="s">
        <v>194</v>
      </c>
      <c r="D474" s="37"/>
      <c r="E474" t="s">
        <v>592</v>
      </c>
    </row>
    <row r="475" spans="1:5" x14ac:dyDescent="0.35">
      <c r="A475" t="s">
        <v>412</v>
      </c>
      <c r="B475" t="s">
        <v>144</v>
      </c>
      <c r="D475" s="37"/>
      <c r="E475" t="s">
        <v>592</v>
      </c>
    </row>
    <row r="476" spans="1:5" x14ac:dyDescent="0.35">
      <c r="A476" t="s">
        <v>412</v>
      </c>
      <c r="B476" t="s">
        <v>145</v>
      </c>
      <c r="D476" s="37"/>
      <c r="E476" t="s">
        <v>592</v>
      </c>
    </row>
    <row r="477" spans="1:5" x14ac:dyDescent="0.35">
      <c r="A477" t="s">
        <v>412</v>
      </c>
      <c r="B477" t="s">
        <v>146</v>
      </c>
      <c r="D477" s="37"/>
      <c r="E477" t="s">
        <v>592</v>
      </c>
    </row>
    <row r="478" spans="1:5" x14ac:dyDescent="0.35">
      <c r="A478" t="s">
        <v>412</v>
      </c>
      <c r="B478" t="s">
        <v>147</v>
      </c>
      <c r="D478" s="37"/>
      <c r="E478" t="s">
        <v>592</v>
      </c>
    </row>
    <row r="479" spans="1:5" x14ac:dyDescent="0.35">
      <c r="A479" t="s">
        <v>413</v>
      </c>
      <c r="B479" t="s">
        <v>299</v>
      </c>
      <c r="C479">
        <v>28588.270000000004</v>
      </c>
      <c r="D479" s="37">
        <v>4.5182650086906264</v>
      </c>
      <c r="E479" t="s">
        <v>592</v>
      </c>
    </row>
    <row r="480" spans="1:5" x14ac:dyDescent="0.35">
      <c r="A480" t="s">
        <v>413</v>
      </c>
      <c r="B480" t="s">
        <v>445</v>
      </c>
      <c r="D480" s="37"/>
      <c r="E480" t="s">
        <v>592</v>
      </c>
    </row>
    <row r="481" spans="1:5" x14ac:dyDescent="0.35">
      <c r="A481" t="s">
        <v>413</v>
      </c>
      <c r="B481" t="s">
        <v>189</v>
      </c>
      <c r="D481" s="37"/>
      <c r="E481" t="s">
        <v>592</v>
      </c>
    </row>
    <row r="482" spans="1:5" x14ac:dyDescent="0.35">
      <c r="A482" t="s">
        <v>413</v>
      </c>
      <c r="B482" t="s">
        <v>190</v>
      </c>
      <c r="D482" s="37"/>
      <c r="E482" t="s">
        <v>592</v>
      </c>
    </row>
    <row r="483" spans="1:5" x14ac:dyDescent="0.35">
      <c r="A483" t="s">
        <v>413</v>
      </c>
      <c r="B483" t="s">
        <v>301</v>
      </c>
      <c r="C483">
        <f>46324.78+507.7</f>
        <v>46832.479999999996</v>
      </c>
      <c r="D483" s="37">
        <v>4.6012689105053504</v>
      </c>
      <c r="E483" t="s">
        <v>592</v>
      </c>
    </row>
    <row r="484" spans="1:5" x14ac:dyDescent="0.35">
      <c r="A484" t="s">
        <v>413</v>
      </c>
      <c r="B484" t="s">
        <v>446</v>
      </c>
      <c r="C484">
        <v>1878.8000000000002</v>
      </c>
      <c r="D484" s="37">
        <v>5.059995741962954</v>
      </c>
      <c r="E484" t="s">
        <v>592</v>
      </c>
    </row>
    <row r="485" spans="1:5" x14ac:dyDescent="0.35">
      <c r="A485" t="s">
        <v>413</v>
      </c>
      <c r="B485" t="s">
        <v>40</v>
      </c>
      <c r="C485">
        <v>4447.9699999999993</v>
      </c>
      <c r="D485" s="37">
        <v>5.2185806109303803</v>
      </c>
      <c r="E485" t="s">
        <v>592</v>
      </c>
    </row>
    <row r="486" spans="1:5" x14ac:dyDescent="0.35">
      <c r="A486" t="s">
        <v>413</v>
      </c>
      <c r="B486" t="s">
        <v>303</v>
      </c>
      <c r="D486" s="37"/>
      <c r="E486" t="s">
        <v>592</v>
      </c>
    </row>
    <row r="487" spans="1:5" x14ac:dyDescent="0.35">
      <c r="A487" t="s">
        <v>413</v>
      </c>
      <c r="B487" t="s">
        <v>199</v>
      </c>
      <c r="D487" s="37"/>
      <c r="E487" t="s">
        <v>592</v>
      </c>
    </row>
    <row r="488" spans="1:5" x14ac:dyDescent="0.35">
      <c r="A488" t="s">
        <v>413</v>
      </c>
      <c r="B488" t="s">
        <v>194</v>
      </c>
      <c r="D488" s="37"/>
      <c r="E488" t="s">
        <v>592</v>
      </c>
    </row>
    <row r="489" spans="1:5" x14ac:dyDescent="0.35">
      <c r="A489" t="s">
        <v>413</v>
      </c>
      <c r="B489" t="s">
        <v>144</v>
      </c>
      <c r="D489" s="37"/>
      <c r="E489" t="s">
        <v>592</v>
      </c>
    </row>
    <row r="490" spans="1:5" x14ac:dyDescent="0.35">
      <c r="A490" t="s">
        <v>413</v>
      </c>
      <c r="B490" t="s">
        <v>145</v>
      </c>
      <c r="D490" s="37"/>
      <c r="E490" t="s">
        <v>592</v>
      </c>
    </row>
    <row r="491" spans="1:5" x14ac:dyDescent="0.35">
      <c r="A491" t="s">
        <v>413</v>
      </c>
      <c r="B491" t="s">
        <v>146</v>
      </c>
      <c r="D491" s="37"/>
      <c r="E491" t="s">
        <v>592</v>
      </c>
    </row>
    <row r="492" spans="1:5" x14ac:dyDescent="0.35">
      <c r="A492" t="s">
        <v>413</v>
      </c>
      <c r="B492" t="s">
        <v>147</v>
      </c>
      <c r="D492" s="37"/>
      <c r="E492" t="s">
        <v>592</v>
      </c>
    </row>
    <row r="493" spans="1:5" x14ac:dyDescent="0.35">
      <c r="A493" t="s">
        <v>414</v>
      </c>
      <c r="B493" t="s">
        <v>299</v>
      </c>
      <c r="C493">
        <v>38745.56</v>
      </c>
      <c r="D493" s="37">
        <v>4.5709673572920355</v>
      </c>
      <c r="E493" t="s">
        <v>592</v>
      </c>
    </row>
    <row r="494" spans="1:5" x14ac:dyDescent="0.35">
      <c r="A494" t="s">
        <v>414</v>
      </c>
      <c r="B494" t="s">
        <v>445</v>
      </c>
      <c r="D494" s="37"/>
      <c r="E494" t="s">
        <v>592</v>
      </c>
    </row>
    <row r="495" spans="1:5" x14ac:dyDescent="0.35">
      <c r="A495" t="s">
        <v>414</v>
      </c>
      <c r="B495" t="s">
        <v>189</v>
      </c>
      <c r="D495" s="37"/>
      <c r="E495" t="s">
        <v>592</v>
      </c>
    </row>
    <row r="496" spans="1:5" x14ac:dyDescent="0.35">
      <c r="A496" t="s">
        <v>414</v>
      </c>
      <c r="B496" t="s">
        <v>190</v>
      </c>
      <c r="D496" s="37"/>
      <c r="E496" t="s">
        <v>592</v>
      </c>
    </row>
    <row r="497" spans="1:5" x14ac:dyDescent="0.35">
      <c r="A497" t="s">
        <v>414</v>
      </c>
      <c r="B497" t="s">
        <v>301</v>
      </c>
      <c r="C497">
        <v>76098.12000000001</v>
      </c>
      <c r="D497" s="37">
        <v>4.868503715991932</v>
      </c>
      <c r="E497" t="s">
        <v>592</v>
      </c>
    </row>
    <row r="498" spans="1:5" x14ac:dyDescent="0.35">
      <c r="A498" t="s">
        <v>414</v>
      </c>
      <c r="B498" t="s">
        <v>446</v>
      </c>
      <c r="C498">
        <v>1868.5</v>
      </c>
      <c r="D498" s="37">
        <v>5.0600000000000005</v>
      </c>
      <c r="E498" t="s">
        <v>592</v>
      </c>
    </row>
    <row r="499" spans="1:5" x14ac:dyDescent="0.35">
      <c r="A499" t="s">
        <v>414</v>
      </c>
      <c r="B499" t="s">
        <v>40</v>
      </c>
      <c r="C499">
        <v>4640.0200000000004</v>
      </c>
      <c r="D499" s="37">
        <v>5.2182856970444078</v>
      </c>
      <c r="E499" t="s">
        <v>592</v>
      </c>
    </row>
    <row r="500" spans="1:5" x14ac:dyDescent="0.35">
      <c r="A500" t="s">
        <v>414</v>
      </c>
      <c r="B500" t="s">
        <v>303</v>
      </c>
      <c r="D500" s="37"/>
      <c r="E500" t="s">
        <v>592</v>
      </c>
    </row>
    <row r="501" spans="1:5" x14ac:dyDescent="0.35">
      <c r="A501" t="s">
        <v>414</v>
      </c>
      <c r="B501" t="s">
        <v>199</v>
      </c>
      <c r="D501" s="37"/>
      <c r="E501" t="s">
        <v>592</v>
      </c>
    </row>
    <row r="502" spans="1:5" x14ac:dyDescent="0.35">
      <c r="A502" t="s">
        <v>414</v>
      </c>
      <c r="B502" t="s">
        <v>194</v>
      </c>
      <c r="D502" s="37"/>
      <c r="E502" t="s">
        <v>592</v>
      </c>
    </row>
    <row r="503" spans="1:5" x14ac:dyDescent="0.35">
      <c r="A503" t="s">
        <v>414</v>
      </c>
      <c r="B503" t="s">
        <v>144</v>
      </c>
      <c r="D503" s="37"/>
      <c r="E503" t="s">
        <v>592</v>
      </c>
    </row>
    <row r="504" spans="1:5" x14ac:dyDescent="0.35">
      <c r="A504" t="s">
        <v>414</v>
      </c>
      <c r="B504" t="s">
        <v>145</v>
      </c>
      <c r="D504" s="37"/>
      <c r="E504" t="s">
        <v>592</v>
      </c>
    </row>
    <row r="505" spans="1:5" x14ac:dyDescent="0.35">
      <c r="A505" t="s">
        <v>414</v>
      </c>
      <c r="B505" t="s">
        <v>146</v>
      </c>
      <c r="D505" s="37"/>
      <c r="E505" t="s">
        <v>592</v>
      </c>
    </row>
    <row r="506" spans="1:5" x14ac:dyDescent="0.35">
      <c r="A506" t="s">
        <v>414</v>
      </c>
      <c r="B506" t="s">
        <v>147</v>
      </c>
      <c r="D506" s="37"/>
      <c r="E506" t="s">
        <v>592</v>
      </c>
    </row>
    <row r="507" spans="1:5" x14ac:dyDescent="0.35">
      <c r="A507" t="s">
        <v>415</v>
      </c>
      <c r="B507" t="s">
        <v>299</v>
      </c>
      <c r="C507">
        <v>66685.48000000001</v>
      </c>
      <c r="D507" s="37">
        <v>4.8964993578812059</v>
      </c>
      <c r="E507" t="s">
        <v>592</v>
      </c>
    </row>
    <row r="508" spans="1:5" x14ac:dyDescent="0.35">
      <c r="A508" t="s">
        <v>415</v>
      </c>
      <c r="B508" t="s">
        <v>445</v>
      </c>
      <c r="D508" s="37"/>
      <c r="E508" t="s">
        <v>592</v>
      </c>
    </row>
    <row r="509" spans="1:5" x14ac:dyDescent="0.35">
      <c r="A509" t="s">
        <v>415</v>
      </c>
      <c r="B509" t="s">
        <v>189</v>
      </c>
      <c r="D509" s="37"/>
      <c r="E509" t="s">
        <v>592</v>
      </c>
    </row>
    <row r="510" spans="1:5" x14ac:dyDescent="0.35">
      <c r="A510" t="s">
        <v>415</v>
      </c>
      <c r="B510" t="s">
        <v>190</v>
      </c>
      <c r="D510" s="37"/>
      <c r="E510" t="s">
        <v>592</v>
      </c>
    </row>
    <row r="511" spans="1:5" x14ac:dyDescent="0.35">
      <c r="A511" t="s">
        <v>415</v>
      </c>
      <c r="B511" t="s">
        <v>301</v>
      </c>
      <c r="C511">
        <v>77061.989999999991</v>
      </c>
      <c r="D511" s="37">
        <v>4.7985624300644201</v>
      </c>
      <c r="E511" t="s">
        <v>592</v>
      </c>
    </row>
    <row r="512" spans="1:5" x14ac:dyDescent="0.35">
      <c r="A512" t="s">
        <v>415</v>
      </c>
      <c r="B512" t="s">
        <v>446</v>
      </c>
      <c r="C512">
        <v>491.69999999999993</v>
      </c>
      <c r="D512" s="37">
        <v>5.0600162700833851</v>
      </c>
      <c r="E512" t="s">
        <v>592</v>
      </c>
    </row>
    <row r="513" spans="1:5" x14ac:dyDescent="0.35">
      <c r="A513" t="s">
        <v>415</v>
      </c>
      <c r="B513" t="s">
        <v>40</v>
      </c>
      <c r="C513">
        <v>11160.09</v>
      </c>
      <c r="D513" s="37">
        <v>5.2160600855369443</v>
      </c>
      <c r="E513" t="s">
        <v>592</v>
      </c>
    </row>
    <row r="514" spans="1:5" x14ac:dyDescent="0.35">
      <c r="A514" t="s">
        <v>415</v>
      </c>
      <c r="B514" t="s">
        <v>303</v>
      </c>
      <c r="D514" s="37"/>
      <c r="E514" t="s">
        <v>592</v>
      </c>
    </row>
    <row r="515" spans="1:5" x14ac:dyDescent="0.35">
      <c r="A515" t="s">
        <v>415</v>
      </c>
      <c r="B515" t="s">
        <v>199</v>
      </c>
      <c r="D515" s="37"/>
      <c r="E515" t="s">
        <v>592</v>
      </c>
    </row>
    <row r="516" spans="1:5" x14ac:dyDescent="0.35">
      <c r="A516" t="s">
        <v>415</v>
      </c>
      <c r="B516" t="s">
        <v>194</v>
      </c>
      <c r="C516">
        <v>1367</v>
      </c>
      <c r="D516" s="37">
        <v>4.9000000000000004</v>
      </c>
      <c r="E516" t="s">
        <v>592</v>
      </c>
    </row>
    <row r="517" spans="1:5" x14ac:dyDescent="0.35">
      <c r="A517" t="s">
        <v>415</v>
      </c>
      <c r="B517" t="s">
        <v>144</v>
      </c>
      <c r="D517" s="37"/>
      <c r="E517" t="s">
        <v>592</v>
      </c>
    </row>
    <row r="518" spans="1:5" x14ac:dyDescent="0.35">
      <c r="A518" t="s">
        <v>415</v>
      </c>
      <c r="B518" t="s">
        <v>145</v>
      </c>
      <c r="D518" s="37"/>
      <c r="E518" t="s">
        <v>592</v>
      </c>
    </row>
    <row r="519" spans="1:5" x14ac:dyDescent="0.35">
      <c r="A519" t="s">
        <v>415</v>
      </c>
      <c r="B519" t="s">
        <v>146</v>
      </c>
      <c r="D519" s="37"/>
      <c r="E519" t="s">
        <v>592</v>
      </c>
    </row>
    <row r="520" spans="1:5" x14ac:dyDescent="0.35">
      <c r="A520" t="s">
        <v>415</v>
      </c>
      <c r="B520" t="s">
        <v>147</v>
      </c>
      <c r="D520" s="37"/>
      <c r="E520" t="s">
        <v>592</v>
      </c>
    </row>
    <row r="521" spans="1:5" x14ac:dyDescent="0.35">
      <c r="A521" t="s">
        <v>416</v>
      </c>
      <c r="B521" t="s">
        <v>299</v>
      </c>
      <c r="C521">
        <v>50936.319999999992</v>
      </c>
      <c r="D521" s="37">
        <v>4.531939292041514</v>
      </c>
      <c r="E521" t="s">
        <v>592</v>
      </c>
    </row>
    <row r="522" spans="1:5" x14ac:dyDescent="0.35">
      <c r="A522" t="s">
        <v>416</v>
      </c>
      <c r="B522" t="s">
        <v>445</v>
      </c>
      <c r="D522" s="37"/>
      <c r="E522" t="s">
        <v>592</v>
      </c>
    </row>
    <row r="523" spans="1:5" x14ac:dyDescent="0.35">
      <c r="A523" t="s">
        <v>416</v>
      </c>
      <c r="B523" t="s">
        <v>189</v>
      </c>
      <c r="D523" s="37"/>
      <c r="E523" t="s">
        <v>592</v>
      </c>
    </row>
    <row r="524" spans="1:5" x14ac:dyDescent="0.35">
      <c r="A524" t="s">
        <v>416</v>
      </c>
      <c r="B524" t="s">
        <v>190</v>
      </c>
      <c r="D524" s="37"/>
      <c r="E524" t="s">
        <v>592</v>
      </c>
    </row>
    <row r="525" spans="1:5" x14ac:dyDescent="0.35">
      <c r="A525" t="s">
        <v>416</v>
      </c>
      <c r="B525" t="s">
        <v>301</v>
      </c>
      <c r="C525">
        <v>12344.230000000001</v>
      </c>
      <c r="D525" s="37">
        <v>4.6348569331582441</v>
      </c>
      <c r="E525" t="s">
        <v>592</v>
      </c>
    </row>
    <row r="526" spans="1:5" x14ac:dyDescent="0.35">
      <c r="A526" t="s">
        <v>416</v>
      </c>
      <c r="B526" t="s">
        <v>446</v>
      </c>
      <c r="C526">
        <v>2304</v>
      </c>
      <c r="D526" s="37">
        <v>5.0599999999999996</v>
      </c>
      <c r="E526" t="s">
        <v>592</v>
      </c>
    </row>
    <row r="527" spans="1:5" x14ac:dyDescent="0.35">
      <c r="A527" t="s">
        <v>416</v>
      </c>
      <c r="B527" t="s">
        <v>40</v>
      </c>
      <c r="C527">
        <v>14443.41</v>
      </c>
      <c r="D527" s="37">
        <v>5.2032117069307038</v>
      </c>
      <c r="E527" t="s">
        <v>592</v>
      </c>
    </row>
    <row r="528" spans="1:5" x14ac:dyDescent="0.35">
      <c r="A528" t="s">
        <v>416</v>
      </c>
      <c r="B528" t="s">
        <v>303</v>
      </c>
      <c r="D528" s="37"/>
      <c r="E528" t="s">
        <v>592</v>
      </c>
    </row>
    <row r="529" spans="1:5" x14ac:dyDescent="0.35">
      <c r="A529" t="s">
        <v>416</v>
      </c>
      <c r="B529" t="s">
        <v>199</v>
      </c>
      <c r="D529" s="37"/>
      <c r="E529" t="s">
        <v>592</v>
      </c>
    </row>
    <row r="530" spans="1:5" x14ac:dyDescent="0.35">
      <c r="A530" t="s">
        <v>416</v>
      </c>
      <c r="B530" t="s">
        <v>194</v>
      </c>
      <c r="D530" s="37"/>
      <c r="E530" t="s">
        <v>592</v>
      </c>
    </row>
    <row r="531" spans="1:5" x14ac:dyDescent="0.35">
      <c r="A531" t="s">
        <v>416</v>
      </c>
      <c r="B531" t="s">
        <v>144</v>
      </c>
      <c r="D531" s="37"/>
      <c r="E531" t="s">
        <v>592</v>
      </c>
    </row>
    <row r="532" spans="1:5" x14ac:dyDescent="0.35">
      <c r="A532" t="s">
        <v>416</v>
      </c>
      <c r="B532" t="s">
        <v>145</v>
      </c>
      <c r="D532" s="37"/>
      <c r="E532" t="s">
        <v>592</v>
      </c>
    </row>
    <row r="533" spans="1:5" x14ac:dyDescent="0.35">
      <c r="A533" t="s">
        <v>416</v>
      </c>
      <c r="B533" t="s">
        <v>146</v>
      </c>
      <c r="D533" s="37"/>
      <c r="E533" t="s">
        <v>592</v>
      </c>
    </row>
    <row r="534" spans="1:5" x14ac:dyDescent="0.35">
      <c r="A534" t="s">
        <v>416</v>
      </c>
      <c r="B534" t="s">
        <v>147</v>
      </c>
      <c r="D534" s="37"/>
      <c r="E534" t="s">
        <v>592</v>
      </c>
    </row>
    <row r="535" spans="1:5" x14ac:dyDescent="0.35">
      <c r="A535" t="s">
        <v>417</v>
      </c>
      <c r="B535" t="s">
        <v>299</v>
      </c>
      <c r="C535">
        <v>31222.989999999998</v>
      </c>
      <c r="D535" s="37">
        <v>4.5604357558324811</v>
      </c>
      <c r="E535" t="s">
        <v>592</v>
      </c>
    </row>
    <row r="536" spans="1:5" x14ac:dyDescent="0.35">
      <c r="A536" t="s">
        <v>417</v>
      </c>
      <c r="B536" t="s">
        <v>445</v>
      </c>
      <c r="D536" s="37"/>
      <c r="E536" t="s">
        <v>592</v>
      </c>
    </row>
    <row r="537" spans="1:5" x14ac:dyDescent="0.35">
      <c r="A537" t="s">
        <v>417</v>
      </c>
      <c r="B537" t="s">
        <v>189</v>
      </c>
      <c r="D537" s="37"/>
      <c r="E537" t="s">
        <v>592</v>
      </c>
    </row>
    <row r="538" spans="1:5" x14ac:dyDescent="0.35">
      <c r="A538" t="s">
        <v>417</v>
      </c>
      <c r="B538" t="s">
        <v>190</v>
      </c>
      <c r="D538" s="37"/>
      <c r="E538" t="s">
        <v>592</v>
      </c>
    </row>
    <row r="539" spans="1:5" x14ac:dyDescent="0.35">
      <c r="A539" t="s">
        <v>417</v>
      </c>
      <c r="B539" t="s">
        <v>301</v>
      </c>
      <c r="C539">
        <v>37810.080000000002</v>
      </c>
      <c r="D539" s="37">
        <v>4.5504561217537756</v>
      </c>
      <c r="E539" t="s">
        <v>592</v>
      </c>
    </row>
    <row r="540" spans="1:5" x14ac:dyDescent="0.35">
      <c r="A540" t="s">
        <v>417</v>
      </c>
      <c r="B540" t="s">
        <v>446</v>
      </c>
      <c r="C540">
        <v>4456.7</v>
      </c>
      <c r="D540" s="37">
        <v>5.0599995512374631</v>
      </c>
      <c r="E540" t="s">
        <v>592</v>
      </c>
    </row>
    <row r="541" spans="1:5" x14ac:dyDescent="0.35">
      <c r="A541" t="s">
        <v>417</v>
      </c>
      <c r="B541" t="s">
        <v>40</v>
      </c>
      <c r="C541">
        <v>8845.09</v>
      </c>
      <c r="D541" s="37">
        <v>5.2041121119174587</v>
      </c>
      <c r="E541" t="s">
        <v>592</v>
      </c>
    </row>
    <row r="542" spans="1:5" x14ac:dyDescent="0.35">
      <c r="A542" t="s">
        <v>417</v>
      </c>
      <c r="B542" t="s">
        <v>303</v>
      </c>
      <c r="D542" s="37"/>
      <c r="E542" t="s">
        <v>592</v>
      </c>
    </row>
    <row r="543" spans="1:5" x14ac:dyDescent="0.35">
      <c r="A543" t="s">
        <v>417</v>
      </c>
      <c r="B543" t="s">
        <v>199</v>
      </c>
      <c r="D543" s="37"/>
      <c r="E543" t="s">
        <v>592</v>
      </c>
    </row>
    <row r="544" spans="1:5" x14ac:dyDescent="0.35">
      <c r="A544" t="s">
        <v>417</v>
      </c>
      <c r="B544" t="s">
        <v>194</v>
      </c>
      <c r="D544" s="37"/>
      <c r="E544" t="s">
        <v>592</v>
      </c>
    </row>
    <row r="545" spans="1:5" x14ac:dyDescent="0.35">
      <c r="A545" t="s">
        <v>417</v>
      </c>
      <c r="B545" t="s">
        <v>144</v>
      </c>
      <c r="D545" s="37"/>
      <c r="E545" t="s">
        <v>592</v>
      </c>
    </row>
    <row r="546" spans="1:5" x14ac:dyDescent="0.35">
      <c r="A546" t="s">
        <v>417</v>
      </c>
      <c r="B546" t="s">
        <v>145</v>
      </c>
      <c r="D546" s="37"/>
      <c r="E546" t="s">
        <v>592</v>
      </c>
    </row>
    <row r="547" spans="1:5" x14ac:dyDescent="0.35">
      <c r="A547" t="s">
        <v>417</v>
      </c>
      <c r="B547" t="s">
        <v>146</v>
      </c>
      <c r="D547" s="37"/>
      <c r="E547" t="s">
        <v>592</v>
      </c>
    </row>
    <row r="548" spans="1:5" x14ac:dyDescent="0.35">
      <c r="A548" t="s">
        <v>417</v>
      </c>
      <c r="B548" t="s">
        <v>147</v>
      </c>
      <c r="D548" s="37"/>
      <c r="E548" t="s">
        <v>592</v>
      </c>
    </row>
    <row r="549" spans="1:5" x14ac:dyDescent="0.35">
      <c r="A549" t="s">
        <v>418</v>
      </c>
      <c r="B549" t="s">
        <v>299</v>
      </c>
      <c r="C549">
        <v>38701.009999999995</v>
      </c>
      <c r="D549" s="37">
        <v>4.6923398123201441</v>
      </c>
      <c r="E549" t="s">
        <v>592</v>
      </c>
    </row>
    <row r="550" spans="1:5" x14ac:dyDescent="0.35">
      <c r="A550" t="s">
        <v>418</v>
      </c>
      <c r="B550" t="s">
        <v>445</v>
      </c>
      <c r="D550" s="37"/>
      <c r="E550" t="s">
        <v>592</v>
      </c>
    </row>
    <row r="551" spans="1:5" x14ac:dyDescent="0.35">
      <c r="A551" t="s">
        <v>418</v>
      </c>
      <c r="B551" t="s">
        <v>189</v>
      </c>
      <c r="D551" s="37"/>
      <c r="E551" t="s">
        <v>592</v>
      </c>
    </row>
    <row r="552" spans="1:5" x14ac:dyDescent="0.35">
      <c r="A552" t="s">
        <v>418</v>
      </c>
      <c r="B552" t="s">
        <v>190</v>
      </c>
      <c r="D552" s="37"/>
      <c r="E552" t="s">
        <v>592</v>
      </c>
    </row>
    <row r="553" spans="1:5" x14ac:dyDescent="0.35">
      <c r="A553" t="s">
        <v>418</v>
      </c>
      <c r="B553" t="s">
        <v>301</v>
      </c>
      <c r="C553">
        <f>20169.13+771.41</f>
        <v>20940.54</v>
      </c>
      <c r="D553" s="37">
        <v>4.9183311327756813</v>
      </c>
      <c r="E553" t="s">
        <v>592</v>
      </c>
    </row>
    <row r="554" spans="1:5" x14ac:dyDescent="0.35">
      <c r="A554" t="s">
        <v>418</v>
      </c>
      <c r="B554" t="s">
        <v>446</v>
      </c>
      <c r="C554">
        <v>1035.8</v>
      </c>
      <c r="D554" s="37">
        <v>5.0600019308746864</v>
      </c>
      <c r="E554" t="s">
        <v>592</v>
      </c>
    </row>
    <row r="555" spans="1:5" x14ac:dyDescent="0.35">
      <c r="A555" t="s">
        <v>418</v>
      </c>
      <c r="B555" t="s">
        <v>40</v>
      </c>
      <c r="C555">
        <v>13241.240000000002</v>
      </c>
      <c r="D555" s="37">
        <v>5.1991037093202745</v>
      </c>
      <c r="E555" t="s">
        <v>592</v>
      </c>
    </row>
    <row r="556" spans="1:5" x14ac:dyDescent="0.35">
      <c r="A556" t="s">
        <v>418</v>
      </c>
      <c r="B556" t="s">
        <v>303</v>
      </c>
      <c r="D556" s="37"/>
      <c r="E556" t="s">
        <v>592</v>
      </c>
    </row>
    <row r="557" spans="1:5" x14ac:dyDescent="0.35">
      <c r="A557" t="s">
        <v>418</v>
      </c>
      <c r="B557" t="s">
        <v>199</v>
      </c>
      <c r="D557" s="37"/>
      <c r="E557" t="s">
        <v>592</v>
      </c>
    </row>
    <row r="558" spans="1:5" x14ac:dyDescent="0.35">
      <c r="A558" t="s">
        <v>418</v>
      </c>
      <c r="B558" t="s">
        <v>194</v>
      </c>
      <c r="D558" s="37"/>
      <c r="E558" t="s">
        <v>592</v>
      </c>
    </row>
    <row r="559" spans="1:5" x14ac:dyDescent="0.35">
      <c r="A559" t="s">
        <v>418</v>
      </c>
      <c r="B559" t="s">
        <v>144</v>
      </c>
      <c r="D559" s="37"/>
      <c r="E559" t="s">
        <v>592</v>
      </c>
    </row>
    <row r="560" spans="1:5" x14ac:dyDescent="0.35">
      <c r="A560" t="s">
        <v>418</v>
      </c>
      <c r="B560" t="s">
        <v>145</v>
      </c>
      <c r="D560" s="37"/>
      <c r="E560" t="s">
        <v>592</v>
      </c>
    </row>
    <row r="561" spans="1:5" x14ac:dyDescent="0.35">
      <c r="A561" t="s">
        <v>418</v>
      </c>
      <c r="B561" t="s">
        <v>146</v>
      </c>
      <c r="D561" s="37"/>
      <c r="E561" t="s">
        <v>592</v>
      </c>
    </row>
    <row r="562" spans="1:5" x14ac:dyDescent="0.35">
      <c r="A562" t="s">
        <v>418</v>
      </c>
      <c r="B562" t="s">
        <v>147</v>
      </c>
      <c r="D562" s="37"/>
      <c r="E562" t="s">
        <v>592</v>
      </c>
    </row>
    <row r="563" spans="1:5" x14ac:dyDescent="0.35">
      <c r="A563" t="s">
        <v>419</v>
      </c>
      <c r="B563" t="s">
        <v>299</v>
      </c>
      <c r="C563">
        <v>39649.680000000008</v>
      </c>
      <c r="D563" s="37">
        <v>4.6008209902324557</v>
      </c>
      <c r="E563" t="s">
        <v>592</v>
      </c>
    </row>
    <row r="564" spans="1:5" x14ac:dyDescent="0.35">
      <c r="A564" t="s">
        <v>419</v>
      </c>
      <c r="B564" t="s">
        <v>445</v>
      </c>
      <c r="D564" s="37"/>
      <c r="E564" t="s">
        <v>592</v>
      </c>
    </row>
    <row r="565" spans="1:5" x14ac:dyDescent="0.35">
      <c r="A565" t="s">
        <v>419</v>
      </c>
      <c r="B565" t="s">
        <v>189</v>
      </c>
      <c r="D565" s="37"/>
      <c r="E565" t="s">
        <v>592</v>
      </c>
    </row>
    <row r="566" spans="1:5" x14ac:dyDescent="0.35">
      <c r="A566" t="s">
        <v>419</v>
      </c>
      <c r="B566" t="s">
        <v>190</v>
      </c>
      <c r="D566" s="37"/>
      <c r="E566" t="s">
        <v>592</v>
      </c>
    </row>
    <row r="567" spans="1:5" x14ac:dyDescent="0.35">
      <c r="A567" t="s">
        <v>419</v>
      </c>
      <c r="B567" t="s">
        <v>301</v>
      </c>
      <c r="C567">
        <f>9615.18+464.16</f>
        <v>10079.34</v>
      </c>
      <c r="D567" s="37">
        <v>4.58</v>
      </c>
      <c r="E567" t="s">
        <v>592</v>
      </c>
    </row>
    <row r="568" spans="1:5" x14ac:dyDescent="0.35">
      <c r="A568" t="s">
        <v>419</v>
      </c>
      <c r="B568" t="s">
        <v>446</v>
      </c>
      <c r="C568">
        <v>5149.5</v>
      </c>
      <c r="D568" s="37">
        <v>5.0600000000000005</v>
      </c>
      <c r="E568" t="s">
        <v>592</v>
      </c>
    </row>
    <row r="569" spans="1:5" x14ac:dyDescent="0.35">
      <c r="A569" t="s">
        <v>419</v>
      </c>
      <c r="B569" t="s">
        <v>40</v>
      </c>
      <c r="C569">
        <v>7876</v>
      </c>
      <c r="D569" s="37">
        <v>5.1975939563230069</v>
      </c>
      <c r="E569" t="s">
        <v>592</v>
      </c>
    </row>
    <row r="570" spans="1:5" x14ac:dyDescent="0.35">
      <c r="A570" t="s">
        <v>419</v>
      </c>
      <c r="B570" t="s">
        <v>303</v>
      </c>
      <c r="D570" s="37"/>
      <c r="E570" t="s">
        <v>592</v>
      </c>
    </row>
    <row r="571" spans="1:5" x14ac:dyDescent="0.35">
      <c r="A571" t="s">
        <v>419</v>
      </c>
      <c r="B571" t="s">
        <v>199</v>
      </c>
      <c r="D571" s="37"/>
      <c r="E571" t="s">
        <v>592</v>
      </c>
    </row>
    <row r="572" spans="1:5" x14ac:dyDescent="0.35">
      <c r="A572" t="s">
        <v>419</v>
      </c>
      <c r="B572" t="s">
        <v>194</v>
      </c>
      <c r="D572" s="37"/>
      <c r="E572" t="s">
        <v>592</v>
      </c>
    </row>
    <row r="573" spans="1:5" x14ac:dyDescent="0.35">
      <c r="A573" t="s">
        <v>419</v>
      </c>
      <c r="B573" t="s">
        <v>144</v>
      </c>
      <c r="D573" s="37"/>
      <c r="E573" t="s">
        <v>592</v>
      </c>
    </row>
    <row r="574" spans="1:5" x14ac:dyDescent="0.35">
      <c r="A574" t="s">
        <v>419</v>
      </c>
      <c r="B574" t="s">
        <v>145</v>
      </c>
      <c r="D574" s="37"/>
      <c r="E574" t="s">
        <v>592</v>
      </c>
    </row>
    <row r="575" spans="1:5" x14ac:dyDescent="0.35">
      <c r="A575" t="s">
        <v>419</v>
      </c>
      <c r="B575" t="s">
        <v>146</v>
      </c>
      <c r="D575" s="37"/>
      <c r="E575" t="s">
        <v>592</v>
      </c>
    </row>
    <row r="576" spans="1:5" x14ac:dyDescent="0.35">
      <c r="A576" t="s">
        <v>419</v>
      </c>
      <c r="B576" t="s">
        <v>147</v>
      </c>
      <c r="D576" s="37"/>
      <c r="E576" t="s">
        <v>592</v>
      </c>
    </row>
    <row r="577" spans="1:5" x14ac:dyDescent="0.35">
      <c r="A577" t="s">
        <v>420</v>
      </c>
      <c r="B577" t="s">
        <v>299</v>
      </c>
      <c r="C577">
        <v>53283.8</v>
      </c>
      <c r="D577" s="37">
        <v>4.6097684474455649</v>
      </c>
      <c r="E577" t="s">
        <v>592</v>
      </c>
    </row>
    <row r="578" spans="1:5" x14ac:dyDescent="0.35">
      <c r="A578" t="s">
        <v>420</v>
      </c>
      <c r="B578" t="s">
        <v>445</v>
      </c>
      <c r="D578" s="37"/>
      <c r="E578" t="s">
        <v>592</v>
      </c>
    </row>
    <row r="579" spans="1:5" x14ac:dyDescent="0.35">
      <c r="A579" t="s">
        <v>420</v>
      </c>
      <c r="B579" t="s">
        <v>189</v>
      </c>
      <c r="D579" s="37"/>
      <c r="E579" t="s">
        <v>592</v>
      </c>
    </row>
    <row r="580" spans="1:5" x14ac:dyDescent="0.35">
      <c r="A580" t="s">
        <v>420</v>
      </c>
      <c r="B580" t="s">
        <v>190</v>
      </c>
      <c r="D580" s="37"/>
      <c r="E580" t="s">
        <v>592</v>
      </c>
    </row>
    <row r="581" spans="1:5" x14ac:dyDescent="0.35">
      <c r="A581" t="s">
        <v>420</v>
      </c>
      <c r="B581" t="s">
        <v>301</v>
      </c>
      <c r="C581">
        <v>6812.75</v>
      </c>
      <c r="D581" s="37">
        <v>4.5999985321639576</v>
      </c>
      <c r="E581" t="s">
        <v>592</v>
      </c>
    </row>
    <row r="582" spans="1:5" x14ac:dyDescent="0.35">
      <c r="A582" t="s">
        <v>420</v>
      </c>
      <c r="B582" t="s">
        <v>446</v>
      </c>
      <c r="D582" s="37"/>
      <c r="E582" t="s">
        <v>592</v>
      </c>
    </row>
    <row r="583" spans="1:5" x14ac:dyDescent="0.35">
      <c r="A583" t="s">
        <v>420</v>
      </c>
      <c r="B583" t="s">
        <v>40</v>
      </c>
      <c r="C583">
        <v>2204.8200000000002</v>
      </c>
      <c r="D583" s="37">
        <v>5.2300006349724688</v>
      </c>
      <c r="E583" t="s">
        <v>592</v>
      </c>
    </row>
    <row r="584" spans="1:5" x14ac:dyDescent="0.35">
      <c r="A584" t="s">
        <v>420</v>
      </c>
      <c r="B584" t="s">
        <v>303</v>
      </c>
      <c r="D584" s="37"/>
      <c r="E584" t="s">
        <v>592</v>
      </c>
    </row>
    <row r="585" spans="1:5" x14ac:dyDescent="0.35">
      <c r="A585" t="s">
        <v>420</v>
      </c>
      <c r="B585" t="s">
        <v>199</v>
      </c>
      <c r="D585" s="37"/>
      <c r="E585" t="s">
        <v>592</v>
      </c>
    </row>
    <row r="586" spans="1:5" x14ac:dyDescent="0.35">
      <c r="A586" t="s">
        <v>420</v>
      </c>
      <c r="B586" t="s">
        <v>194</v>
      </c>
      <c r="C586">
        <v>22613.9</v>
      </c>
      <c r="D586" s="37">
        <v>4.8999995577941</v>
      </c>
      <c r="E586" t="s">
        <v>592</v>
      </c>
    </row>
    <row r="587" spans="1:5" x14ac:dyDescent="0.35">
      <c r="A587" t="s">
        <v>420</v>
      </c>
      <c r="B587" t="s">
        <v>144</v>
      </c>
      <c r="D587" s="37"/>
      <c r="E587" t="s">
        <v>592</v>
      </c>
    </row>
    <row r="588" spans="1:5" x14ac:dyDescent="0.35">
      <c r="A588" t="s">
        <v>420</v>
      </c>
      <c r="B588" t="s">
        <v>145</v>
      </c>
      <c r="D588" s="37"/>
      <c r="E588" t="s">
        <v>592</v>
      </c>
    </row>
    <row r="589" spans="1:5" x14ac:dyDescent="0.35">
      <c r="A589" t="s">
        <v>420</v>
      </c>
      <c r="B589" t="s">
        <v>146</v>
      </c>
      <c r="D589" s="37"/>
      <c r="E589" t="s">
        <v>592</v>
      </c>
    </row>
    <row r="590" spans="1:5" x14ac:dyDescent="0.35">
      <c r="A590" t="s">
        <v>420</v>
      </c>
      <c r="B590" t="s">
        <v>147</v>
      </c>
      <c r="D590" s="37"/>
      <c r="E590" t="s">
        <v>592</v>
      </c>
    </row>
    <row r="591" spans="1:5" x14ac:dyDescent="0.35">
      <c r="A591" t="s">
        <v>421</v>
      </c>
      <c r="B591" t="s">
        <v>299</v>
      </c>
      <c r="C591">
        <v>50777.599999999991</v>
      </c>
      <c r="D591" s="37">
        <v>4.550082319763046</v>
      </c>
      <c r="E591" t="s">
        <v>592</v>
      </c>
    </row>
    <row r="592" spans="1:5" x14ac:dyDescent="0.35">
      <c r="A592" t="s">
        <v>421</v>
      </c>
      <c r="B592" t="s">
        <v>445</v>
      </c>
      <c r="D592" s="37"/>
      <c r="E592" t="s">
        <v>592</v>
      </c>
    </row>
    <row r="593" spans="1:5" x14ac:dyDescent="0.35">
      <c r="A593" t="s">
        <v>421</v>
      </c>
      <c r="B593" t="s">
        <v>189</v>
      </c>
      <c r="D593" s="37"/>
      <c r="E593" t="s">
        <v>592</v>
      </c>
    </row>
    <row r="594" spans="1:5" x14ac:dyDescent="0.35">
      <c r="A594" t="s">
        <v>421</v>
      </c>
      <c r="B594" t="s">
        <v>190</v>
      </c>
      <c r="D594" s="37"/>
      <c r="E594" t="s">
        <v>592</v>
      </c>
    </row>
    <row r="595" spans="1:5" x14ac:dyDescent="0.35">
      <c r="A595" t="s">
        <v>421</v>
      </c>
      <c r="B595" t="s">
        <v>301</v>
      </c>
      <c r="C595">
        <f>13348.69+744.74</f>
        <v>14093.43</v>
      </c>
      <c r="D595" s="37">
        <v>4.6399999999999997</v>
      </c>
      <c r="E595" t="s">
        <v>592</v>
      </c>
    </row>
    <row r="596" spans="1:5" x14ac:dyDescent="0.35">
      <c r="A596" t="s">
        <v>421</v>
      </c>
      <c r="B596" t="s">
        <v>446</v>
      </c>
      <c r="C596">
        <v>1635.8</v>
      </c>
      <c r="D596" s="37">
        <v>5.0600012226433551</v>
      </c>
      <c r="E596" t="s">
        <v>592</v>
      </c>
    </row>
    <row r="597" spans="1:5" x14ac:dyDescent="0.35">
      <c r="A597" t="s">
        <v>421</v>
      </c>
      <c r="B597" t="s">
        <v>40</v>
      </c>
      <c r="C597">
        <v>7636.39</v>
      </c>
      <c r="D597" s="37">
        <v>5.2329988384563908</v>
      </c>
      <c r="E597" t="s">
        <v>592</v>
      </c>
    </row>
    <row r="598" spans="1:5" x14ac:dyDescent="0.35">
      <c r="A598" t="s">
        <v>421</v>
      </c>
      <c r="B598" t="s">
        <v>303</v>
      </c>
      <c r="D598" s="37"/>
      <c r="E598" t="s">
        <v>592</v>
      </c>
    </row>
    <row r="599" spans="1:5" x14ac:dyDescent="0.35">
      <c r="A599" t="s">
        <v>421</v>
      </c>
      <c r="B599" t="s">
        <v>199</v>
      </c>
      <c r="D599" s="37"/>
      <c r="E599" t="s">
        <v>592</v>
      </c>
    </row>
    <row r="600" spans="1:5" x14ac:dyDescent="0.35">
      <c r="A600" t="s">
        <v>421</v>
      </c>
      <c r="B600" t="s">
        <v>194</v>
      </c>
      <c r="C600">
        <v>7881.4</v>
      </c>
      <c r="D600" s="37">
        <v>4.5900005075240449</v>
      </c>
      <c r="E600" t="s">
        <v>592</v>
      </c>
    </row>
    <row r="601" spans="1:5" x14ac:dyDescent="0.35">
      <c r="A601" t="s">
        <v>421</v>
      </c>
      <c r="B601" t="s">
        <v>144</v>
      </c>
      <c r="D601" s="37"/>
      <c r="E601" t="s">
        <v>592</v>
      </c>
    </row>
    <row r="602" spans="1:5" x14ac:dyDescent="0.35">
      <c r="A602" t="s">
        <v>421</v>
      </c>
      <c r="B602" t="s">
        <v>145</v>
      </c>
      <c r="D602" s="37"/>
      <c r="E602" t="s">
        <v>592</v>
      </c>
    </row>
    <row r="603" spans="1:5" x14ac:dyDescent="0.35">
      <c r="A603" t="s">
        <v>421</v>
      </c>
      <c r="B603" t="s">
        <v>146</v>
      </c>
      <c r="D603" s="37"/>
      <c r="E603" t="s">
        <v>592</v>
      </c>
    </row>
    <row r="604" spans="1:5" x14ac:dyDescent="0.35">
      <c r="A604" t="s">
        <v>421</v>
      </c>
      <c r="B604" t="s">
        <v>147</v>
      </c>
      <c r="D604" s="37"/>
      <c r="E604" t="s">
        <v>592</v>
      </c>
    </row>
    <row r="605" spans="1:5" x14ac:dyDescent="0.35">
      <c r="A605" t="s">
        <v>422</v>
      </c>
      <c r="B605" t="s">
        <v>299</v>
      </c>
      <c r="C605">
        <v>25092.22</v>
      </c>
      <c r="D605" s="37">
        <v>4.5233956979494048</v>
      </c>
      <c r="E605" t="s">
        <v>592</v>
      </c>
    </row>
    <row r="606" spans="1:5" x14ac:dyDescent="0.35">
      <c r="A606" t="s">
        <v>422</v>
      </c>
      <c r="B606" t="s">
        <v>445</v>
      </c>
      <c r="D606" s="37"/>
      <c r="E606" t="s">
        <v>592</v>
      </c>
    </row>
    <row r="607" spans="1:5" x14ac:dyDescent="0.35">
      <c r="A607" t="s">
        <v>422</v>
      </c>
      <c r="B607" t="s">
        <v>189</v>
      </c>
      <c r="D607" s="37"/>
      <c r="E607" t="s">
        <v>592</v>
      </c>
    </row>
    <row r="608" spans="1:5" x14ac:dyDescent="0.35">
      <c r="A608" t="s">
        <v>422</v>
      </c>
      <c r="B608" t="s">
        <v>190</v>
      </c>
      <c r="D608" s="37"/>
      <c r="E608" t="s">
        <v>592</v>
      </c>
    </row>
    <row r="609" spans="1:5" x14ac:dyDescent="0.35">
      <c r="A609" t="s">
        <v>422</v>
      </c>
      <c r="B609" t="s">
        <v>301</v>
      </c>
      <c r="C609">
        <v>40818.65</v>
      </c>
      <c r="D609" s="37">
        <v>4.6355212629521061</v>
      </c>
      <c r="E609" t="s">
        <v>592</v>
      </c>
    </row>
    <row r="610" spans="1:5" x14ac:dyDescent="0.35">
      <c r="A610" t="s">
        <v>422</v>
      </c>
      <c r="B610" t="s">
        <v>446</v>
      </c>
      <c r="C610">
        <v>2590.4</v>
      </c>
      <c r="D610" s="37">
        <v>5.0599984558369364</v>
      </c>
      <c r="E610" t="s">
        <v>592</v>
      </c>
    </row>
    <row r="611" spans="1:5" x14ac:dyDescent="0.35">
      <c r="A611" t="s">
        <v>422</v>
      </c>
      <c r="B611" t="s">
        <v>40</v>
      </c>
      <c r="C611">
        <v>16437.91</v>
      </c>
      <c r="D611" s="37">
        <v>5.1959397514647536</v>
      </c>
      <c r="E611" t="s">
        <v>592</v>
      </c>
    </row>
    <row r="612" spans="1:5" x14ac:dyDescent="0.35">
      <c r="A612" t="s">
        <v>422</v>
      </c>
      <c r="B612" t="s">
        <v>303</v>
      </c>
      <c r="D612" s="37"/>
      <c r="E612" t="s">
        <v>592</v>
      </c>
    </row>
    <row r="613" spans="1:5" x14ac:dyDescent="0.35">
      <c r="A613" t="s">
        <v>422</v>
      </c>
      <c r="B613" t="s">
        <v>199</v>
      </c>
      <c r="D613" s="37"/>
      <c r="E613" t="s">
        <v>592</v>
      </c>
    </row>
    <row r="614" spans="1:5" x14ac:dyDescent="0.35">
      <c r="A614" t="s">
        <v>422</v>
      </c>
      <c r="B614" t="s">
        <v>194</v>
      </c>
      <c r="D614" s="37"/>
      <c r="E614" t="s">
        <v>592</v>
      </c>
    </row>
    <row r="615" spans="1:5" x14ac:dyDescent="0.35">
      <c r="A615" t="s">
        <v>422</v>
      </c>
      <c r="B615" t="s">
        <v>144</v>
      </c>
      <c r="D615" s="37"/>
      <c r="E615" t="s">
        <v>592</v>
      </c>
    </row>
    <row r="616" spans="1:5" x14ac:dyDescent="0.35">
      <c r="A616" t="s">
        <v>422</v>
      </c>
      <c r="B616" t="s">
        <v>145</v>
      </c>
      <c r="D616" s="37"/>
      <c r="E616" t="s">
        <v>592</v>
      </c>
    </row>
    <row r="617" spans="1:5" x14ac:dyDescent="0.35">
      <c r="A617" t="s">
        <v>422</v>
      </c>
      <c r="B617" t="s">
        <v>146</v>
      </c>
      <c r="D617" s="37"/>
      <c r="E617" t="s">
        <v>592</v>
      </c>
    </row>
    <row r="618" spans="1:5" x14ac:dyDescent="0.35">
      <c r="A618" t="s">
        <v>422</v>
      </c>
      <c r="B618" t="s">
        <v>147</v>
      </c>
      <c r="D618" s="37"/>
      <c r="E618" t="s">
        <v>592</v>
      </c>
    </row>
    <row r="619" spans="1:5" x14ac:dyDescent="0.35">
      <c r="A619" t="s">
        <v>423</v>
      </c>
      <c r="B619" t="s">
        <v>299</v>
      </c>
      <c r="C619">
        <v>31767.29</v>
      </c>
      <c r="D619" s="37">
        <v>4.5328213391825365</v>
      </c>
      <c r="E619" t="s">
        <v>592</v>
      </c>
    </row>
    <row r="620" spans="1:5" x14ac:dyDescent="0.35">
      <c r="A620" t="s">
        <v>423</v>
      </c>
      <c r="B620" t="s">
        <v>445</v>
      </c>
      <c r="C620">
        <v>7672.3</v>
      </c>
      <c r="D620" s="37">
        <v>5.0600002606780228</v>
      </c>
      <c r="E620" t="s">
        <v>592</v>
      </c>
    </row>
    <row r="621" spans="1:5" x14ac:dyDescent="0.35">
      <c r="A621" t="s">
        <v>423</v>
      </c>
      <c r="B621" t="s">
        <v>189</v>
      </c>
      <c r="D621" s="37"/>
      <c r="E621" t="s">
        <v>592</v>
      </c>
    </row>
    <row r="622" spans="1:5" x14ac:dyDescent="0.35">
      <c r="A622" t="s">
        <v>423</v>
      </c>
      <c r="B622" t="s">
        <v>190</v>
      </c>
      <c r="D622" s="37"/>
      <c r="E622" t="s">
        <v>592</v>
      </c>
    </row>
    <row r="623" spans="1:5" x14ac:dyDescent="0.35">
      <c r="A623" t="s">
        <v>423</v>
      </c>
      <c r="B623" t="s">
        <v>301</v>
      </c>
      <c r="C623">
        <v>34258.270000000004</v>
      </c>
      <c r="D623" s="37">
        <v>4.6682237602774448</v>
      </c>
      <c r="E623" t="s">
        <v>592</v>
      </c>
    </row>
    <row r="624" spans="1:5" x14ac:dyDescent="0.35">
      <c r="A624" t="s">
        <v>423</v>
      </c>
      <c r="B624" t="s">
        <v>446</v>
      </c>
      <c r="D624" s="37"/>
      <c r="E624" t="s">
        <v>592</v>
      </c>
    </row>
    <row r="625" spans="1:5" x14ac:dyDescent="0.35">
      <c r="A625" t="s">
        <v>423</v>
      </c>
      <c r="B625" t="s">
        <v>40</v>
      </c>
      <c r="C625">
        <v>6504.6</v>
      </c>
      <c r="D625" s="37">
        <v>5.1899993850505801</v>
      </c>
      <c r="E625" t="s">
        <v>592</v>
      </c>
    </row>
    <row r="626" spans="1:5" x14ac:dyDescent="0.35">
      <c r="A626" t="s">
        <v>423</v>
      </c>
      <c r="B626" t="s">
        <v>303</v>
      </c>
      <c r="D626" s="37"/>
      <c r="E626" t="s">
        <v>592</v>
      </c>
    </row>
    <row r="627" spans="1:5" x14ac:dyDescent="0.35">
      <c r="A627" t="s">
        <v>423</v>
      </c>
      <c r="B627" t="s">
        <v>199</v>
      </c>
      <c r="D627" s="37"/>
      <c r="E627" t="s">
        <v>592</v>
      </c>
    </row>
    <row r="628" spans="1:5" x14ac:dyDescent="0.35">
      <c r="A628" t="s">
        <v>423</v>
      </c>
      <c r="B628" t="s">
        <v>194</v>
      </c>
      <c r="D628" s="37"/>
      <c r="E628" t="s">
        <v>592</v>
      </c>
    </row>
    <row r="629" spans="1:5" x14ac:dyDescent="0.35">
      <c r="A629" t="s">
        <v>423</v>
      </c>
      <c r="B629" t="s">
        <v>144</v>
      </c>
      <c r="D629" s="37"/>
      <c r="E629" t="s">
        <v>592</v>
      </c>
    </row>
    <row r="630" spans="1:5" x14ac:dyDescent="0.35">
      <c r="A630" t="s">
        <v>423</v>
      </c>
      <c r="B630" t="s">
        <v>145</v>
      </c>
      <c r="D630" s="37"/>
      <c r="E630" t="s">
        <v>592</v>
      </c>
    </row>
    <row r="631" spans="1:5" x14ac:dyDescent="0.35">
      <c r="A631" t="s">
        <v>423</v>
      </c>
      <c r="B631" t="s">
        <v>146</v>
      </c>
      <c r="D631" s="37"/>
      <c r="E631" t="s">
        <v>592</v>
      </c>
    </row>
    <row r="632" spans="1:5" x14ac:dyDescent="0.35">
      <c r="A632" t="s">
        <v>423</v>
      </c>
      <c r="B632" t="s">
        <v>147</v>
      </c>
      <c r="D632" s="37"/>
      <c r="E632" t="s">
        <v>592</v>
      </c>
    </row>
    <row r="633" spans="1:5" x14ac:dyDescent="0.35">
      <c r="A633" t="s">
        <v>424</v>
      </c>
      <c r="B633" t="s">
        <v>299</v>
      </c>
      <c r="C633">
        <v>11904.65</v>
      </c>
      <c r="D633" s="37">
        <v>4.55576350417694</v>
      </c>
      <c r="E633" t="s">
        <v>592</v>
      </c>
    </row>
    <row r="634" spans="1:5" x14ac:dyDescent="0.35">
      <c r="A634" t="s">
        <v>424</v>
      </c>
      <c r="B634" t="s">
        <v>445</v>
      </c>
      <c r="D634" s="37"/>
      <c r="E634" t="s">
        <v>592</v>
      </c>
    </row>
    <row r="635" spans="1:5" x14ac:dyDescent="0.35">
      <c r="A635" t="s">
        <v>424</v>
      </c>
      <c r="B635" t="s">
        <v>189</v>
      </c>
      <c r="D635" s="37"/>
      <c r="E635" t="s">
        <v>592</v>
      </c>
    </row>
    <row r="636" spans="1:5" x14ac:dyDescent="0.35">
      <c r="A636" t="s">
        <v>424</v>
      </c>
      <c r="B636" t="s">
        <v>190</v>
      </c>
      <c r="D636" s="37"/>
      <c r="E636" t="s">
        <v>592</v>
      </c>
    </row>
    <row r="637" spans="1:5" x14ac:dyDescent="0.35">
      <c r="A637" t="s">
        <v>424</v>
      </c>
      <c r="B637" t="s">
        <v>301</v>
      </c>
      <c r="C637">
        <v>-2110.3800000000028</v>
      </c>
      <c r="D637" s="37">
        <v>5.7947478653133428</v>
      </c>
      <c r="E637" t="s">
        <v>592</v>
      </c>
    </row>
    <row r="638" spans="1:5" x14ac:dyDescent="0.35">
      <c r="A638" t="s">
        <v>424</v>
      </c>
      <c r="B638" t="s">
        <v>446</v>
      </c>
      <c r="D638" s="37"/>
      <c r="E638" t="s">
        <v>592</v>
      </c>
    </row>
    <row r="639" spans="1:5" x14ac:dyDescent="0.35">
      <c r="A639" t="s">
        <v>424</v>
      </c>
      <c r="B639" t="s">
        <v>40</v>
      </c>
      <c r="C639">
        <v>6952.5</v>
      </c>
      <c r="D639" s="37">
        <v>5.1900007191657673</v>
      </c>
      <c r="E639" t="s">
        <v>592</v>
      </c>
    </row>
    <row r="640" spans="1:5" x14ac:dyDescent="0.35">
      <c r="A640" t="s">
        <v>424</v>
      </c>
      <c r="B640" t="s">
        <v>303</v>
      </c>
      <c r="D640" s="37"/>
      <c r="E640" t="s">
        <v>592</v>
      </c>
    </row>
    <row r="641" spans="1:5" x14ac:dyDescent="0.35">
      <c r="A641" t="s">
        <v>424</v>
      </c>
      <c r="B641" t="s">
        <v>199</v>
      </c>
      <c r="D641" s="37"/>
      <c r="E641" t="s">
        <v>592</v>
      </c>
    </row>
    <row r="642" spans="1:5" x14ac:dyDescent="0.35">
      <c r="A642" t="s">
        <v>424</v>
      </c>
      <c r="B642" t="s">
        <v>194</v>
      </c>
      <c r="D642" s="37"/>
      <c r="E642" t="s">
        <v>592</v>
      </c>
    </row>
    <row r="643" spans="1:5" x14ac:dyDescent="0.35">
      <c r="A643" t="s">
        <v>424</v>
      </c>
      <c r="B643" t="s">
        <v>144</v>
      </c>
      <c r="D643" s="37"/>
      <c r="E643" t="s">
        <v>592</v>
      </c>
    </row>
    <row r="644" spans="1:5" x14ac:dyDescent="0.35">
      <c r="A644" t="s">
        <v>424</v>
      </c>
      <c r="B644" t="s">
        <v>145</v>
      </c>
      <c r="D644" s="37"/>
      <c r="E644" t="s">
        <v>592</v>
      </c>
    </row>
    <row r="645" spans="1:5" x14ac:dyDescent="0.35">
      <c r="A645" t="s">
        <v>424</v>
      </c>
      <c r="B645" t="s">
        <v>146</v>
      </c>
      <c r="D645" s="37"/>
      <c r="E645" t="s">
        <v>592</v>
      </c>
    </row>
    <row r="646" spans="1:5" x14ac:dyDescent="0.35">
      <c r="A646" t="s">
        <v>424</v>
      </c>
      <c r="B646" t="s">
        <v>147</v>
      </c>
      <c r="D646" s="37"/>
      <c r="E646" t="s">
        <v>592</v>
      </c>
    </row>
    <row r="647" spans="1:5" x14ac:dyDescent="0.35">
      <c r="A647" t="s">
        <v>425</v>
      </c>
      <c r="B647" t="s">
        <v>299</v>
      </c>
      <c r="C647">
        <v>43949.58</v>
      </c>
      <c r="D647" s="37">
        <v>4.4802223365957072</v>
      </c>
      <c r="E647" t="s">
        <v>592</v>
      </c>
    </row>
    <row r="648" spans="1:5" x14ac:dyDescent="0.35">
      <c r="A648" t="s">
        <v>425</v>
      </c>
      <c r="B648" t="s">
        <v>445</v>
      </c>
      <c r="D648" s="37"/>
      <c r="E648" t="s">
        <v>592</v>
      </c>
    </row>
    <row r="649" spans="1:5" x14ac:dyDescent="0.35">
      <c r="A649" t="s">
        <v>425</v>
      </c>
      <c r="B649" t="s">
        <v>189</v>
      </c>
      <c r="D649" s="37"/>
      <c r="E649" t="s">
        <v>592</v>
      </c>
    </row>
    <row r="650" spans="1:5" x14ac:dyDescent="0.35">
      <c r="A650" t="s">
        <v>425</v>
      </c>
      <c r="B650" t="s">
        <v>190</v>
      </c>
      <c r="D650" s="37"/>
      <c r="E650" t="s">
        <v>592</v>
      </c>
    </row>
    <row r="651" spans="1:5" x14ac:dyDescent="0.35">
      <c r="A651" t="s">
        <v>425</v>
      </c>
      <c r="B651" t="s">
        <v>301</v>
      </c>
      <c r="C651">
        <v>14067.660000000002</v>
      </c>
      <c r="D651" s="37">
        <v>4.5874729699182373</v>
      </c>
      <c r="E651" t="s">
        <v>592</v>
      </c>
    </row>
    <row r="652" spans="1:5" x14ac:dyDescent="0.35">
      <c r="A652" t="s">
        <v>425</v>
      </c>
      <c r="B652" t="s">
        <v>446</v>
      </c>
      <c r="C652">
        <v>7228.4</v>
      </c>
      <c r="D652" s="37">
        <v>5.0600008300592112</v>
      </c>
      <c r="E652" t="s">
        <v>592</v>
      </c>
    </row>
    <row r="653" spans="1:5" x14ac:dyDescent="0.35">
      <c r="A653" t="s">
        <v>425</v>
      </c>
      <c r="B653" t="s">
        <v>40</v>
      </c>
      <c r="C653">
        <v>3909.63</v>
      </c>
      <c r="D653" s="37">
        <v>4.8485994838386235</v>
      </c>
      <c r="E653" t="s">
        <v>592</v>
      </c>
    </row>
    <row r="654" spans="1:5" x14ac:dyDescent="0.35">
      <c r="A654" t="s">
        <v>425</v>
      </c>
      <c r="B654" t="s">
        <v>303</v>
      </c>
      <c r="D654" s="37"/>
      <c r="E654" t="s">
        <v>592</v>
      </c>
    </row>
    <row r="655" spans="1:5" x14ac:dyDescent="0.35">
      <c r="A655" t="s">
        <v>425</v>
      </c>
      <c r="B655" t="s">
        <v>199</v>
      </c>
      <c r="D655" s="37"/>
      <c r="E655" t="s">
        <v>592</v>
      </c>
    </row>
    <row r="656" spans="1:5" x14ac:dyDescent="0.35">
      <c r="A656" t="s">
        <v>425</v>
      </c>
      <c r="B656" t="s">
        <v>194</v>
      </c>
      <c r="D656" s="37"/>
      <c r="E656" t="s">
        <v>592</v>
      </c>
    </row>
    <row r="657" spans="1:5" x14ac:dyDescent="0.35">
      <c r="A657" t="s">
        <v>425</v>
      </c>
      <c r="B657" t="s">
        <v>144</v>
      </c>
      <c r="D657" s="37"/>
      <c r="E657" t="s">
        <v>592</v>
      </c>
    </row>
    <row r="658" spans="1:5" x14ac:dyDescent="0.35">
      <c r="A658" t="s">
        <v>425</v>
      </c>
      <c r="B658" t="s">
        <v>145</v>
      </c>
      <c r="D658" s="37"/>
      <c r="E658" t="s">
        <v>592</v>
      </c>
    </row>
    <row r="659" spans="1:5" x14ac:dyDescent="0.35">
      <c r="A659" t="s">
        <v>425</v>
      </c>
      <c r="B659" t="s">
        <v>146</v>
      </c>
      <c r="D659" s="37"/>
      <c r="E659" t="s">
        <v>592</v>
      </c>
    </row>
    <row r="660" spans="1:5" x14ac:dyDescent="0.35">
      <c r="A660" t="s">
        <v>425</v>
      </c>
      <c r="B660" t="s">
        <v>147</v>
      </c>
      <c r="D660" s="37"/>
      <c r="E660" t="s">
        <v>592</v>
      </c>
    </row>
    <row r="661" spans="1:5" x14ac:dyDescent="0.35">
      <c r="A661" t="s">
        <v>426</v>
      </c>
      <c r="B661" t="s">
        <v>299</v>
      </c>
      <c r="C661">
        <v>6752.25</v>
      </c>
      <c r="D661" s="37">
        <v>6.5625236032433625</v>
      </c>
      <c r="E661" t="s">
        <v>592</v>
      </c>
    </row>
    <row r="662" spans="1:5" x14ac:dyDescent="0.35">
      <c r="A662" t="s">
        <v>426</v>
      </c>
      <c r="B662" t="s">
        <v>445</v>
      </c>
      <c r="C662">
        <v>-6155.0000000000009</v>
      </c>
      <c r="D662" s="37">
        <v>5.0599994223326208</v>
      </c>
      <c r="E662" t="s">
        <v>592</v>
      </c>
    </row>
    <row r="663" spans="1:5" x14ac:dyDescent="0.35">
      <c r="A663" t="s">
        <v>426</v>
      </c>
      <c r="B663" t="s">
        <v>189</v>
      </c>
      <c r="D663" s="37"/>
      <c r="E663" t="s">
        <v>592</v>
      </c>
    </row>
    <row r="664" spans="1:5" x14ac:dyDescent="0.35">
      <c r="A664" t="s">
        <v>426</v>
      </c>
      <c r="B664" t="s">
        <v>190</v>
      </c>
      <c r="D664" s="37"/>
      <c r="E664" t="s">
        <v>592</v>
      </c>
    </row>
    <row r="665" spans="1:5" x14ac:dyDescent="0.35">
      <c r="A665" t="s">
        <v>426</v>
      </c>
      <c r="B665" t="s">
        <v>301</v>
      </c>
      <c r="C665">
        <v>14284.6</v>
      </c>
      <c r="D665" s="37">
        <v>4.5494462568080314</v>
      </c>
      <c r="E665" t="s">
        <v>592</v>
      </c>
    </row>
    <row r="666" spans="1:5" x14ac:dyDescent="0.35">
      <c r="A666" t="s">
        <v>426</v>
      </c>
      <c r="B666" t="s">
        <v>446</v>
      </c>
      <c r="C666">
        <v>3462.2</v>
      </c>
      <c r="D666" s="37">
        <v>5.0599994223326208</v>
      </c>
      <c r="E666" t="s">
        <v>592</v>
      </c>
    </row>
    <row r="667" spans="1:5" x14ac:dyDescent="0.35">
      <c r="A667" t="s">
        <v>426</v>
      </c>
      <c r="B667" t="s">
        <v>40</v>
      </c>
      <c r="C667">
        <v>8881.2899999999991</v>
      </c>
      <c r="D667" s="37">
        <v>5.197189822649638</v>
      </c>
      <c r="E667" t="s">
        <v>592</v>
      </c>
    </row>
    <row r="668" spans="1:5" x14ac:dyDescent="0.35">
      <c r="A668" t="s">
        <v>426</v>
      </c>
      <c r="B668" t="s">
        <v>303</v>
      </c>
      <c r="D668" s="37"/>
      <c r="E668" t="s">
        <v>592</v>
      </c>
    </row>
    <row r="669" spans="1:5" x14ac:dyDescent="0.35">
      <c r="A669" t="s">
        <v>426</v>
      </c>
      <c r="B669" t="s">
        <v>199</v>
      </c>
      <c r="D669" s="37"/>
      <c r="E669" t="s">
        <v>592</v>
      </c>
    </row>
    <row r="670" spans="1:5" x14ac:dyDescent="0.35">
      <c r="A670" t="s">
        <v>426</v>
      </c>
      <c r="B670" t="s">
        <v>194</v>
      </c>
      <c r="D670" s="37"/>
      <c r="E670" t="s">
        <v>592</v>
      </c>
    </row>
    <row r="671" spans="1:5" x14ac:dyDescent="0.35">
      <c r="A671" t="s">
        <v>426</v>
      </c>
      <c r="B671" t="s">
        <v>144</v>
      </c>
      <c r="D671" s="37"/>
      <c r="E671" t="s">
        <v>592</v>
      </c>
    </row>
    <row r="672" spans="1:5" x14ac:dyDescent="0.35">
      <c r="A672" t="s">
        <v>426</v>
      </c>
      <c r="B672" t="s">
        <v>145</v>
      </c>
      <c r="D672" s="37"/>
      <c r="E672" t="s">
        <v>592</v>
      </c>
    </row>
    <row r="673" spans="1:5" x14ac:dyDescent="0.35">
      <c r="A673" t="s">
        <v>426</v>
      </c>
      <c r="B673" t="s">
        <v>146</v>
      </c>
      <c r="D673" s="37"/>
      <c r="E673" t="s">
        <v>592</v>
      </c>
    </row>
    <row r="674" spans="1:5" x14ac:dyDescent="0.35">
      <c r="A674" t="s">
        <v>426</v>
      </c>
      <c r="B674" t="s">
        <v>147</v>
      </c>
      <c r="D674" s="37"/>
      <c r="E674" t="s">
        <v>592</v>
      </c>
    </row>
    <row r="675" spans="1:5" x14ac:dyDescent="0.35">
      <c r="A675" t="s">
        <v>427</v>
      </c>
      <c r="B675" t="s">
        <v>299</v>
      </c>
      <c r="C675">
        <v>29926.9</v>
      </c>
      <c r="D675" s="37">
        <v>4.0837704540062614</v>
      </c>
      <c r="E675" t="s">
        <v>592</v>
      </c>
    </row>
    <row r="676" spans="1:5" x14ac:dyDescent="0.35">
      <c r="A676" t="s">
        <v>427</v>
      </c>
      <c r="B676" t="s">
        <v>445</v>
      </c>
      <c r="C676">
        <v>8682</v>
      </c>
      <c r="D676" s="37">
        <v>5.0599999999999996</v>
      </c>
      <c r="E676" t="s">
        <v>592</v>
      </c>
    </row>
    <row r="677" spans="1:5" x14ac:dyDescent="0.35">
      <c r="A677" t="s">
        <v>427</v>
      </c>
      <c r="B677" t="s">
        <v>189</v>
      </c>
      <c r="D677" s="37"/>
      <c r="E677" t="s">
        <v>592</v>
      </c>
    </row>
    <row r="678" spans="1:5" x14ac:dyDescent="0.35">
      <c r="A678" t="s">
        <v>427</v>
      </c>
      <c r="B678" t="s">
        <v>190</v>
      </c>
      <c r="D678" s="37"/>
      <c r="E678" t="s">
        <v>592</v>
      </c>
    </row>
    <row r="679" spans="1:5" x14ac:dyDescent="0.35">
      <c r="A679" t="s">
        <v>427</v>
      </c>
      <c r="B679" t="s">
        <v>301</v>
      </c>
      <c r="C679">
        <v>25752.68</v>
      </c>
      <c r="D679" s="37">
        <v>4.6782078603081301</v>
      </c>
      <c r="E679" t="s">
        <v>592</v>
      </c>
    </row>
    <row r="680" spans="1:5" x14ac:dyDescent="0.35">
      <c r="A680" t="s">
        <v>427</v>
      </c>
      <c r="B680" t="s">
        <v>446</v>
      </c>
      <c r="D680" s="37"/>
      <c r="E680" t="s">
        <v>592</v>
      </c>
    </row>
    <row r="681" spans="1:5" x14ac:dyDescent="0.35">
      <c r="A681" t="s">
        <v>427</v>
      </c>
      <c r="B681" t="s">
        <v>40</v>
      </c>
      <c r="C681">
        <v>9697.17</v>
      </c>
      <c r="D681" s="37">
        <v>5.2355852274426455</v>
      </c>
      <c r="E681" t="s">
        <v>592</v>
      </c>
    </row>
    <row r="682" spans="1:5" x14ac:dyDescent="0.35">
      <c r="A682" t="s">
        <v>427</v>
      </c>
      <c r="B682" t="s">
        <v>303</v>
      </c>
      <c r="D682" s="37"/>
      <c r="E682" t="s">
        <v>592</v>
      </c>
    </row>
    <row r="683" spans="1:5" x14ac:dyDescent="0.35">
      <c r="A683" t="s">
        <v>427</v>
      </c>
      <c r="B683" t="s">
        <v>199</v>
      </c>
      <c r="D683" s="37"/>
      <c r="E683" t="s">
        <v>592</v>
      </c>
    </row>
    <row r="684" spans="1:5" x14ac:dyDescent="0.35">
      <c r="A684" t="s">
        <v>427</v>
      </c>
      <c r="B684" t="s">
        <v>194</v>
      </c>
      <c r="D684" s="37"/>
      <c r="E684" t="s">
        <v>592</v>
      </c>
    </row>
    <row r="685" spans="1:5" x14ac:dyDescent="0.35">
      <c r="A685" t="s">
        <v>427</v>
      </c>
      <c r="B685" t="s">
        <v>144</v>
      </c>
      <c r="D685" s="37"/>
      <c r="E685" t="s">
        <v>592</v>
      </c>
    </row>
    <row r="686" spans="1:5" x14ac:dyDescent="0.35">
      <c r="A686" t="s">
        <v>427</v>
      </c>
      <c r="B686" t="s">
        <v>145</v>
      </c>
      <c r="D686" s="37"/>
      <c r="E686" t="s">
        <v>592</v>
      </c>
    </row>
    <row r="687" spans="1:5" x14ac:dyDescent="0.35">
      <c r="A687" t="s">
        <v>427</v>
      </c>
      <c r="B687" t="s">
        <v>146</v>
      </c>
      <c r="D687" s="37"/>
      <c r="E687" t="s">
        <v>592</v>
      </c>
    </row>
    <row r="688" spans="1:5" x14ac:dyDescent="0.35">
      <c r="A688" t="s">
        <v>427</v>
      </c>
      <c r="B688" t="s">
        <v>147</v>
      </c>
      <c r="D688" s="37"/>
      <c r="E688" t="s">
        <v>592</v>
      </c>
    </row>
    <row r="689" spans="1:5" x14ac:dyDescent="0.35">
      <c r="A689" t="s">
        <v>428</v>
      </c>
      <c r="B689" t="s">
        <v>299</v>
      </c>
      <c r="C689">
        <v>27144.2</v>
      </c>
      <c r="D689" s="37">
        <v>4.5868966482710851</v>
      </c>
      <c r="E689" t="s">
        <v>592</v>
      </c>
    </row>
    <row r="690" spans="1:5" x14ac:dyDescent="0.35">
      <c r="A690" t="s">
        <v>428</v>
      </c>
      <c r="B690" t="s">
        <v>445</v>
      </c>
      <c r="D690" s="37"/>
      <c r="E690" t="s">
        <v>592</v>
      </c>
    </row>
    <row r="691" spans="1:5" x14ac:dyDescent="0.35">
      <c r="A691" t="s">
        <v>428</v>
      </c>
      <c r="B691" t="s">
        <v>189</v>
      </c>
      <c r="D691" s="37"/>
      <c r="E691" t="s">
        <v>592</v>
      </c>
    </row>
    <row r="692" spans="1:5" x14ac:dyDescent="0.35">
      <c r="A692" t="s">
        <v>428</v>
      </c>
      <c r="B692" t="s">
        <v>190</v>
      </c>
      <c r="D692" s="37"/>
      <c r="E692" t="s">
        <v>592</v>
      </c>
    </row>
    <row r="693" spans="1:5" x14ac:dyDescent="0.35">
      <c r="A693" t="s">
        <v>428</v>
      </c>
      <c r="B693" t="s">
        <v>301</v>
      </c>
      <c r="C693">
        <v>41687.929999999993</v>
      </c>
      <c r="D693" s="37">
        <v>4.6365477969282729</v>
      </c>
      <c r="E693" t="s">
        <v>592</v>
      </c>
    </row>
    <row r="694" spans="1:5" x14ac:dyDescent="0.35">
      <c r="A694" t="s">
        <v>428</v>
      </c>
      <c r="B694" t="s">
        <v>446</v>
      </c>
      <c r="D694" s="37"/>
      <c r="E694" t="s">
        <v>592</v>
      </c>
    </row>
    <row r="695" spans="1:5" x14ac:dyDescent="0.35">
      <c r="A695" t="s">
        <v>428</v>
      </c>
      <c r="B695" t="s">
        <v>40</v>
      </c>
      <c r="C695">
        <v>17282.54</v>
      </c>
      <c r="D695" s="37">
        <v>5.2014721215747217</v>
      </c>
      <c r="E695" t="s">
        <v>592</v>
      </c>
    </row>
    <row r="696" spans="1:5" x14ac:dyDescent="0.35">
      <c r="A696" t="s">
        <v>428</v>
      </c>
      <c r="B696" t="s">
        <v>303</v>
      </c>
      <c r="D696" s="37"/>
      <c r="E696" t="s">
        <v>592</v>
      </c>
    </row>
    <row r="697" spans="1:5" x14ac:dyDescent="0.35">
      <c r="A697" t="s">
        <v>428</v>
      </c>
      <c r="B697" t="s">
        <v>199</v>
      </c>
      <c r="D697" s="37"/>
      <c r="E697" t="s">
        <v>592</v>
      </c>
    </row>
    <row r="698" spans="1:5" x14ac:dyDescent="0.35">
      <c r="A698" t="s">
        <v>428</v>
      </c>
      <c r="B698" t="s">
        <v>194</v>
      </c>
      <c r="D698" s="37"/>
      <c r="E698" t="s">
        <v>592</v>
      </c>
    </row>
    <row r="699" spans="1:5" x14ac:dyDescent="0.35">
      <c r="A699" t="s">
        <v>428</v>
      </c>
      <c r="B699" t="s">
        <v>144</v>
      </c>
      <c r="D699" s="37"/>
      <c r="E699" t="s">
        <v>592</v>
      </c>
    </row>
    <row r="700" spans="1:5" x14ac:dyDescent="0.35">
      <c r="A700" t="s">
        <v>428</v>
      </c>
      <c r="B700" t="s">
        <v>145</v>
      </c>
      <c r="D700" s="37"/>
      <c r="E700" t="s">
        <v>592</v>
      </c>
    </row>
    <row r="701" spans="1:5" x14ac:dyDescent="0.35">
      <c r="A701" t="s">
        <v>428</v>
      </c>
      <c r="B701" t="s">
        <v>146</v>
      </c>
      <c r="D701" s="37"/>
      <c r="E701" t="s">
        <v>592</v>
      </c>
    </row>
    <row r="702" spans="1:5" x14ac:dyDescent="0.35">
      <c r="A702" t="s">
        <v>428</v>
      </c>
      <c r="B702" t="s">
        <v>147</v>
      </c>
      <c r="D702" s="37"/>
      <c r="E702" t="s">
        <v>592</v>
      </c>
    </row>
    <row r="703" spans="1:5" x14ac:dyDescent="0.35">
      <c r="A703" t="s">
        <v>429</v>
      </c>
      <c r="B703" t="s">
        <v>299</v>
      </c>
      <c r="D703" s="37"/>
      <c r="E703" t="s">
        <v>592</v>
      </c>
    </row>
    <row r="704" spans="1:5" x14ac:dyDescent="0.35">
      <c r="A704" t="s">
        <v>429</v>
      </c>
      <c r="B704" t="s">
        <v>445</v>
      </c>
      <c r="D704" s="37"/>
      <c r="E704" t="s">
        <v>592</v>
      </c>
    </row>
    <row r="705" spans="1:5" x14ac:dyDescent="0.35">
      <c r="A705" t="s">
        <v>429</v>
      </c>
      <c r="B705" t="s">
        <v>189</v>
      </c>
      <c r="D705" s="37"/>
      <c r="E705" t="s">
        <v>592</v>
      </c>
    </row>
    <row r="706" spans="1:5" x14ac:dyDescent="0.35">
      <c r="A706" t="s">
        <v>429</v>
      </c>
      <c r="B706" t="s">
        <v>190</v>
      </c>
      <c r="D706" s="37"/>
      <c r="E706" t="s">
        <v>592</v>
      </c>
    </row>
    <row r="707" spans="1:5" x14ac:dyDescent="0.35">
      <c r="A707" t="s">
        <v>429</v>
      </c>
      <c r="B707" t="s">
        <v>301</v>
      </c>
      <c r="C707">
        <v>39749.06</v>
      </c>
      <c r="D707" s="37">
        <v>4.7200001710732282</v>
      </c>
      <c r="E707" t="s">
        <v>592</v>
      </c>
    </row>
    <row r="708" spans="1:5" x14ac:dyDescent="0.35">
      <c r="A708" t="s">
        <v>429</v>
      </c>
      <c r="B708" t="s">
        <v>446</v>
      </c>
      <c r="D708" s="37"/>
      <c r="E708" t="s">
        <v>592</v>
      </c>
    </row>
    <row r="709" spans="1:5" x14ac:dyDescent="0.35">
      <c r="A709" t="s">
        <v>429</v>
      </c>
      <c r="B709" t="s">
        <v>40</v>
      </c>
      <c r="D709" s="37"/>
      <c r="E709" t="s">
        <v>592</v>
      </c>
    </row>
    <row r="710" spans="1:5" x14ac:dyDescent="0.35">
      <c r="A710" t="s">
        <v>429</v>
      </c>
      <c r="B710" t="s">
        <v>303</v>
      </c>
      <c r="D710" s="37"/>
      <c r="E710" t="s">
        <v>592</v>
      </c>
    </row>
    <row r="711" spans="1:5" x14ac:dyDescent="0.35">
      <c r="A711" t="s">
        <v>429</v>
      </c>
      <c r="B711" t="s">
        <v>199</v>
      </c>
      <c r="D711" s="37"/>
      <c r="E711" t="s">
        <v>592</v>
      </c>
    </row>
    <row r="712" spans="1:5" x14ac:dyDescent="0.35">
      <c r="A712" t="s">
        <v>429</v>
      </c>
      <c r="B712" t="s">
        <v>194</v>
      </c>
      <c r="D712" s="37"/>
      <c r="E712" t="s">
        <v>592</v>
      </c>
    </row>
    <row r="713" spans="1:5" x14ac:dyDescent="0.35">
      <c r="A713" t="s">
        <v>429</v>
      </c>
      <c r="B713" t="s">
        <v>144</v>
      </c>
      <c r="D713" s="37"/>
      <c r="E713" t="s">
        <v>592</v>
      </c>
    </row>
    <row r="714" spans="1:5" x14ac:dyDescent="0.35">
      <c r="A714" t="s">
        <v>429</v>
      </c>
      <c r="B714" t="s">
        <v>145</v>
      </c>
      <c r="D714" s="37"/>
      <c r="E714" t="s">
        <v>592</v>
      </c>
    </row>
    <row r="715" spans="1:5" x14ac:dyDescent="0.35">
      <c r="A715" t="s">
        <v>429</v>
      </c>
      <c r="B715" t="s">
        <v>146</v>
      </c>
      <c r="D715" s="37"/>
      <c r="E715" t="s">
        <v>592</v>
      </c>
    </row>
    <row r="716" spans="1:5" x14ac:dyDescent="0.35">
      <c r="A716" t="s">
        <v>429</v>
      </c>
      <c r="B716" t="s">
        <v>147</v>
      </c>
      <c r="D716" s="37"/>
      <c r="E716" t="s">
        <v>592</v>
      </c>
    </row>
    <row r="717" spans="1:5" x14ac:dyDescent="0.35">
      <c r="A717" t="s">
        <v>430</v>
      </c>
      <c r="B717" t="s">
        <v>299</v>
      </c>
      <c r="C717">
        <v>13211.49</v>
      </c>
      <c r="D717" s="37">
        <v>4.6338747559889164</v>
      </c>
      <c r="E717" t="s">
        <v>592</v>
      </c>
    </row>
    <row r="718" spans="1:5" x14ac:dyDescent="0.35">
      <c r="A718" t="s">
        <v>430</v>
      </c>
      <c r="B718" t="s">
        <v>445</v>
      </c>
      <c r="C718">
        <v>5236.3999999999996</v>
      </c>
      <c r="D718" s="37">
        <v>4.9829348407302732</v>
      </c>
      <c r="E718" t="s">
        <v>592</v>
      </c>
    </row>
    <row r="719" spans="1:5" x14ac:dyDescent="0.35">
      <c r="A719" t="s">
        <v>430</v>
      </c>
      <c r="B719" t="s">
        <v>189</v>
      </c>
      <c r="D719" s="37"/>
      <c r="E719" t="s">
        <v>592</v>
      </c>
    </row>
    <row r="720" spans="1:5" x14ac:dyDescent="0.35">
      <c r="A720" t="s">
        <v>430</v>
      </c>
      <c r="B720" t="s">
        <v>190</v>
      </c>
      <c r="D720" s="37"/>
      <c r="E720" t="s">
        <v>592</v>
      </c>
    </row>
    <row r="721" spans="1:5" x14ac:dyDescent="0.35">
      <c r="A721" t="s">
        <v>430</v>
      </c>
      <c r="B721" t="s">
        <v>301</v>
      </c>
      <c r="C721">
        <f>11720.14+1312.1</f>
        <v>13032.24</v>
      </c>
      <c r="D721" s="37">
        <v>4.67</v>
      </c>
      <c r="E721" t="s">
        <v>592</v>
      </c>
    </row>
    <row r="722" spans="1:5" x14ac:dyDescent="0.35">
      <c r="A722" t="s">
        <v>430</v>
      </c>
      <c r="B722" t="s">
        <v>446</v>
      </c>
      <c r="D722" s="37"/>
      <c r="E722" t="s">
        <v>592</v>
      </c>
    </row>
    <row r="723" spans="1:5" x14ac:dyDescent="0.35">
      <c r="A723" t="s">
        <v>430</v>
      </c>
      <c r="B723" t="s">
        <v>40</v>
      </c>
      <c r="C723">
        <v>12562.810000000001</v>
      </c>
      <c r="D723" s="37">
        <v>5.2152305097346847</v>
      </c>
      <c r="E723" t="s">
        <v>592</v>
      </c>
    </row>
    <row r="724" spans="1:5" x14ac:dyDescent="0.35">
      <c r="A724" t="s">
        <v>430</v>
      </c>
      <c r="B724" t="s">
        <v>303</v>
      </c>
      <c r="D724" s="37"/>
      <c r="E724" t="s">
        <v>592</v>
      </c>
    </row>
    <row r="725" spans="1:5" x14ac:dyDescent="0.35">
      <c r="A725" t="s">
        <v>430</v>
      </c>
      <c r="B725" t="s">
        <v>199</v>
      </c>
      <c r="D725" s="37"/>
      <c r="E725" t="s">
        <v>592</v>
      </c>
    </row>
    <row r="726" spans="1:5" x14ac:dyDescent="0.35">
      <c r="A726" t="s">
        <v>430</v>
      </c>
      <c r="B726" t="s">
        <v>194</v>
      </c>
      <c r="D726" s="37"/>
      <c r="E726" t="s">
        <v>592</v>
      </c>
    </row>
    <row r="727" spans="1:5" x14ac:dyDescent="0.35">
      <c r="A727" t="s">
        <v>430</v>
      </c>
      <c r="B727" t="s">
        <v>144</v>
      </c>
      <c r="D727" s="37"/>
      <c r="E727" t="s">
        <v>592</v>
      </c>
    </row>
    <row r="728" spans="1:5" x14ac:dyDescent="0.35">
      <c r="A728" t="s">
        <v>430</v>
      </c>
      <c r="B728" t="s">
        <v>145</v>
      </c>
      <c r="D728" s="37"/>
      <c r="E728" t="s">
        <v>592</v>
      </c>
    </row>
    <row r="729" spans="1:5" x14ac:dyDescent="0.35">
      <c r="A729" t="s">
        <v>430</v>
      </c>
      <c r="B729" t="s">
        <v>146</v>
      </c>
      <c r="D729" s="37"/>
      <c r="E729" t="s">
        <v>592</v>
      </c>
    </row>
    <row r="730" spans="1:5" x14ac:dyDescent="0.35">
      <c r="A730" t="s">
        <v>430</v>
      </c>
      <c r="B730" t="s">
        <v>147</v>
      </c>
      <c r="D730" s="37"/>
      <c r="E730" t="s">
        <v>592</v>
      </c>
    </row>
    <row r="731" spans="1:5" x14ac:dyDescent="0.35">
      <c r="A731" t="s">
        <v>431</v>
      </c>
      <c r="B731" t="s">
        <v>299</v>
      </c>
      <c r="C731">
        <v>13322.28</v>
      </c>
      <c r="D731" s="37">
        <v>4.6911039251539526</v>
      </c>
      <c r="E731" t="s">
        <v>592</v>
      </c>
    </row>
    <row r="732" spans="1:5" x14ac:dyDescent="0.35">
      <c r="A732" t="s">
        <v>431</v>
      </c>
      <c r="B732" t="s">
        <v>445</v>
      </c>
      <c r="D732" s="37"/>
      <c r="E732" t="s">
        <v>592</v>
      </c>
    </row>
    <row r="733" spans="1:5" x14ac:dyDescent="0.35">
      <c r="A733" t="s">
        <v>431</v>
      </c>
      <c r="B733" t="s">
        <v>189</v>
      </c>
      <c r="D733" s="37"/>
      <c r="E733" t="s">
        <v>592</v>
      </c>
    </row>
    <row r="734" spans="1:5" x14ac:dyDescent="0.35">
      <c r="A734" t="s">
        <v>431</v>
      </c>
      <c r="B734" t="s">
        <v>190</v>
      </c>
      <c r="D734" s="37"/>
      <c r="E734" t="s">
        <v>592</v>
      </c>
    </row>
    <row r="735" spans="1:5" x14ac:dyDescent="0.35">
      <c r="A735" t="s">
        <v>431</v>
      </c>
      <c r="B735" t="s">
        <v>301</v>
      </c>
      <c r="C735">
        <v>22802.91</v>
      </c>
      <c r="D735" s="37">
        <v>4.7217363924165818</v>
      </c>
      <c r="E735" t="s">
        <v>592</v>
      </c>
    </row>
    <row r="736" spans="1:5" x14ac:dyDescent="0.35">
      <c r="A736" t="s">
        <v>431</v>
      </c>
      <c r="B736" t="s">
        <v>446</v>
      </c>
      <c r="D736" s="37"/>
      <c r="E736" t="s">
        <v>592</v>
      </c>
    </row>
    <row r="737" spans="1:5" x14ac:dyDescent="0.35">
      <c r="A737" t="s">
        <v>431</v>
      </c>
      <c r="B737" t="s">
        <v>40</v>
      </c>
      <c r="D737" s="37"/>
      <c r="E737" t="s">
        <v>592</v>
      </c>
    </row>
    <row r="738" spans="1:5" x14ac:dyDescent="0.35">
      <c r="A738" t="s">
        <v>431</v>
      </c>
      <c r="B738" t="s">
        <v>303</v>
      </c>
      <c r="D738" s="37"/>
      <c r="E738" t="s">
        <v>592</v>
      </c>
    </row>
    <row r="739" spans="1:5" x14ac:dyDescent="0.35">
      <c r="A739" t="s">
        <v>431</v>
      </c>
      <c r="B739" t="s">
        <v>199</v>
      </c>
      <c r="D739" s="37"/>
      <c r="E739" t="s">
        <v>592</v>
      </c>
    </row>
    <row r="740" spans="1:5" x14ac:dyDescent="0.35">
      <c r="A740" t="s">
        <v>431</v>
      </c>
      <c r="B740" t="s">
        <v>194</v>
      </c>
      <c r="D740" s="37"/>
      <c r="E740" t="s">
        <v>592</v>
      </c>
    </row>
    <row r="741" spans="1:5" x14ac:dyDescent="0.35">
      <c r="A741" t="s">
        <v>431</v>
      </c>
      <c r="B741" t="s">
        <v>144</v>
      </c>
      <c r="D741" s="37"/>
      <c r="E741" t="s">
        <v>592</v>
      </c>
    </row>
    <row r="742" spans="1:5" x14ac:dyDescent="0.35">
      <c r="A742" t="s">
        <v>431</v>
      </c>
      <c r="B742" t="s">
        <v>145</v>
      </c>
      <c r="D742" s="37"/>
      <c r="E742" t="s">
        <v>592</v>
      </c>
    </row>
    <row r="743" spans="1:5" x14ac:dyDescent="0.35">
      <c r="A743" t="s">
        <v>431</v>
      </c>
      <c r="B743" t="s">
        <v>146</v>
      </c>
      <c r="D743" s="37"/>
      <c r="E743" t="s">
        <v>592</v>
      </c>
    </row>
    <row r="744" spans="1:5" x14ac:dyDescent="0.35">
      <c r="A744" t="s">
        <v>431</v>
      </c>
      <c r="B744" t="s">
        <v>147</v>
      </c>
      <c r="D744" s="37"/>
      <c r="E744" t="s">
        <v>592</v>
      </c>
    </row>
    <row r="745" spans="1:5" x14ac:dyDescent="0.35">
      <c r="A745" t="s">
        <v>432</v>
      </c>
      <c r="B745" t="s">
        <v>299</v>
      </c>
      <c r="C745">
        <v>24861.9</v>
      </c>
      <c r="D745" s="37">
        <v>4.6271845675511525</v>
      </c>
      <c r="E745" t="s">
        <v>592</v>
      </c>
    </row>
    <row r="746" spans="1:5" x14ac:dyDescent="0.35">
      <c r="A746" t="s">
        <v>432</v>
      </c>
      <c r="B746" t="s">
        <v>445</v>
      </c>
      <c r="D746" s="37"/>
      <c r="E746" t="s">
        <v>592</v>
      </c>
    </row>
    <row r="747" spans="1:5" x14ac:dyDescent="0.35">
      <c r="A747" t="s">
        <v>432</v>
      </c>
      <c r="B747" t="s">
        <v>189</v>
      </c>
      <c r="D747" s="37"/>
      <c r="E747" t="s">
        <v>592</v>
      </c>
    </row>
    <row r="748" spans="1:5" x14ac:dyDescent="0.35">
      <c r="A748" t="s">
        <v>432</v>
      </c>
      <c r="B748" t="s">
        <v>190</v>
      </c>
      <c r="D748" s="37"/>
      <c r="E748" t="s">
        <v>592</v>
      </c>
    </row>
    <row r="749" spans="1:5" x14ac:dyDescent="0.35">
      <c r="A749" t="s">
        <v>432</v>
      </c>
      <c r="B749" t="s">
        <v>301</v>
      </c>
      <c r="C749">
        <v>36552.839999999997</v>
      </c>
      <c r="D749" s="37">
        <v>4.6559142873713792</v>
      </c>
      <c r="E749" t="s">
        <v>592</v>
      </c>
    </row>
    <row r="750" spans="1:5" x14ac:dyDescent="0.35">
      <c r="A750" t="s">
        <v>432</v>
      </c>
      <c r="B750" t="s">
        <v>446</v>
      </c>
      <c r="D750" s="37"/>
      <c r="E750" t="s">
        <v>592</v>
      </c>
    </row>
    <row r="751" spans="1:5" x14ac:dyDescent="0.35">
      <c r="A751" t="s">
        <v>432</v>
      </c>
      <c r="B751" t="s">
        <v>40</v>
      </c>
      <c r="C751">
        <v>21607.21</v>
      </c>
      <c r="D751" s="37">
        <v>5.1958591599748418</v>
      </c>
      <c r="E751" t="s">
        <v>592</v>
      </c>
    </row>
    <row r="752" spans="1:5" x14ac:dyDescent="0.35">
      <c r="A752" t="s">
        <v>432</v>
      </c>
      <c r="B752" t="s">
        <v>303</v>
      </c>
      <c r="D752" s="37"/>
      <c r="E752" t="s">
        <v>592</v>
      </c>
    </row>
    <row r="753" spans="1:5" x14ac:dyDescent="0.35">
      <c r="A753" t="s">
        <v>432</v>
      </c>
      <c r="B753" t="s">
        <v>199</v>
      </c>
      <c r="D753" s="37"/>
      <c r="E753" t="s">
        <v>592</v>
      </c>
    </row>
    <row r="754" spans="1:5" x14ac:dyDescent="0.35">
      <c r="A754" t="s">
        <v>432</v>
      </c>
      <c r="B754" t="s">
        <v>194</v>
      </c>
      <c r="D754" s="37"/>
      <c r="E754" t="s">
        <v>592</v>
      </c>
    </row>
    <row r="755" spans="1:5" x14ac:dyDescent="0.35">
      <c r="A755" t="s">
        <v>432</v>
      </c>
      <c r="B755" t="s">
        <v>144</v>
      </c>
      <c r="D755" s="37"/>
      <c r="E755" t="s">
        <v>592</v>
      </c>
    </row>
    <row r="756" spans="1:5" x14ac:dyDescent="0.35">
      <c r="A756" t="s">
        <v>432</v>
      </c>
      <c r="B756" t="s">
        <v>145</v>
      </c>
      <c r="D756" s="37"/>
      <c r="E756" t="s">
        <v>592</v>
      </c>
    </row>
    <row r="757" spans="1:5" x14ac:dyDescent="0.35">
      <c r="A757" t="s">
        <v>432</v>
      </c>
      <c r="B757" t="s">
        <v>146</v>
      </c>
      <c r="D757" s="37"/>
      <c r="E757" t="s">
        <v>592</v>
      </c>
    </row>
    <row r="758" spans="1:5" x14ac:dyDescent="0.35">
      <c r="A758" t="s">
        <v>432</v>
      </c>
      <c r="B758" t="s">
        <v>147</v>
      </c>
      <c r="D758" s="37"/>
      <c r="E758" t="s">
        <v>592</v>
      </c>
    </row>
    <row r="759" spans="1:5" x14ac:dyDescent="0.35">
      <c r="A759" t="s">
        <v>433</v>
      </c>
      <c r="B759" t="s">
        <v>299</v>
      </c>
      <c r="D759" s="37"/>
      <c r="E759" t="s">
        <v>592</v>
      </c>
    </row>
    <row r="760" spans="1:5" x14ac:dyDescent="0.35">
      <c r="A760" t="s">
        <v>433</v>
      </c>
      <c r="B760" t="s">
        <v>445</v>
      </c>
      <c r="D760" s="37"/>
      <c r="E760" t="s">
        <v>592</v>
      </c>
    </row>
    <row r="761" spans="1:5" x14ac:dyDescent="0.35">
      <c r="A761" t="s">
        <v>433</v>
      </c>
      <c r="B761" t="s">
        <v>189</v>
      </c>
      <c r="D761" s="37"/>
      <c r="E761" t="s">
        <v>592</v>
      </c>
    </row>
    <row r="762" spans="1:5" x14ac:dyDescent="0.35">
      <c r="A762" t="s">
        <v>433</v>
      </c>
      <c r="B762" t="s">
        <v>190</v>
      </c>
      <c r="D762" s="37"/>
      <c r="E762" t="s">
        <v>592</v>
      </c>
    </row>
    <row r="763" spans="1:5" x14ac:dyDescent="0.35">
      <c r="A763" t="s">
        <v>433</v>
      </c>
      <c r="B763" t="s">
        <v>301</v>
      </c>
      <c r="D763" s="37"/>
      <c r="E763" t="s">
        <v>592</v>
      </c>
    </row>
    <row r="764" spans="1:5" x14ac:dyDescent="0.35">
      <c r="A764" t="s">
        <v>433</v>
      </c>
      <c r="B764" t="s">
        <v>446</v>
      </c>
      <c r="D764" s="37"/>
      <c r="E764" t="s">
        <v>592</v>
      </c>
    </row>
    <row r="765" spans="1:5" x14ac:dyDescent="0.35">
      <c r="A765" t="s">
        <v>433</v>
      </c>
      <c r="B765" t="s">
        <v>40</v>
      </c>
      <c r="D765" s="37"/>
      <c r="E765" t="s">
        <v>592</v>
      </c>
    </row>
    <row r="766" spans="1:5" x14ac:dyDescent="0.35">
      <c r="A766" t="s">
        <v>433</v>
      </c>
      <c r="B766" t="s">
        <v>303</v>
      </c>
      <c r="D766" s="37"/>
      <c r="E766" t="s">
        <v>592</v>
      </c>
    </row>
    <row r="767" spans="1:5" x14ac:dyDescent="0.35">
      <c r="A767" t="s">
        <v>433</v>
      </c>
      <c r="B767" t="s">
        <v>199</v>
      </c>
      <c r="D767" s="37"/>
      <c r="E767" t="s">
        <v>592</v>
      </c>
    </row>
    <row r="768" spans="1:5" x14ac:dyDescent="0.35">
      <c r="A768" t="s">
        <v>433</v>
      </c>
      <c r="B768" t="s">
        <v>194</v>
      </c>
      <c r="D768" s="37"/>
      <c r="E768" t="s">
        <v>592</v>
      </c>
    </row>
    <row r="769" spans="1:5" x14ac:dyDescent="0.35">
      <c r="A769" t="s">
        <v>433</v>
      </c>
      <c r="B769" t="s">
        <v>144</v>
      </c>
      <c r="D769" s="37"/>
      <c r="E769" t="s">
        <v>592</v>
      </c>
    </row>
    <row r="770" spans="1:5" x14ac:dyDescent="0.35">
      <c r="A770" t="s">
        <v>433</v>
      </c>
      <c r="B770" t="s">
        <v>145</v>
      </c>
      <c r="D770" s="37"/>
      <c r="E770" t="s">
        <v>592</v>
      </c>
    </row>
    <row r="771" spans="1:5" x14ac:dyDescent="0.35">
      <c r="A771" t="s">
        <v>433</v>
      </c>
      <c r="B771" t="s">
        <v>146</v>
      </c>
      <c r="D771" s="37"/>
      <c r="E771" t="s">
        <v>592</v>
      </c>
    </row>
    <row r="772" spans="1:5" x14ac:dyDescent="0.35">
      <c r="A772" t="s">
        <v>433</v>
      </c>
      <c r="B772" t="s">
        <v>147</v>
      </c>
      <c r="D772" s="37"/>
      <c r="E772" t="s">
        <v>592</v>
      </c>
    </row>
    <row r="773" spans="1:5" x14ac:dyDescent="0.35">
      <c r="A773" t="s">
        <v>434</v>
      </c>
      <c r="B773" t="s">
        <v>299</v>
      </c>
      <c r="C773">
        <v>25072.48</v>
      </c>
      <c r="D773" s="37">
        <v>4.5103013343713902</v>
      </c>
      <c r="E773" t="s">
        <v>592</v>
      </c>
    </row>
    <row r="774" spans="1:5" x14ac:dyDescent="0.35">
      <c r="A774" t="s">
        <v>434</v>
      </c>
      <c r="B774" t="s">
        <v>445</v>
      </c>
      <c r="D774" s="37"/>
      <c r="E774" t="s">
        <v>592</v>
      </c>
    </row>
    <row r="775" spans="1:5" x14ac:dyDescent="0.35">
      <c r="A775" t="s">
        <v>434</v>
      </c>
      <c r="B775" t="s">
        <v>189</v>
      </c>
      <c r="D775" s="37"/>
      <c r="E775" t="s">
        <v>592</v>
      </c>
    </row>
    <row r="776" spans="1:5" x14ac:dyDescent="0.35">
      <c r="A776" t="s">
        <v>434</v>
      </c>
      <c r="B776" t="s">
        <v>190</v>
      </c>
      <c r="D776" s="37"/>
      <c r="E776" t="s">
        <v>592</v>
      </c>
    </row>
    <row r="777" spans="1:5" x14ac:dyDescent="0.35">
      <c r="A777" t="s">
        <v>434</v>
      </c>
      <c r="B777" t="s">
        <v>301</v>
      </c>
      <c r="C777">
        <v>3264.03</v>
      </c>
      <c r="D777" s="37">
        <v>4.6989396543536666</v>
      </c>
      <c r="E777" t="s">
        <v>592</v>
      </c>
    </row>
    <row r="778" spans="1:5" x14ac:dyDescent="0.35">
      <c r="A778" t="s">
        <v>434</v>
      </c>
      <c r="B778" t="s">
        <v>446</v>
      </c>
      <c r="D778" s="37"/>
      <c r="E778" t="s">
        <v>592</v>
      </c>
    </row>
    <row r="779" spans="1:5" x14ac:dyDescent="0.35">
      <c r="A779" t="s">
        <v>434</v>
      </c>
      <c r="B779" t="s">
        <v>40</v>
      </c>
      <c r="C779">
        <v>1465.23</v>
      </c>
      <c r="D779" s="37">
        <v>5.2300116705227166</v>
      </c>
      <c r="E779" t="s">
        <v>592</v>
      </c>
    </row>
    <row r="780" spans="1:5" x14ac:dyDescent="0.35">
      <c r="A780" t="s">
        <v>434</v>
      </c>
      <c r="B780" t="s">
        <v>303</v>
      </c>
      <c r="D780" s="37"/>
      <c r="E780" t="s">
        <v>592</v>
      </c>
    </row>
    <row r="781" spans="1:5" x14ac:dyDescent="0.35">
      <c r="A781" t="s">
        <v>434</v>
      </c>
      <c r="B781" t="s">
        <v>199</v>
      </c>
      <c r="D781" s="37"/>
      <c r="E781" t="s">
        <v>592</v>
      </c>
    </row>
    <row r="782" spans="1:5" x14ac:dyDescent="0.35">
      <c r="A782" t="s">
        <v>434</v>
      </c>
      <c r="B782" t="s">
        <v>194</v>
      </c>
      <c r="D782" s="37"/>
      <c r="E782" t="s">
        <v>592</v>
      </c>
    </row>
    <row r="783" spans="1:5" x14ac:dyDescent="0.35">
      <c r="A783" t="s">
        <v>434</v>
      </c>
      <c r="B783" t="s">
        <v>144</v>
      </c>
      <c r="D783" s="37"/>
      <c r="E783" t="s">
        <v>592</v>
      </c>
    </row>
    <row r="784" spans="1:5" x14ac:dyDescent="0.35">
      <c r="A784" t="s">
        <v>434</v>
      </c>
      <c r="B784" t="s">
        <v>145</v>
      </c>
      <c r="D784" s="37"/>
      <c r="E784" t="s">
        <v>592</v>
      </c>
    </row>
    <row r="785" spans="1:5" x14ac:dyDescent="0.35">
      <c r="A785" t="s">
        <v>434</v>
      </c>
      <c r="B785" t="s">
        <v>146</v>
      </c>
      <c r="D785" s="37"/>
      <c r="E785" t="s">
        <v>592</v>
      </c>
    </row>
    <row r="786" spans="1:5" x14ac:dyDescent="0.35">
      <c r="A786" t="s">
        <v>434</v>
      </c>
      <c r="B786" t="s">
        <v>147</v>
      </c>
      <c r="D786" s="37"/>
      <c r="E786" t="s">
        <v>592</v>
      </c>
    </row>
    <row r="787" spans="1:5" x14ac:dyDescent="0.35">
      <c r="A787" t="s">
        <v>435</v>
      </c>
      <c r="B787" t="s">
        <v>299</v>
      </c>
      <c r="C787">
        <v>2548.42</v>
      </c>
      <c r="D787" s="37">
        <v>4.7572495899420035</v>
      </c>
      <c r="E787" t="s">
        <v>592</v>
      </c>
    </row>
    <row r="788" spans="1:5" x14ac:dyDescent="0.35">
      <c r="A788" t="s">
        <v>435</v>
      </c>
      <c r="B788" t="s">
        <v>445</v>
      </c>
      <c r="D788" s="37"/>
      <c r="E788" t="s">
        <v>592</v>
      </c>
    </row>
    <row r="789" spans="1:5" x14ac:dyDescent="0.35">
      <c r="A789" t="s">
        <v>435</v>
      </c>
      <c r="B789" t="s">
        <v>189</v>
      </c>
      <c r="D789" s="37"/>
      <c r="E789" t="s">
        <v>592</v>
      </c>
    </row>
    <row r="790" spans="1:5" x14ac:dyDescent="0.35">
      <c r="A790" t="s">
        <v>435</v>
      </c>
      <c r="B790" t="s">
        <v>190</v>
      </c>
      <c r="D790" s="37"/>
      <c r="E790" t="s">
        <v>592</v>
      </c>
    </row>
    <row r="791" spans="1:5" x14ac:dyDescent="0.35">
      <c r="A791" t="s">
        <v>435</v>
      </c>
      <c r="B791" t="s">
        <v>301</v>
      </c>
      <c r="C791">
        <v>1770.83</v>
      </c>
      <c r="D791" s="37">
        <v>4.7199900611577617</v>
      </c>
      <c r="E791" t="s">
        <v>592</v>
      </c>
    </row>
    <row r="792" spans="1:5" x14ac:dyDescent="0.35">
      <c r="A792" t="s">
        <v>435</v>
      </c>
      <c r="B792" t="s">
        <v>446</v>
      </c>
      <c r="D792" s="37"/>
      <c r="E792" t="s">
        <v>592</v>
      </c>
    </row>
    <row r="793" spans="1:5" x14ac:dyDescent="0.35">
      <c r="A793" t="s">
        <v>435</v>
      </c>
      <c r="B793" t="s">
        <v>40</v>
      </c>
      <c r="C793">
        <v>10690</v>
      </c>
      <c r="D793" s="37">
        <v>5.1899999999999995</v>
      </c>
      <c r="E793" t="s">
        <v>592</v>
      </c>
    </row>
    <row r="794" spans="1:5" x14ac:dyDescent="0.35">
      <c r="A794" t="s">
        <v>435</v>
      </c>
      <c r="B794" t="s">
        <v>303</v>
      </c>
      <c r="D794" s="37"/>
      <c r="E794" t="s">
        <v>592</v>
      </c>
    </row>
    <row r="795" spans="1:5" x14ac:dyDescent="0.35">
      <c r="A795" t="s">
        <v>435</v>
      </c>
      <c r="B795" t="s">
        <v>199</v>
      </c>
      <c r="D795" s="37"/>
      <c r="E795" t="s">
        <v>592</v>
      </c>
    </row>
    <row r="796" spans="1:5" x14ac:dyDescent="0.35">
      <c r="A796" t="s">
        <v>435</v>
      </c>
      <c r="B796" t="s">
        <v>194</v>
      </c>
      <c r="D796" s="37"/>
      <c r="E796" t="s">
        <v>592</v>
      </c>
    </row>
    <row r="797" spans="1:5" x14ac:dyDescent="0.35">
      <c r="A797" t="s">
        <v>435</v>
      </c>
      <c r="B797" t="s">
        <v>144</v>
      </c>
      <c r="D797" s="37"/>
      <c r="E797" t="s">
        <v>592</v>
      </c>
    </row>
    <row r="798" spans="1:5" x14ac:dyDescent="0.35">
      <c r="A798" t="s">
        <v>435</v>
      </c>
      <c r="B798" t="s">
        <v>145</v>
      </c>
      <c r="D798" s="37"/>
      <c r="E798" t="s">
        <v>592</v>
      </c>
    </row>
    <row r="799" spans="1:5" x14ac:dyDescent="0.35">
      <c r="A799" t="s">
        <v>435</v>
      </c>
      <c r="B799" t="s">
        <v>146</v>
      </c>
      <c r="D799" s="37"/>
      <c r="E799" t="s">
        <v>592</v>
      </c>
    </row>
    <row r="800" spans="1:5" x14ac:dyDescent="0.35">
      <c r="A800" t="s">
        <v>435</v>
      </c>
      <c r="B800" t="s">
        <v>147</v>
      </c>
      <c r="D800" s="37"/>
      <c r="E800" t="s">
        <v>592</v>
      </c>
    </row>
    <row r="801" spans="1:5" x14ac:dyDescent="0.35">
      <c r="A801" t="s">
        <v>436</v>
      </c>
      <c r="B801" t="s">
        <v>299</v>
      </c>
      <c r="C801">
        <v>8608.9000000000015</v>
      </c>
      <c r="D801" s="37">
        <v>4.6168558120085024</v>
      </c>
      <c r="E801" t="s">
        <v>592</v>
      </c>
    </row>
    <row r="802" spans="1:5" x14ac:dyDescent="0.35">
      <c r="A802" t="s">
        <v>436</v>
      </c>
      <c r="B802" t="s">
        <v>445</v>
      </c>
      <c r="D802" s="37"/>
      <c r="E802" t="s">
        <v>592</v>
      </c>
    </row>
    <row r="803" spans="1:5" x14ac:dyDescent="0.35">
      <c r="A803" t="s">
        <v>436</v>
      </c>
      <c r="B803" t="s">
        <v>189</v>
      </c>
      <c r="D803" s="37"/>
      <c r="E803" t="s">
        <v>592</v>
      </c>
    </row>
    <row r="804" spans="1:5" x14ac:dyDescent="0.35">
      <c r="A804" t="s">
        <v>436</v>
      </c>
      <c r="B804" t="s">
        <v>190</v>
      </c>
      <c r="D804" s="37"/>
      <c r="E804" t="s">
        <v>592</v>
      </c>
    </row>
    <row r="805" spans="1:5" x14ac:dyDescent="0.35">
      <c r="A805" t="s">
        <v>436</v>
      </c>
      <c r="B805" t="s">
        <v>301</v>
      </c>
      <c r="C805">
        <v>8863</v>
      </c>
      <c r="D805" s="37">
        <v>4.6461886494414992</v>
      </c>
      <c r="E805" t="s">
        <v>592</v>
      </c>
    </row>
    <row r="806" spans="1:5" x14ac:dyDescent="0.35">
      <c r="A806" t="s">
        <v>436</v>
      </c>
      <c r="B806" t="s">
        <v>446</v>
      </c>
      <c r="D806" s="37"/>
      <c r="E806" t="s">
        <v>592</v>
      </c>
    </row>
    <row r="807" spans="1:5" x14ac:dyDescent="0.35">
      <c r="A807" t="s">
        <v>436</v>
      </c>
      <c r="B807" t="s">
        <v>40</v>
      </c>
      <c r="C807">
        <v>7182.12</v>
      </c>
      <c r="D807" s="37">
        <v>5.2329994486307667</v>
      </c>
      <c r="E807" t="s">
        <v>592</v>
      </c>
    </row>
    <row r="808" spans="1:5" x14ac:dyDescent="0.35">
      <c r="A808" t="s">
        <v>436</v>
      </c>
      <c r="B808" t="s">
        <v>303</v>
      </c>
      <c r="D808" s="37"/>
      <c r="E808" t="s">
        <v>592</v>
      </c>
    </row>
    <row r="809" spans="1:5" x14ac:dyDescent="0.35">
      <c r="A809" t="s">
        <v>436</v>
      </c>
      <c r="B809" t="s">
        <v>199</v>
      </c>
      <c r="D809" s="37"/>
      <c r="E809" t="s">
        <v>592</v>
      </c>
    </row>
    <row r="810" spans="1:5" x14ac:dyDescent="0.35">
      <c r="A810" t="s">
        <v>436</v>
      </c>
      <c r="B810" t="s">
        <v>194</v>
      </c>
      <c r="D810" s="37"/>
      <c r="E810" t="s">
        <v>592</v>
      </c>
    </row>
    <row r="811" spans="1:5" x14ac:dyDescent="0.35">
      <c r="A811" t="s">
        <v>436</v>
      </c>
      <c r="B811" t="s">
        <v>144</v>
      </c>
      <c r="D811" s="37"/>
      <c r="E811" t="s">
        <v>592</v>
      </c>
    </row>
    <row r="812" spans="1:5" x14ac:dyDescent="0.35">
      <c r="A812" t="s">
        <v>436</v>
      </c>
      <c r="B812" t="s">
        <v>145</v>
      </c>
      <c r="D812" s="37"/>
      <c r="E812" t="s">
        <v>592</v>
      </c>
    </row>
    <row r="813" spans="1:5" x14ac:dyDescent="0.35">
      <c r="A813" t="s">
        <v>436</v>
      </c>
      <c r="B813" t="s">
        <v>146</v>
      </c>
      <c r="D813" s="37"/>
      <c r="E813" t="s">
        <v>592</v>
      </c>
    </row>
    <row r="814" spans="1:5" x14ac:dyDescent="0.35">
      <c r="A814" t="s">
        <v>436</v>
      </c>
      <c r="B814" t="s">
        <v>147</v>
      </c>
      <c r="D814" s="37"/>
      <c r="E814" t="s">
        <v>592</v>
      </c>
    </row>
    <row r="815" spans="1:5" x14ac:dyDescent="0.35">
      <c r="A815" t="s">
        <v>245</v>
      </c>
      <c r="B815" s="69" t="s">
        <v>299</v>
      </c>
      <c r="D815" s="37"/>
      <c r="E815" t="s">
        <v>592</v>
      </c>
    </row>
    <row r="816" spans="1:5" x14ac:dyDescent="0.35">
      <c r="A816" t="s">
        <v>245</v>
      </c>
      <c r="B816" t="s">
        <v>445</v>
      </c>
      <c r="D816" s="37"/>
      <c r="E816" t="s">
        <v>592</v>
      </c>
    </row>
    <row r="817" spans="1:5" x14ac:dyDescent="0.35">
      <c r="A817" t="s">
        <v>245</v>
      </c>
      <c r="B817" s="69" t="s">
        <v>189</v>
      </c>
      <c r="D817" s="37"/>
      <c r="E817" t="s">
        <v>592</v>
      </c>
    </row>
    <row r="818" spans="1:5" x14ac:dyDescent="0.35">
      <c r="A818" t="s">
        <v>245</v>
      </c>
      <c r="B818" s="69" t="s">
        <v>190</v>
      </c>
      <c r="D818" s="37"/>
      <c r="E818" t="s">
        <v>592</v>
      </c>
    </row>
    <row r="819" spans="1:5" x14ac:dyDescent="0.35">
      <c r="A819" t="s">
        <v>245</v>
      </c>
      <c r="B819" s="69" t="s">
        <v>301</v>
      </c>
      <c r="D819" s="37"/>
      <c r="E819" t="s">
        <v>592</v>
      </c>
    </row>
    <row r="820" spans="1:5" x14ac:dyDescent="0.35">
      <c r="A820" t="s">
        <v>245</v>
      </c>
      <c r="B820" t="s">
        <v>446</v>
      </c>
      <c r="D820" s="37"/>
      <c r="E820" t="s">
        <v>592</v>
      </c>
    </row>
    <row r="821" spans="1:5" x14ac:dyDescent="0.35">
      <c r="A821" t="s">
        <v>245</v>
      </c>
      <c r="B821" s="69" t="s">
        <v>40</v>
      </c>
      <c r="D821" s="37"/>
      <c r="E821" t="s">
        <v>592</v>
      </c>
    </row>
    <row r="822" spans="1:5" x14ac:dyDescent="0.35">
      <c r="A822" t="s">
        <v>245</v>
      </c>
      <c r="B822" s="69" t="s">
        <v>303</v>
      </c>
      <c r="D822" s="37"/>
      <c r="E822" t="s">
        <v>592</v>
      </c>
    </row>
    <row r="823" spans="1:5" x14ac:dyDescent="0.35">
      <c r="A823" t="s">
        <v>245</v>
      </c>
      <c r="B823" s="69" t="s">
        <v>199</v>
      </c>
      <c r="D823" s="37"/>
      <c r="E823" t="s">
        <v>592</v>
      </c>
    </row>
    <row r="824" spans="1:5" x14ac:dyDescent="0.35">
      <c r="A824" t="s">
        <v>245</v>
      </c>
      <c r="B824" s="69" t="s">
        <v>194</v>
      </c>
      <c r="D824" s="37"/>
      <c r="E824" t="s">
        <v>592</v>
      </c>
    </row>
    <row r="825" spans="1:5" x14ac:dyDescent="0.35">
      <c r="A825" t="s">
        <v>245</v>
      </c>
      <c r="B825" s="69" t="s">
        <v>144</v>
      </c>
      <c r="D825" s="37"/>
      <c r="E825" t="s">
        <v>592</v>
      </c>
    </row>
    <row r="826" spans="1:5" x14ac:dyDescent="0.35">
      <c r="A826" t="s">
        <v>245</v>
      </c>
      <c r="B826" s="69" t="s">
        <v>145</v>
      </c>
      <c r="D826" s="37"/>
      <c r="E826" t="s">
        <v>592</v>
      </c>
    </row>
    <row r="827" spans="1:5" x14ac:dyDescent="0.35">
      <c r="A827" t="s">
        <v>245</v>
      </c>
      <c r="B827" s="69" t="s">
        <v>146</v>
      </c>
      <c r="D827" s="37"/>
      <c r="E827" t="s">
        <v>592</v>
      </c>
    </row>
    <row r="828" spans="1:5" x14ac:dyDescent="0.35">
      <c r="A828" t="s">
        <v>245</v>
      </c>
      <c r="B828" s="69" t="s">
        <v>147</v>
      </c>
      <c r="D828" s="37"/>
      <c r="E828" t="s">
        <v>592</v>
      </c>
    </row>
    <row r="829" spans="1:5" x14ac:dyDescent="0.35">
      <c r="A829" t="s">
        <v>246</v>
      </c>
      <c r="B829" s="69" t="s">
        <v>299</v>
      </c>
      <c r="D829" s="37"/>
      <c r="E829" t="s">
        <v>592</v>
      </c>
    </row>
    <row r="830" spans="1:5" x14ac:dyDescent="0.35">
      <c r="A830" t="s">
        <v>246</v>
      </c>
      <c r="B830" t="s">
        <v>445</v>
      </c>
      <c r="D830" s="37"/>
      <c r="E830" t="s">
        <v>592</v>
      </c>
    </row>
    <row r="831" spans="1:5" x14ac:dyDescent="0.35">
      <c r="A831" t="s">
        <v>246</v>
      </c>
      <c r="B831" s="69" t="s">
        <v>189</v>
      </c>
      <c r="D831" s="37"/>
      <c r="E831" t="s">
        <v>592</v>
      </c>
    </row>
    <row r="832" spans="1:5" x14ac:dyDescent="0.35">
      <c r="A832" t="s">
        <v>246</v>
      </c>
      <c r="B832" s="69" t="s">
        <v>190</v>
      </c>
      <c r="D832" s="37"/>
      <c r="E832" t="s">
        <v>592</v>
      </c>
    </row>
    <row r="833" spans="1:5" x14ac:dyDescent="0.35">
      <c r="A833" t="s">
        <v>246</v>
      </c>
      <c r="B833" s="69" t="s">
        <v>301</v>
      </c>
      <c r="D833" s="37"/>
      <c r="E833" t="s">
        <v>592</v>
      </c>
    </row>
    <row r="834" spans="1:5" x14ac:dyDescent="0.35">
      <c r="A834" t="s">
        <v>246</v>
      </c>
      <c r="B834" t="s">
        <v>446</v>
      </c>
      <c r="D834" s="37"/>
      <c r="E834" t="s">
        <v>592</v>
      </c>
    </row>
    <row r="835" spans="1:5" x14ac:dyDescent="0.35">
      <c r="A835" t="s">
        <v>246</v>
      </c>
      <c r="B835" s="69" t="s">
        <v>40</v>
      </c>
      <c r="D835" s="37"/>
      <c r="E835" t="s">
        <v>592</v>
      </c>
    </row>
    <row r="836" spans="1:5" x14ac:dyDescent="0.35">
      <c r="A836" t="s">
        <v>246</v>
      </c>
      <c r="B836" s="69" t="s">
        <v>303</v>
      </c>
      <c r="D836" s="37"/>
      <c r="E836" t="s">
        <v>592</v>
      </c>
    </row>
    <row r="837" spans="1:5" x14ac:dyDescent="0.35">
      <c r="A837" t="s">
        <v>246</v>
      </c>
      <c r="B837" s="69" t="s">
        <v>199</v>
      </c>
      <c r="D837" s="37"/>
      <c r="E837" t="s">
        <v>592</v>
      </c>
    </row>
    <row r="838" spans="1:5" x14ac:dyDescent="0.35">
      <c r="A838" t="s">
        <v>246</v>
      </c>
      <c r="B838" s="69" t="s">
        <v>194</v>
      </c>
      <c r="D838" s="37"/>
      <c r="E838" t="s">
        <v>592</v>
      </c>
    </row>
    <row r="839" spans="1:5" x14ac:dyDescent="0.35">
      <c r="A839" t="s">
        <v>246</v>
      </c>
      <c r="B839" s="69" t="s">
        <v>144</v>
      </c>
      <c r="D839" s="37"/>
      <c r="E839" t="s">
        <v>592</v>
      </c>
    </row>
    <row r="840" spans="1:5" x14ac:dyDescent="0.35">
      <c r="A840" t="s">
        <v>246</v>
      </c>
      <c r="B840" s="69" t="s">
        <v>145</v>
      </c>
      <c r="D840" s="37"/>
      <c r="E840" t="s">
        <v>592</v>
      </c>
    </row>
    <row r="841" spans="1:5" x14ac:dyDescent="0.35">
      <c r="A841" t="s">
        <v>246</v>
      </c>
      <c r="B841" s="69" t="s">
        <v>146</v>
      </c>
      <c r="D841" s="37"/>
      <c r="E841" t="s">
        <v>592</v>
      </c>
    </row>
    <row r="842" spans="1:5" x14ac:dyDescent="0.35">
      <c r="A842" t="s">
        <v>246</v>
      </c>
      <c r="B842" s="69" t="s">
        <v>147</v>
      </c>
      <c r="D842" s="37"/>
      <c r="E842" t="s">
        <v>592</v>
      </c>
    </row>
    <row r="843" spans="1:5" x14ac:dyDescent="0.35">
      <c r="A843" t="s">
        <v>247</v>
      </c>
      <c r="B843" s="69" t="s">
        <v>299</v>
      </c>
      <c r="C843">
        <v>5154.24</v>
      </c>
      <c r="D843" s="37">
        <v>4.8900788477059667</v>
      </c>
      <c r="E843" t="s">
        <v>592</v>
      </c>
    </row>
    <row r="844" spans="1:5" x14ac:dyDescent="0.35">
      <c r="A844" t="s">
        <v>247</v>
      </c>
      <c r="B844" t="s">
        <v>445</v>
      </c>
      <c r="D844" s="37"/>
      <c r="E844" t="s">
        <v>592</v>
      </c>
    </row>
    <row r="845" spans="1:5" x14ac:dyDescent="0.35">
      <c r="A845" t="s">
        <v>247</v>
      </c>
      <c r="B845" s="69" t="s">
        <v>189</v>
      </c>
      <c r="D845" s="37"/>
      <c r="E845" t="s">
        <v>592</v>
      </c>
    </row>
    <row r="846" spans="1:5" x14ac:dyDescent="0.35">
      <c r="A846" t="s">
        <v>247</v>
      </c>
      <c r="B846" s="69" t="s">
        <v>190</v>
      </c>
      <c r="D846" s="37"/>
      <c r="E846" t="s">
        <v>592</v>
      </c>
    </row>
    <row r="847" spans="1:5" x14ac:dyDescent="0.35">
      <c r="A847" t="s">
        <v>247</v>
      </c>
      <c r="B847" s="69" t="s">
        <v>301</v>
      </c>
      <c r="C847">
        <v>2657.9700000000003</v>
      </c>
      <c r="D847" s="37">
        <v>4.9699996613957262</v>
      </c>
      <c r="E847" t="s">
        <v>592</v>
      </c>
    </row>
    <row r="848" spans="1:5" x14ac:dyDescent="0.35">
      <c r="A848" t="s">
        <v>247</v>
      </c>
      <c r="B848" t="s">
        <v>446</v>
      </c>
      <c r="D848" s="37"/>
      <c r="E848" t="s">
        <v>592</v>
      </c>
    </row>
    <row r="849" spans="1:5" x14ac:dyDescent="0.35">
      <c r="A849" t="s">
        <v>247</v>
      </c>
      <c r="B849" s="69" t="s">
        <v>40</v>
      </c>
      <c r="D849" s="37"/>
      <c r="E849" t="s">
        <v>592</v>
      </c>
    </row>
    <row r="850" spans="1:5" x14ac:dyDescent="0.35">
      <c r="A850" t="s">
        <v>247</v>
      </c>
      <c r="B850" s="69" t="s">
        <v>303</v>
      </c>
      <c r="D850" s="37"/>
      <c r="E850" t="s">
        <v>592</v>
      </c>
    </row>
    <row r="851" spans="1:5" x14ac:dyDescent="0.35">
      <c r="A851" t="s">
        <v>247</v>
      </c>
      <c r="B851" s="69" t="s">
        <v>199</v>
      </c>
      <c r="D851" s="37"/>
      <c r="E851" t="s">
        <v>592</v>
      </c>
    </row>
    <row r="852" spans="1:5" x14ac:dyDescent="0.35">
      <c r="A852" t="s">
        <v>247</v>
      </c>
      <c r="B852" s="69" t="s">
        <v>194</v>
      </c>
      <c r="D852" s="37"/>
      <c r="E852" t="s">
        <v>592</v>
      </c>
    </row>
    <row r="853" spans="1:5" x14ac:dyDescent="0.35">
      <c r="A853" t="s">
        <v>247</v>
      </c>
      <c r="B853" s="69" t="s">
        <v>144</v>
      </c>
      <c r="D853" s="37"/>
      <c r="E853" t="s">
        <v>592</v>
      </c>
    </row>
    <row r="854" spans="1:5" x14ac:dyDescent="0.35">
      <c r="A854" t="s">
        <v>247</v>
      </c>
      <c r="B854" s="69" t="s">
        <v>145</v>
      </c>
      <c r="D854" s="37"/>
      <c r="E854" t="s">
        <v>592</v>
      </c>
    </row>
    <row r="855" spans="1:5" x14ac:dyDescent="0.35">
      <c r="A855" t="s">
        <v>247</v>
      </c>
      <c r="B855" s="69" t="s">
        <v>146</v>
      </c>
      <c r="D855" s="37"/>
      <c r="E855" t="s">
        <v>592</v>
      </c>
    </row>
    <row r="856" spans="1:5" x14ac:dyDescent="0.35">
      <c r="A856" t="s">
        <v>247</v>
      </c>
      <c r="B856" s="69" t="s">
        <v>147</v>
      </c>
      <c r="D856" s="37"/>
      <c r="E856" t="s">
        <v>592</v>
      </c>
    </row>
    <row r="857" spans="1:5" x14ac:dyDescent="0.35">
      <c r="A857" t="s">
        <v>248</v>
      </c>
      <c r="B857" s="69" t="s">
        <v>299</v>
      </c>
      <c r="C857">
        <v>6643.1299999999992</v>
      </c>
      <c r="D857" s="37">
        <v>4.6447307218133629</v>
      </c>
      <c r="E857" t="s">
        <v>592</v>
      </c>
    </row>
    <row r="858" spans="1:5" x14ac:dyDescent="0.35">
      <c r="A858" t="s">
        <v>248</v>
      </c>
      <c r="B858" t="s">
        <v>445</v>
      </c>
      <c r="C858">
        <v>5766.7</v>
      </c>
      <c r="D858" s="37">
        <v>5.010000520228207</v>
      </c>
      <c r="E858" t="s">
        <v>592</v>
      </c>
    </row>
    <row r="859" spans="1:5" x14ac:dyDescent="0.35">
      <c r="A859" t="s">
        <v>248</v>
      </c>
      <c r="B859" s="69" t="s">
        <v>189</v>
      </c>
      <c r="D859" s="37"/>
      <c r="E859" t="s">
        <v>592</v>
      </c>
    </row>
    <row r="860" spans="1:5" x14ac:dyDescent="0.35">
      <c r="A860" t="s">
        <v>248</v>
      </c>
      <c r="B860" s="69" t="s">
        <v>190</v>
      </c>
      <c r="D860" s="37"/>
      <c r="E860" t="s">
        <v>592</v>
      </c>
    </row>
    <row r="861" spans="1:5" x14ac:dyDescent="0.35">
      <c r="A861" t="s">
        <v>248</v>
      </c>
      <c r="B861" s="69" t="s">
        <v>301</v>
      </c>
      <c r="C861">
        <v>2633.48</v>
      </c>
      <c r="D861" s="37">
        <v>4.8039020611510246</v>
      </c>
      <c r="E861" t="s">
        <v>592</v>
      </c>
    </row>
    <row r="862" spans="1:5" x14ac:dyDescent="0.35">
      <c r="A862" t="s">
        <v>248</v>
      </c>
      <c r="B862" t="s">
        <v>446</v>
      </c>
      <c r="D862" s="37"/>
      <c r="E862" t="s">
        <v>592</v>
      </c>
    </row>
    <row r="863" spans="1:5" x14ac:dyDescent="0.35">
      <c r="A863" t="s">
        <v>248</v>
      </c>
      <c r="B863" s="69" t="s">
        <v>40</v>
      </c>
      <c r="C863">
        <v>9179.2999999999993</v>
      </c>
      <c r="D863" s="37">
        <v>5.1900003268223074</v>
      </c>
      <c r="E863" t="s">
        <v>592</v>
      </c>
    </row>
    <row r="864" spans="1:5" x14ac:dyDescent="0.35">
      <c r="A864" t="s">
        <v>248</v>
      </c>
      <c r="B864" s="69" t="s">
        <v>303</v>
      </c>
      <c r="D864" s="37"/>
      <c r="E864" t="s">
        <v>592</v>
      </c>
    </row>
    <row r="865" spans="1:5" x14ac:dyDescent="0.35">
      <c r="A865" t="s">
        <v>248</v>
      </c>
      <c r="B865" s="69" t="s">
        <v>199</v>
      </c>
      <c r="D865" s="37"/>
      <c r="E865" t="s">
        <v>592</v>
      </c>
    </row>
    <row r="866" spans="1:5" x14ac:dyDescent="0.35">
      <c r="A866" t="s">
        <v>248</v>
      </c>
      <c r="B866" s="69" t="s">
        <v>194</v>
      </c>
      <c r="D866" s="37"/>
      <c r="E866" t="s">
        <v>592</v>
      </c>
    </row>
    <row r="867" spans="1:5" x14ac:dyDescent="0.35">
      <c r="A867" t="s">
        <v>248</v>
      </c>
      <c r="B867" s="69" t="s">
        <v>144</v>
      </c>
      <c r="D867" s="37"/>
      <c r="E867" t="s">
        <v>592</v>
      </c>
    </row>
    <row r="868" spans="1:5" x14ac:dyDescent="0.35">
      <c r="A868" t="s">
        <v>248</v>
      </c>
      <c r="B868" s="69" t="s">
        <v>145</v>
      </c>
      <c r="D868" s="37"/>
      <c r="E868" t="s">
        <v>592</v>
      </c>
    </row>
    <row r="869" spans="1:5" x14ac:dyDescent="0.35">
      <c r="A869" t="s">
        <v>248</v>
      </c>
      <c r="B869" s="69" t="s">
        <v>146</v>
      </c>
      <c r="D869" s="37"/>
      <c r="E869" t="s">
        <v>592</v>
      </c>
    </row>
    <row r="870" spans="1:5" x14ac:dyDescent="0.35">
      <c r="A870" t="s">
        <v>248</v>
      </c>
      <c r="B870" s="69" t="s">
        <v>147</v>
      </c>
      <c r="D870" s="37"/>
      <c r="E870" t="s">
        <v>592</v>
      </c>
    </row>
    <row r="871" spans="1:5" x14ac:dyDescent="0.35">
      <c r="A871" t="s">
        <v>249</v>
      </c>
      <c r="B871" s="69" t="s">
        <v>299</v>
      </c>
      <c r="C871">
        <v>80815.300000000017</v>
      </c>
      <c r="D871" s="37">
        <v>3.5189872462268896</v>
      </c>
      <c r="E871" t="s">
        <v>592</v>
      </c>
    </row>
    <row r="872" spans="1:5" x14ac:dyDescent="0.35">
      <c r="A872" t="s">
        <v>249</v>
      </c>
      <c r="B872" t="s">
        <v>445</v>
      </c>
      <c r="C872">
        <v>1046</v>
      </c>
      <c r="D872" s="37">
        <v>5.01</v>
      </c>
      <c r="E872" t="s">
        <v>592</v>
      </c>
    </row>
    <row r="873" spans="1:5" x14ac:dyDescent="0.35">
      <c r="A873" t="s">
        <v>249</v>
      </c>
      <c r="B873" s="69" t="s">
        <v>189</v>
      </c>
      <c r="D873" s="37"/>
      <c r="E873" t="s">
        <v>592</v>
      </c>
    </row>
    <row r="874" spans="1:5" x14ac:dyDescent="0.35">
      <c r="A874" t="s">
        <v>249</v>
      </c>
      <c r="B874" s="69" t="s">
        <v>190</v>
      </c>
      <c r="D874" s="37"/>
      <c r="E874" t="s">
        <v>592</v>
      </c>
    </row>
    <row r="875" spans="1:5" x14ac:dyDescent="0.35">
      <c r="A875" t="s">
        <v>249</v>
      </c>
      <c r="B875" s="69" t="s">
        <v>301</v>
      </c>
      <c r="C875">
        <v>38538.18</v>
      </c>
      <c r="D875" s="37">
        <v>3.4999992215511995</v>
      </c>
      <c r="E875" t="s">
        <v>592</v>
      </c>
    </row>
    <row r="876" spans="1:5" x14ac:dyDescent="0.35">
      <c r="A876" t="s">
        <v>249</v>
      </c>
      <c r="B876" t="s">
        <v>446</v>
      </c>
      <c r="D876" s="37"/>
      <c r="E876" t="s">
        <v>592</v>
      </c>
    </row>
    <row r="877" spans="1:5" x14ac:dyDescent="0.35">
      <c r="A877" t="s">
        <v>249</v>
      </c>
      <c r="B877" s="69" t="s">
        <v>40</v>
      </c>
      <c r="C877">
        <v>26569.530000000002</v>
      </c>
      <c r="D877" s="37">
        <v>5.217604150318051</v>
      </c>
      <c r="E877" t="s">
        <v>592</v>
      </c>
    </row>
    <row r="878" spans="1:5" x14ac:dyDescent="0.35">
      <c r="A878" t="s">
        <v>249</v>
      </c>
      <c r="B878" s="69" t="s">
        <v>303</v>
      </c>
      <c r="D878" s="37"/>
      <c r="E878" t="s">
        <v>592</v>
      </c>
    </row>
    <row r="879" spans="1:5" x14ac:dyDescent="0.35">
      <c r="A879" t="s">
        <v>249</v>
      </c>
      <c r="B879" s="69" t="s">
        <v>199</v>
      </c>
      <c r="D879" s="37"/>
      <c r="E879" t="s">
        <v>592</v>
      </c>
    </row>
    <row r="880" spans="1:5" x14ac:dyDescent="0.35">
      <c r="A880" t="s">
        <v>249</v>
      </c>
      <c r="B880" s="69" t="s">
        <v>194</v>
      </c>
      <c r="D880" s="37"/>
      <c r="E880" t="s">
        <v>592</v>
      </c>
    </row>
    <row r="881" spans="1:5" x14ac:dyDescent="0.35">
      <c r="A881" t="s">
        <v>249</v>
      </c>
      <c r="B881" s="69" t="s">
        <v>144</v>
      </c>
      <c r="D881" s="37"/>
      <c r="E881" t="s">
        <v>592</v>
      </c>
    </row>
    <row r="882" spans="1:5" x14ac:dyDescent="0.35">
      <c r="A882" t="s">
        <v>249</v>
      </c>
      <c r="B882" s="69" t="s">
        <v>145</v>
      </c>
      <c r="D882" s="37"/>
      <c r="E882" t="s">
        <v>592</v>
      </c>
    </row>
    <row r="883" spans="1:5" x14ac:dyDescent="0.35">
      <c r="A883" t="s">
        <v>249</v>
      </c>
      <c r="B883" s="69" t="s">
        <v>146</v>
      </c>
      <c r="D883" s="37"/>
      <c r="E883" t="s">
        <v>592</v>
      </c>
    </row>
    <row r="884" spans="1:5" x14ac:dyDescent="0.35">
      <c r="A884" t="s">
        <v>249</v>
      </c>
      <c r="B884" s="69" t="s">
        <v>147</v>
      </c>
      <c r="D884" s="37"/>
      <c r="E884" t="s">
        <v>592</v>
      </c>
    </row>
    <row r="885" spans="1:5" x14ac:dyDescent="0.35">
      <c r="A885" t="s">
        <v>250</v>
      </c>
      <c r="B885" s="69" t="s">
        <v>299</v>
      </c>
      <c r="C885">
        <v>13426.53</v>
      </c>
      <c r="D885" s="37">
        <f>48780.72/13426.53</f>
        <v>3.6331591259990481</v>
      </c>
      <c r="E885" t="s">
        <v>592</v>
      </c>
    </row>
    <row r="886" spans="1:5" x14ac:dyDescent="0.35">
      <c r="A886" t="s">
        <v>250</v>
      </c>
      <c r="B886" t="s">
        <v>445</v>
      </c>
      <c r="D886" s="37"/>
      <c r="E886" t="s">
        <v>592</v>
      </c>
    </row>
    <row r="887" spans="1:5" x14ac:dyDescent="0.35">
      <c r="A887" t="s">
        <v>250</v>
      </c>
      <c r="B887" s="69" t="s">
        <v>189</v>
      </c>
      <c r="D887" s="37"/>
      <c r="E887" t="s">
        <v>592</v>
      </c>
    </row>
    <row r="888" spans="1:5" x14ac:dyDescent="0.35">
      <c r="A888" t="s">
        <v>250</v>
      </c>
      <c r="B888" s="69" t="s">
        <v>190</v>
      </c>
      <c r="D888" s="37"/>
      <c r="E888" t="s">
        <v>592</v>
      </c>
    </row>
    <row r="889" spans="1:5" x14ac:dyDescent="0.35">
      <c r="A889" t="s">
        <v>250</v>
      </c>
      <c r="B889" s="69" t="s">
        <v>301</v>
      </c>
      <c r="C889">
        <v>10282.83</v>
      </c>
      <c r="D889" s="37">
        <f>38509.24/10282.83</f>
        <v>3.7450040504413669</v>
      </c>
      <c r="E889" t="s">
        <v>592</v>
      </c>
    </row>
    <row r="890" spans="1:5" x14ac:dyDescent="0.35">
      <c r="A890" t="s">
        <v>250</v>
      </c>
      <c r="B890" t="s">
        <v>446</v>
      </c>
      <c r="D890" s="37"/>
      <c r="E890" t="s">
        <v>592</v>
      </c>
    </row>
    <row r="891" spans="1:5" x14ac:dyDescent="0.35">
      <c r="A891" t="s">
        <v>250</v>
      </c>
      <c r="B891" s="69" t="s">
        <v>40</v>
      </c>
      <c r="C891">
        <v>2326.17</v>
      </c>
      <c r="D891" s="37">
        <v>5.2300003869020744</v>
      </c>
      <c r="E891" t="s">
        <v>592</v>
      </c>
    </row>
    <row r="892" spans="1:5" x14ac:dyDescent="0.35">
      <c r="A892" t="s">
        <v>250</v>
      </c>
      <c r="B892" s="69" t="s">
        <v>303</v>
      </c>
      <c r="D892" s="37"/>
      <c r="E892" t="s">
        <v>592</v>
      </c>
    </row>
    <row r="893" spans="1:5" x14ac:dyDescent="0.35">
      <c r="A893" t="s">
        <v>250</v>
      </c>
      <c r="B893" s="69" t="s">
        <v>199</v>
      </c>
      <c r="D893" s="37"/>
      <c r="E893" t="s">
        <v>592</v>
      </c>
    </row>
    <row r="894" spans="1:5" x14ac:dyDescent="0.35">
      <c r="A894" t="s">
        <v>250</v>
      </c>
      <c r="B894" s="69" t="s">
        <v>194</v>
      </c>
      <c r="D894" s="37"/>
      <c r="E894" t="s">
        <v>592</v>
      </c>
    </row>
    <row r="895" spans="1:5" x14ac:dyDescent="0.35">
      <c r="A895" t="s">
        <v>250</v>
      </c>
      <c r="B895" s="69" t="s">
        <v>144</v>
      </c>
      <c r="D895" s="37"/>
      <c r="E895" t="s">
        <v>592</v>
      </c>
    </row>
    <row r="896" spans="1:5" x14ac:dyDescent="0.35">
      <c r="A896" t="s">
        <v>250</v>
      </c>
      <c r="B896" s="69" t="s">
        <v>145</v>
      </c>
      <c r="D896" s="37"/>
      <c r="E896" t="s">
        <v>592</v>
      </c>
    </row>
    <row r="897" spans="1:5" x14ac:dyDescent="0.35">
      <c r="A897" t="s">
        <v>250</v>
      </c>
      <c r="B897" s="69" t="s">
        <v>146</v>
      </c>
      <c r="D897" s="37"/>
      <c r="E897" t="s">
        <v>592</v>
      </c>
    </row>
    <row r="898" spans="1:5" x14ac:dyDescent="0.35">
      <c r="A898" t="s">
        <v>250</v>
      </c>
      <c r="B898" s="69" t="s">
        <v>147</v>
      </c>
      <c r="D898" s="37"/>
      <c r="E898" t="s">
        <v>592</v>
      </c>
    </row>
    <row r="899" spans="1:5" x14ac:dyDescent="0.35">
      <c r="A899" t="s">
        <v>251</v>
      </c>
      <c r="B899" s="69" t="s">
        <v>299</v>
      </c>
      <c r="C899">
        <v>5573.08</v>
      </c>
      <c r="D899" s="37">
        <v>3.6853284000947406</v>
      </c>
      <c r="E899" t="s">
        <v>592</v>
      </c>
    </row>
    <row r="900" spans="1:5" x14ac:dyDescent="0.35">
      <c r="A900" t="s">
        <v>251</v>
      </c>
      <c r="B900" t="s">
        <v>445</v>
      </c>
      <c r="C900">
        <v>2580</v>
      </c>
      <c r="D900" s="37">
        <v>5.01</v>
      </c>
      <c r="E900" t="s">
        <v>592</v>
      </c>
    </row>
    <row r="901" spans="1:5" x14ac:dyDescent="0.35">
      <c r="A901" t="s">
        <v>251</v>
      </c>
      <c r="B901" s="69" t="s">
        <v>189</v>
      </c>
      <c r="D901" s="37"/>
      <c r="E901" t="s">
        <v>592</v>
      </c>
    </row>
    <row r="902" spans="1:5" x14ac:dyDescent="0.35">
      <c r="A902" t="s">
        <v>251</v>
      </c>
      <c r="B902" s="69" t="s">
        <v>190</v>
      </c>
      <c r="D902" s="37"/>
      <c r="E902" t="s">
        <v>592</v>
      </c>
    </row>
    <row r="903" spans="1:5" x14ac:dyDescent="0.35">
      <c r="A903" t="s">
        <v>251</v>
      </c>
      <c r="B903" s="69" t="s">
        <v>301</v>
      </c>
      <c r="C903">
        <v>3297.89</v>
      </c>
      <c r="D903" s="37">
        <v>3.8878404070481425</v>
      </c>
      <c r="E903" t="s">
        <v>592</v>
      </c>
    </row>
    <row r="904" spans="1:5" x14ac:dyDescent="0.35">
      <c r="A904" t="s">
        <v>251</v>
      </c>
      <c r="B904" t="s">
        <v>446</v>
      </c>
      <c r="D904" s="37"/>
      <c r="E904" t="s">
        <v>592</v>
      </c>
    </row>
    <row r="905" spans="1:5" x14ac:dyDescent="0.35">
      <c r="A905" t="s">
        <v>251</v>
      </c>
      <c r="B905" s="69" t="s">
        <v>40</v>
      </c>
      <c r="C905">
        <v>10322</v>
      </c>
      <c r="D905" s="37">
        <v>5.19</v>
      </c>
      <c r="E905" t="s">
        <v>592</v>
      </c>
    </row>
    <row r="906" spans="1:5" x14ac:dyDescent="0.35">
      <c r="A906" t="s">
        <v>251</v>
      </c>
      <c r="B906" s="69" t="s">
        <v>303</v>
      </c>
      <c r="D906" s="37"/>
      <c r="E906" t="s">
        <v>592</v>
      </c>
    </row>
    <row r="907" spans="1:5" x14ac:dyDescent="0.35">
      <c r="A907" t="s">
        <v>251</v>
      </c>
      <c r="B907" s="69" t="s">
        <v>199</v>
      </c>
      <c r="D907" s="37"/>
      <c r="E907" t="s">
        <v>592</v>
      </c>
    </row>
    <row r="908" spans="1:5" x14ac:dyDescent="0.35">
      <c r="A908" t="s">
        <v>251</v>
      </c>
      <c r="B908" s="69" t="s">
        <v>194</v>
      </c>
      <c r="D908" s="37"/>
      <c r="E908" t="s">
        <v>592</v>
      </c>
    </row>
    <row r="909" spans="1:5" x14ac:dyDescent="0.35">
      <c r="A909" t="s">
        <v>251</v>
      </c>
      <c r="B909" s="69" t="s">
        <v>144</v>
      </c>
      <c r="D909" s="37"/>
      <c r="E909" t="s">
        <v>592</v>
      </c>
    </row>
    <row r="910" spans="1:5" x14ac:dyDescent="0.35">
      <c r="A910" t="s">
        <v>251</v>
      </c>
      <c r="B910" s="69" t="s">
        <v>145</v>
      </c>
      <c r="D910" s="37"/>
      <c r="E910" t="s">
        <v>592</v>
      </c>
    </row>
    <row r="911" spans="1:5" x14ac:dyDescent="0.35">
      <c r="A911" t="s">
        <v>251</v>
      </c>
      <c r="B911" s="69" t="s">
        <v>146</v>
      </c>
      <c r="D911" s="37"/>
      <c r="E911" t="s">
        <v>592</v>
      </c>
    </row>
    <row r="912" spans="1:5" x14ac:dyDescent="0.35">
      <c r="A912" t="s">
        <v>251</v>
      </c>
      <c r="B912" s="69" t="s">
        <v>147</v>
      </c>
      <c r="D912" s="37"/>
      <c r="E912" t="s">
        <v>592</v>
      </c>
    </row>
    <row r="913" spans="1:5" x14ac:dyDescent="0.35">
      <c r="A913" t="s">
        <v>252</v>
      </c>
      <c r="B913" s="69" t="s">
        <v>299</v>
      </c>
      <c r="C913">
        <v>71078.11</v>
      </c>
      <c r="D913" s="37">
        <v>3.4868753544516022</v>
      </c>
      <c r="E913" t="s">
        <v>592</v>
      </c>
    </row>
    <row r="914" spans="1:5" x14ac:dyDescent="0.35">
      <c r="A914" t="s">
        <v>252</v>
      </c>
      <c r="B914" t="s">
        <v>445</v>
      </c>
      <c r="D914" s="37"/>
      <c r="E914" t="s">
        <v>592</v>
      </c>
    </row>
    <row r="915" spans="1:5" x14ac:dyDescent="0.35">
      <c r="A915" t="s">
        <v>252</v>
      </c>
      <c r="B915" s="69" t="s">
        <v>189</v>
      </c>
      <c r="D915" s="37"/>
      <c r="E915" t="s">
        <v>592</v>
      </c>
    </row>
    <row r="916" spans="1:5" x14ac:dyDescent="0.35">
      <c r="A916" t="s">
        <v>252</v>
      </c>
      <c r="B916" s="69" t="s">
        <v>190</v>
      </c>
      <c r="D916" s="37"/>
      <c r="E916" t="s">
        <v>592</v>
      </c>
    </row>
    <row r="917" spans="1:5" x14ac:dyDescent="0.35">
      <c r="A917" t="s">
        <v>252</v>
      </c>
      <c r="B917" s="69" t="s">
        <v>301</v>
      </c>
      <c r="C917">
        <v>43705.5</v>
      </c>
      <c r="D917" s="37">
        <v>3.5000007368780435</v>
      </c>
      <c r="E917" t="s">
        <v>592</v>
      </c>
    </row>
    <row r="918" spans="1:5" x14ac:dyDescent="0.35">
      <c r="A918" t="s">
        <v>252</v>
      </c>
      <c r="B918" t="s">
        <v>446</v>
      </c>
      <c r="D918" s="37"/>
      <c r="E918" t="s">
        <v>592</v>
      </c>
    </row>
    <row r="919" spans="1:5" x14ac:dyDescent="0.35">
      <c r="A919" t="s">
        <v>252</v>
      </c>
      <c r="B919" s="69" t="s">
        <v>40</v>
      </c>
      <c r="D919" s="37"/>
      <c r="E919" t="s">
        <v>592</v>
      </c>
    </row>
    <row r="920" spans="1:5" x14ac:dyDescent="0.35">
      <c r="A920" t="s">
        <v>252</v>
      </c>
      <c r="B920" s="69" t="s">
        <v>303</v>
      </c>
      <c r="D920" s="37"/>
      <c r="E920" t="s">
        <v>592</v>
      </c>
    </row>
    <row r="921" spans="1:5" x14ac:dyDescent="0.35">
      <c r="A921" t="s">
        <v>252</v>
      </c>
      <c r="B921" s="69" t="s">
        <v>199</v>
      </c>
      <c r="D921" s="37"/>
      <c r="E921" t="s">
        <v>592</v>
      </c>
    </row>
    <row r="922" spans="1:5" x14ac:dyDescent="0.35">
      <c r="A922" t="s">
        <v>252</v>
      </c>
      <c r="B922" s="69" t="s">
        <v>194</v>
      </c>
      <c r="D922" s="37"/>
      <c r="E922" t="s">
        <v>592</v>
      </c>
    </row>
    <row r="923" spans="1:5" x14ac:dyDescent="0.35">
      <c r="A923" t="s">
        <v>252</v>
      </c>
      <c r="B923" s="69" t="s">
        <v>144</v>
      </c>
      <c r="D923" s="37"/>
      <c r="E923" t="s">
        <v>592</v>
      </c>
    </row>
    <row r="924" spans="1:5" x14ac:dyDescent="0.35">
      <c r="A924" t="s">
        <v>252</v>
      </c>
      <c r="B924" s="69" t="s">
        <v>145</v>
      </c>
      <c r="D924" s="37"/>
      <c r="E924" t="s">
        <v>592</v>
      </c>
    </row>
    <row r="925" spans="1:5" x14ac:dyDescent="0.35">
      <c r="A925" t="s">
        <v>252</v>
      </c>
      <c r="B925" s="69" t="s">
        <v>146</v>
      </c>
      <c r="D925" s="37"/>
      <c r="E925" t="s">
        <v>592</v>
      </c>
    </row>
    <row r="926" spans="1:5" x14ac:dyDescent="0.35">
      <c r="A926" t="s">
        <v>252</v>
      </c>
      <c r="B926" s="69" t="s">
        <v>147</v>
      </c>
      <c r="D926" s="37"/>
      <c r="E926" t="s">
        <v>592</v>
      </c>
    </row>
    <row r="927" spans="1:5" x14ac:dyDescent="0.35">
      <c r="A927" t="s">
        <v>253</v>
      </c>
      <c r="B927" s="69" t="s">
        <v>299</v>
      </c>
      <c r="C927">
        <v>38386.43</v>
      </c>
      <c r="D927" s="37">
        <v>3.5501691613416515</v>
      </c>
      <c r="E927" t="s">
        <v>592</v>
      </c>
    </row>
    <row r="928" spans="1:5" x14ac:dyDescent="0.35">
      <c r="A928" t="s">
        <v>253</v>
      </c>
      <c r="B928" t="s">
        <v>445</v>
      </c>
      <c r="C928">
        <v>-7</v>
      </c>
      <c r="D928" s="37">
        <v>5.01</v>
      </c>
      <c r="E928" t="s">
        <v>592</v>
      </c>
    </row>
    <row r="929" spans="1:5" x14ac:dyDescent="0.35">
      <c r="A929" t="s">
        <v>253</v>
      </c>
      <c r="B929" s="69" t="s">
        <v>189</v>
      </c>
      <c r="D929" s="37"/>
      <c r="E929" t="s">
        <v>592</v>
      </c>
    </row>
    <row r="930" spans="1:5" x14ac:dyDescent="0.35">
      <c r="A930" t="s">
        <v>253</v>
      </c>
      <c r="B930" s="69" t="s">
        <v>190</v>
      </c>
      <c r="D930" s="37"/>
      <c r="E930" t="s">
        <v>592</v>
      </c>
    </row>
    <row r="931" spans="1:5" x14ac:dyDescent="0.35">
      <c r="A931" t="s">
        <v>253</v>
      </c>
      <c r="B931" s="69" t="s">
        <v>301</v>
      </c>
      <c r="C931">
        <v>12480.9</v>
      </c>
      <c r="D931" s="37">
        <v>3.4999975963271881</v>
      </c>
      <c r="E931" t="s">
        <v>592</v>
      </c>
    </row>
    <row r="932" spans="1:5" x14ac:dyDescent="0.35">
      <c r="A932" t="s">
        <v>253</v>
      </c>
      <c r="B932" t="s">
        <v>446</v>
      </c>
      <c r="D932" s="37"/>
      <c r="E932" t="s">
        <v>592</v>
      </c>
    </row>
    <row r="933" spans="1:5" x14ac:dyDescent="0.35">
      <c r="A933" t="s">
        <v>253</v>
      </c>
      <c r="B933" s="69" t="s">
        <v>40</v>
      </c>
      <c r="C933">
        <v>38036.54</v>
      </c>
      <c r="D933" s="37">
        <v>5.2137436791043559</v>
      </c>
      <c r="E933" t="s">
        <v>592</v>
      </c>
    </row>
    <row r="934" spans="1:5" x14ac:dyDescent="0.35">
      <c r="A934" t="s">
        <v>253</v>
      </c>
      <c r="B934" s="69" t="s">
        <v>303</v>
      </c>
      <c r="D934" s="37"/>
      <c r="E934" t="s">
        <v>592</v>
      </c>
    </row>
    <row r="935" spans="1:5" x14ac:dyDescent="0.35">
      <c r="A935" t="s">
        <v>253</v>
      </c>
      <c r="B935" s="69" t="s">
        <v>199</v>
      </c>
      <c r="D935" s="37"/>
      <c r="E935" t="s">
        <v>592</v>
      </c>
    </row>
    <row r="936" spans="1:5" x14ac:dyDescent="0.35">
      <c r="A936" t="s">
        <v>253</v>
      </c>
      <c r="B936" s="69" t="s">
        <v>194</v>
      </c>
      <c r="D936" s="37"/>
      <c r="E936" t="s">
        <v>592</v>
      </c>
    </row>
    <row r="937" spans="1:5" x14ac:dyDescent="0.35">
      <c r="A937" t="s">
        <v>253</v>
      </c>
      <c r="B937" s="69" t="s">
        <v>144</v>
      </c>
      <c r="D937" s="37"/>
      <c r="E937" t="s">
        <v>592</v>
      </c>
    </row>
    <row r="938" spans="1:5" x14ac:dyDescent="0.35">
      <c r="A938" t="s">
        <v>253</v>
      </c>
      <c r="B938" s="69" t="s">
        <v>145</v>
      </c>
      <c r="D938" s="37"/>
      <c r="E938" t="s">
        <v>592</v>
      </c>
    </row>
    <row r="939" spans="1:5" x14ac:dyDescent="0.35">
      <c r="A939" t="s">
        <v>253</v>
      </c>
      <c r="B939" s="69" t="s">
        <v>146</v>
      </c>
      <c r="D939" s="37"/>
      <c r="E939" t="s">
        <v>592</v>
      </c>
    </row>
    <row r="940" spans="1:5" x14ac:dyDescent="0.35">
      <c r="A940" t="s">
        <v>253</v>
      </c>
      <c r="B940" s="69" t="s">
        <v>147</v>
      </c>
      <c r="D940" s="37"/>
      <c r="E940" t="s">
        <v>592</v>
      </c>
    </row>
    <row r="941" spans="1:5" x14ac:dyDescent="0.35">
      <c r="A941" t="s">
        <v>254</v>
      </c>
      <c r="B941" s="69" t="s">
        <v>299</v>
      </c>
      <c r="C941">
        <v>-3.87</v>
      </c>
      <c r="D941" s="37">
        <v>4.612403100775194</v>
      </c>
      <c r="E941" t="s">
        <v>592</v>
      </c>
    </row>
    <row r="942" spans="1:5" x14ac:dyDescent="0.35">
      <c r="A942" t="s">
        <v>254</v>
      </c>
      <c r="B942" t="s">
        <v>445</v>
      </c>
      <c r="D942" s="37"/>
      <c r="E942" t="s">
        <v>592</v>
      </c>
    </row>
    <row r="943" spans="1:5" x14ac:dyDescent="0.35">
      <c r="A943" t="s">
        <v>254</v>
      </c>
      <c r="B943" s="69" t="s">
        <v>189</v>
      </c>
      <c r="D943" s="37"/>
      <c r="E943" t="s">
        <v>592</v>
      </c>
    </row>
    <row r="944" spans="1:5" x14ac:dyDescent="0.35">
      <c r="A944" t="s">
        <v>254</v>
      </c>
      <c r="B944" s="69" t="s">
        <v>190</v>
      </c>
      <c r="D944" s="37"/>
      <c r="E944" t="s">
        <v>592</v>
      </c>
    </row>
    <row r="945" spans="1:5" x14ac:dyDescent="0.35">
      <c r="A945" t="s">
        <v>254</v>
      </c>
      <c r="B945" s="69" t="s">
        <v>301</v>
      </c>
      <c r="D945" s="37"/>
      <c r="E945" t="s">
        <v>592</v>
      </c>
    </row>
    <row r="946" spans="1:5" x14ac:dyDescent="0.35">
      <c r="A946" t="s">
        <v>254</v>
      </c>
      <c r="B946" t="s">
        <v>446</v>
      </c>
      <c r="D946" s="37"/>
      <c r="E946" t="s">
        <v>592</v>
      </c>
    </row>
    <row r="947" spans="1:5" x14ac:dyDescent="0.35">
      <c r="A947" t="s">
        <v>254</v>
      </c>
      <c r="B947" s="69" t="s">
        <v>40</v>
      </c>
      <c r="D947" s="37"/>
      <c r="E947" t="s">
        <v>592</v>
      </c>
    </row>
    <row r="948" spans="1:5" x14ac:dyDescent="0.35">
      <c r="A948" t="s">
        <v>254</v>
      </c>
      <c r="B948" s="69" t="s">
        <v>303</v>
      </c>
      <c r="D948" s="37"/>
      <c r="E948" t="s">
        <v>592</v>
      </c>
    </row>
    <row r="949" spans="1:5" x14ac:dyDescent="0.35">
      <c r="A949" t="s">
        <v>254</v>
      </c>
      <c r="B949" s="69" t="s">
        <v>199</v>
      </c>
      <c r="D949" s="37"/>
      <c r="E949" t="s">
        <v>592</v>
      </c>
    </row>
    <row r="950" spans="1:5" x14ac:dyDescent="0.35">
      <c r="A950" t="s">
        <v>254</v>
      </c>
      <c r="B950" s="69" t="s">
        <v>194</v>
      </c>
      <c r="D950" s="37"/>
      <c r="E950" t="s">
        <v>592</v>
      </c>
    </row>
    <row r="951" spans="1:5" x14ac:dyDescent="0.35">
      <c r="A951" t="s">
        <v>254</v>
      </c>
      <c r="B951" s="69" t="s">
        <v>144</v>
      </c>
      <c r="D951" s="37"/>
      <c r="E951" t="s">
        <v>592</v>
      </c>
    </row>
    <row r="952" spans="1:5" x14ac:dyDescent="0.35">
      <c r="A952" t="s">
        <v>254</v>
      </c>
      <c r="B952" s="69" t="s">
        <v>145</v>
      </c>
      <c r="D952" s="37"/>
      <c r="E952" t="s">
        <v>592</v>
      </c>
    </row>
    <row r="953" spans="1:5" x14ac:dyDescent="0.35">
      <c r="A953" t="s">
        <v>254</v>
      </c>
      <c r="B953" s="69" t="s">
        <v>146</v>
      </c>
      <c r="D953" s="37"/>
      <c r="E953" t="s">
        <v>592</v>
      </c>
    </row>
    <row r="954" spans="1:5" x14ac:dyDescent="0.35">
      <c r="A954" t="s">
        <v>254</v>
      </c>
      <c r="B954" s="69" t="s">
        <v>147</v>
      </c>
      <c r="D954" s="37"/>
      <c r="E954" t="s">
        <v>592</v>
      </c>
    </row>
    <row r="955" spans="1:5" x14ac:dyDescent="0.35">
      <c r="A955" t="s">
        <v>255</v>
      </c>
      <c r="B955" s="69" t="s">
        <v>299</v>
      </c>
      <c r="C955">
        <v>24555.35</v>
      </c>
      <c r="D955" s="37">
        <v>3.2176951255021824</v>
      </c>
      <c r="E955" t="s">
        <v>592</v>
      </c>
    </row>
    <row r="956" spans="1:5" x14ac:dyDescent="0.35">
      <c r="A956" t="s">
        <v>255</v>
      </c>
      <c r="B956" t="s">
        <v>445</v>
      </c>
      <c r="C956">
        <v>1026.5999999999999</v>
      </c>
      <c r="D956" s="37">
        <v>5.009994155464641</v>
      </c>
      <c r="E956" t="s">
        <v>592</v>
      </c>
    </row>
    <row r="957" spans="1:5" x14ac:dyDescent="0.35">
      <c r="A957" t="s">
        <v>255</v>
      </c>
      <c r="B957" s="69" t="s">
        <v>189</v>
      </c>
      <c r="D957" s="37"/>
      <c r="E957" t="s">
        <v>592</v>
      </c>
    </row>
    <row r="958" spans="1:5" x14ac:dyDescent="0.35">
      <c r="A958" t="s">
        <v>255</v>
      </c>
      <c r="B958" s="69" t="s">
        <v>190</v>
      </c>
      <c r="D958" s="37"/>
      <c r="E958" t="s">
        <v>592</v>
      </c>
    </row>
    <row r="959" spans="1:5" x14ac:dyDescent="0.35">
      <c r="A959" t="s">
        <v>255</v>
      </c>
      <c r="B959" s="69" t="s">
        <v>301</v>
      </c>
      <c r="C959">
        <v>40692.35</v>
      </c>
      <c r="D959" s="37">
        <v>3.1008553204717839</v>
      </c>
      <c r="E959" t="s">
        <v>592</v>
      </c>
    </row>
    <row r="960" spans="1:5" x14ac:dyDescent="0.35">
      <c r="A960" t="s">
        <v>255</v>
      </c>
      <c r="B960" t="s">
        <v>446</v>
      </c>
      <c r="C960">
        <v>8687.64</v>
      </c>
      <c r="D960" s="37">
        <v>3.8</v>
      </c>
      <c r="E960" t="s">
        <v>592</v>
      </c>
    </row>
    <row r="961" spans="1:5" x14ac:dyDescent="0.35">
      <c r="A961" t="s">
        <v>255</v>
      </c>
      <c r="B961" s="69" t="s">
        <v>40</v>
      </c>
      <c r="C961">
        <v>6914.41</v>
      </c>
      <c r="D961" s="37">
        <v>5.1915839529330787</v>
      </c>
      <c r="E961" t="s">
        <v>592</v>
      </c>
    </row>
    <row r="962" spans="1:5" x14ac:dyDescent="0.35">
      <c r="A962" t="s">
        <v>255</v>
      </c>
      <c r="B962" s="69" t="s">
        <v>303</v>
      </c>
      <c r="D962" s="37"/>
      <c r="E962" t="s">
        <v>592</v>
      </c>
    </row>
    <row r="963" spans="1:5" x14ac:dyDescent="0.35">
      <c r="A963" t="s">
        <v>255</v>
      </c>
      <c r="B963" s="69" t="s">
        <v>199</v>
      </c>
      <c r="D963" s="37"/>
      <c r="E963" t="s">
        <v>592</v>
      </c>
    </row>
    <row r="964" spans="1:5" x14ac:dyDescent="0.35">
      <c r="A964" t="s">
        <v>255</v>
      </c>
      <c r="B964" s="69" t="s">
        <v>194</v>
      </c>
      <c r="D964" s="37"/>
      <c r="E964" t="s">
        <v>592</v>
      </c>
    </row>
    <row r="965" spans="1:5" x14ac:dyDescent="0.35">
      <c r="A965" t="s">
        <v>255</v>
      </c>
      <c r="B965" s="69" t="s">
        <v>144</v>
      </c>
      <c r="D965" s="37"/>
      <c r="E965" t="s">
        <v>592</v>
      </c>
    </row>
    <row r="966" spans="1:5" x14ac:dyDescent="0.35">
      <c r="A966" t="s">
        <v>255</v>
      </c>
      <c r="B966" s="69" t="s">
        <v>145</v>
      </c>
      <c r="D966" s="37"/>
      <c r="E966" t="s">
        <v>592</v>
      </c>
    </row>
    <row r="967" spans="1:5" x14ac:dyDescent="0.35">
      <c r="A967" t="s">
        <v>255</v>
      </c>
      <c r="B967" s="69" t="s">
        <v>146</v>
      </c>
      <c r="D967" s="37"/>
      <c r="E967" t="s">
        <v>592</v>
      </c>
    </row>
    <row r="968" spans="1:5" x14ac:dyDescent="0.35">
      <c r="A968" t="s">
        <v>255</v>
      </c>
      <c r="B968" s="69" t="s">
        <v>147</v>
      </c>
      <c r="D968" s="37"/>
      <c r="E968" t="s">
        <v>592</v>
      </c>
    </row>
    <row r="969" spans="1:5" x14ac:dyDescent="0.35">
      <c r="A969" t="s">
        <v>256</v>
      </c>
      <c r="B969" s="69" t="s">
        <v>299</v>
      </c>
      <c r="C969">
        <v>20385.07</v>
      </c>
      <c r="D969" s="37">
        <v>3.2272094233671997</v>
      </c>
      <c r="E969" t="s">
        <v>592</v>
      </c>
    </row>
    <row r="970" spans="1:5" x14ac:dyDescent="0.35">
      <c r="A970" t="s">
        <v>256</v>
      </c>
      <c r="B970" t="s">
        <v>445</v>
      </c>
      <c r="D970" s="37"/>
      <c r="E970" t="s">
        <v>592</v>
      </c>
    </row>
    <row r="971" spans="1:5" x14ac:dyDescent="0.35">
      <c r="A971" t="s">
        <v>256</v>
      </c>
      <c r="B971" s="69" t="s">
        <v>189</v>
      </c>
      <c r="D971" s="37"/>
      <c r="E971" t="s">
        <v>592</v>
      </c>
    </row>
    <row r="972" spans="1:5" x14ac:dyDescent="0.35">
      <c r="A972" t="s">
        <v>256</v>
      </c>
      <c r="B972" s="69" t="s">
        <v>190</v>
      </c>
      <c r="D972" s="37"/>
      <c r="E972" t="s">
        <v>592</v>
      </c>
    </row>
    <row r="973" spans="1:5" x14ac:dyDescent="0.35">
      <c r="A973" t="s">
        <v>256</v>
      </c>
      <c r="B973" s="69" t="s">
        <v>301</v>
      </c>
      <c r="C973">
        <v>10248.56</v>
      </c>
      <c r="D973" s="37">
        <v>3.2799203009983842</v>
      </c>
      <c r="E973" t="s">
        <v>592</v>
      </c>
    </row>
    <row r="974" spans="1:5" x14ac:dyDescent="0.35">
      <c r="A974" t="s">
        <v>256</v>
      </c>
      <c r="B974" t="s">
        <v>446</v>
      </c>
      <c r="D974" s="37"/>
      <c r="E974" t="s">
        <v>592</v>
      </c>
    </row>
    <row r="975" spans="1:5" x14ac:dyDescent="0.35">
      <c r="A975" t="s">
        <v>256</v>
      </c>
      <c r="B975" s="69" t="s">
        <v>40</v>
      </c>
      <c r="D975" s="37"/>
      <c r="E975" t="s">
        <v>592</v>
      </c>
    </row>
    <row r="976" spans="1:5" x14ac:dyDescent="0.35">
      <c r="A976" t="s">
        <v>256</v>
      </c>
      <c r="B976" s="69" t="s">
        <v>303</v>
      </c>
      <c r="D976" s="37"/>
      <c r="E976" t="s">
        <v>592</v>
      </c>
    </row>
    <row r="977" spans="1:5" x14ac:dyDescent="0.35">
      <c r="A977" t="s">
        <v>256</v>
      </c>
      <c r="B977" s="69" t="s">
        <v>199</v>
      </c>
      <c r="D977" s="37"/>
      <c r="E977" t="s">
        <v>592</v>
      </c>
    </row>
    <row r="978" spans="1:5" x14ac:dyDescent="0.35">
      <c r="A978" t="s">
        <v>256</v>
      </c>
      <c r="B978" s="69" t="s">
        <v>194</v>
      </c>
      <c r="D978" s="37"/>
      <c r="E978" t="s">
        <v>592</v>
      </c>
    </row>
    <row r="979" spans="1:5" x14ac:dyDescent="0.35">
      <c r="A979" t="s">
        <v>256</v>
      </c>
      <c r="B979" s="69" t="s">
        <v>144</v>
      </c>
      <c r="D979" s="37"/>
      <c r="E979" t="s">
        <v>592</v>
      </c>
    </row>
    <row r="980" spans="1:5" x14ac:dyDescent="0.35">
      <c r="A980" t="s">
        <v>256</v>
      </c>
      <c r="B980" s="69" t="s">
        <v>145</v>
      </c>
      <c r="D980" s="37"/>
      <c r="E980" t="s">
        <v>592</v>
      </c>
    </row>
    <row r="981" spans="1:5" x14ac:dyDescent="0.35">
      <c r="A981" t="s">
        <v>256</v>
      </c>
      <c r="B981" s="69" t="s">
        <v>146</v>
      </c>
      <c r="D981" s="37"/>
      <c r="E981" t="s">
        <v>592</v>
      </c>
    </row>
    <row r="982" spans="1:5" x14ac:dyDescent="0.35">
      <c r="A982" t="s">
        <v>256</v>
      </c>
      <c r="B982" s="69" t="s">
        <v>147</v>
      </c>
      <c r="D982" s="37"/>
      <c r="E982" t="s">
        <v>592</v>
      </c>
    </row>
    <row r="983" spans="1:5" x14ac:dyDescent="0.35">
      <c r="A983" t="s">
        <v>257</v>
      </c>
      <c r="B983" s="69" t="s">
        <v>299</v>
      </c>
      <c r="C983">
        <v>46935.519999999997</v>
      </c>
      <c r="D983" s="37">
        <v>3.1619602808278251</v>
      </c>
      <c r="E983" t="s">
        <v>592</v>
      </c>
    </row>
    <row r="984" spans="1:5" x14ac:dyDescent="0.35">
      <c r="A984" t="s">
        <v>257</v>
      </c>
      <c r="B984" t="s">
        <v>445</v>
      </c>
      <c r="C984">
        <v>1532.5</v>
      </c>
      <c r="D984" s="37">
        <v>5.0100032626427407</v>
      </c>
      <c r="E984" t="s">
        <v>592</v>
      </c>
    </row>
    <row r="985" spans="1:5" x14ac:dyDescent="0.35">
      <c r="A985" t="s">
        <v>257</v>
      </c>
      <c r="B985" s="69" t="s">
        <v>189</v>
      </c>
      <c r="D985" s="37"/>
      <c r="E985" t="s">
        <v>592</v>
      </c>
    </row>
    <row r="986" spans="1:5" x14ac:dyDescent="0.35">
      <c r="A986" t="s">
        <v>257</v>
      </c>
      <c r="B986" s="69" t="s">
        <v>190</v>
      </c>
      <c r="D986" s="37"/>
      <c r="E986" t="s">
        <v>592</v>
      </c>
    </row>
    <row r="987" spans="1:5" x14ac:dyDescent="0.35">
      <c r="A987" t="s">
        <v>257</v>
      </c>
      <c r="B987" s="69" t="s">
        <v>301</v>
      </c>
      <c r="C987">
        <v>24311.949999999997</v>
      </c>
      <c r="D987" s="37">
        <v>3.1000006169805387</v>
      </c>
      <c r="E987" t="s">
        <v>592</v>
      </c>
    </row>
    <row r="988" spans="1:5" x14ac:dyDescent="0.35">
      <c r="A988" t="s">
        <v>257</v>
      </c>
      <c r="B988" t="s">
        <v>446</v>
      </c>
      <c r="D988" s="37"/>
      <c r="E988" t="s">
        <v>592</v>
      </c>
    </row>
    <row r="989" spans="1:5" x14ac:dyDescent="0.35">
      <c r="A989" t="s">
        <v>257</v>
      </c>
      <c r="B989" s="69" t="s">
        <v>40</v>
      </c>
      <c r="C989">
        <v>15491.8</v>
      </c>
      <c r="D989" s="37">
        <v>5.1899998708994444</v>
      </c>
      <c r="E989" t="s">
        <v>592</v>
      </c>
    </row>
    <row r="990" spans="1:5" x14ac:dyDescent="0.35">
      <c r="A990" t="s">
        <v>257</v>
      </c>
      <c r="B990" s="69" t="s">
        <v>303</v>
      </c>
      <c r="D990" s="37"/>
      <c r="E990" t="s">
        <v>592</v>
      </c>
    </row>
    <row r="991" spans="1:5" x14ac:dyDescent="0.35">
      <c r="A991" t="s">
        <v>257</v>
      </c>
      <c r="B991" s="69" t="s">
        <v>199</v>
      </c>
      <c r="D991" s="37"/>
      <c r="E991" t="s">
        <v>592</v>
      </c>
    </row>
    <row r="992" spans="1:5" x14ac:dyDescent="0.35">
      <c r="A992" t="s">
        <v>257</v>
      </c>
      <c r="B992" s="69" t="s">
        <v>194</v>
      </c>
      <c r="D992" s="37"/>
      <c r="E992" t="s">
        <v>592</v>
      </c>
    </row>
    <row r="993" spans="1:5" x14ac:dyDescent="0.35">
      <c r="A993" t="s">
        <v>257</v>
      </c>
      <c r="B993" s="69" t="s">
        <v>144</v>
      </c>
      <c r="D993" s="37"/>
      <c r="E993" t="s">
        <v>592</v>
      </c>
    </row>
    <row r="994" spans="1:5" x14ac:dyDescent="0.35">
      <c r="A994" t="s">
        <v>257</v>
      </c>
      <c r="B994" s="69" t="s">
        <v>145</v>
      </c>
      <c r="D994" s="37"/>
      <c r="E994" t="s">
        <v>592</v>
      </c>
    </row>
    <row r="995" spans="1:5" x14ac:dyDescent="0.35">
      <c r="A995" t="s">
        <v>257</v>
      </c>
      <c r="B995" s="69" t="s">
        <v>146</v>
      </c>
      <c r="D995" s="37"/>
      <c r="E995" t="s">
        <v>592</v>
      </c>
    </row>
    <row r="996" spans="1:5" x14ac:dyDescent="0.35">
      <c r="A996" t="s">
        <v>257</v>
      </c>
      <c r="B996" s="69" t="s">
        <v>147</v>
      </c>
      <c r="D996" s="37"/>
      <c r="E996" t="s">
        <v>592</v>
      </c>
    </row>
    <row r="997" spans="1:5" x14ac:dyDescent="0.35">
      <c r="A997" t="s">
        <v>258</v>
      </c>
      <c r="B997" s="69" t="s">
        <v>299</v>
      </c>
      <c r="C997">
        <v>1665.46</v>
      </c>
      <c r="D997" s="37">
        <v>-9.0455249600710914</v>
      </c>
      <c r="E997" t="s">
        <v>592</v>
      </c>
    </row>
    <row r="998" spans="1:5" x14ac:dyDescent="0.35">
      <c r="A998" t="s">
        <v>258</v>
      </c>
      <c r="B998" t="s">
        <v>445</v>
      </c>
      <c r="D998" s="37"/>
      <c r="E998" t="s">
        <v>592</v>
      </c>
    </row>
    <row r="999" spans="1:5" x14ac:dyDescent="0.35">
      <c r="A999" t="s">
        <v>258</v>
      </c>
      <c r="B999" s="69" t="s">
        <v>189</v>
      </c>
      <c r="D999" s="37"/>
      <c r="E999" t="s">
        <v>592</v>
      </c>
    </row>
    <row r="1000" spans="1:5" x14ac:dyDescent="0.35">
      <c r="A1000" t="s">
        <v>258</v>
      </c>
      <c r="B1000" s="69" t="s">
        <v>190</v>
      </c>
      <c r="D1000" s="37"/>
      <c r="E1000" t="s">
        <v>592</v>
      </c>
    </row>
    <row r="1001" spans="1:5" x14ac:dyDescent="0.35">
      <c r="A1001" t="s">
        <v>258</v>
      </c>
      <c r="B1001" s="69" t="s">
        <v>301</v>
      </c>
      <c r="C1001">
        <v>25493.75</v>
      </c>
      <c r="D1001" s="37">
        <v>2.6438036773719049</v>
      </c>
      <c r="E1001" t="s">
        <v>592</v>
      </c>
    </row>
    <row r="1002" spans="1:5" x14ac:dyDescent="0.35">
      <c r="A1002" t="s">
        <v>258</v>
      </c>
      <c r="B1002" t="s">
        <v>446</v>
      </c>
      <c r="D1002" s="37"/>
      <c r="E1002" t="s">
        <v>592</v>
      </c>
    </row>
    <row r="1003" spans="1:5" x14ac:dyDescent="0.35">
      <c r="A1003" t="s">
        <v>258</v>
      </c>
      <c r="B1003" s="69" t="s">
        <v>40</v>
      </c>
      <c r="D1003" s="37"/>
      <c r="E1003" t="s">
        <v>592</v>
      </c>
    </row>
    <row r="1004" spans="1:5" x14ac:dyDescent="0.35">
      <c r="A1004" t="s">
        <v>258</v>
      </c>
      <c r="B1004" s="69" t="s">
        <v>303</v>
      </c>
      <c r="D1004" s="37"/>
      <c r="E1004" t="s">
        <v>592</v>
      </c>
    </row>
    <row r="1005" spans="1:5" x14ac:dyDescent="0.35">
      <c r="A1005" t="s">
        <v>258</v>
      </c>
      <c r="B1005" s="69" t="s">
        <v>199</v>
      </c>
      <c r="D1005" s="37"/>
      <c r="E1005" t="s">
        <v>592</v>
      </c>
    </row>
    <row r="1006" spans="1:5" x14ac:dyDescent="0.35">
      <c r="A1006" t="s">
        <v>258</v>
      </c>
      <c r="B1006" s="69" t="s">
        <v>194</v>
      </c>
      <c r="D1006" s="37"/>
      <c r="E1006" t="s">
        <v>592</v>
      </c>
    </row>
    <row r="1007" spans="1:5" x14ac:dyDescent="0.35">
      <c r="A1007" t="s">
        <v>258</v>
      </c>
      <c r="B1007" s="69" t="s">
        <v>144</v>
      </c>
      <c r="D1007" s="37"/>
      <c r="E1007" t="s">
        <v>592</v>
      </c>
    </row>
    <row r="1008" spans="1:5" x14ac:dyDescent="0.35">
      <c r="A1008" t="s">
        <v>258</v>
      </c>
      <c r="B1008" s="69" t="s">
        <v>145</v>
      </c>
      <c r="D1008" s="37"/>
      <c r="E1008" t="s">
        <v>592</v>
      </c>
    </row>
    <row r="1009" spans="1:5" x14ac:dyDescent="0.35">
      <c r="A1009" t="s">
        <v>258</v>
      </c>
      <c r="B1009" s="69" t="s">
        <v>146</v>
      </c>
      <c r="D1009" s="37"/>
      <c r="E1009" t="s">
        <v>592</v>
      </c>
    </row>
    <row r="1010" spans="1:5" x14ac:dyDescent="0.35">
      <c r="A1010" t="s">
        <v>258</v>
      </c>
      <c r="B1010" s="69" t="s">
        <v>147</v>
      </c>
      <c r="D1010" s="37"/>
      <c r="E1010" t="s">
        <v>592</v>
      </c>
    </row>
    <row r="1011" spans="1:5" x14ac:dyDescent="0.35">
      <c r="A1011" t="s">
        <v>259</v>
      </c>
      <c r="B1011" s="69" t="s">
        <v>299</v>
      </c>
      <c r="C1011">
        <v>11779.73</v>
      </c>
      <c r="D1011" s="37">
        <v>3.2166424867123435</v>
      </c>
      <c r="E1011" t="s">
        <v>592</v>
      </c>
    </row>
    <row r="1012" spans="1:5" x14ac:dyDescent="0.35">
      <c r="A1012" t="s">
        <v>259</v>
      </c>
      <c r="B1012" t="s">
        <v>445</v>
      </c>
      <c r="C1012">
        <v>1041.5999999999999</v>
      </c>
      <c r="D1012" s="37">
        <v>5.0100038402457763</v>
      </c>
      <c r="E1012" t="s">
        <v>592</v>
      </c>
    </row>
    <row r="1013" spans="1:5" x14ac:dyDescent="0.35">
      <c r="A1013" t="s">
        <v>259</v>
      </c>
      <c r="B1013" s="69" t="s">
        <v>189</v>
      </c>
      <c r="D1013" s="37"/>
      <c r="E1013" t="s">
        <v>592</v>
      </c>
    </row>
    <row r="1014" spans="1:5" x14ac:dyDescent="0.35">
      <c r="A1014" t="s">
        <v>259</v>
      </c>
      <c r="B1014" s="69" t="s">
        <v>190</v>
      </c>
      <c r="D1014" s="37"/>
      <c r="E1014" t="s">
        <v>592</v>
      </c>
    </row>
    <row r="1015" spans="1:5" x14ac:dyDescent="0.35">
      <c r="A1015" t="s">
        <v>259</v>
      </c>
      <c r="B1015" s="69" t="s">
        <v>301</v>
      </c>
      <c r="C1015">
        <v>35007.040000000001</v>
      </c>
      <c r="D1015" s="37">
        <v>3.1000007427077523</v>
      </c>
      <c r="E1015" t="s">
        <v>592</v>
      </c>
    </row>
    <row r="1016" spans="1:5" x14ac:dyDescent="0.35">
      <c r="A1016" t="s">
        <v>259</v>
      </c>
      <c r="B1016" t="s">
        <v>446</v>
      </c>
      <c r="D1016" s="37"/>
      <c r="E1016" t="s">
        <v>592</v>
      </c>
    </row>
    <row r="1017" spans="1:5" x14ac:dyDescent="0.35">
      <c r="A1017" t="s">
        <v>259</v>
      </c>
      <c r="B1017" s="69" t="s">
        <v>40</v>
      </c>
      <c r="C1017">
        <v>1027.8</v>
      </c>
      <c r="D1017" s="37">
        <v>5.1899980540961277</v>
      </c>
      <c r="E1017" t="s">
        <v>592</v>
      </c>
    </row>
    <row r="1018" spans="1:5" x14ac:dyDescent="0.35">
      <c r="A1018" t="s">
        <v>259</v>
      </c>
      <c r="B1018" s="69" t="s">
        <v>303</v>
      </c>
      <c r="D1018" s="37"/>
      <c r="E1018" t="s">
        <v>592</v>
      </c>
    </row>
    <row r="1019" spans="1:5" x14ac:dyDescent="0.35">
      <c r="A1019" t="s">
        <v>259</v>
      </c>
      <c r="B1019" s="69" t="s">
        <v>199</v>
      </c>
      <c r="D1019" s="37"/>
      <c r="E1019" t="s">
        <v>592</v>
      </c>
    </row>
    <row r="1020" spans="1:5" x14ac:dyDescent="0.35">
      <c r="A1020" t="s">
        <v>259</v>
      </c>
      <c r="B1020" s="69" t="s">
        <v>194</v>
      </c>
      <c r="D1020" s="37"/>
      <c r="E1020" t="s">
        <v>592</v>
      </c>
    </row>
    <row r="1021" spans="1:5" x14ac:dyDescent="0.35">
      <c r="A1021" t="s">
        <v>259</v>
      </c>
      <c r="B1021" s="69" t="s">
        <v>144</v>
      </c>
      <c r="D1021" s="37"/>
      <c r="E1021" t="s">
        <v>592</v>
      </c>
    </row>
    <row r="1022" spans="1:5" x14ac:dyDescent="0.35">
      <c r="A1022" t="s">
        <v>259</v>
      </c>
      <c r="B1022" s="69" t="s">
        <v>145</v>
      </c>
      <c r="D1022" s="37"/>
      <c r="E1022" t="s">
        <v>592</v>
      </c>
    </row>
    <row r="1023" spans="1:5" x14ac:dyDescent="0.35">
      <c r="A1023" t="s">
        <v>259</v>
      </c>
      <c r="B1023" s="69" t="s">
        <v>146</v>
      </c>
      <c r="D1023" s="37"/>
      <c r="E1023" t="s">
        <v>592</v>
      </c>
    </row>
    <row r="1024" spans="1:5" x14ac:dyDescent="0.35">
      <c r="A1024" t="s">
        <v>259</v>
      </c>
      <c r="B1024" s="69" t="s">
        <v>147</v>
      </c>
      <c r="D1024" s="37"/>
      <c r="E1024" t="s">
        <v>592</v>
      </c>
    </row>
    <row r="1025" spans="1:5" x14ac:dyDescent="0.35">
      <c r="A1025" t="s">
        <v>260</v>
      </c>
      <c r="B1025" s="69" t="s">
        <v>299</v>
      </c>
      <c r="C1025">
        <v>28808.79</v>
      </c>
      <c r="D1025" s="37">
        <v>3.1946930086268805</v>
      </c>
      <c r="E1025" t="s">
        <v>592</v>
      </c>
    </row>
    <row r="1026" spans="1:5" x14ac:dyDescent="0.35">
      <c r="A1026" t="s">
        <v>260</v>
      </c>
      <c r="B1026" t="s">
        <v>445</v>
      </c>
      <c r="C1026">
        <v>1547</v>
      </c>
      <c r="D1026" s="37">
        <v>5.01</v>
      </c>
      <c r="E1026" t="s">
        <v>592</v>
      </c>
    </row>
    <row r="1027" spans="1:5" x14ac:dyDescent="0.35">
      <c r="A1027" t="s">
        <v>260</v>
      </c>
      <c r="B1027" s="69" t="s">
        <v>189</v>
      </c>
      <c r="D1027" s="37"/>
      <c r="E1027" t="s">
        <v>592</v>
      </c>
    </row>
    <row r="1028" spans="1:5" x14ac:dyDescent="0.35">
      <c r="A1028" t="s">
        <v>260</v>
      </c>
      <c r="B1028" s="69" t="s">
        <v>190</v>
      </c>
      <c r="D1028" s="37"/>
      <c r="E1028" t="s">
        <v>592</v>
      </c>
    </row>
    <row r="1029" spans="1:5" x14ac:dyDescent="0.35">
      <c r="A1029" t="s">
        <v>260</v>
      </c>
      <c r="B1029" s="69" t="s">
        <v>301</v>
      </c>
      <c r="C1029">
        <v>31237.969999999998</v>
      </c>
      <c r="D1029" s="37">
        <v>3.4969983644903948</v>
      </c>
      <c r="E1029" t="s">
        <v>592</v>
      </c>
    </row>
    <row r="1030" spans="1:5" x14ac:dyDescent="0.35">
      <c r="A1030" t="s">
        <v>260</v>
      </c>
      <c r="B1030" t="s">
        <v>446</v>
      </c>
      <c r="D1030" s="37"/>
      <c r="E1030" t="s">
        <v>592</v>
      </c>
    </row>
    <row r="1031" spans="1:5" x14ac:dyDescent="0.35">
      <c r="A1031" t="s">
        <v>260</v>
      </c>
      <c r="B1031" s="69" t="s">
        <v>40</v>
      </c>
      <c r="C1031">
        <v>15242.400000000001</v>
      </c>
      <c r="D1031" s="37">
        <v>5.1900009184905258</v>
      </c>
      <c r="E1031" t="s">
        <v>592</v>
      </c>
    </row>
    <row r="1032" spans="1:5" x14ac:dyDescent="0.35">
      <c r="A1032" t="s">
        <v>260</v>
      </c>
      <c r="B1032" s="69" t="s">
        <v>303</v>
      </c>
      <c r="D1032" s="37"/>
      <c r="E1032" t="s">
        <v>592</v>
      </c>
    </row>
    <row r="1033" spans="1:5" x14ac:dyDescent="0.35">
      <c r="A1033" t="s">
        <v>260</v>
      </c>
      <c r="B1033" s="69" t="s">
        <v>199</v>
      </c>
      <c r="D1033" s="37"/>
      <c r="E1033" t="s">
        <v>592</v>
      </c>
    </row>
    <row r="1034" spans="1:5" x14ac:dyDescent="0.35">
      <c r="A1034" t="s">
        <v>260</v>
      </c>
      <c r="B1034" s="69" t="s">
        <v>194</v>
      </c>
      <c r="D1034" s="37"/>
      <c r="E1034" t="s">
        <v>592</v>
      </c>
    </row>
    <row r="1035" spans="1:5" x14ac:dyDescent="0.35">
      <c r="A1035" t="s">
        <v>260</v>
      </c>
      <c r="B1035" s="69" t="s">
        <v>144</v>
      </c>
      <c r="D1035" s="37"/>
      <c r="E1035" t="s">
        <v>592</v>
      </c>
    </row>
    <row r="1036" spans="1:5" x14ac:dyDescent="0.35">
      <c r="A1036" t="s">
        <v>260</v>
      </c>
      <c r="B1036" s="69" t="s">
        <v>145</v>
      </c>
      <c r="D1036" s="37"/>
      <c r="E1036" t="s">
        <v>592</v>
      </c>
    </row>
    <row r="1037" spans="1:5" x14ac:dyDescent="0.35">
      <c r="A1037" t="s">
        <v>260</v>
      </c>
      <c r="B1037" s="69" t="s">
        <v>146</v>
      </c>
      <c r="D1037" s="37"/>
      <c r="E1037" t="s">
        <v>592</v>
      </c>
    </row>
    <row r="1038" spans="1:5" x14ac:dyDescent="0.35">
      <c r="A1038" t="s">
        <v>260</v>
      </c>
      <c r="B1038" s="69" t="s">
        <v>147</v>
      </c>
      <c r="D1038" s="37"/>
      <c r="E1038" t="s">
        <v>592</v>
      </c>
    </row>
    <row r="1039" spans="1:5" x14ac:dyDescent="0.35">
      <c r="A1039" t="s">
        <v>261</v>
      </c>
      <c r="B1039" s="69" t="s">
        <v>299</v>
      </c>
      <c r="C1039">
        <v>25135.379999999997</v>
      </c>
      <c r="D1039" s="37">
        <v>3.2695324279959168</v>
      </c>
      <c r="E1039" t="s">
        <v>592</v>
      </c>
    </row>
    <row r="1040" spans="1:5" x14ac:dyDescent="0.35">
      <c r="A1040" t="s">
        <v>261</v>
      </c>
      <c r="B1040" t="s">
        <v>445</v>
      </c>
      <c r="D1040" s="37"/>
      <c r="E1040" t="s">
        <v>592</v>
      </c>
    </row>
    <row r="1041" spans="1:5" x14ac:dyDescent="0.35">
      <c r="A1041" t="s">
        <v>261</v>
      </c>
      <c r="B1041" s="69" t="s">
        <v>189</v>
      </c>
      <c r="D1041" s="37"/>
      <c r="E1041" t="s">
        <v>592</v>
      </c>
    </row>
    <row r="1042" spans="1:5" x14ac:dyDescent="0.35">
      <c r="A1042" t="s">
        <v>261</v>
      </c>
      <c r="B1042" s="69" t="s">
        <v>190</v>
      </c>
      <c r="D1042" s="37"/>
      <c r="E1042" t="s">
        <v>592</v>
      </c>
    </row>
    <row r="1043" spans="1:5" x14ac:dyDescent="0.35">
      <c r="A1043" t="s">
        <v>261</v>
      </c>
      <c r="B1043" s="69" t="s">
        <v>301</v>
      </c>
      <c r="C1043">
        <v>31712.01</v>
      </c>
      <c r="D1043" s="37">
        <v>3.6021664978031986</v>
      </c>
      <c r="E1043" t="s">
        <v>592</v>
      </c>
    </row>
    <row r="1044" spans="1:5" x14ac:dyDescent="0.35">
      <c r="A1044" t="s">
        <v>261</v>
      </c>
      <c r="B1044" t="s">
        <v>446</v>
      </c>
      <c r="D1044" s="37"/>
      <c r="E1044" t="s">
        <v>592</v>
      </c>
    </row>
    <row r="1045" spans="1:5" x14ac:dyDescent="0.35">
      <c r="A1045" t="s">
        <v>261</v>
      </c>
      <c r="B1045" s="69" t="s">
        <v>40</v>
      </c>
      <c r="C1045">
        <v>1637.6</v>
      </c>
      <c r="D1045" s="37">
        <v>5.2800012212994636</v>
      </c>
      <c r="E1045" t="s">
        <v>592</v>
      </c>
    </row>
    <row r="1046" spans="1:5" x14ac:dyDescent="0.35">
      <c r="A1046" t="s">
        <v>261</v>
      </c>
      <c r="B1046" s="69" t="s">
        <v>303</v>
      </c>
      <c r="D1046" s="37"/>
      <c r="E1046" t="s">
        <v>592</v>
      </c>
    </row>
    <row r="1047" spans="1:5" x14ac:dyDescent="0.35">
      <c r="A1047" t="s">
        <v>261</v>
      </c>
      <c r="B1047" s="69" t="s">
        <v>199</v>
      </c>
      <c r="D1047" s="37"/>
      <c r="E1047" t="s">
        <v>592</v>
      </c>
    </row>
    <row r="1048" spans="1:5" x14ac:dyDescent="0.35">
      <c r="A1048" t="s">
        <v>261</v>
      </c>
      <c r="B1048" s="69" t="s">
        <v>194</v>
      </c>
      <c r="D1048" s="37"/>
      <c r="E1048" t="s">
        <v>592</v>
      </c>
    </row>
    <row r="1049" spans="1:5" x14ac:dyDescent="0.35">
      <c r="A1049" t="s">
        <v>261</v>
      </c>
      <c r="B1049" s="69" t="s">
        <v>144</v>
      </c>
      <c r="D1049" s="37"/>
      <c r="E1049" t="s">
        <v>592</v>
      </c>
    </row>
    <row r="1050" spans="1:5" x14ac:dyDescent="0.35">
      <c r="A1050" t="s">
        <v>261</v>
      </c>
      <c r="B1050" s="69" t="s">
        <v>145</v>
      </c>
      <c r="D1050" s="37"/>
      <c r="E1050" t="s">
        <v>592</v>
      </c>
    </row>
    <row r="1051" spans="1:5" x14ac:dyDescent="0.35">
      <c r="A1051" t="s">
        <v>261</v>
      </c>
      <c r="B1051" s="69" t="s">
        <v>146</v>
      </c>
      <c r="D1051" s="37"/>
      <c r="E1051" t="s">
        <v>592</v>
      </c>
    </row>
    <row r="1052" spans="1:5" x14ac:dyDescent="0.35">
      <c r="A1052" t="s">
        <v>261</v>
      </c>
      <c r="B1052" s="69" t="s">
        <v>147</v>
      </c>
      <c r="D1052" s="37"/>
      <c r="E1052" t="s">
        <v>592</v>
      </c>
    </row>
    <row r="1053" spans="1:5" x14ac:dyDescent="0.35">
      <c r="A1053" t="s">
        <v>262</v>
      </c>
      <c r="B1053" s="69" t="s">
        <v>299</v>
      </c>
      <c r="C1053">
        <v>3651.02</v>
      </c>
      <c r="D1053" s="37">
        <v>-8.0609966529901218</v>
      </c>
      <c r="E1053" t="s">
        <v>592</v>
      </c>
    </row>
    <row r="1054" spans="1:5" x14ac:dyDescent="0.35">
      <c r="A1054" t="s">
        <v>262</v>
      </c>
      <c r="B1054" t="s">
        <v>445</v>
      </c>
      <c r="C1054">
        <v>2586</v>
      </c>
      <c r="D1054" s="37">
        <v>5.0099961330239751</v>
      </c>
      <c r="E1054" t="s">
        <v>592</v>
      </c>
    </row>
    <row r="1055" spans="1:5" x14ac:dyDescent="0.35">
      <c r="A1055" t="s">
        <v>262</v>
      </c>
      <c r="B1055" s="69" t="s">
        <v>189</v>
      </c>
      <c r="D1055" s="37"/>
      <c r="E1055" t="s">
        <v>592</v>
      </c>
    </row>
    <row r="1056" spans="1:5" x14ac:dyDescent="0.35">
      <c r="A1056" t="s">
        <v>262</v>
      </c>
      <c r="B1056" s="69" t="s">
        <v>190</v>
      </c>
      <c r="D1056" s="37"/>
      <c r="E1056" t="s">
        <v>592</v>
      </c>
    </row>
    <row r="1057" spans="1:5" x14ac:dyDescent="0.35">
      <c r="A1057" t="s">
        <v>262</v>
      </c>
      <c r="B1057" s="69" t="s">
        <v>301</v>
      </c>
      <c r="C1057">
        <v>59077.479999999996</v>
      </c>
      <c r="D1057" s="37">
        <v>3.012173335761783</v>
      </c>
      <c r="E1057" t="s">
        <v>592</v>
      </c>
    </row>
    <row r="1058" spans="1:5" x14ac:dyDescent="0.35">
      <c r="A1058" t="s">
        <v>262</v>
      </c>
      <c r="B1058" t="s">
        <v>446</v>
      </c>
      <c r="D1058" s="37"/>
      <c r="E1058" t="s">
        <v>592</v>
      </c>
    </row>
    <row r="1059" spans="1:5" x14ac:dyDescent="0.35">
      <c r="A1059" t="s">
        <v>262</v>
      </c>
      <c r="B1059" s="69" t="s">
        <v>40</v>
      </c>
      <c r="C1059">
        <v>3654.9</v>
      </c>
      <c r="D1059" s="37">
        <v>5.2168650305069901</v>
      </c>
      <c r="E1059" t="s">
        <v>592</v>
      </c>
    </row>
    <row r="1060" spans="1:5" x14ac:dyDescent="0.35">
      <c r="A1060" t="s">
        <v>262</v>
      </c>
      <c r="B1060" s="69" t="s">
        <v>303</v>
      </c>
      <c r="D1060" s="37"/>
      <c r="E1060" t="s">
        <v>592</v>
      </c>
    </row>
    <row r="1061" spans="1:5" x14ac:dyDescent="0.35">
      <c r="A1061" t="s">
        <v>262</v>
      </c>
      <c r="B1061" s="69" t="s">
        <v>199</v>
      </c>
      <c r="D1061" s="37"/>
      <c r="E1061" t="s">
        <v>592</v>
      </c>
    </row>
    <row r="1062" spans="1:5" x14ac:dyDescent="0.35">
      <c r="A1062" t="s">
        <v>262</v>
      </c>
      <c r="B1062" s="69" t="s">
        <v>194</v>
      </c>
      <c r="D1062" s="37"/>
      <c r="E1062" t="s">
        <v>592</v>
      </c>
    </row>
    <row r="1063" spans="1:5" x14ac:dyDescent="0.35">
      <c r="A1063" t="s">
        <v>262</v>
      </c>
      <c r="B1063" s="69" t="s">
        <v>144</v>
      </c>
      <c r="D1063" s="37"/>
      <c r="E1063" t="s">
        <v>592</v>
      </c>
    </row>
    <row r="1064" spans="1:5" x14ac:dyDescent="0.35">
      <c r="A1064" t="s">
        <v>262</v>
      </c>
      <c r="B1064" s="69" t="s">
        <v>145</v>
      </c>
      <c r="D1064" s="37"/>
      <c r="E1064" t="s">
        <v>592</v>
      </c>
    </row>
    <row r="1065" spans="1:5" x14ac:dyDescent="0.35">
      <c r="A1065" t="s">
        <v>262</v>
      </c>
      <c r="B1065" s="69" t="s">
        <v>146</v>
      </c>
      <c r="D1065" s="37"/>
      <c r="E1065" t="s">
        <v>592</v>
      </c>
    </row>
    <row r="1066" spans="1:5" x14ac:dyDescent="0.35">
      <c r="A1066" t="s">
        <v>262</v>
      </c>
      <c r="B1066" s="69" t="s">
        <v>147</v>
      </c>
      <c r="D1066" s="37"/>
      <c r="E1066" t="s">
        <v>592</v>
      </c>
    </row>
    <row r="1067" spans="1:5" x14ac:dyDescent="0.35">
      <c r="A1067" t="s">
        <v>263</v>
      </c>
      <c r="B1067" s="69" t="s">
        <v>299</v>
      </c>
      <c r="C1067">
        <v>17098.78</v>
      </c>
      <c r="D1067" s="37">
        <v>3.3013109707242272</v>
      </c>
      <c r="E1067" t="s">
        <v>592</v>
      </c>
    </row>
    <row r="1068" spans="1:5" x14ac:dyDescent="0.35">
      <c r="A1068" t="s">
        <v>263</v>
      </c>
      <c r="B1068" t="s">
        <v>445</v>
      </c>
      <c r="D1068" s="37"/>
      <c r="E1068" t="s">
        <v>592</v>
      </c>
    </row>
    <row r="1069" spans="1:5" x14ac:dyDescent="0.35">
      <c r="A1069" t="s">
        <v>263</v>
      </c>
      <c r="B1069" s="69" t="s">
        <v>189</v>
      </c>
      <c r="D1069" s="37"/>
      <c r="E1069" t="s">
        <v>592</v>
      </c>
    </row>
    <row r="1070" spans="1:5" x14ac:dyDescent="0.35">
      <c r="A1070" t="s">
        <v>263</v>
      </c>
      <c r="B1070" s="69" t="s">
        <v>190</v>
      </c>
      <c r="D1070" s="37"/>
      <c r="E1070" t="s">
        <v>592</v>
      </c>
    </row>
    <row r="1071" spans="1:5" x14ac:dyDescent="0.35">
      <c r="A1071" t="s">
        <v>263</v>
      </c>
      <c r="B1071" s="69" t="s">
        <v>301</v>
      </c>
      <c r="C1071">
        <v>28952.080000000002</v>
      </c>
      <c r="D1071" s="37">
        <v>3.5985186556544471</v>
      </c>
      <c r="E1071" t="s">
        <v>592</v>
      </c>
    </row>
    <row r="1072" spans="1:5" x14ac:dyDescent="0.35">
      <c r="A1072" t="s">
        <v>263</v>
      </c>
      <c r="B1072" t="s">
        <v>446</v>
      </c>
      <c r="D1072" s="37"/>
      <c r="E1072" t="s">
        <v>592</v>
      </c>
    </row>
    <row r="1073" spans="1:5" x14ac:dyDescent="0.35">
      <c r="A1073" t="s">
        <v>263</v>
      </c>
      <c r="B1073" s="69" t="s">
        <v>40</v>
      </c>
      <c r="C1073">
        <v>749.93</v>
      </c>
      <c r="D1073" s="37">
        <v>5.2329817449628635</v>
      </c>
      <c r="E1073" t="s">
        <v>592</v>
      </c>
    </row>
    <row r="1074" spans="1:5" x14ac:dyDescent="0.35">
      <c r="A1074" t="s">
        <v>263</v>
      </c>
      <c r="B1074" s="69" t="s">
        <v>303</v>
      </c>
      <c r="D1074" s="37"/>
      <c r="E1074" t="s">
        <v>592</v>
      </c>
    </row>
    <row r="1075" spans="1:5" x14ac:dyDescent="0.35">
      <c r="A1075" t="s">
        <v>263</v>
      </c>
      <c r="B1075" s="69" t="s">
        <v>199</v>
      </c>
      <c r="D1075" s="37"/>
      <c r="E1075" t="s">
        <v>592</v>
      </c>
    </row>
    <row r="1076" spans="1:5" x14ac:dyDescent="0.35">
      <c r="A1076" t="s">
        <v>263</v>
      </c>
      <c r="B1076" s="69" t="s">
        <v>194</v>
      </c>
      <c r="C1076">
        <v>8154.58</v>
      </c>
      <c r="D1076" s="37">
        <v>3.5999990189562188</v>
      </c>
      <c r="E1076" t="s">
        <v>592</v>
      </c>
    </row>
    <row r="1077" spans="1:5" x14ac:dyDescent="0.35">
      <c r="A1077" t="s">
        <v>263</v>
      </c>
      <c r="B1077" s="69" t="s">
        <v>144</v>
      </c>
      <c r="D1077" s="37"/>
      <c r="E1077" t="s">
        <v>592</v>
      </c>
    </row>
    <row r="1078" spans="1:5" x14ac:dyDescent="0.35">
      <c r="A1078" t="s">
        <v>263</v>
      </c>
      <c r="B1078" s="69" t="s">
        <v>145</v>
      </c>
      <c r="D1078" s="37"/>
      <c r="E1078" t="s">
        <v>592</v>
      </c>
    </row>
    <row r="1079" spans="1:5" x14ac:dyDescent="0.35">
      <c r="A1079" t="s">
        <v>263</v>
      </c>
      <c r="B1079" s="69" t="s">
        <v>146</v>
      </c>
      <c r="D1079" s="37"/>
      <c r="E1079" t="s">
        <v>592</v>
      </c>
    </row>
    <row r="1080" spans="1:5" x14ac:dyDescent="0.35">
      <c r="A1080" t="s">
        <v>263</v>
      </c>
      <c r="B1080" s="69" t="s">
        <v>147</v>
      </c>
      <c r="D1080" s="37"/>
      <c r="E1080" t="s">
        <v>592</v>
      </c>
    </row>
    <row r="1081" spans="1:5" x14ac:dyDescent="0.35">
      <c r="A1081" t="s">
        <v>264</v>
      </c>
      <c r="B1081" s="69" t="s">
        <v>299</v>
      </c>
      <c r="C1081">
        <v>9710.19</v>
      </c>
      <c r="D1081" s="37">
        <v>3.3948419134949983</v>
      </c>
      <c r="E1081" t="s">
        <v>592</v>
      </c>
    </row>
    <row r="1082" spans="1:5" x14ac:dyDescent="0.35">
      <c r="A1082" t="s">
        <v>264</v>
      </c>
      <c r="B1082" t="s">
        <v>445</v>
      </c>
      <c r="C1082">
        <v>1577.2</v>
      </c>
      <c r="D1082" s="150">
        <v>5.0099987319300023</v>
      </c>
      <c r="E1082" t="s">
        <v>592</v>
      </c>
    </row>
    <row r="1083" spans="1:5" x14ac:dyDescent="0.35">
      <c r="A1083" t="s">
        <v>264</v>
      </c>
      <c r="B1083" s="69" t="s">
        <v>189</v>
      </c>
      <c r="D1083" s="37"/>
      <c r="E1083" t="s">
        <v>592</v>
      </c>
    </row>
    <row r="1084" spans="1:5" x14ac:dyDescent="0.35">
      <c r="A1084" t="s">
        <v>264</v>
      </c>
      <c r="B1084" s="69" t="s">
        <v>190</v>
      </c>
      <c r="D1084" s="37"/>
      <c r="E1084" t="s">
        <v>592</v>
      </c>
    </row>
    <row r="1085" spans="1:5" x14ac:dyDescent="0.35">
      <c r="A1085" t="s">
        <v>264</v>
      </c>
      <c r="B1085" s="69" t="s">
        <v>301</v>
      </c>
      <c r="C1085">
        <v>46943.79</v>
      </c>
      <c r="D1085" s="37">
        <v>3.6387466798057848</v>
      </c>
      <c r="E1085" t="s">
        <v>592</v>
      </c>
    </row>
    <row r="1086" spans="1:5" x14ac:dyDescent="0.35">
      <c r="A1086" t="s">
        <v>264</v>
      </c>
      <c r="B1086" t="s">
        <v>446</v>
      </c>
      <c r="D1086" s="37"/>
      <c r="E1086" t="s">
        <v>592</v>
      </c>
    </row>
    <row r="1087" spans="1:5" x14ac:dyDescent="0.35">
      <c r="A1087" t="s">
        <v>264</v>
      </c>
      <c r="B1087" s="69" t="s">
        <v>40</v>
      </c>
      <c r="C1087">
        <v>12610.75</v>
      </c>
      <c r="D1087" s="37">
        <v>5.2207703744820888</v>
      </c>
      <c r="E1087" t="s">
        <v>592</v>
      </c>
    </row>
    <row r="1088" spans="1:5" x14ac:dyDescent="0.35">
      <c r="A1088" t="s">
        <v>264</v>
      </c>
      <c r="B1088" s="69" t="s">
        <v>303</v>
      </c>
      <c r="D1088" s="37"/>
      <c r="E1088" t="s">
        <v>592</v>
      </c>
    </row>
    <row r="1089" spans="1:5" x14ac:dyDescent="0.35">
      <c r="A1089" t="s">
        <v>264</v>
      </c>
      <c r="B1089" s="69" t="s">
        <v>199</v>
      </c>
      <c r="D1089" s="37"/>
      <c r="E1089" t="s">
        <v>592</v>
      </c>
    </row>
    <row r="1090" spans="1:5" x14ac:dyDescent="0.35">
      <c r="A1090" t="s">
        <v>264</v>
      </c>
      <c r="B1090" s="69" t="s">
        <v>194</v>
      </c>
      <c r="D1090" s="37"/>
      <c r="E1090" t="s">
        <v>592</v>
      </c>
    </row>
    <row r="1091" spans="1:5" x14ac:dyDescent="0.35">
      <c r="A1091" t="s">
        <v>264</v>
      </c>
      <c r="B1091" s="69" t="s">
        <v>144</v>
      </c>
      <c r="D1091" s="37"/>
      <c r="E1091" t="s">
        <v>592</v>
      </c>
    </row>
    <row r="1092" spans="1:5" x14ac:dyDescent="0.35">
      <c r="A1092" t="s">
        <v>264</v>
      </c>
      <c r="B1092" s="69" t="s">
        <v>145</v>
      </c>
      <c r="D1092" s="37"/>
      <c r="E1092" t="s">
        <v>592</v>
      </c>
    </row>
    <row r="1093" spans="1:5" x14ac:dyDescent="0.35">
      <c r="A1093" t="s">
        <v>264</v>
      </c>
      <c r="B1093" s="69" t="s">
        <v>146</v>
      </c>
      <c r="D1093" s="37"/>
      <c r="E1093" t="s">
        <v>592</v>
      </c>
    </row>
    <row r="1094" spans="1:5" x14ac:dyDescent="0.35">
      <c r="A1094" t="s">
        <v>264</v>
      </c>
      <c r="B1094" s="69" t="s">
        <v>147</v>
      </c>
      <c r="D1094" s="37"/>
      <c r="E1094" t="s">
        <v>592</v>
      </c>
    </row>
    <row r="1095" spans="1:5" x14ac:dyDescent="0.35">
      <c r="A1095" t="s">
        <v>265</v>
      </c>
      <c r="B1095" s="69" t="s">
        <v>299</v>
      </c>
      <c r="C1095">
        <v>18687.849999999999</v>
      </c>
      <c r="D1095" s="37">
        <v>3.5137466321700996</v>
      </c>
      <c r="E1095" t="s">
        <v>592</v>
      </c>
    </row>
    <row r="1096" spans="1:5" x14ac:dyDescent="0.35">
      <c r="A1096" t="s">
        <v>265</v>
      </c>
      <c r="B1096" t="s">
        <v>445</v>
      </c>
      <c r="D1096" s="37"/>
      <c r="E1096" t="s">
        <v>592</v>
      </c>
    </row>
    <row r="1097" spans="1:5" x14ac:dyDescent="0.35">
      <c r="A1097" t="s">
        <v>265</v>
      </c>
      <c r="B1097" s="69" t="s">
        <v>189</v>
      </c>
      <c r="D1097" s="37"/>
      <c r="E1097" t="s">
        <v>592</v>
      </c>
    </row>
    <row r="1098" spans="1:5" x14ac:dyDescent="0.35">
      <c r="A1098" t="s">
        <v>265</v>
      </c>
      <c r="B1098" s="69" t="s">
        <v>190</v>
      </c>
      <c r="D1098" s="37"/>
      <c r="E1098" t="s">
        <v>592</v>
      </c>
    </row>
    <row r="1099" spans="1:5" x14ac:dyDescent="0.35">
      <c r="A1099" t="s">
        <v>265</v>
      </c>
      <c r="B1099" s="69" t="s">
        <v>301</v>
      </c>
      <c r="C1099">
        <v>1803.08</v>
      </c>
      <c r="D1099" s="37">
        <v>4.7200068771213699</v>
      </c>
      <c r="E1099" t="s">
        <v>592</v>
      </c>
    </row>
    <row r="1100" spans="1:5" x14ac:dyDescent="0.35">
      <c r="A1100" t="s">
        <v>265</v>
      </c>
      <c r="B1100" t="s">
        <v>446</v>
      </c>
      <c r="D1100" s="37"/>
      <c r="E1100" t="s">
        <v>592</v>
      </c>
    </row>
    <row r="1101" spans="1:5" x14ac:dyDescent="0.35">
      <c r="A1101" t="s">
        <v>265</v>
      </c>
      <c r="B1101" s="69" t="s">
        <v>40</v>
      </c>
      <c r="D1101" s="37"/>
      <c r="E1101" t="s">
        <v>592</v>
      </c>
    </row>
    <row r="1102" spans="1:5" x14ac:dyDescent="0.35">
      <c r="A1102" t="s">
        <v>265</v>
      </c>
      <c r="B1102" s="69" t="s">
        <v>303</v>
      </c>
      <c r="D1102" s="37"/>
      <c r="E1102" t="s">
        <v>592</v>
      </c>
    </row>
    <row r="1103" spans="1:5" x14ac:dyDescent="0.35">
      <c r="A1103" t="s">
        <v>265</v>
      </c>
      <c r="B1103" s="69" t="s">
        <v>199</v>
      </c>
      <c r="D1103" s="37"/>
      <c r="E1103" t="s">
        <v>592</v>
      </c>
    </row>
    <row r="1104" spans="1:5" x14ac:dyDescent="0.35">
      <c r="A1104" t="s">
        <v>265</v>
      </c>
      <c r="B1104" s="69" t="s">
        <v>194</v>
      </c>
      <c r="D1104" s="37"/>
      <c r="E1104" t="s">
        <v>592</v>
      </c>
    </row>
    <row r="1105" spans="1:5" x14ac:dyDescent="0.35">
      <c r="A1105" t="s">
        <v>265</v>
      </c>
      <c r="B1105" s="69" t="s">
        <v>144</v>
      </c>
      <c r="D1105" s="37"/>
      <c r="E1105" t="s">
        <v>592</v>
      </c>
    </row>
    <row r="1106" spans="1:5" x14ac:dyDescent="0.35">
      <c r="A1106" t="s">
        <v>265</v>
      </c>
      <c r="B1106" s="69" t="s">
        <v>145</v>
      </c>
      <c r="D1106" s="37"/>
      <c r="E1106" t="s">
        <v>592</v>
      </c>
    </row>
    <row r="1107" spans="1:5" x14ac:dyDescent="0.35">
      <c r="A1107" t="s">
        <v>265</v>
      </c>
      <c r="B1107" s="69" t="s">
        <v>146</v>
      </c>
      <c r="D1107" s="37"/>
      <c r="E1107" t="s">
        <v>592</v>
      </c>
    </row>
    <row r="1108" spans="1:5" x14ac:dyDescent="0.35">
      <c r="A1108" t="s">
        <v>265</v>
      </c>
      <c r="B1108" s="69" t="s">
        <v>147</v>
      </c>
      <c r="D1108" s="37"/>
      <c r="E1108" t="s">
        <v>592</v>
      </c>
    </row>
    <row r="1109" spans="1:5" x14ac:dyDescent="0.35">
      <c r="A1109" t="s">
        <v>266</v>
      </c>
      <c r="B1109" s="69" t="s">
        <v>299</v>
      </c>
      <c r="C1109">
        <v>48557.16</v>
      </c>
      <c r="D1109" s="37">
        <v>3.3397482472203892</v>
      </c>
      <c r="E1109" t="s">
        <v>592</v>
      </c>
    </row>
    <row r="1110" spans="1:5" x14ac:dyDescent="0.35">
      <c r="A1110" t="s">
        <v>266</v>
      </c>
      <c r="B1110" t="s">
        <v>445</v>
      </c>
      <c r="C1110">
        <v>4152.8999999999996</v>
      </c>
      <c r="D1110" s="37">
        <v>5.0100002407955886</v>
      </c>
      <c r="E1110" t="s">
        <v>592</v>
      </c>
    </row>
    <row r="1111" spans="1:5" x14ac:dyDescent="0.35">
      <c r="A1111" t="s">
        <v>266</v>
      </c>
      <c r="B1111" s="69" t="s">
        <v>189</v>
      </c>
      <c r="D1111" s="37"/>
      <c r="E1111" t="s">
        <v>592</v>
      </c>
    </row>
    <row r="1112" spans="1:5" x14ac:dyDescent="0.35">
      <c r="A1112" t="s">
        <v>266</v>
      </c>
      <c r="B1112" s="69" t="s">
        <v>190</v>
      </c>
      <c r="D1112" s="37"/>
      <c r="E1112" t="s">
        <v>592</v>
      </c>
    </row>
    <row r="1113" spans="1:5" x14ac:dyDescent="0.35">
      <c r="A1113" t="s">
        <v>266</v>
      </c>
      <c r="B1113" s="69" t="s">
        <v>301</v>
      </c>
      <c r="C1113">
        <v>19204.599999999999</v>
      </c>
      <c r="D1113" s="37">
        <v>3.7500000000000004</v>
      </c>
      <c r="E1113" t="s">
        <v>592</v>
      </c>
    </row>
    <row r="1114" spans="1:5" x14ac:dyDescent="0.35">
      <c r="A1114" t="s">
        <v>266</v>
      </c>
      <c r="B1114" t="s">
        <v>446</v>
      </c>
      <c r="D1114" s="37"/>
      <c r="E1114" t="s">
        <v>592</v>
      </c>
    </row>
    <row r="1115" spans="1:5" x14ac:dyDescent="0.35">
      <c r="A1115" t="s">
        <v>266</v>
      </c>
      <c r="B1115" s="69" t="s">
        <v>40</v>
      </c>
      <c r="C1115">
        <v>23672.340000000004</v>
      </c>
      <c r="D1115" s="37">
        <v>5.2008648067744883</v>
      </c>
      <c r="E1115" t="s">
        <v>592</v>
      </c>
    </row>
    <row r="1116" spans="1:5" x14ac:dyDescent="0.35">
      <c r="A1116" t="s">
        <v>266</v>
      </c>
      <c r="B1116" s="69" t="s">
        <v>303</v>
      </c>
      <c r="D1116" s="37"/>
      <c r="E1116" t="s">
        <v>592</v>
      </c>
    </row>
    <row r="1117" spans="1:5" x14ac:dyDescent="0.35">
      <c r="A1117" t="s">
        <v>266</v>
      </c>
      <c r="B1117" s="69" t="s">
        <v>199</v>
      </c>
      <c r="D1117" s="37"/>
      <c r="E1117" t="s">
        <v>592</v>
      </c>
    </row>
    <row r="1118" spans="1:5" x14ac:dyDescent="0.35">
      <c r="A1118" t="s">
        <v>266</v>
      </c>
      <c r="B1118" s="69" t="s">
        <v>194</v>
      </c>
      <c r="D1118" s="37"/>
      <c r="E1118" t="s">
        <v>592</v>
      </c>
    </row>
    <row r="1119" spans="1:5" x14ac:dyDescent="0.35">
      <c r="A1119" t="s">
        <v>266</v>
      </c>
      <c r="B1119" s="69" t="s">
        <v>144</v>
      </c>
      <c r="D1119" s="37"/>
      <c r="E1119" t="s">
        <v>592</v>
      </c>
    </row>
    <row r="1120" spans="1:5" x14ac:dyDescent="0.35">
      <c r="A1120" t="s">
        <v>266</v>
      </c>
      <c r="B1120" s="69" t="s">
        <v>145</v>
      </c>
      <c r="D1120" s="37"/>
      <c r="E1120" t="s">
        <v>592</v>
      </c>
    </row>
    <row r="1121" spans="1:5" x14ac:dyDescent="0.35">
      <c r="A1121" t="s">
        <v>266</v>
      </c>
      <c r="B1121" s="69" t="s">
        <v>146</v>
      </c>
      <c r="D1121" s="37"/>
      <c r="E1121" t="s">
        <v>592</v>
      </c>
    </row>
    <row r="1122" spans="1:5" x14ac:dyDescent="0.35">
      <c r="A1122" t="s">
        <v>266</v>
      </c>
      <c r="B1122" s="69" t="s">
        <v>147</v>
      </c>
      <c r="D1122" s="37"/>
      <c r="E1122" t="s">
        <v>592</v>
      </c>
    </row>
    <row r="1123" spans="1:5" x14ac:dyDescent="0.35">
      <c r="A1123" t="s">
        <v>267</v>
      </c>
      <c r="B1123" s="69" t="s">
        <v>299</v>
      </c>
      <c r="D1123" s="37"/>
      <c r="E1123" t="s">
        <v>592</v>
      </c>
    </row>
    <row r="1124" spans="1:5" x14ac:dyDescent="0.35">
      <c r="A1124" t="s">
        <v>267</v>
      </c>
      <c r="B1124" t="s">
        <v>445</v>
      </c>
      <c r="D1124" s="37"/>
      <c r="E1124" t="s">
        <v>592</v>
      </c>
    </row>
    <row r="1125" spans="1:5" x14ac:dyDescent="0.35">
      <c r="A1125" t="s">
        <v>267</v>
      </c>
      <c r="B1125" s="69" t="s">
        <v>189</v>
      </c>
      <c r="D1125" s="37"/>
      <c r="E1125" t="s">
        <v>592</v>
      </c>
    </row>
    <row r="1126" spans="1:5" x14ac:dyDescent="0.35">
      <c r="A1126" t="s">
        <v>267</v>
      </c>
      <c r="B1126" s="69" t="s">
        <v>190</v>
      </c>
      <c r="D1126" s="37"/>
      <c r="E1126" t="s">
        <v>592</v>
      </c>
    </row>
    <row r="1127" spans="1:5" x14ac:dyDescent="0.35">
      <c r="A1127" t="s">
        <v>267</v>
      </c>
      <c r="B1127" s="69" t="s">
        <v>301</v>
      </c>
      <c r="D1127" s="37"/>
      <c r="E1127" t="s">
        <v>592</v>
      </c>
    </row>
    <row r="1128" spans="1:5" x14ac:dyDescent="0.35">
      <c r="A1128" t="s">
        <v>267</v>
      </c>
      <c r="B1128" t="s">
        <v>446</v>
      </c>
      <c r="D1128" s="37"/>
      <c r="E1128" t="s">
        <v>592</v>
      </c>
    </row>
    <row r="1129" spans="1:5" x14ac:dyDescent="0.35">
      <c r="A1129" t="s">
        <v>267</v>
      </c>
      <c r="B1129" s="69" t="s">
        <v>40</v>
      </c>
      <c r="D1129" s="37"/>
      <c r="E1129" t="s">
        <v>592</v>
      </c>
    </row>
    <row r="1130" spans="1:5" x14ac:dyDescent="0.35">
      <c r="A1130" t="s">
        <v>267</v>
      </c>
      <c r="B1130" s="69" t="s">
        <v>303</v>
      </c>
      <c r="D1130" s="37"/>
      <c r="E1130" t="s">
        <v>592</v>
      </c>
    </row>
    <row r="1131" spans="1:5" x14ac:dyDescent="0.35">
      <c r="A1131" t="s">
        <v>267</v>
      </c>
      <c r="B1131" s="69" t="s">
        <v>199</v>
      </c>
      <c r="D1131" s="37"/>
      <c r="E1131" t="s">
        <v>592</v>
      </c>
    </row>
    <row r="1132" spans="1:5" x14ac:dyDescent="0.35">
      <c r="A1132" t="s">
        <v>267</v>
      </c>
      <c r="B1132" s="69" t="s">
        <v>194</v>
      </c>
      <c r="D1132" s="37"/>
      <c r="E1132" t="s">
        <v>592</v>
      </c>
    </row>
    <row r="1133" spans="1:5" x14ac:dyDescent="0.35">
      <c r="A1133" t="s">
        <v>267</v>
      </c>
      <c r="B1133" s="69" t="s">
        <v>144</v>
      </c>
      <c r="D1133" s="37"/>
      <c r="E1133" t="s">
        <v>592</v>
      </c>
    </row>
    <row r="1134" spans="1:5" x14ac:dyDescent="0.35">
      <c r="A1134" t="s">
        <v>267</v>
      </c>
      <c r="B1134" s="69" t="s">
        <v>145</v>
      </c>
      <c r="D1134" s="37"/>
      <c r="E1134" t="s">
        <v>592</v>
      </c>
    </row>
    <row r="1135" spans="1:5" x14ac:dyDescent="0.35">
      <c r="A1135" t="s">
        <v>267</v>
      </c>
      <c r="B1135" s="69" t="s">
        <v>146</v>
      </c>
      <c r="D1135" s="37"/>
      <c r="E1135" t="s">
        <v>592</v>
      </c>
    </row>
    <row r="1136" spans="1:5" x14ac:dyDescent="0.35">
      <c r="A1136" t="s">
        <v>267</v>
      </c>
      <c r="B1136" s="69" t="s">
        <v>147</v>
      </c>
      <c r="D1136" s="37"/>
      <c r="E1136" t="s">
        <v>592</v>
      </c>
    </row>
    <row r="1137" spans="1:5" x14ac:dyDescent="0.35">
      <c r="A1137" t="s">
        <v>268</v>
      </c>
      <c r="B1137" s="69" t="s">
        <v>299</v>
      </c>
      <c r="C1137">
        <v>9133.34</v>
      </c>
      <c r="D1137" s="37">
        <v>3.6371995348908501</v>
      </c>
      <c r="E1137" t="s">
        <v>592</v>
      </c>
    </row>
    <row r="1138" spans="1:5" x14ac:dyDescent="0.35">
      <c r="A1138" t="s">
        <v>268</v>
      </c>
      <c r="B1138" t="s">
        <v>445</v>
      </c>
      <c r="C1138">
        <v>1047.2</v>
      </c>
      <c r="D1138" s="37">
        <v>5.0099980901451486</v>
      </c>
      <c r="E1138" t="s">
        <v>592</v>
      </c>
    </row>
    <row r="1139" spans="1:5" x14ac:dyDescent="0.35">
      <c r="A1139" t="s">
        <v>268</v>
      </c>
      <c r="B1139" s="69" t="s">
        <v>189</v>
      </c>
      <c r="D1139" s="37"/>
      <c r="E1139" t="s">
        <v>592</v>
      </c>
    </row>
    <row r="1140" spans="1:5" x14ac:dyDescent="0.35">
      <c r="A1140" t="s">
        <v>268</v>
      </c>
      <c r="B1140" s="69" t="s">
        <v>190</v>
      </c>
      <c r="D1140" s="37"/>
      <c r="E1140" t="s">
        <v>592</v>
      </c>
    </row>
    <row r="1141" spans="1:5" x14ac:dyDescent="0.35">
      <c r="A1141" t="s">
        <v>268</v>
      </c>
      <c r="B1141" s="69" t="s">
        <v>301</v>
      </c>
      <c r="C1141">
        <v>58708.6</v>
      </c>
      <c r="D1141" s="37">
        <v>3.8136724432195623</v>
      </c>
      <c r="E1141" t="s">
        <v>592</v>
      </c>
    </row>
    <row r="1142" spans="1:5" x14ac:dyDescent="0.35">
      <c r="A1142" t="s">
        <v>268</v>
      </c>
      <c r="B1142" t="s">
        <v>446</v>
      </c>
      <c r="D1142" s="37"/>
      <c r="E1142" t="s">
        <v>592</v>
      </c>
    </row>
    <row r="1143" spans="1:5" x14ac:dyDescent="0.35">
      <c r="A1143" t="s">
        <v>268</v>
      </c>
      <c r="B1143" s="69" t="s">
        <v>40</v>
      </c>
      <c r="C1143">
        <v>26846.2</v>
      </c>
      <c r="D1143" s="37">
        <v>5.1900004469906342</v>
      </c>
      <c r="E1143" t="s">
        <v>592</v>
      </c>
    </row>
    <row r="1144" spans="1:5" x14ac:dyDescent="0.35">
      <c r="A1144" t="s">
        <v>268</v>
      </c>
      <c r="B1144" s="69" t="s">
        <v>303</v>
      </c>
      <c r="D1144" s="37"/>
      <c r="E1144" t="s">
        <v>592</v>
      </c>
    </row>
    <row r="1145" spans="1:5" x14ac:dyDescent="0.35">
      <c r="A1145" t="s">
        <v>268</v>
      </c>
      <c r="B1145" s="69" t="s">
        <v>199</v>
      </c>
      <c r="D1145" s="37"/>
      <c r="E1145" t="s">
        <v>592</v>
      </c>
    </row>
    <row r="1146" spans="1:5" x14ac:dyDescent="0.35">
      <c r="A1146" t="s">
        <v>268</v>
      </c>
      <c r="B1146" s="69" t="s">
        <v>194</v>
      </c>
      <c r="C1146">
        <v>10937.3</v>
      </c>
      <c r="D1146" s="37">
        <v>3.6</v>
      </c>
      <c r="E1146" t="s">
        <v>592</v>
      </c>
    </row>
    <row r="1147" spans="1:5" x14ac:dyDescent="0.35">
      <c r="A1147" t="s">
        <v>268</v>
      </c>
      <c r="B1147" s="69" t="s">
        <v>144</v>
      </c>
      <c r="D1147" s="37"/>
      <c r="E1147" t="s">
        <v>592</v>
      </c>
    </row>
    <row r="1148" spans="1:5" x14ac:dyDescent="0.35">
      <c r="A1148" t="s">
        <v>268</v>
      </c>
      <c r="B1148" s="69" t="s">
        <v>145</v>
      </c>
      <c r="D1148" s="37"/>
      <c r="E1148" t="s">
        <v>592</v>
      </c>
    </row>
    <row r="1149" spans="1:5" x14ac:dyDescent="0.35">
      <c r="A1149" t="s">
        <v>268</v>
      </c>
      <c r="B1149" s="69" t="s">
        <v>146</v>
      </c>
      <c r="D1149" s="37"/>
      <c r="E1149" t="s">
        <v>592</v>
      </c>
    </row>
    <row r="1150" spans="1:5" x14ac:dyDescent="0.35">
      <c r="A1150" t="s">
        <v>268</v>
      </c>
      <c r="B1150" s="69" t="s">
        <v>147</v>
      </c>
      <c r="D1150" s="37"/>
      <c r="E1150" t="s">
        <v>592</v>
      </c>
    </row>
    <row r="1151" spans="1:5" x14ac:dyDescent="0.35">
      <c r="A1151" t="s">
        <v>269</v>
      </c>
      <c r="B1151" s="69" t="s">
        <v>299</v>
      </c>
      <c r="C1151">
        <v>21662.35</v>
      </c>
      <c r="D1151" s="37">
        <v>3.5054465466581419</v>
      </c>
      <c r="E1151" t="s">
        <v>592</v>
      </c>
    </row>
    <row r="1152" spans="1:5" x14ac:dyDescent="0.35">
      <c r="A1152" t="s">
        <v>269</v>
      </c>
      <c r="B1152" t="s">
        <v>445</v>
      </c>
      <c r="D1152" s="37"/>
      <c r="E1152" t="s">
        <v>592</v>
      </c>
    </row>
    <row r="1153" spans="1:5" x14ac:dyDescent="0.35">
      <c r="A1153" t="s">
        <v>269</v>
      </c>
      <c r="B1153" s="69" t="s">
        <v>189</v>
      </c>
      <c r="D1153" s="37"/>
      <c r="E1153" t="s">
        <v>592</v>
      </c>
    </row>
    <row r="1154" spans="1:5" x14ac:dyDescent="0.35">
      <c r="A1154" t="s">
        <v>269</v>
      </c>
      <c r="B1154" s="69" t="s">
        <v>190</v>
      </c>
      <c r="D1154" s="37"/>
      <c r="E1154" t="s">
        <v>592</v>
      </c>
    </row>
    <row r="1155" spans="1:5" x14ac:dyDescent="0.35">
      <c r="A1155" t="s">
        <v>269</v>
      </c>
      <c r="B1155" s="69" t="s">
        <v>301</v>
      </c>
      <c r="C1155">
        <v>18394.7</v>
      </c>
      <c r="D1155" s="37">
        <v>3.0999999999999996</v>
      </c>
      <c r="E1155" t="s">
        <v>592</v>
      </c>
    </row>
    <row r="1156" spans="1:5" x14ac:dyDescent="0.35">
      <c r="A1156" t="s">
        <v>269</v>
      </c>
      <c r="B1156" t="s">
        <v>446</v>
      </c>
      <c r="D1156" s="37"/>
      <c r="E1156" t="s">
        <v>592</v>
      </c>
    </row>
    <row r="1157" spans="1:5" x14ac:dyDescent="0.35">
      <c r="A1157" t="s">
        <v>269</v>
      </c>
      <c r="B1157" s="69" t="s">
        <v>40</v>
      </c>
      <c r="D1157" s="37"/>
      <c r="E1157" t="s">
        <v>592</v>
      </c>
    </row>
    <row r="1158" spans="1:5" x14ac:dyDescent="0.35">
      <c r="A1158" t="s">
        <v>269</v>
      </c>
      <c r="B1158" s="69" t="s">
        <v>303</v>
      </c>
      <c r="D1158" s="37"/>
      <c r="E1158" t="s">
        <v>592</v>
      </c>
    </row>
    <row r="1159" spans="1:5" x14ac:dyDescent="0.35">
      <c r="A1159" t="s">
        <v>269</v>
      </c>
      <c r="B1159" s="69" t="s">
        <v>199</v>
      </c>
      <c r="D1159" s="37"/>
      <c r="E1159" t="s">
        <v>592</v>
      </c>
    </row>
    <row r="1160" spans="1:5" x14ac:dyDescent="0.35">
      <c r="A1160" t="s">
        <v>269</v>
      </c>
      <c r="B1160" s="69" t="s">
        <v>194</v>
      </c>
      <c r="D1160" s="37"/>
      <c r="E1160" t="s">
        <v>592</v>
      </c>
    </row>
    <row r="1161" spans="1:5" x14ac:dyDescent="0.35">
      <c r="A1161" t="s">
        <v>269</v>
      </c>
      <c r="B1161" s="69" t="s">
        <v>144</v>
      </c>
      <c r="D1161" s="37"/>
      <c r="E1161" t="s">
        <v>592</v>
      </c>
    </row>
    <row r="1162" spans="1:5" x14ac:dyDescent="0.35">
      <c r="A1162" t="s">
        <v>269</v>
      </c>
      <c r="B1162" s="69" t="s">
        <v>145</v>
      </c>
      <c r="D1162" s="37"/>
      <c r="E1162" t="s">
        <v>592</v>
      </c>
    </row>
    <row r="1163" spans="1:5" x14ac:dyDescent="0.35">
      <c r="A1163" t="s">
        <v>269</v>
      </c>
      <c r="B1163" s="69" t="s">
        <v>146</v>
      </c>
      <c r="D1163" s="37"/>
      <c r="E1163" t="s">
        <v>592</v>
      </c>
    </row>
    <row r="1164" spans="1:5" x14ac:dyDescent="0.35">
      <c r="A1164" t="s">
        <v>269</v>
      </c>
      <c r="B1164" s="69" t="s">
        <v>147</v>
      </c>
      <c r="D1164" s="37"/>
      <c r="E1164" t="s">
        <v>592</v>
      </c>
    </row>
    <row r="1165" spans="1:5" x14ac:dyDescent="0.35">
      <c r="A1165" t="s">
        <v>270</v>
      </c>
      <c r="B1165" s="69" t="s">
        <v>299</v>
      </c>
      <c r="C1165">
        <v>36265.879999999997</v>
      </c>
      <c r="D1165" s="37">
        <v>3.4601165062036272</v>
      </c>
      <c r="E1165" t="s">
        <v>592</v>
      </c>
    </row>
    <row r="1166" spans="1:5" x14ac:dyDescent="0.35">
      <c r="A1166" t="s">
        <v>270</v>
      </c>
      <c r="B1166" t="s">
        <v>445</v>
      </c>
      <c r="C1166">
        <v>1555.8</v>
      </c>
      <c r="D1166" s="37">
        <v>5.0100012855122769</v>
      </c>
      <c r="E1166" t="s">
        <v>592</v>
      </c>
    </row>
    <row r="1167" spans="1:5" x14ac:dyDescent="0.35">
      <c r="A1167" t="s">
        <v>270</v>
      </c>
      <c r="B1167" s="69" t="s">
        <v>189</v>
      </c>
      <c r="D1167" s="37"/>
      <c r="E1167" t="s">
        <v>592</v>
      </c>
    </row>
    <row r="1168" spans="1:5" x14ac:dyDescent="0.35">
      <c r="A1168" t="s">
        <v>270</v>
      </c>
      <c r="B1168" s="69" t="s">
        <v>190</v>
      </c>
      <c r="D1168" s="37"/>
      <c r="E1168" t="s">
        <v>592</v>
      </c>
    </row>
    <row r="1169" spans="1:5" x14ac:dyDescent="0.35">
      <c r="A1169" t="s">
        <v>270</v>
      </c>
      <c r="B1169" s="69" t="s">
        <v>301</v>
      </c>
      <c r="C1169">
        <v>59155.319999999992</v>
      </c>
      <c r="D1169" s="37">
        <v>3.8272699733515094</v>
      </c>
      <c r="E1169" t="s">
        <v>592</v>
      </c>
    </row>
    <row r="1170" spans="1:5" x14ac:dyDescent="0.35">
      <c r="A1170" t="s">
        <v>270</v>
      </c>
      <c r="B1170" t="s">
        <v>446</v>
      </c>
      <c r="D1170" s="37"/>
      <c r="E1170" t="s">
        <v>592</v>
      </c>
    </row>
    <row r="1171" spans="1:5" x14ac:dyDescent="0.35">
      <c r="A1171" t="s">
        <v>270</v>
      </c>
      <c r="B1171" s="69" t="s">
        <v>40</v>
      </c>
      <c r="D1171" s="37"/>
      <c r="E1171" t="s">
        <v>592</v>
      </c>
    </row>
    <row r="1172" spans="1:5" x14ac:dyDescent="0.35">
      <c r="A1172" t="s">
        <v>270</v>
      </c>
      <c r="B1172" s="69" t="s">
        <v>303</v>
      </c>
      <c r="D1172" s="37"/>
      <c r="E1172" t="s">
        <v>592</v>
      </c>
    </row>
    <row r="1173" spans="1:5" x14ac:dyDescent="0.35">
      <c r="A1173" t="s">
        <v>270</v>
      </c>
      <c r="B1173" s="69" t="s">
        <v>199</v>
      </c>
      <c r="D1173" s="37"/>
      <c r="E1173" t="s">
        <v>592</v>
      </c>
    </row>
    <row r="1174" spans="1:5" x14ac:dyDescent="0.35">
      <c r="A1174" t="s">
        <v>270</v>
      </c>
      <c r="B1174" s="69" t="s">
        <v>194</v>
      </c>
      <c r="D1174" s="37"/>
      <c r="E1174" t="s">
        <v>592</v>
      </c>
    </row>
    <row r="1175" spans="1:5" x14ac:dyDescent="0.35">
      <c r="A1175" t="s">
        <v>270</v>
      </c>
      <c r="B1175" s="69" t="s">
        <v>144</v>
      </c>
      <c r="D1175" s="37"/>
      <c r="E1175" t="s">
        <v>592</v>
      </c>
    </row>
    <row r="1176" spans="1:5" x14ac:dyDescent="0.35">
      <c r="A1176" t="s">
        <v>270</v>
      </c>
      <c r="B1176" s="69" t="s">
        <v>145</v>
      </c>
      <c r="D1176" s="37"/>
      <c r="E1176" t="s">
        <v>592</v>
      </c>
    </row>
    <row r="1177" spans="1:5" x14ac:dyDescent="0.35">
      <c r="A1177" t="s">
        <v>270</v>
      </c>
      <c r="B1177" s="69" t="s">
        <v>146</v>
      </c>
      <c r="D1177" s="37"/>
      <c r="E1177" t="s">
        <v>592</v>
      </c>
    </row>
    <row r="1178" spans="1:5" x14ac:dyDescent="0.35">
      <c r="A1178" t="s">
        <v>270</v>
      </c>
      <c r="B1178" s="69" t="s">
        <v>147</v>
      </c>
      <c r="D1178" s="37"/>
      <c r="E1178" t="s">
        <v>592</v>
      </c>
    </row>
    <row r="1179" spans="1:5" x14ac:dyDescent="0.35">
      <c r="A1179" t="s">
        <v>271</v>
      </c>
      <c r="B1179" s="69" t="s">
        <v>299</v>
      </c>
      <c r="C1179">
        <v>1605.01</v>
      </c>
      <c r="D1179" s="37">
        <v>4.6886498177794742</v>
      </c>
      <c r="E1179" t="s">
        <v>592</v>
      </c>
    </row>
    <row r="1180" spans="1:5" x14ac:dyDescent="0.35">
      <c r="A1180" t="s">
        <v>271</v>
      </c>
      <c r="B1180" t="s">
        <v>445</v>
      </c>
      <c r="D1180" s="37"/>
      <c r="E1180" t="s">
        <v>592</v>
      </c>
    </row>
    <row r="1181" spans="1:5" x14ac:dyDescent="0.35">
      <c r="A1181" t="s">
        <v>271</v>
      </c>
      <c r="B1181" s="69" t="s">
        <v>189</v>
      </c>
      <c r="D1181" s="37"/>
      <c r="E1181" t="s">
        <v>592</v>
      </c>
    </row>
    <row r="1182" spans="1:5" x14ac:dyDescent="0.35">
      <c r="A1182" t="s">
        <v>271</v>
      </c>
      <c r="B1182" s="69" t="s">
        <v>190</v>
      </c>
      <c r="D1182" s="37"/>
      <c r="E1182" t="s">
        <v>592</v>
      </c>
    </row>
    <row r="1183" spans="1:5" x14ac:dyDescent="0.35">
      <c r="A1183" t="s">
        <v>271</v>
      </c>
      <c r="B1183" s="69" t="s">
        <v>301</v>
      </c>
      <c r="C1183">
        <v>19082.7</v>
      </c>
      <c r="D1183" s="37">
        <v>3.7999999999999994</v>
      </c>
      <c r="E1183" t="s">
        <v>592</v>
      </c>
    </row>
    <row r="1184" spans="1:5" x14ac:dyDescent="0.35">
      <c r="A1184" t="s">
        <v>271</v>
      </c>
      <c r="B1184" t="s">
        <v>446</v>
      </c>
      <c r="D1184" s="37"/>
      <c r="E1184" t="s">
        <v>592</v>
      </c>
    </row>
    <row r="1185" spans="1:5" x14ac:dyDescent="0.35">
      <c r="A1185" t="s">
        <v>271</v>
      </c>
      <c r="B1185" s="69" t="s">
        <v>40</v>
      </c>
      <c r="D1185" s="37"/>
      <c r="E1185" t="s">
        <v>592</v>
      </c>
    </row>
    <row r="1186" spans="1:5" x14ac:dyDescent="0.35">
      <c r="A1186" t="s">
        <v>271</v>
      </c>
      <c r="B1186" s="69" t="s">
        <v>303</v>
      </c>
      <c r="D1186" s="37"/>
      <c r="E1186" t="s">
        <v>592</v>
      </c>
    </row>
    <row r="1187" spans="1:5" x14ac:dyDescent="0.35">
      <c r="A1187" t="s">
        <v>271</v>
      </c>
      <c r="B1187" s="69" t="s">
        <v>199</v>
      </c>
      <c r="D1187" s="37"/>
      <c r="E1187" t="s">
        <v>592</v>
      </c>
    </row>
    <row r="1188" spans="1:5" x14ac:dyDescent="0.35">
      <c r="A1188" t="s">
        <v>271</v>
      </c>
      <c r="B1188" s="69" t="s">
        <v>194</v>
      </c>
      <c r="D1188" s="37"/>
      <c r="E1188" t="s">
        <v>592</v>
      </c>
    </row>
    <row r="1189" spans="1:5" x14ac:dyDescent="0.35">
      <c r="A1189" t="s">
        <v>271</v>
      </c>
      <c r="B1189" s="69" t="s">
        <v>144</v>
      </c>
      <c r="D1189" s="37"/>
      <c r="E1189" t="s">
        <v>592</v>
      </c>
    </row>
    <row r="1190" spans="1:5" x14ac:dyDescent="0.35">
      <c r="A1190" t="s">
        <v>271</v>
      </c>
      <c r="B1190" s="69" t="s">
        <v>145</v>
      </c>
      <c r="D1190" s="37"/>
      <c r="E1190" t="s">
        <v>592</v>
      </c>
    </row>
    <row r="1191" spans="1:5" x14ac:dyDescent="0.35">
      <c r="A1191" t="s">
        <v>271</v>
      </c>
      <c r="B1191" s="69" t="s">
        <v>146</v>
      </c>
      <c r="D1191" s="37"/>
      <c r="E1191" t="s">
        <v>592</v>
      </c>
    </row>
    <row r="1192" spans="1:5" x14ac:dyDescent="0.35">
      <c r="A1192" t="s">
        <v>271</v>
      </c>
      <c r="B1192" s="69" t="s">
        <v>147</v>
      </c>
      <c r="D1192" s="37"/>
      <c r="E1192" t="s">
        <v>592</v>
      </c>
    </row>
    <row r="1193" spans="1:5" x14ac:dyDescent="0.35">
      <c r="A1193" t="s">
        <v>272</v>
      </c>
      <c r="B1193" s="69" t="s">
        <v>299</v>
      </c>
      <c r="C1193">
        <v>34942.199999999997</v>
      </c>
      <c r="D1193" s="37">
        <v>3.4308240465683331</v>
      </c>
      <c r="E1193" t="s">
        <v>592</v>
      </c>
    </row>
    <row r="1194" spans="1:5" x14ac:dyDescent="0.35">
      <c r="A1194" t="s">
        <v>272</v>
      </c>
      <c r="B1194" t="s">
        <v>445</v>
      </c>
      <c r="D1194" s="37"/>
      <c r="E1194" t="s">
        <v>592</v>
      </c>
    </row>
    <row r="1195" spans="1:5" x14ac:dyDescent="0.35">
      <c r="A1195" t="s">
        <v>272</v>
      </c>
      <c r="B1195" s="69" t="s">
        <v>189</v>
      </c>
      <c r="D1195" s="37"/>
      <c r="E1195" t="s">
        <v>592</v>
      </c>
    </row>
    <row r="1196" spans="1:5" x14ac:dyDescent="0.35">
      <c r="A1196" t="s">
        <v>272</v>
      </c>
      <c r="B1196" s="69" t="s">
        <v>190</v>
      </c>
      <c r="D1196" s="37"/>
      <c r="E1196" t="s">
        <v>592</v>
      </c>
    </row>
    <row r="1197" spans="1:5" x14ac:dyDescent="0.35">
      <c r="A1197" t="s">
        <v>272</v>
      </c>
      <c r="B1197" s="69" t="s">
        <v>301</v>
      </c>
      <c r="C1197">
        <v>20412.080000000002</v>
      </c>
      <c r="D1197" s="37">
        <v>3.8387111945475421</v>
      </c>
      <c r="E1197" t="s">
        <v>592</v>
      </c>
    </row>
    <row r="1198" spans="1:5" x14ac:dyDescent="0.35">
      <c r="A1198" t="s">
        <v>272</v>
      </c>
      <c r="B1198" t="s">
        <v>446</v>
      </c>
      <c r="D1198" s="37"/>
      <c r="E1198" t="s">
        <v>592</v>
      </c>
    </row>
    <row r="1199" spans="1:5" x14ac:dyDescent="0.35">
      <c r="A1199" t="s">
        <v>272</v>
      </c>
      <c r="B1199" s="69" t="s">
        <v>40</v>
      </c>
      <c r="D1199" s="37"/>
      <c r="E1199" t="s">
        <v>592</v>
      </c>
    </row>
    <row r="1200" spans="1:5" x14ac:dyDescent="0.35">
      <c r="A1200" t="s">
        <v>272</v>
      </c>
      <c r="B1200" s="69" t="s">
        <v>303</v>
      </c>
      <c r="D1200" s="37"/>
      <c r="E1200" t="s">
        <v>592</v>
      </c>
    </row>
    <row r="1201" spans="1:5" x14ac:dyDescent="0.35">
      <c r="A1201" t="s">
        <v>272</v>
      </c>
      <c r="B1201" s="69" t="s">
        <v>199</v>
      </c>
      <c r="D1201" s="37"/>
      <c r="E1201" t="s">
        <v>592</v>
      </c>
    </row>
    <row r="1202" spans="1:5" x14ac:dyDescent="0.35">
      <c r="A1202" t="s">
        <v>272</v>
      </c>
      <c r="B1202" s="69" t="s">
        <v>194</v>
      </c>
      <c r="D1202" s="37"/>
      <c r="E1202" t="s">
        <v>592</v>
      </c>
    </row>
    <row r="1203" spans="1:5" x14ac:dyDescent="0.35">
      <c r="A1203" t="s">
        <v>272</v>
      </c>
      <c r="B1203" s="69" t="s">
        <v>144</v>
      </c>
      <c r="D1203" s="37"/>
      <c r="E1203" t="s">
        <v>592</v>
      </c>
    </row>
    <row r="1204" spans="1:5" x14ac:dyDescent="0.35">
      <c r="A1204" t="s">
        <v>272</v>
      </c>
      <c r="B1204" s="69" t="s">
        <v>145</v>
      </c>
      <c r="D1204" s="37"/>
      <c r="E1204" t="s">
        <v>592</v>
      </c>
    </row>
    <row r="1205" spans="1:5" x14ac:dyDescent="0.35">
      <c r="A1205" t="s">
        <v>272</v>
      </c>
      <c r="B1205" s="69" t="s">
        <v>146</v>
      </c>
      <c r="D1205" s="37"/>
      <c r="E1205" t="s">
        <v>592</v>
      </c>
    </row>
    <row r="1206" spans="1:5" x14ac:dyDescent="0.35">
      <c r="A1206" t="s">
        <v>272</v>
      </c>
      <c r="B1206" s="69" t="s">
        <v>147</v>
      </c>
      <c r="D1206" s="37"/>
      <c r="E1206" t="s">
        <v>592</v>
      </c>
    </row>
    <row r="1207" spans="1:5" x14ac:dyDescent="0.35">
      <c r="A1207" t="s">
        <v>273</v>
      </c>
      <c r="B1207" s="69" t="s">
        <v>299</v>
      </c>
      <c r="C1207">
        <v>22276.42</v>
      </c>
      <c r="D1207" s="37">
        <v>3.5512438713222325</v>
      </c>
      <c r="E1207" t="s">
        <v>592</v>
      </c>
    </row>
    <row r="1208" spans="1:5" x14ac:dyDescent="0.35">
      <c r="A1208" t="s">
        <v>273</v>
      </c>
      <c r="B1208" t="s">
        <v>445</v>
      </c>
      <c r="C1208">
        <v>2919.5</v>
      </c>
      <c r="D1208" s="37">
        <v>5.0099982873779751</v>
      </c>
      <c r="E1208" t="s">
        <v>592</v>
      </c>
    </row>
    <row r="1209" spans="1:5" x14ac:dyDescent="0.35">
      <c r="A1209" t="s">
        <v>273</v>
      </c>
      <c r="B1209" s="69" t="s">
        <v>189</v>
      </c>
      <c r="D1209" s="37"/>
      <c r="E1209" t="s">
        <v>592</v>
      </c>
    </row>
    <row r="1210" spans="1:5" x14ac:dyDescent="0.35">
      <c r="A1210" t="s">
        <v>273</v>
      </c>
      <c r="B1210" s="69" t="s">
        <v>190</v>
      </c>
      <c r="D1210" s="37"/>
      <c r="E1210" t="s">
        <v>592</v>
      </c>
    </row>
    <row r="1211" spans="1:5" x14ac:dyDescent="0.35">
      <c r="A1211" t="s">
        <v>273</v>
      </c>
      <c r="B1211" s="69" t="s">
        <v>301</v>
      </c>
      <c r="C1211">
        <v>1956.51</v>
      </c>
      <c r="D1211" s="37">
        <v>4.7086189183801768</v>
      </c>
      <c r="E1211" t="s">
        <v>592</v>
      </c>
    </row>
    <row r="1212" spans="1:5" x14ac:dyDescent="0.35">
      <c r="A1212" t="s">
        <v>273</v>
      </c>
      <c r="B1212" t="s">
        <v>446</v>
      </c>
      <c r="D1212" s="37"/>
      <c r="E1212" t="s">
        <v>592</v>
      </c>
    </row>
    <row r="1213" spans="1:5" x14ac:dyDescent="0.35">
      <c r="A1213" t="s">
        <v>273</v>
      </c>
      <c r="B1213" s="69" t="s">
        <v>40</v>
      </c>
      <c r="C1213">
        <v>49643.59</v>
      </c>
      <c r="D1213" s="37">
        <v>5.2075154113552227</v>
      </c>
      <c r="E1213" t="s">
        <v>592</v>
      </c>
    </row>
    <row r="1214" spans="1:5" x14ac:dyDescent="0.35">
      <c r="A1214" t="s">
        <v>273</v>
      </c>
      <c r="B1214" s="69" t="s">
        <v>303</v>
      </c>
      <c r="D1214" s="37"/>
      <c r="E1214" t="s">
        <v>592</v>
      </c>
    </row>
    <row r="1215" spans="1:5" x14ac:dyDescent="0.35">
      <c r="A1215" t="s">
        <v>273</v>
      </c>
      <c r="B1215" s="69" t="s">
        <v>199</v>
      </c>
      <c r="D1215" s="37"/>
      <c r="E1215" t="s">
        <v>592</v>
      </c>
    </row>
    <row r="1216" spans="1:5" x14ac:dyDescent="0.35">
      <c r="A1216" t="s">
        <v>273</v>
      </c>
      <c r="B1216" s="69" t="s">
        <v>194</v>
      </c>
      <c r="D1216" s="37"/>
      <c r="E1216" t="s">
        <v>592</v>
      </c>
    </row>
    <row r="1217" spans="1:5" x14ac:dyDescent="0.35">
      <c r="A1217" t="s">
        <v>273</v>
      </c>
      <c r="B1217" s="69" t="s">
        <v>144</v>
      </c>
      <c r="D1217" s="37"/>
      <c r="E1217" t="s">
        <v>592</v>
      </c>
    </row>
    <row r="1218" spans="1:5" x14ac:dyDescent="0.35">
      <c r="A1218" t="s">
        <v>273</v>
      </c>
      <c r="B1218" s="69" t="s">
        <v>145</v>
      </c>
      <c r="D1218" s="37"/>
      <c r="E1218" t="s">
        <v>592</v>
      </c>
    </row>
    <row r="1219" spans="1:5" x14ac:dyDescent="0.35">
      <c r="A1219" t="s">
        <v>273</v>
      </c>
      <c r="B1219" s="69" t="s">
        <v>146</v>
      </c>
      <c r="D1219" s="37"/>
      <c r="E1219" t="s">
        <v>592</v>
      </c>
    </row>
    <row r="1220" spans="1:5" x14ac:dyDescent="0.35">
      <c r="A1220" t="s">
        <v>273</v>
      </c>
      <c r="B1220" s="69" t="s">
        <v>147</v>
      </c>
      <c r="D1220" s="37"/>
      <c r="E1220" t="s">
        <v>592</v>
      </c>
    </row>
    <row r="1221" spans="1:5" x14ac:dyDescent="0.35">
      <c r="A1221" t="s">
        <v>274</v>
      </c>
      <c r="B1221" s="69" t="s">
        <v>299</v>
      </c>
      <c r="C1221">
        <v>839.0199999999993</v>
      </c>
      <c r="D1221" s="37">
        <v>4.661223808729237</v>
      </c>
      <c r="E1221" t="s">
        <v>592</v>
      </c>
    </row>
    <row r="1222" spans="1:5" x14ac:dyDescent="0.35">
      <c r="A1222" t="s">
        <v>274</v>
      </c>
      <c r="B1222" t="s">
        <v>445</v>
      </c>
      <c r="D1222" s="37"/>
      <c r="E1222" t="s">
        <v>592</v>
      </c>
    </row>
    <row r="1223" spans="1:5" x14ac:dyDescent="0.35">
      <c r="A1223" t="s">
        <v>274</v>
      </c>
      <c r="B1223" s="69" t="s">
        <v>189</v>
      </c>
      <c r="D1223" s="37"/>
      <c r="E1223" t="s">
        <v>592</v>
      </c>
    </row>
    <row r="1224" spans="1:5" x14ac:dyDescent="0.35">
      <c r="A1224" t="s">
        <v>274</v>
      </c>
      <c r="B1224" s="69" t="s">
        <v>190</v>
      </c>
      <c r="D1224" s="37"/>
      <c r="E1224" t="s">
        <v>592</v>
      </c>
    </row>
    <row r="1225" spans="1:5" x14ac:dyDescent="0.35">
      <c r="A1225" t="s">
        <v>274</v>
      </c>
      <c r="B1225" s="69" t="s">
        <v>301</v>
      </c>
      <c r="C1225">
        <v>847.53</v>
      </c>
      <c r="D1225" s="37">
        <v>4.7200217101459536</v>
      </c>
      <c r="E1225" t="s">
        <v>592</v>
      </c>
    </row>
    <row r="1226" spans="1:5" x14ac:dyDescent="0.35">
      <c r="A1226" t="s">
        <v>274</v>
      </c>
      <c r="B1226" t="s">
        <v>446</v>
      </c>
      <c r="D1226" s="37"/>
      <c r="E1226" t="s">
        <v>592</v>
      </c>
    </row>
    <row r="1227" spans="1:5" x14ac:dyDescent="0.35">
      <c r="A1227" t="s">
        <v>274</v>
      </c>
      <c r="B1227" s="69" t="s">
        <v>40</v>
      </c>
      <c r="D1227" s="37"/>
      <c r="E1227" t="s">
        <v>592</v>
      </c>
    </row>
    <row r="1228" spans="1:5" x14ac:dyDescent="0.35">
      <c r="A1228" t="s">
        <v>274</v>
      </c>
      <c r="B1228" s="69" t="s">
        <v>303</v>
      </c>
      <c r="D1228" s="37"/>
      <c r="E1228" t="s">
        <v>592</v>
      </c>
    </row>
    <row r="1229" spans="1:5" x14ac:dyDescent="0.35">
      <c r="A1229" t="s">
        <v>274</v>
      </c>
      <c r="B1229" s="69" t="s">
        <v>199</v>
      </c>
      <c r="D1229" s="37"/>
      <c r="E1229" t="s">
        <v>592</v>
      </c>
    </row>
    <row r="1230" spans="1:5" x14ac:dyDescent="0.35">
      <c r="A1230" t="s">
        <v>274</v>
      </c>
      <c r="B1230" s="69" t="s">
        <v>194</v>
      </c>
      <c r="D1230" s="37"/>
      <c r="E1230" t="s">
        <v>592</v>
      </c>
    </row>
    <row r="1231" spans="1:5" x14ac:dyDescent="0.35">
      <c r="A1231" t="s">
        <v>274</v>
      </c>
      <c r="B1231" s="69" t="s">
        <v>144</v>
      </c>
      <c r="D1231" s="37"/>
      <c r="E1231" t="s">
        <v>592</v>
      </c>
    </row>
    <row r="1232" spans="1:5" x14ac:dyDescent="0.35">
      <c r="A1232" t="s">
        <v>274</v>
      </c>
      <c r="B1232" s="69" t="s">
        <v>145</v>
      </c>
      <c r="D1232" s="37"/>
      <c r="E1232" t="s">
        <v>592</v>
      </c>
    </row>
    <row r="1233" spans="1:5" x14ac:dyDescent="0.35">
      <c r="A1233" t="s">
        <v>274</v>
      </c>
      <c r="B1233" s="69" t="s">
        <v>146</v>
      </c>
      <c r="D1233" s="37"/>
      <c r="E1233" t="s">
        <v>592</v>
      </c>
    </row>
    <row r="1234" spans="1:5" x14ac:dyDescent="0.35">
      <c r="A1234" t="s">
        <v>274</v>
      </c>
      <c r="B1234" s="69" t="s">
        <v>147</v>
      </c>
      <c r="D1234" s="37"/>
      <c r="E1234" t="s">
        <v>592</v>
      </c>
    </row>
    <row r="1235" spans="1:5" x14ac:dyDescent="0.35">
      <c r="A1235" t="s">
        <v>275</v>
      </c>
      <c r="B1235" s="69" t="s">
        <v>299</v>
      </c>
      <c r="C1235">
        <v>4988</v>
      </c>
      <c r="D1235" s="37">
        <v>3.9281395348837211</v>
      </c>
      <c r="E1235" t="s">
        <v>592</v>
      </c>
    </row>
    <row r="1236" spans="1:5" x14ac:dyDescent="0.35">
      <c r="A1236" t="s">
        <v>275</v>
      </c>
      <c r="B1236" t="s">
        <v>445</v>
      </c>
      <c r="D1236" s="37"/>
      <c r="E1236" t="s">
        <v>592</v>
      </c>
    </row>
    <row r="1237" spans="1:5" x14ac:dyDescent="0.35">
      <c r="A1237" t="s">
        <v>275</v>
      </c>
      <c r="B1237" s="69" t="s">
        <v>189</v>
      </c>
      <c r="D1237" s="37"/>
      <c r="E1237" t="s">
        <v>592</v>
      </c>
    </row>
    <row r="1238" spans="1:5" x14ac:dyDescent="0.35">
      <c r="A1238" t="s">
        <v>275</v>
      </c>
      <c r="B1238" s="69" t="s">
        <v>190</v>
      </c>
      <c r="D1238" s="37"/>
      <c r="E1238" t="s">
        <v>592</v>
      </c>
    </row>
    <row r="1239" spans="1:5" x14ac:dyDescent="0.35">
      <c r="A1239" t="s">
        <v>275</v>
      </c>
      <c r="B1239" s="69" t="s">
        <v>301</v>
      </c>
      <c r="C1239">
        <v>1940.34</v>
      </c>
      <c r="D1239" s="37">
        <v>4.7143078017254716</v>
      </c>
      <c r="E1239" t="s">
        <v>592</v>
      </c>
    </row>
    <row r="1240" spans="1:5" x14ac:dyDescent="0.35">
      <c r="A1240" t="s">
        <v>275</v>
      </c>
      <c r="B1240" t="s">
        <v>446</v>
      </c>
      <c r="D1240" s="37"/>
      <c r="E1240" t="s">
        <v>592</v>
      </c>
    </row>
    <row r="1241" spans="1:5" x14ac:dyDescent="0.35">
      <c r="A1241" t="s">
        <v>275</v>
      </c>
      <c r="B1241" s="69" t="s">
        <v>40</v>
      </c>
      <c r="D1241" s="37"/>
      <c r="E1241" t="s">
        <v>592</v>
      </c>
    </row>
    <row r="1242" spans="1:5" x14ac:dyDescent="0.35">
      <c r="A1242" t="s">
        <v>275</v>
      </c>
      <c r="B1242" s="69" t="s">
        <v>303</v>
      </c>
      <c r="D1242" s="37"/>
      <c r="E1242" t="s">
        <v>592</v>
      </c>
    </row>
    <row r="1243" spans="1:5" x14ac:dyDescent="0.35">
      <c r="A1243" t="s">
        <v>275</v>
      </c>
      <c r="B1243" s="69" t="s">
        <v>199</v>
      </c>
      <c r="D1243" s="37"/>
      <c r="E1243" t="s">
        <v>592</v>
      </c>
    </row>
    <row r="1244" spans="1:5" x14ac:dyDescent="0.35">
      <c r="A1244" t="s">
        <v>275</v>
      </c>
      <c r="B1244" s="69" t="s">
        <v>194</v>
      </c>
      <c r="D1244" s="37"/>
      <c r="E1244" t="s">
        <v>592</v>
      </c>
    </row>
    <row r="1245" spans="1:5" x14ac:dyDescent="0.35">
      <c r="A1245" t="s">
        <v>275</v>
      </c>
      <c r="B1245" s="69" t="s">
        <v>144</v>
      </c>
      <c r="D1245" s="37"/>
      <c r="E1245" t="s">
        <v>592</v>
      </c>
    </row>
    <row r="1246" spans="1:5" x14ac:dyDescent="0.35">
      <c r="A1246" t="s">
        <v>275</v>
      </c>
      <c r="B1246" s="69" t="s">
        <v>145</v>
      </c>
      <c r="D1246" s="37"/>
      <c r="E1246" t="s">
        <v>592</v>
      </c>
    </row>
    <row r="1247" spans="1:5" x14ac:dyDescent="0.35">
      <c r="A1247" t="s">
        <v>275</v>
      </c>
      <c r="B1247" s="69" t="s">
        <v>146</v>
      </c>
      <c r="D1247" s="37"/>
      <c r="E1247" t="s">
        <v>592</v>
      </c>
    </row>
    <row r="1248" spans="1:5" x14ac:dyDescent="0.35">
      <c r="A1248" t="s">
        <v>275</v>
      </c>
      <c r="B1248" s="69" t="s">
        <v>147</v>
      </c>
      <c r="D1248" s="37"/>
      <c r="E1248" t="s">
        <v>592</v>
      </c>
    </row>
    <row r="1249" spans="1:5" x14ac:dyDescent="0.35">
      <c r="A1249" t="s">
        <v>276</v>
      </c>
      <c r="B1249" s="69" t="s">
        <v>299</v>
      </c>
      <c r="C1249">
        <v>17510.269999999997</v>
      </c>
      <c r="D1249" s="37">
        <v>3.4446910298927436</v>
      </c>
      <c r="E1249" t="s">
        <v>592</v>
      </c>
    </row>
    <row r="1250" spans="1:5" x14ac:dyDescent="0.35">
      <c r="A1250" t="s">
        <v>276</v>
      </c>
      <c r="B1250" t="s">
        <v>445</v>
      </c>
      <c r="D1250" s="37"/>
      <c r="E1250" t="s">
        <v>592</v>
      </c>
    </row>
    <row r="1251" spans="1:5" x14ac:dyDescent="0.35">
      <c r="A1251" t="s">
        <v>276</v>
      </c>
      <c r="B1251" s="69" t="s">
        <v>189</v>
      </c>
      <c r="D1251" s="37"/>
      <c r="E1251" t="s">
        <v>592</v>
      </c>
    </row>
    <row r="1252" spans="1:5" x14ac:dyDescent="0.35">
      <c r="A1252" t="s">
        <v>276</v>
      </c>
      <c r="B1252" s="69" t="s">
        <v>190</v>
      </c>
      <c r="D1252" s="37"/>
      <c r="E1252" t="s">
        <v>592</v>
      </c>
    </row>
    <row r="1253" spans="1:5" x14ac:dyDescent="0.35">
      <c r="A1253" t="s">
        <v>276</v>
      </c>
      <c r="B1253" s="69" t="s">
        <v>301</v>
      </c>
      <c r="C1253">
        <v>11791</v>
      </c>
      <c r="D1253" s="37">
        <v>3.3000008481044865</v>
      </c>
      <c r="E1253" t="s">
        <v>592</v>
      </c>
    </row>
    <row r="1254" spans="1:5" x14ac:dyDescent="0.35">
      <c r="A1254" t="s">
        <v>276</v>
      </c>
      <c r="B1254" t="s">
        <v>446</v>
      </c>
      <c r="D1254" s="37"/>
      <c r="E1254" t="s">
        <v>592</v>
      </c>
    </row>
    <row r="1255" spans="1:5" x14ac:dyDescent="0.35">
      <c r="A1255" t="s">
        <v>276</v>
      </c>
      <c r="B1255" s="69" t="s">
        <v>40</v>
      </c>
      <c r="D1255" s="37"/>
      <c r="E1255" t="s">
        <v>592</v>
      </c>
    </row>
    <row r="1256" spans="1:5" x14ac:dyDescent="0.35">
      <c r="A1256" t="s">
        <v>276</v>
      </c>
      <c r="B1256" s="69" t="s">
        <v>303</v>
      </c>
      <c r="D1256" s="37"/>
      <c r="E1256" t="s">
        <v>592</v>
      </c>
    </row>
    <row r="1257" spans="1:5" x14ac:dyDescent="0.35">
      <c r="A1257" t="s">
        <v>276</v>
      </c>
      <c r="B1257" s="69" t="s">
        <v>199</v>
      </c>
      <c r="D1257" s="37"/>
      <c r="E1257" t="s">
        <v>592</v>
      </c>
    </row>
    <row r="1258" spans="1:5" x14ac:dyDescent="0.35">
      <c r="A1258" t="s">
        <v>276</v>
      </c>
      <c r="B1258" s="69" t="s">
        <v>194</v>
      </c>
      <c r="D1258" s="37"/>
      <c r="E1258" t="s">
        <v>592</v>
      </c>
    </row>
    <row r="1259" spans="1:5" x14ac:dyDescent="0.35">
      <c r="A1259" t="s">
        <v>276</v>
      </c>
      <c r="B1259" s="69" t="s">
        <v>144</v>
      </c>
      <c r="D1259" s="37"/>
      <c r="E1259" t="s">
        <v>592</v>
      </c>
    </row>
    <row r="1260" spans="1:5" x14ac:dyDescent="0.35">
      <c r="A1260" t="s">
        <v>276</v>
      </c>
      <c r="B1260" s="69" t="s">
        <v>145</v>
      </c>
      <c r="D1260" s="37"/>
      <c r="E1260" t="s">
        <v>592</v>
      </c>
    </row>
    <row r="1261" spans="1:5" x14ac:dyDescent="0.35">
      <c r="A1261" t="s">
        <v>276</v>
      </c>
      <c r="B1261" s="69" t="s">
        <v>146</v>
      </c>
      <c r="D1261" s="37"/>
      <c r="E1261" t="s">
        <v>592</v>
      </c>
    </row>
    <row r="1262" spans="1:5" x14ac:dyDescent="0.35">
      <c r="A1262" t="s">
        <v>276</v>
      </c>
      <c r="B1262" s="69" t="s">
        <v>147</v>
      </c>
      <c r="D1262" s="37"/>
      <c r="E1262" t="s">
        <v>592</v>
      </c>
    </row>
    <row r="1263" spans="1:5" x14ac:dyDescent="0.35">
      <c r="A1263" t="s">
        <v>277</v>
      </c>
      <c r="B1263" s="69" t="s">
        <v>299</v>
      </c>
      <c r="C1263">
        <v>24680.559999999998</v>
      </c>
      <c r="D1263" s="37">
        <v>3.4501939988395729</v>
      </c>
      <c r="E1263" t="s">
        <v>592</v>
      </c>
    </row>
    <row r="1264" spans="1:5" x14ac:dyDescent="0.35">
      <c r="A1264" t="s">
        <v>277</v>
      </c>
      <c r="B1264" t="s">
        <v>445</v>
      </c>
      <c r="C1264">
        <v>8062.7</v>
      </c>
      <c r="D1264" s="37">
        <v>5.0100003720837938</v>
      </c>
      <c r="E1264" t="s">
        <v>592</v>
      </c>
    </row>
    <row r="1265" spans="1:5" x14ac:dyDescent="0.35">
      <c r="A1265" t="s">
        <v>277</v>
      </c>
      <c r="B1265" s="69" t="s">
        <v>189</v>
      </c>
      <c r="D1265" s="37"/>
      <c r="E1265" t="s">
        <v>592</v>
      </c>
    </row>
    <row r="1266" spans="1:5" x14ac:dyDescent="0.35">
      <c r="A1266" t="s">
        <v>277</v>
      </c>
      <c r="B1266" s="69" t="s">
        <v>190</v>
      </c>
      <c r="D1266" s="37"/>
      <c r="E1266" t="s">
        <v>592</v>
      </c>
    </row>
    <row r="1267" spans="1:5" x14ac:dyDescent="0.35">
      <c r="A1267" t="s">
        <v>277</v>
      </c>
      <c r="B1267" s="69" t="s">
        <v>301</v>
      </c>
      <c r="C1267">
        <v>851.31</v>
      </c>
      <c r="D1267" s="37">
        <v>4.7199962410872658</v>
      </c>
      <c r="E1267" t="s">
        <v>592</v>
      </c>
    </row>
    <row r="1268" spans="1:5" x14ac:dyDescent="0.35">
      <c r="A1268" t="s">
        <v>277</v>
      </c>
      <c r="B1268" t="s">
        <v>446</v>
      </c>
      <c r="D1268" s="37"/>
      <c r="E1268" t="s">
        <v>592</v>
      </c>
    </row>
    <row r="1269" spans="1:5" x14ac:dyDescent="0.35">
      <c r="A1269" t="s">
        <v>277</v>
      </c>
      <c r="B1269" s="69" t="s">
        <v>40</v>
      </c>
      <c r="C1269">
        <v>18652.5</v>
      </c>
      <c r="D1269" s="37">
        <v>5.1899991958182552</v>
      </c>
      <c r="E1269" t="s">
        <v>592</v>
      </c>
    </row>
    <row r="1270" spans="1:5" x14ac:dyDescent="0.35">
      <c r="A1270" t="s">
        <v>277</v>
      </c>
      <c r="B1270" s="69" t="s">
        <v>303</v>
      </c>
      <c r="D1270" s="37"/>
      <c r="E1270" t="s">
        <v>592</v>
      </c>
    </row>
    <row r="1271" spans="1:5" x14ac:dyDescent="0.35">
      <c r="A1271" t="s">
        <v>277</v>
      </c>
      <c r="B1271" s="69" t="s">
        <v>199</v>
      </c>
      <c r="D1271" s="37"/>
      <c r="E1271" t="s">
        <v>592</v>
      </c>
    </row>
    <row r="1272" spans="1:5" x14ac:dyDescent="0.35">
      <c r="A1272" t="s">
        <v>277</v>
      </c>
      <c r="B1272" s="69" t="s">
        <v>194</v>
      </c>
      <c r="D1272" s="37"/>
      <c r="E1272" t="s">
        <v>592</v>
      </c>
    </row>
    <row r="1273" spans="1:5" x14ac:dyDescent="0.35">
      <c r="A1273" t="s">
        <v>277</v>
      </c>
      <c r="B1273" s="69" t="s">
        <v>144</v>
      </c>
      <c r="D1273" s="37"/>
      <c r="E1273" t="s">
        <v>592</v>
      </c>
    </row>
    <row r="1274" spans="1:5" x14ac:dyDescent="0.35">
      <c r="A1274" t="s">
        <v>277</v>
      </c>
      <c r="B1274" s="69" t="s">
        <v>145</v>
      </c>
      <c r="D1274" s="37"/>
      <c r="E1274" t="s">
        <v>592</v>
      </c>
    </row>
    <row r="1275" spans="1:5" x14ac:dyDescent="0.35">
      <c r="A1275" t="s">
        <v>277</v>
      </c>
      <c r="B1275" s="69" t="s">
        <v>146</v>
      </c>
      <c r="D1275" s="37"/>
      <c r="E1275" t="s">
        <v>592</v>
      </c>
    </row>
    <row r="1276" spans="1:5" x14ac:dyDescent="0.35">
      <c r="A1276" t="s">
        <v>277</v>
      </c>
      <c r="B1276" s="69" t="s">
        <v>147</v>
      </c>
      <c r="D1276" s="37"/>
      <c r="E1276" t="s">
        <v>592</v>
      </c>
    </row>
    <row r="1277" spans="1:5" x14ac:dyDescent="0.35">
      <c r="A1277" t="s">
        <v>278</v>
      </c>
      <c r="B1277" s="69" t="s">
        <v>299</v>
      </c>
      <c r="C1277">
        <v>13381.81</v>
      </c>
      <c r="D1277" s="37">
        <v>3.4959568249736019</v>
      </c>
      <c r="E1277" t="s">
        <v>592</v>
      </c>
    </row>
    <row r="1278" spans="1:5" x14ac:dyDescent="0.35">
      <c r="A1278" t="s">
        <v>278</v>
      </c>
      <c r="B1278" t="s">
        <v>445</v>
      </c>
      <c r="D1278" s="37"/>
      <c r="E1278" t="s">
        <v>592</v>
      </c>
    </row>
    <row r="1279" spans="1:5" x14ac:dyDescent="0.35">
      <c r="A1279" t="s">
        <v>278</v>
      </c>
      <c r="B1279" s="69" t="s">
        <v>189</v>
      </c>
      <c r="D1279" s="37"/>
      <c r="E1279" t="s">
        <v>592</v>
      </c>
    </row>
    <row r="1280" spans="1:5" x14ac:dyDescent="0.35">
      <c r="A1280" t="s">
        <v>278</v>
      </c>
      <c r="B1280" s="69" t="s">
        <v>190</v>
      </c>
      <c r="D1280" s="37"/>
      <c r="E1280" t="s">
        <v>592</v>
      </c>
    </row>
    <row r="1281" spans="1:5" x14ac:dyDescent="0.35">
      <c r="A1281" t="s">
        <v>278</v>
      </c>
      <c r="B1281" s="69" t="s">
        <v>301</v>
      </c>
      <c r="D1281" s="37"/>
      <c r="E1281" t="s">
        <v>592</v>
      </c>
    </row>
    <row r="1282" spans="1:5" x14ac:dyDescent="0.35">
      <c r="A1282" t="s">
        <v>278</v>
      </c>
      <c r="B1282" t="s">
        <v>446</v>
      </c>
      <c r="D1282" s="37"/>
      <c r="E1282" t="s">
        <v>592</v>
      </c>
    </row>
    <row r="1283" spans="1:5" x14ac:dyDescent="0.35">
      <c r="A1283" t="s">
        <v>278</v>
      </c>
      <c r="B1283" s="69" t="s">
        <v>40</v>
      </c>
      <c r="C1283">
        <v>6644</v>
      </c>
      <c r="D1283" s="37">
        <v>5.19</v>
      </c>
      <c r="E1283" t="s">
        <v>592</v>
      </c>
    </row>
    <row r="1284" spans="1:5" x14ac:dyDescent="0.35">
      <c r="A1284" t="s">
        <v>278</v>
      </c>
      <c r="B1284" s="69" t="s">
        <v>303</v>
      </c>
      <c r="D1284" s="37"/>
      <c r="E1284" t="s">
        <v>592</v>
      </c>
    </row>
    <row r="1285" spans="1:5" x14ac:dyDescent="0.35">
      <c r="A1285" t="s">
        <v>278</v>
      </c>
      <c r="B1285" s="69" t="s">
        <v>199</v>
      </c>
      <c r="D1285" s="37"/>
      <c r="E1285" t="s">
        <v>592</v>
      </c>
    </row>
    <row r="1286" spans="1:5" x14ac:dyDescent="0.35">
      <c r="A1286" t="s">
        <v>278</v>
      </c>
      <c r="B1286" s="69" t="s">
        <v>194</v>
      </c>
      <c r="D1286" s="37"/>
      <c r="E1286" t="s">
        <v>592</v>
      </c>
    </row>
    <row r="1287" spans="1:5" x14ac:dyDescent="0.35">
      <c r="A1287" t="s">
        <v>278</v>
      </c>
      <c r="B1287" s="69" t="s">
        <v>144</v>
      </c>
      <c r="D1287" s="37"/>
      <c r="E1287" t="s">
        <v>592</v>
      </c>
    </row>
    <row r="1288" spans="1:5" x14ac:dyDescent="0.35">
      <c r="A1288" t="s">
        <v>278</v>
      </c>
      <c r="B1288" s="69" t="s">
        <v>145</v>
      </c>
      <c r="D1288" s="37"/>
      <c r="E1288" t="s">
        <v>592</v>
      </c>
    </row>
    <row r="1289" spans="1:5" x14ac:dyDescent="0.35">
      <c r="A1289" t="s">
        <v>278</v>
      </c>
      <c r="B1289" s="69" t="s">
        <v>146</v>
      </c>
      <c r="D1289" s="37"/>
      <c r="E1289" t="s">
        <v>592</v>
      </c>
    </row>
    <row r="1290" spans="1:5" x14ac:dyDescent="0.35">
      <c r="A1290" t="s">
        <v>278</v>
      </c>
      <c r="B1290" s="69" t="s">
        <v>147</v>
      </c>
      <c r="D1290" s="37"/>
      <c r="E1290" t="s">
        <v>592</v>
      </c>
    </row>
    <row r="1291" spans="1:5" x14ac:dyDescent="0.35">
      <c r="A1291" t="s">
        <v>279</v>
      </c>
      <c r="B1291" s="69" t="s">
        <v>299</v>
      </c>
      <c r="C1291">
        <v>16931.3</v>
      </c>
      <c r="D1291" s="37">
        <v>3.4</v>
      </c>
      <c r="E1291" t="s">
        <v>592</v>
      </c>
    </row>
    <row r="1292" spans="1:5" x14ac:dyDescent="0.35">
      <c r="A1292" t="s">
        <v>279</v>
      </c>
      <c r="B1292" t="s">
        <v>445</v>
      </c>
      <c r="D1292" s="37"/>
      <c r="E1292" t="s">
        <v>592</v>
      </c>
    </row>
    <row r="1293" spans="1:5" x14ac:dyDescent="0.35">
      <c r="A1293" t="s">
        <v>279</v>
      </c>
      <c r="B1293" s="69" t="s">
        <v>189</v>
      </c>
      <c r="D1293" s="37"/>
      <c r="E1293" t="s">
        <v>592</v>
      </c>
    </row>
    <row r="1294" spans="1:5" x14ac:dyDescent="0.35">
      <c r="A1294" t="s">
        <v>279</v>
      </c>
      <c r="B1294" s="69" t="s">
        <v>190</v>
      </c>
      <c r="D1294" s="37"/>
      <c r="E1294" t="s">
        <v>592</v>
      </c>
    </row>
    <row r="1295" spans="1:5" x14ac:dyDescent="0.35">
      <c r="A1295" t="s">
        <v>279</v>
      </c>
      <c r="B1295" s="69" t="s">
        <v>301</v>
      </c>
      <c r="C1295">
        <v>13372.43</v>
      </c>
      <c r="D1295" s="37">
        <v>3.0999997756578273</v>
      </c>
      <c r="E1295" t="s">
        <v>592</v>
      </c>
    </row>
    <row r="1296" spans="1:5" x14ac:dyDescent="0.35">
      <c r="A1296" t="s">
        <v>279</v>
      </c>
      <c r="B1296" t="s">
        <v>446</v>
      </c>
      <c r="D1296" s="37"/>
      <c r="E1296" t="s">
        <v>592</v>
      </c>
    </row>
    <row r="1297" spans="1:6" x14ac:dyDescent="0.35">
      <c r="A1297" t="s">
        <v>279</v>
      </c>
      <c r="B1297" s="69" t="s">
        <v>40</v>
      </c>
      <c r="C1297">
        <v>9855.4700000000012</v>
      </c>
      <c r="D1297" s="37">
        <v>5.2330015717160103</v>
      </c>
      <c r="E1297" t="s">
        <v>592</v>
      </c>
    </row>
    <row r="1298" spans="1:6" x14ac:dyDescent="0.35">
      <c r="A1298" t="s">
        <v>279</v>
      </c>
      <c r="B1298" s="69" t="s">
        <v>303</v>
      </c>
      <c r="D1298" s="37"/>
      <c r="E1298" t="s">
        <v>592</v>
      </c>
    </row>
    <row r="1299" spans="1:6" x14ac:dyDescent="0.35">
      <c r="A1299" t="s">
        <v>279</v>
      </c>
      <c r="B1299" s="69" t="s">
        <v>199</v>
      </c>
      <c r="D1299" s="37"/>
      <c r="E1299" t="s">
        <v>592</v>
      </c>
    </row>
    <row r="1300" spans="1:6" x14ac:dyDescent="0.35">
      <c r="A1300" t="s">
        <v>279</v>
      </c>
      <c r="B1300" s="69" t="s">
        <v>194</v>
      </c>
      <c r="D1300" s="37"/>
      <c r="E1300" t="s">
        <v>592</v>
      </c>
    </row>
    <row r="1301" spans="1:6" x14ac:dyDescent="0.35">
      <c r="A1301" t="s">
        <v>279</v>
      </c>
      <c r="B1301" s="69" t="s">
        <v>144</v>
      </c>
      <c r="D1301" s="37"/>
      <c r="E1301" t="s">
        <v>592</v>
      </c>
    </row>
    <row r="1302" spans="1:6" x14ac:dyDescent="0.35">
      <c r="A1302" t="s">
        <v>279</v>
      </c>
      <c r="B1302" s="69" t="s">
        <v>145</v>
      </c>
      <c r="D1302" s="37"/>
      <c r="E1302" t="s">
        <v>592</v>
      </c>
    </row>
    <row r="1303" spans="1:6" x14ac:dyDescent="0.35">
      <c r="A1303" t="s">
        <v>279</v>
      </c>
      <c r="B1303" s="69" t="s">
        <v>146</v>
      </c>
      <c r="D1303" s="37"/>
      <c r="E1303" t="s">
        <v>592</v>
      </c>
    </row>
    <row r="1304" spans="1:6" x14ac:dyDescent="0.35">
      <c r="A1304" t="s">
        <v>279</v>
      </c>
      <c r="B1304" s="69" t="s">
        <v>147</v>
      </c>
      <c r="D1304" s="37"/>
      <c r="E1304" t="s">
        <v>592</v>
      </c>
    </row>
    <row r="1305" spans="1:6" x14ac:dyDescent="0.35">
      <c r="A1305" t="s">
        <v>280</v>
      </c>
      <c r="B1305" s="69" t="s">
        <v>299</v>
      </c>
      <c r="C1305">
        <v>644.17999999999995</v>
      </c>
      <c r="D1305" s="37">
        <v>4.6759911825887182</v>
      </c>
      <c r="E1305" t="s">
        <v>592</v>
      </c>
      <c r="F1305" t="s">
        <v>625</v>
      </c>
    </row>
    <row r="1306" spans="1:6" x14ac:dyDescent="0.35">
      <c r="A1306" t="s">
        <v>280</v>
      </c>
      <c r="B1306" t="s">
        <v>445</v>
      </c>
      <c r="D1306" s="37"/>
      <c r="E1306" t="s">
        <v>592</v>
      </c>
    </row>
    <row r="1307" spans="1:6" x14ac:dyDescent="0.35">
      <c r="A1307" t="s">
        <v>280</v>
      </c>
      <c r="B1307" s="69" t="s">
        <v>189</v>
      </c>
      <c r="D1307" s="37"/>
      <c r="E1307" t="s">
        <v>592</v>
      </c>
    </row>
    <row r="1308" spans="1:6" x14ac:dyDescent="0.35">
      <c r="A1308" t="s">
        <v>280</v>
      </c>
      <c r="B1308" s="69" t="s">
        <v>190</v>
      </c>
      <c r="D1308" s="37"/>
      <c r="E1308" t="s">
        <v>592</v>
      </c>
    </row>
    <row r="1309" spans="1:6" x14ac:dyDescent="0.35">
      <c r="A1309" t="s">
        <v>280</v>
      </c>
      <c r="B1309" s="69" t="s">
        <v>301</v>
      </c>
      <c r="C1309">
        <v>-176</v>
      </c>
      <c r="D1309" s="37">
        <v>4.7</v>
      </c>
      <c r="E1309" t="s">
        <v>592</v>
      </c>
      <c r="F1309" t="s">
        <v>625</v>
      </c>
    </row>
    <row r="1310" spans="1:6" x14ac:dyDescent="0.35">
      <c r="A1310" t="s">
        <v>280</v>
      </c>
      <c r="B1310" t="s">
        <v>446</v>
      </c>
      <c r="D1310" s="37"/>
    </row>
    <row r="1311" spans="1:6" x14ac:dyDescent="0.35">
      <c r="A1311" t="s">
        <v>280</v>
      </c>
      <c r="B1311" s="69" t="s">
        <v>40</v>
      </c>
      <c r="D1311" s="37"/>
    </row>
    <row r="1312" spans="1:6" x14ac:dyDescent="0.35">
      <c r="A1312" t="s">
        <v>280</v>
      </c>
      <c r="B1312" s="69" t="s">
        <v>303</v>
      </c>
      <c r="D1312" s="37"/>
    </row>
    <row r="1313" spans="1:4" x14ac:dyDescent="0.35">
      <c r="A1313" t="s">
        <v>280</v>
      </c>
      <c r="B1313" s="69" t="s">
        <v>199</v>
      </c>
      <c r="D1313" s="37"/>
    </row>
    <row r="1314" spans="1:4" x14ac:dyDescent="0.35">
      <c r="A1314" t="s">
        <v>280</v>
      </c>
      <c r="B1314" s="69" t="s">
        <v>194</v>
      </c>
      <c r="D1314" s="37"/>
    </row>
    <row r="1315" spans="1:4" x14ac:dyDescent="0.35">
      <c r="A1315" t="s">
        <v>280</v>
      </c>
      <c r="B1315" s="69" t="s">
        <v>144</v>
      </c>
      <c r="D1315" s="37"/>
    </row>
    <row r="1316" spans="1:4" x14ac:dyDescent="0.35">
      <c r="A1316" t="s">
        <v>280</v>
      </c>
      <c r="B1316" s="69" t="s">
        <v>145</v>
      </c>
      <c r="D1316" s="37"/>
    </row>
    <row r="1317" spans="1:4" x14ac:dyDescent="0.35">
      <c r="A1317" t="s">
        <v>280</v>
      </c>
      <c r="B1317" s="69" t="s">
        <v>146</v>
      </c>
      <c r="D1317" s="37"/>
    </row>
    <row r="1318" spans="1:4" x14ac:dyDescent="0.35">
      <c r="A1318" t="s">
        <v>280</v>
      </c>
      <c r="B1318" s="69" t="s">
        <v>147</v>
      </c>
      <c r="D1318" s="37"/>
    </row>
    <row r="1319" spans="1:4" x14ac:dyDescent="0.35">
      <c r="A1319" t="s">
        <v>281</v>
      </c>
      <c r="B1319" s="69" t="s">
        <v>299</v>
      </c>
      <c r="D1319" s="37"/>
    </row>
    <row r="1320" spans="1:4" x14ac:dyDescent="0.35">
      <c r="A1320" t="s">
        <v>281</v>
      </c>
      <c r="B1320" t="s">
        <v>445</v>
      </c>
      <c r="D1320" s="37"/>
    </row>
    <row r="1321" spans="1:4" x14ac:dyDescent="0.35">
      <c r="A1321" t="s">
        <v>281</v>
      </c>
      <c r="B1321" s="69" t="s">
        <v>189</v>
      </c>
      <c r="D1321" s="37"/>
    </row>
    <row r="1322" spans="1:4" x14ac:dyDescent="0.35">
      <c r="A1322" t="s">
        <v>281</v>
      </c>
      <c r="B1322" s="69" t="s">
        <v>190</v>
      </c>
      <c r="D1322" s="37"/>
    </row>
    <row r="1323" spans="1:4" x14ac:dyDescent="0.35">
      <c r="A1323" t="s">
        <v>281</v>
      </c>
      <c r="B1323" s="69" t="s">
        <v>301</v>
      </c>
      <c r="D1323" s="37"/>
    </row>
    <row r="1324" spans="1:4" x14ac:dyDescent="0.35">
      <c r="A1324" t="s">
        <v>281</v>
      </c>
      <c r="B1324" t="s">
        <v>446</v>
      </c>
      <c r="D1324" s="37"/>
    </row>
    <row r="1325" spans="1:4" x14ac:dyDescent="0.35">
      <c r="A1325" t="s">
        <v>281</v>
      </c>
      <c r="B1325" s="69" t="s">
        <v>40</v>
      </c>
      <c r="D1325" s="37"/>
    </row>
    <row r="1326" spans="1:4" x14ac:dyDescent="0.35">
      <c r="A1326" t="s">
        <v>281</v>
      </c>
      <c r="B1326" s="69" t="s">
        <v>303</v>
      </c>
      <c r="D1326" s="37"/>
    </row>
    <row r="1327" spans="1:4" x14ac:dyDescent="0.35">
      <c r="A1327" t="s">
        <v>281</v>
      </c>
      <c r="B1327" s="69" t="s">
        <v>199</v>
      </c>
      <c r="D1327" s="37"/>
    </row>
    <row r="1328" spans="1:4" x14ac:dyDescent="0.35">
      <c r="A1328" t="s">
        <v>281</v>
      </c>
      <c r="B1328" s="69" t="s">
        <v>194</v>
      </c>
      <c r="D1328" s="37"/>
    </row>
    <row r="1329" spans="1:4" x14ac:dyDescent="0.35">
      <c r="A1329" t="s">
        <v>281</v>
      </c>
      <c r="B1329" s="69" t="s">
        <v>144</v>
      </c>
      <c r="D1329" s="37"/>
    </row>
    <row r="1330" spans="1:4" x14ac:dyDescent="0.35">
      <c r="A1330" t="s">
        <v>281</v>
      </c>
      <c r="B1330" s="69" t="s">
        <v>145</v>
      </c>
      <c r="D1330" s="37"/>
    </row>
    <row r="1331" spans="1:4" x14ac:dyDescent="0.35">
      <c r="A1331" t="s">
        <v>281</v>
      </c>
      <c r="B1331" s="69" t="s">
        <v>146</v>
      </c>
      <c r="D1331" s="37"/>
    </row>
    <row r="1332" spans="1:4" x14ac:dyDescent="0.35">
      <c r="A1332" t="s">
        <v>281</v>
      </c>
      <c r="B1332" s="69" t="s">
        <v>147</v>
      </c>
      <c r="D1332" s="37"/>
    </row>
    <row r="1333" spans="1:4" x14ac:dyDescent="0.35">
      <c r="A1333" t="s">
        <v>282</v>
      </c>
      <c r="B1333" s="69" t="s">
        <v>299</v>
      </c>
      <c r="D1333" s="37"/>
    </row>
    <row r="1334" spans="1:4" x14ac:dyDescent="0.35">
      <c r="A1334" t="s">
        <v>282</v>
      </c>
      <c r="B1334" t="s">
        <v>445</v>
      </c>
      <c r="D1334" s="37"/>
    </row>
    <row r="1335" spans="1:4" x14ac:dyDescent="0.35">
      <c r="A1335" t="s">
        <v>282</v>
      </c>
      <c r="B1335" s="69" t="s">
        <v>189</v>
      </c>
      <c r="D1335" s="37"/>
    </row>
    <row r="1336" spans="1:4" x14ac:dyDescent="0.35">
      <c r="A1336" t="s">
        <v>282</v>
      </c>
      <c r="B1336" s="69" t="s">
        <v>190</v>
      </c>
      <c r="D1336" s="37"/>
    </row>
    <row r="1337" spans="1:4" x14ac:dyDescent="0.35">
      <c r="A1337" t="s">
        <v>282</v>
      </c>
      <c r="B1337" s="69" t="s">
        <v>301</v>
      </c>
      <c r="D1337" s="37"/>
    </row>
    <row r="1338" spans="1:4" x14ac:dyDescent="0.35">
      <c r="A1338" t="s">
        <v>282</v>
      </c>
      <c r="B1338" t="s">
        <v>446</v>
      </c>
      <c r="D1338" s="37"/>
    </row>
    <row r="1339" spans="1:4" x14ac:dyDescent="0.35">
      <c r="A1339" t="s">
        <v>282</v>
      </c>
      <c r="B1339" s="69" t="s">
        <v>40</v>
      </c>
      <c r="D1339" s="37"/>
    </row>
    <row r="1340" spans="1:4" x14ac:dyDescent="0.35">
      <c r="A1340" t="s">
        <v>282</v>
      </c>
      <c r="B1340" s="69" t="s">
        <v>303</v>
      </c>
      <c r="D1340" s="37"/>
    </row>
    <row r="1341" spans="1:4" x14ac:dyDescent="0.35">
      <c r="A1341" t="s">
        <v>282</v>
      </c>
      <c r="B1341" s="69" t="s">
        <v>199</v>
      </c>
      <c r="D1341" s="37"/>
    </row>
    <row r="1342" spans="1:4" x14ac:dyDescent="0.35">
      <c r="A1342" t="s">
        <v>282</v>
      </c>
      <c r="B1342" s="69" t="s">
        <v>194</v>
      </c>
      <c r="D1342" s="37"/>
    </row>
    <row r="1343" spans="1:4" x14ac:dyDescent="0.35">
      <c r="A1343" t="s">
        <v>282</v>
      </c>
      <c r="B1343" s="69" t="s">
        <v>144</v>
      </c>
      <c r="D1343" s="37"/>
    </row>
    <row r="1344" spans="1:4" x14ac:dyDescent="0.35">
      <c r="A1344" t="s">
        <v>282</v>
      </c>
      <c r="B1344" s="69" t="s">
        <v>145</v>
      </c>
      <c r="D1344" s="37"/>
    </row>
    <row r="1345" spans="1:4" x14ac:dyDescent="0.35">
      <c r="A1345" t="s">
        <v>282</v>
      </c>
      <c r="B1345" s="69" t="s">
        <v>146</v>
      </c>
      <c r="D1345" s="37"/>
    </row>
    <row r="1346" spans="1:4" x14ac:dyDescent="0.35">
      <c r="A1346" t="s">
        <v>282</v>
      </c>
      <c r="B1346" s="69" t="s">
        <v>147</v>
      </c>
      <c r="D1346" s="37"/>
    </row>
    <row r="1347" spans="1:4" x14ac:dyDescent="0.35">
      <c r="A1347" t="s">
        <v>283</v>
      </c>
      <c r="B1347" s="69" t="s">
        <v>299</v>
      </c>
      <c r="D1347" s="37"/>
    </row>
    <row r="1348" spans="1:4" x14ac:dyDescent="0.35">
      <c r="A1348" t="s">
        <v>283</v>
      </c>
      <c r="B1348" t="s">
        <v>445</v>
      </c>
      <c r="D1348" s="37"/>
    </row>
    <row r="1349" spans="1:4" x14ac:dyDescent="0.35">
      <c r="A1349" t="s">
        <v>283</v>
      </c>
      <c r="B1349" s="69" t="s">
        <v>189</v>
      </c>
      <c r="D1349" s="37"/>
    </row>
    <row r="1350" spans="1:4" x14ac:dyDescent="0.35">
      <c r="A1350" t="s">
        <v>283</v>
      </c>
      <c r="B1350" s="69" t="s">
        <v>190</v>
      </c>
      <c r="D1350" s="37"/>
    </row>
    <row r="1351" spans="1:4" x14ac:dyDescent="0.35">
      <c r="A1351" t="s">
        <v>283</v>
      </c>
      <c r="B1351" s="69" t="s">
        <v>301</v>
      </c>
      <c r="D1351" s="37"/>
    </row>
    <row r="1352" spans="1:4" x14ac:dyDescent="0.35">
      <c r="A1352" t="s">
        <v>283</v>
      </c>
      <c r="B1352" t="s">
        <v>446</v>
      </c>
      <c r="D1352" s="37"/>
    </row>
    <row r="1353" spans="1:4" x14ac:dyDescent="0.35">
      <c r="A1353" t="s">
        <v>283</v>
      </c>
      <c r="B1353" s="69" t="s">
        <v>40</v>
      </c>
      <c r="D1353" s="37"/>
    </row>
    <row r="1354" spans="1:4" x14ac:dyDescent="0.35">
      <c r="A1354" t="s">
        <v>283</v>
      </c>
      <c r="B1354" s="69" t="s">
        <v>303</v>
      </c>
      <c r="D1354" s="37"/>
    </row>
    <row r="1355" spans="1:4" x14ac:dyDescent="0.35">
      <c r="A1355" t="s">
        <v>283</v>
      </c>
      <c r="B1355" s="69" t="s">
        <v>199</v>
      </c>
      <c r="D1355" s="37"/>
    </row>
    <row r="1356" spans="1:4" x14ac:dyDescent="0.35">
      <c r="A1356" t="s">
        <v>283</v>
      </c>
      <c r="B1356" s="69" t="s">
        <v>194</v>
      </c>
      <c r="D1356" s="37"/>
    </row>
    <row r="1357" spans="1:4" x14ac:dyDescent="0.35">
      <c r="A1357" t="s">
        <v>283</v>
      </c>
      <c r="B1357" s="69" t="s">
        <v>144</v>
      </c>
      <c r="D1357" s="37"/>
    </row>
    <row r="1358" spans="1:4" x14ac:dyDescent="0.35">
      <c r="A1358" t="s">
        <v>283</v>
      </c>
      <c r="B1358" s="69" t="s">
        <v>145</v>
      </c>
      <c r="D1358" s="37"/>
    </row>
    <row r="1359" spans="1:4" x14ac:dyDescent="0.35">
      <c r="A1359" t="s">
        <v>283</v>
      </c>
      <c r="B1359" s="69" t="s">
        <v>146</v>
      </c>
      <c r="D1359" s="37"/>
    </row>
    <row r="1360" spans="1:4" x14ac:dyDescent="0.35">
      <c r="A1360" t="s">
        <v>283</v>
      </c>
      <c r="B1360" s="69" t="s">
        <v>147</v>
      </c>
      <c r="D1360" s="37"/>
    </row>
    <row r="1361" spans="1:4" x14ac:dyDescent="0.35">
      <c r="A1361" t="s">
        <v>284</v>
      </c>
      <c r="B1361" s="69" t="s">
        <v>299</v>
      </c>
      <c r="D1361" s="37"/>
    </row>
    <row r="1362" spans="1:4" x14ac:dyDescent="0.35">
      <c r="A1362" t="s">
        <v>284</v>
      </c>
      <c r="B1362" t="s">
        <v>445</v>
      </c>
      <c r="D1362" s="37"/>
    </row>
    <row r="1363" spans="1:4" x14ac:dyDescent="0.35">
      <c r="A1363" t="s">
        <v>284</v>
      </c>
      <c r="B1363" s="69" t="s">
        <v>189</v>
      </c>
      <c r="D1363" s="37"/>
    </row>
    <row r="1364" spans="1:4" x14ac:dyDescent="0.35">
      <c r="A1364" t="s">
        <v>284</v>
      </c>
      <c r="B1364" s="69" t="s">
        <v>190</v>
      </c>
      <c r="D1364" s="37"/>
    </row>
    <row r="1365" spans="1:4" x14ac:dyDescent="0.35">
      <c r="A1365" t="s">
        <v>284</v>
      </c>
      <c r="B1365" s="69" t="s">
        <v>301</v>
      </c>
      <c r="D1365" s="37"/>
    </row>
    <row r="1366" spans="1:4" x14ac:dyDescent="0.35">
      <c r="A1366" t="s">
        <v>284</v>
      </c>
      <c r="B1366" t="s">
        <v>446</v>
      </c>
      <c r="D1366" s="37"/>
    </row>
    <row r="1367" spans="1:4" x14ac:dyDescent="0.35">
      <c r="A1367" t="s">
        <v>284</v>
      </c>
      <c r="B1367" s="69" t="s">
        <v>40</v>
      </c>
      <c r="D1367" s="37"/>
    </row>
    <row r="1368" spans="1:4" x14ac:dyDescent="0.35">
      <c r="A1368" t="s">
        <v>284</v>
      </c>
      <c r="B1368" s="69" t="s">
        <v>303</v>
      </c>
      <c r="D1368" s="37"/>
    </row>
    <row r="1369" spans="1:4" x14ac:dyDescent="0.35">
      <c r="A1369" t="s">
        <v>284</v>
      </c>
      <c r="B1369" s="69" t="s">
        <v>199</v>
      </c>
      <c r="D1369" s="37"/>
    </row>
    <row r="1370" spans="1:4" x14ac:dyDescent="0.35">
      <c r="A1370" t="s">
        <v>284</v>
      </c>
      <c r="B1370" s="69" t="s">
        <v>194</v>
      </c>
      <c r="D1370" s="37"/>
    </row>
    <row r="1371" spans="1:4" x14ac:dyDescent="0.35">
      <c r="A1371" t="s">
        <v>284</v>
      </c>
      <c r="B1371" s="69" t="s">
        <v>144</v>
      </c>
      <c r="D1371" s="37"/>
    </row>
    <row r="1372" spans="1:4" x14ac:dyDescent="0.35">
      <c r="A1372" t="s">
        <v>284</v>
      </c>
      <c r="B1372" s="69" t="s">
        <v>145</v>
      </c>
      <c r="D1372" s="37"/>
    </row>
    <row r="1373" spans="1:4" x14ac:dyDescent="0.35">
      <c r="A1373" t="s">
        <v>284</v>
      </c>
      <c r="B1373" s="69" t="s">
        <v>146</v>
      </c>
      <c r="D1373" s="37"/>
    </row>
    <row r="1374" spans="1:4" x14ac:dyDescent="0.35">
      <c r="A1374" t="s">
        <v>284</v>
      </c>
      <c r="B1374" s="69" t="s">
        <v>147</v>
      </c>
      <c r="D1374" s="37"/>
    </row>
    <row r="1375" spans="1:4" x14ac:dyDescent="0.35">
      <c r="A1375" t="s">
        <v>285</v>
      </c>
      <c r="B1375" s="69" t="s">
        <v>299</v>
      </c>
      <c r="D1375" s="37"/>
    </row>
    <row r="1376" spans="1:4" x14ac:dyDescent="0.35">
      <c r="A1376" t="s">
        <v>285</v>
      </c>
      <c r="B1376" t="s">
        <v>445</v>
      </c>
      <c r="D1376" s="37"/>
    </row>
    <row r="1377" spans="1:4" x14ac:dyDescent="0.35">
      <c r="A1377" t="s">
        <v>285</v>
      </c>
      <c r="B1377" s="69" t="s">
        <v>189</v>
      </c>
      <c r="D1377" s="37"/>
    </row>
    <row r="1378" spans="1:4" x14ac:dyDescent="0.35">
      <c r="A1378" t="s">
        <v>285</v>
      </c>
      <c r="B1378" s="69" t="s">
        <v>190</v>
      </c>
      <c r="D1378" s="37"/>
    </row>
    <row r="1379" spans="1:4" x14ac:dyDescent="0.35">
      <c r="A1379" t="s">
        <v>285</v>
      </c>
      <c r="B1379" s="69" t="s">
        <v>301</v>
      </c>
      <c r="D1379" s="37"/>
    </row>
    <row r="1380" spans="1:4" x14ac:dyDescent="0.35">
      <c r="A1380" t="s">
        <v>285</v>
      </c>
      <c r="B1380" t="s">
        <v>446</v>
      </c>
      <c r="D1380" s="37"/>
    </row>
    <row r="1381" spans="1:4" x14ac:dyDescent="0.35">
      <c r="A1381" t="s">
        <v>285</v>
      </c>
      <c r="B1381" s="69" t="s">
        <v>40</v>
      </c>
      <c r="D1381" s="37"/>
    </row>
    <row r="1382" spans="1:4" x14ac:dyDescent="0.35">
      <c r="A1382" t="s">
        <v>285</v>
      </c>
      <c r="B1382" s="69" t="s">
        <v>303</v>
      </c>
      <c r="D1382" s="37"/>
    </row>
    <row r="1383" spans="1:4" x14ac:dyDescent="0.35">
      <c r="A1383" t="s">
        <v>285</v>
      </c>
      <c r="B1383" s="69" t="s">
        <v>199</v>
      </c>
      <c r="D1383" s="37"/>
    </row>
    <row r="1384" spans="1:4" x14ac:dyDescent="0.35">
      <c r="A1384" t="s">
        <v>285</v>
      </c>
      <c r="B1384" s="69" t="s">
        <v>194</v>
      </c>
      <c r="D1384" s="37"/>
    </row>
    <row r="1385" spans="1:4" x14ac:dyDescent="0.35">
      <c r="A1385" t="s">
        <v>285</v>
      </c>
      <c r="B1385" s="69" t="s">
        <v>144</v>
      </c>
      <c r="D1385" s="37"/>
    </row>
    <row r="1386" spans="1:4" x14ac:dyDescent="0.35">
      <c r="A1386" t="s">
        <v>285</v>
      </c>
      <c r="B1386" s="69" t="s">
        <v>145</v>
      </c>
      <c r="D1386" s="37"/>
    </row>
    <row r="1387" spans="1:4" x14ac:dyDescent="0.35">
      <c r="A1387" t="s">
        <v>285</v>
      </c>
      <c r="B1387" s="69" t="s">
        <v>146</v>
      </c>
      <c r="D1387" s="37"/>
    </row>
    <row r="1388" spans="1:4" x14ac:dyDescent="0.35">
      <c r="A1388" t="s">
        <v>285</v>
      </c>
      <c r="B1388" s="69" t="s">
        <v>147</v>
      </c>
      <c r="D1388" s="37"/>
    </row>
    <row r="1389" spans="1:4" x14ac:dyDescent="0.35">
      <c r="A1389" t="s">
        <v>286</v>
      </c>
      <c r="B1389" s="69" t="s">
        <v>299</v>
      </c>
      <c r="D1389" s="37"/>
    </row>
    <row r="1390" spans="1:4" x14ac:dyDescent="0.35">
      <c r="A1390" t="s">
        <v>286</v>
      </c>
      <c r="B1390" t="s">
        <v>445</v>
      </c>
      <c r="D1390" s="37"/>
    </row>
    <row r="1391" spans="1:4" x14ac:dyDescent="0.35">
      <c r="A1391" t="s">
        <v>286</v>
      </c>
      <c r="B1391" s="69" t="s">
        <v>189</v>
      </c>
      <c r="D1391" s="37"/>
    </row>
    <row r="1392" spans="1:4" x14ac:dyDescent="0.35">
      <c r="A1392" t="s">
        <v>286</v>
      </c>
      <c r="B1392" s="69" t="s">
        <v>190</v>
      </c>
      <c r="D1392" s="37"/>
    </row>
    <row r="1393" spans="1:4" x14ac:dyDescent="0.35">
      <c r="A1393" t="s">
        <v>286</v>
      </c>
      <c r="B1393" s="69" t="s">
        <v>301</v>
      </c>
      <c r="D1393" s="37"/>
    </row>
    <row r="1394" spans="1:4" x14ac:dyDescent="0.35">
      <c r="A1394" t="s">
        <v>286</v>
      </c>
      <c r="B1394" t="s">
        <v>446</v>
      </c>
      <c r="D1394" s="37"/>
    </row>
    <row r="1395" spans="1:4" x14ac:dyDescent="0.35">
      <c r="A1395" t="s">
        <v>286</v>
      </c>
      <c r="B1395" s="69" t="s">
        <v>40</v>
      </c>
      <c r="D1395" s="37"/>
    </row>
    <row r="1396" spans="1:4" x14ac:dyDescent="0.35">
      <c r="A1396" t="s">
        <v>286</v>
      </c>
      <c r="B1396" s="69" t="s">
        <v>303</v>
      </c>
      <c r="D1396" s="37"/>
    </row>
    <row r="1397" spans="1:4" x14ac:dyDescent="0.35">
      <c r="A1397" t="s">
        <v>286</v>
      </c>
      <c r="B1397" s="69" t="s">
        <v>199</v>
      </c>
      <c r="D1397" s="37"/>
    </row>
    <row r="1398" spans="1:4" x14ac:dyDescent="0.35">
      <c r="A1398" t="s">
        <v>286</v>
      </c>
      <c r="B1398" s="69" t="s">
        <v>194</v>
      </c>
      <c r="D1398" s="37"/>
    </row>
    <row r="1399" spans="1:4" x14ac:dyDescent="0.35">
      <c r="A1399" t="s">
        <v>286</v>
      </c>
      <c r="B1399" s="69" t="s">
        <v>144</v>
      </c>
      <c r="D1399" s="37"/>
    </row>
    <row r="1400" spans="1:4" x14ac:dyDescent="0.35">
      <c r="A1400" t="s">
        <v>286</v>
      </c>
      <c r="B1400" s="69" t="s">
        <v>145</v>
      </c>
      <c r="D1400" s="37"/>
    </row>
    <row r="1401" spans="1:4" x14ac:dyDescent="0.35">
      <c r="A1401" t="s">
        <v>286</v>
      </c>
      <c r="B1401" s="69" t="s">
        <v>146</v>
      </c>
      <c r="D1401" s="37"/>
    </row>
    <row r="1402" spans="1:4" x14ac:dyDescent="0.35">
      <c r="A1402" t="s">
        <v>286</v>
      </c>
      <c r="B1402" s="69" t="s">
        <v>147</v>
      </c>
      <c r="D1402" s="37"/>
    </row>
    <row r="1403" spans="1:4" x14ac:dyDescent="0.35">
      <c r="A1403" t="s">
        <v>287</v>
      </c>
      <c r="B1403" s="69" t="s">
        <v>299</v>
      </c>
      <c r="D1403" s="37"/>
    </row>
    <row r="1404" spans="1:4" x14ac:dyDescent="0.35">
      <c r="A1404" t="s">
        <v>287</v>
      </c>
      <c r="B1404" t="s">
        <v>445</v>
      </c>
      <c r="D1404" s="37"/>
    </row>
    <row r="1405" spans="1:4" x14ac:dyDescent="0.35">
      <c r="A1405" t="s">
        <v>287</v>
      </c>
      <c r="B1405" s="69" t="s">
        <v>189</v>
      </c>
      <c r="D1405" s="37"/>
    </row>
    <row r="1406" spans="1:4" x14ac:dyDescent="0.35">
      <c r="A1406" t="s">
        <v>287</v>
      </c>
      <c r="B1406" s="69" t="s">
        <v>190</v>
      </c>
      <c r="D1406" s="37"/>
    </row>
    <row r="1407" spans="1:4" x14ac:dyDescent="0.35">
      <c r="A1407" t="s">
        <v>287</v>
      </c>
      <c r="B1407" s="69" t="s">
        <v>301</v>
      </c>
      <c r="D1407" s="37"/>
    </row>
    <row r="1408" spans="1:4" x14ac:dyDescent="0.35">
      <c r="A1408" t="s">
        <v>287</v>
      </c>
      <c r="B1408" t="s">
        <v>446</v>
      </c>
      <c r="D1408" s="37"/>
    </row>
    <row r="1409" spans="1:4" x14ac:dyDescent="0.35">
      <c r="A1409" t="s">
        <v>287</v>
      </c>
      <c r="B1409" s="69" t="s">
        <v>40</v>
      </c>
      <c r="D1409" s="37"/>
    </row>
    <row r="1410" spans="1:4" x14ac:dyDescent="0.35">
      <c r="A1410" t="s">
        <v>287</v>
      </c>
      <c r="B1410" s="69" t="s">
        <v>303</v>
      </c>
      <c r="D1410" s="37"/>
    </row>
    <row r="1411" spans="1:4" x14ac:dyDescent="0.35">
      <c r="A1411" t="s">
        <v>287</v>
      </c>
      <c r="B1411" s="69" t="s">
        <v>199</v>
      </c>
      <c r="D1411" s="37"/>
    </row>
    <row r="1412" spans="1:4" x14ac:dyDescent="0.35">
      <c r="A1412" t="s">
        <v>287</v>
      </c>
      <c r="B1412" s="69" t="s">
        <v>194</v>
      </c>
      <c r="D1412" s="37"/>
    </row>
    <row r="1413" spans="1:4" x14ac:dyDescent="0.35">
      <c r="A1413" t="s">
        <v>287</v>
      </c>
      <c r="B1413" s="69" t="s">
        <v>144</v>
      </c>
      <c r="D1413" s="37"/>
    </row>
    <row r="1414" spans="1:4" x14ac:dyDescent="0.35">
      <c r="A1414" t="s">
        <v>287</v>
      </c>
      <c r="B1414" s="69" t="s">
        <v>145</v>
      </c>
      <c r="D1414" s="37"/>
    </row>
    <row r="1415" spans="1:4" x14ac:dyDescent="0.35">
      <c r="A1415" t="s">
        <v>287</v>
      </c>
      <c r="B1415" s="69" t="s">
        <v>146</v>
      </c>
      <c r="D1415" s="37"/>
    </row>
    <row r="1416" spans="1:4" x14ac:dyDescent="0.35">
      <c r="A1416" t="s">
        <v>287</v>
      </c>
      <c r="B1416" s="69" t="s">
        <v>147</v>
      </c>
      <c r="D1416" s="37"/>
    </row>
    <row r="1417" spans="1:4" x14ac:dyDescent="0.35">
      <c r="A1417" t="s">
        <v>288</v>
      </c>
      <c r="B1417" s="69" t="s">
        <v>299</v>
      </c>
      <c r="D1417" s="37"/>
    </row>
    <row r="1418" spans="1:4" x14ac:dyDescent="0.35">
      <c r="A1418" t="s">
        <v>288</v>
      </c>
      <c r="B1418" t="s">
        <v>445</v>
      </c>
      <c r="D1418" s="37"/>
    </row>
    <row r="1419" spans="1:4" x14ac:dyDescent="0.35">
      <c r="A1419" t="s">
        <v>288</v>
      </c>
      <c r="B1419" s="69" t="s">
        <v>189</v>
      </c>
      <c r="D1419" s="37"/>
    </row>
    <row r="1420" spans="1:4" x14ac:dyDescent="0.35">
      <c r="A1420" t="s">
        <v>288</v>
      </c>
      <c r="B1420" s="69" t="s">
        <v>190</v>
      </c>
      <c r="D1420" s="37"/>
    </row>
    <row r="1421" spans="1:4" x14ac:dyDescent="0.35">
      <c r="A1421" t="s">
        <v>288</v>
      </c>
      <c r="B1421" s="69" t="s">
        <v>301</v>
      </c>
      <c r="D1421" s="37"/>
    </row>
    <row r="1422" spans="1:4" x14ac:dyDescent="0.35">
      <c r="A1422" t="s">
        <v>288</v>
      </c>
      <c r="B1422" t="s">
        <v>446</v>
      </c>
      <c r="D1422" s="37"/>
    </row>
    <row r="1423" spans="1:4" x14ac:dyDescent="0.35">
      <c r="A1423" t="s">
        <v>288</v>
      </c>
      <c r="B1423" s="69" t="s">
        <v>40</v>
      </c>
      <c r="D1423" s="37"/>
    </row>
    <row r="1424" spans="1:4" x14ac:dyDescent="0.35">
      <c r="A1424" t="s">
        <v>288</v>
      </c>
      <c r="B1424" s="69" t="s">
        <v>303</v>
      </c>
      <c r="D1424" s="37"/>
    </row>
    <row r="1425" spans="1:4" x14ac:dyDescent="0.35">
      <c r="A1425" t="s">
        <v>288</v>
      </c>
      <c r="B1425" s="69" t="s">
        <v>199</v>
      </c>
      <c r="D1425" s="37"/>
    </row>
    <row r="1426" spans="1:4" x14ac:dyDescent="0.35">
      <c r="A1426" t="s">
        <v>288</v>
      </c>
      <c r="B1426" s="69" t="s">
        <v>194</v>
      </c>
      <c r="D1426" s="37"/>
    </row>
    <row r="1427" spans="1:4" x14ac:dyDescent="0.35">
      <c r="A1427" t="s">
        <v>288</v>
      </c>
      <c r="B1427" s="69" t="s">
        <v>144</v>
      </c>
      <c r="D1427" s="37"/>
    </row>
    <row r="1428" spans="1:4" x14ac:dyDescent="0.35">
      <c r="A1428" t="s">
        <v>288</v>
      </c>
      <c r="B1428" s="69" t="s">
        <v>145</v>
      </c>
      <c r="D1428" s="37"/>
    </row>
    <row r="1429" spans="1:4" x14ac:dyDescent="0.35">
      <c r="A1429" t="s">
        <v>288</v>
      </c>
      <c r="B1429" s="69" t="s">
        <v>146</v>
      </c>
      <c r="D1429" s="37"/>
    </row>
    <row r="1430" spans="1:4" x14ac:dyDescent="0.35">
      <c r="A1430" t="s">
        <v>288</v>
      </c>
      <c r="B1430" s="69" t="s">
        <v>147</v>
      </c>
      <c r="D1430" s="37"/>
    </row>
    <row r="1431" spans="1:4" x14ac:dyDescent="0.35">
      <c r="A1431" t="s">
        <v>289</v>
      </c>
      <c r="B1431" s="69" t="s">
        <v>299</v>
      </c>
      <c r="D1431" s="37"/>
    </row>
    <row r="1432" spans="1:4" x14ac:dyDescent="0.35">
      <c r="A1432" t="s">
        <v>289</v>
      </c>
      <c r="B1432" t="s">
        <v>445</v>
      </c>
      <c r="D1432" s="37"/>
    </row>
    <row r="1433" spans="1:4" x14ac:dyDescent="0.35">
      <c r="A1433" t="s">
        <v>289</v>
      </c>
      <c r="B1433" s="69" t="s">
        <v>189</v>
      </c>
      <c r="D1433" s="37"/>
    </row>
    <row r="1434" spans="1:4" x14ac:dyDescent="0.35">
      <c r="A1434" t="s">
        <v>289</v>
      </c>
      <c r="B1434" s="69" t="s">
        <v>190</v>
      </c>
      <c r="D1434" s="37"/>
    </row>
    <row r="1435" spans="1:4" x14ac:dyDescent="0.35">
      <c r="A1435" t="s">
        <v>289</v>
      </c>
      <c r="B1435" s="69" t="s">
        <v>301</v>
      </c>
      <c r="D1435" s="37"/>
    </row>
    <row r="1436" spans="1:4" x14ac:dyDescent="0.35">
      <c r="A1436" t="s">
        <v>289</v>
      </c>
      <c r="B1436" t="s">
        <v>446</v>
      </c>
      <c r="D1436" s="37"/>
    </row>
    <row r="1437" spans="1:4" x14ac:dyDescent="0.35">
      <c r="A1437" t="s">
        <v>289</v>
      </c>
      <c r="B1437" s="69" t="s">
        <v>40</v>
      </c>
      <c r="D1437" s="37"/>
    </row>
    <row r="1438" spans="1:4" x14ac:dyDescent="0.35">
      <c r="A1438" t="s">
        <v>289</v>
      </c>
      <c r="B1438" s="69" t="s">
        <v>303</v>
      </c>
      <c r="D1438" s="37"/>
    </row>
    <row r="1439" spans="1:4" x14ac:dyDescent="0.35">
      <c r="A1439" t="s">
        <v>289</v>
      </c>
      <c r="B1439" s="69" t="s">
        <v>199</v>
      </c>
      <c r="D1439" s="37"/>
    </row>
    <row r="1440" spans="1:4" x14ac:dyDescent="0.35">
      <c r="A1440" t="s">
        <v>289</v>
      </c>
      <c r="B1440" s="69" t="s">
        <v>194</v>
      </c>
      <c r="D1440" s="37"/>
    </row>
    <row r="1441" spans="1:4" x14ac:dyDescent="0.35">
      <c r="A1441" t="s">
        <v>289</v>
      </c>
      <c r="B1441" s="69" t="s">
        <v>144</v>
      </c>
      <c r="D1441" s="37"/>
    </row>
    <row r="1442" spans="1:4" x14ac:dyDescent="0.35">
      <c r="A1442" t="s">
        <v>289</v>
      </c>
      <c r="B1442" s="69" t="s">
        <v>145</v>
      </c>
      <c r="D1442" s="37"/>
    </row>
    <row r="1443" spans="1:4" x14ac:dyDescent="0.35">
      <c r="A1443" t="s">
        <v>289</v>
      </c>
      <c r="B1443" s="69" t="s">
        <v>146</v>
      </c>
      <c r="D1443" s="37"/>
    </row>
    <row r="1444" spans="1:4" x14ac:dyDescent="0.35">
      <c r="A1444" t="s">
        <v>289</v>
      </c>
      <c r="B1444" s="69" t="s">
        <v>147</v>
      </c>
      <c r="D1444" s="37"/>
    </row>
    <row r="1445" spans="1:4" x14ac:dyDescent="0.35">
      <c r="A1445" t="s">
        <v>290</v>
      </c>
      <c r="B1445" s="69" t="s">
        <v>299</v>
      </c>
      <c r="D1445" s="37"/>
    </row>
    <row r="1446" spans="1:4" x14ac:dyDescent="0.35">
      <c r="A1446" t="s">
        <v>290</v>
      </c>
      <c r="B1446" t="s">
        <v>445</v>
      </c>
      <c r="D1446" s="37"/>
    </row>
    <row r="1447" spans="1:4" x14ac:dyDescent="0.35">
      <c r="A1447" t="s">
        <v>290</v>
      </c>
      <c r="B1447" s="69" t="s">
        <v>189</v>
      </c>
      <c r="D1447" s="37"/>
    </row>
    <row r="1448" spans="1:4" x14ac:dyDescent="0.35">
      <c r="A1448" t="s">
        <v>290</v>
      </c>
      <c r="B1448" s="69" t="s">
        <v>190</v>
      </c>
      <c r="D1448" s="37"/>
    </row>
    <row r="1449" spans="1:4" x14ac:dyDescent="0.35">
      <c r="A1449" t="s">
        <v>290</v>
      </c>
      <c r="B1449" s="69" t="s">
        <v>301</v>
      </c>
      <c r="D1449" s="37"/>
    </row>
    <row r="1450" spans="1:4" x14ac:dyDescent="0.35">
      <c r="A1450" t="s">
        <v>290</v>
      </c>
      <c r="B1450" t="s">
        <v>446</v>
      </c>
      <c r="D1450" s="37"/>
    </row>
    <row r="1451" spans="1:4" x14ac:dyDescent="0.35">
      <c r="A1451" t="s">
        <v>290</v>
      </c>
      <c r="B1451" s="69" t="s">
        <v>40</v>
      </c>
      <c r="D1451" s="37"/>
    </row>
    <row r="1452" spans="1:4" x14ac:dyDescent="0.35">
      <c r="A1452" t="s">
        <v>290</v>
      </c>
      <c r="B1452" s="69" t="s">
        <v>303</v>
      </c>
      <c r="D1452" s="37"/>
    </row>
    <row r="1453" spans="1:4" x14ac:dyDescent="0.35">
      <c r="A1453" t="s">
        <v>290</v>
      </c>
      <c r="B1453" s="69" t="s">
        <v>199</v>
      </c>
      <c r="D1453" s="37"/>
    </row>
    <row r="1454" spans="1:4" x14ac:dyDescent="0.35">
      <c r="A1454" t="s">
        <v>290</v>
      </c>
      <c r="B1454" s="69" t="s">
        <v>194</v>
      </c>
      <c r="D1454" s="37"/>
    </row>
    <row r="1455" spans="1:4" x14ac:dyDescent="0.35">
      <c r="A1455" t="s">
        <v>290</v>
      </c>
      <c r="B1455" s="69" t="s">
        <v>144</v>
      </c>
      <c r="D1455" s="37"/>
    </row>
    <row r="1456" spans="1:4" x14ac:dyDescent="0.35">
      <c r="A1456" t="s">
        <v>290</v>
      </c>
      <c r="B1456" s="69" t="s">
        <v>145</v>
      </c>
      <c r="D1456" s="37"/>
    </row>
    <row r="1457" spans="1:4" x14ac:dyDescent="0.35">
      <c r="A1457" t="s">
        <v>290</v>
      </c>
      <c r="B1457" s="69" t="s">
        <v>146</v>
      </c>
      <c r="D1457" s="37"/>
    </row>
    <row r="1458" spans="1:4" x14ac:dyDescent="0.35">
      <c r="A1458" t="s">
        <v>290</v>
      </c>
      <c r="B1458" s="69" t="s">
        <v>147</v>
      </c>
      <c r="D1458" s="37"/>
    </row>
    <row r="1459" spans="1:4" x14ac:dyDescent="0.35">
      <c r="A1459" t="s">
        <v>291</v>
      </c>
      <c r="B1459" s="69" t="s">
        <v>299</v>
      </c>
      <c r="D1459" s="37"/>
    </row>
    <row r="1460" spans="1:4" x14ac:dyDescent="0.35">
      <c r="A1460" t="s">
        <v>291</v>
      </c>
      <c r="B1460" t="s">
        <v>445</v>
      </c>
      <c r="D1460" s="37"/>
    </row>
    <row r="1461" spans="1:4" x14ac:dyDescent="0.35">
      <c r="A1461" t="s">
        <v>291</v>
      </c>
      <c r="B1461" s="69" t="s">
        <v>189</v>
      </c>
      <c r="D1461" s="37"/>
    </row>
    <row r="1462" spans="1:4" x14ac:dyDescent="0.35">
      <c r="A1462" t="s">
        <v>291</v>
      </c>
      <c r="B1462" s="69" t="s">
        <v>190</v>
      </c>
      <c r="D1462" s="37"/>
    </row>
    <row r="1463" spans="1:4" x14ac:dyDescent="0.35">
      <c r="A1463" t="s">
        <v>291</v>
      </c>
      <c r="B1463" s="69" t="s">
        <v>301</v>
      </c>
      <c r="D1463" s="37"/>
    </row>
    <row r="1464" spans="1:4" x14ac:dyDescent="0.35">
      <c r="A1464" t="s">
        <v>291</v>
      </c>
      <c r="B1464" t="s">
        <v>446</v>
      </c>
      <c r="D1464" s="37"/>
    </row>
    <row r="1465" spans="1:4" x14ac:dyDescent="0.35">
      <c r="A1465" t="s">
        <v>291</v>
      </c>
      <c r="B1465" s="69" t="s">
        <v>40</v>
      </c>
      <c r="D1465" s="37"/>
    </row>
    <row r="1466" spans="1:4" x14ac:dyDescent="0.35">
      <c r="A1466" t="s">
        <v>291</v>
      </c>
      <c r="B1466" s="69" t="s">
        <v>303</v>
      </c>
      <c r="D1466" s="37"/>
    </row>
    <row r="1467" spans="1:4" x14ac:dyDescent="0.35">
      <c r="A1467" t="s">
        <v>291</v>
      </c>
      <c r="B1467" s="69" t="s">
        <v>199</v>
      </c>
      <c r="D1467" s="37"/>
    </row>
    <row r="1468" spans="1:4" x14ac:dyDescent="0.35">
      <c r="A1468" t="s">
        <v>291</v>
      </c>
      <c r="B1468" s="69" t="s">
        <v>194</v>
      </c>
      <c r="D1468" s="37"/>
    </row>
    <row r="1469" spans="1:4" x14ac:dyDescent="0.35">
      <c r="A1469" t="s">
        <v>291</v>
      </c>
      <c r="B1469" s="69" t="s">
        <v>144</v>
      </c>
      <c r="D1469" s="37"/>
    </row>
    <row r="1470" spans="1:4" x14ac:dyDescent="0.35">
      <c r="A1470" t="s">
        <v>291</v>
      </c>
      <c r="B1470" s="69" t="s">
        <v>145</v>
      </c>
      <c r="D1470" s="37"/>
    </row>
    <row r="1471" spans="1:4" x14ac:dyDescent="0.35">
      <c r="A1471" t="s">
        <v>291</v>
      </c>
      <c r="B1471" s="69" t="s">
        <v>146</v>
      </c>
      <c r="D1471" s="37"/>
    </row>
    <row r="1472" spans="1:4" x14ac:dyDescent="0.35">
      <c r="A1472" t="s">
        <v>291</v>
      </c>
      <c r="B1472" s="69" t="s">
        <v>147</v>
      </c>
      <c r="D1472" s="37"/>
    </row>
    <row r="1473" spans="1:4" x14ac:dyDescent="0.35">
      <c r="A1473" t="s">
        <v>292</v>
      </c>
      <c r="B1473" s="69" t="s">
        <v>299</v>
      </c>
      <c r="D1473" s="37"/>
    </row>
    <row r="1474" spans="1:4" x14ac:dyDescent="0.35">
      <c r="A1474" t="s">
        <v>292</v>
      </c>
      <c r="B1474" t="s">
        <v>445</v>
      </c>
      <c r="D1474" s="37"/>
    </row>
    <row r="1475" spans="1:4" x14ac:dyDescent="0.35">
      <c r="A1475" t="s">
        <v>292</v>
      </c>
      <c r="B1475" s="69" t="s">
        <v>189</v>
      </c>
      <c r="D1475" s="37"/>
    </row>
    <row r="1476" spans="1:4" x14ac:dyDescent="0.35">
      <c r="A1476" t="s">
        <v>292</v>
      </c>
      <c r="B1476" s="69" t="s">
        <v>190</v>
      </c>
      <c r="D1476" s="37"/>
    </row>
    <row r="1477" spans="1:4" x14ac:dyDescent="0.35">
      <c r="A1477" t="s">
        <v>292</v>
      </c>
      <c r="B1477" s="69" t="s">
        <v>301</v>
      </c>
      <c r="D1477" s="37"/>
    </row>
    <row r="1478" spans="1:4" x14ac:dyDescent="0.35">
      <c r="A1478" t="s">
        <v>292</v>
      </c>
      <c r="B1478" t="s">
        <v>446</v>
      </c>
      <c r="D1478" s="37"/>
    </row>
    <row r="1479" spans="1:4" x14ac:dyDescent="0.35">
      <c r="A1479" t="s">
        <v>292</v>
      </c>
      <c r="B1479" s="69" t="s">
        <v>40</v>
      </c>
      <c r="D1479" s="37"/>
    </row>
    <row r="1480" spans="1:4" x14ac:dyDescent="0.35">
      <c r="A1480" t="s">
        <v>292</v>
      </c>
      <c r="B1480" s="69" t="s">
        <v>303</v>
      </c>
      <c r="D1480" s="37"/>
    </row>
    <row r="1481" spans="1:4" x14ac:dyDescent="0.35">
      <c r="A1481" t="s">
        <v>292</v>
      </c>
      <c r="B1481" s="69" t="s">
        <v>199</v>
      </c>
      <c r="D1481" s="37"/>
    </row>
    <row r="1482" spans="1:4" x14ac:dyDescent="0.35">
      <c r="A1482" t="s">
        <v>292</v>
      </c>
      <c r="B1482" s="69" t="s">
        <v>194</v>
      </c>
      <c r="D1482" s="37"/>
    </row>
    <row r="1483" spans="1:4" x14ac:dyDescent="0.35">
      <c r="A1483" t="s">
        <v>292</v>
      </c>
      <c r="B1483" s="69" t="s">
        <v>144</v>
      </c>
      <c r="D1483" s="37"/>
    </row>
    <row r="1484" spans="1:4" x14ac:dyDescent="0.35">
      <c r="A1484" t="s">
        <v>292</v>
      </c>
      <c r="B1484" s="69" t="s">
        <v>145</v>
      </c>
      <c r="D1484" s="37"/>
    </row>
    <row r="1485" spans="1:4" x14ac:dyDescent="0.35">
      <c r="A1485" t="s">
        <v>292</v>
      </c>
      <c r="B1485" s="69" t="s">
        <v>146</v>
      </c>
      <c r="D1485" s="37"/>
    </row>
    <row r="1486" spans="1:4" x14ac:dyDescent="0.35">
      <c r="A1486" t="s">
        <v>292</v>
      </c>
      <c r="B1486" s="69" t="s">
        <v>147</v>
      </c>
      <c r="D1486" s="37"/>
    </row>
    <row r="1487" spans="1:4" x14ac:dyDescent="0.35">
      <c r="A1487" t="s">
        <v>293</v>
      </c>
      <c r="B1487" s="69" t="s">
        <v>299</v>
      </c>
      <c r="D1487" s="37"/>
    </row>
    <row r="1488" spans="1:4" x14ac:dyDescent="0.35">
      <c r="A1488" t="s">
        <v>293</v>
      </c>
      <c r="B1488" t="s">
        <v>445</v>
      </c>
      <c r="D1488" s="37"/>
    </row>
    <row r="1489" spans="1:4" x14ac:dyDescent="0.35">
      <c r="A1489" t="s">
        <v>293</v>
      </c>
      <c r="B1489" s="69" t="s">
        <v>189</v>
      </c>
      <c r="D1489" s="37"/>
    </row>
    <row r="1490" spans="1:4" x14ac:dyDescent="0.35">
      <c r="A1490" t="s">
        <v>293</v>
      </c>
      <c r="B1490" s="69" t="s">
        <v>190</v>
      </c>
      <c r="D1490" s="37"/>
    </row>
    <row r="1491" spans="1:4" x14ac:dyDescent="0.35">
      <c r="A1491" t="s">
        <v>293</v>
      </c>
      <c r="B1491" s="69" t="s">
        <v>301</v>
      </c>
      <c r="D1491" s="37"/>
    </row>
    <row r="1492" spans="1:4" x14ac:dyDescent="0.35">
      <c r="A1492" t="s">
        <v>293</v>
      </c>
      <c r="B1492" t="s">
        <v>446</v>
      </c>
      <c r="D1492" s="37"/>
    </row>
    <row r="1493" spans="1:4" x14ac:dyDescent="0.35">
      <c r="A1493" t="s">
        <v>293</v>
      </c>
      <c r="B1493" s="69" t="s">
        <v>40</v>
      </c>
      <c r="D1493" s="37"/>
    </row>
    <row r="1494" spans="1:4" x14ac:dyDescent="0.35">
      <c r="A1494" t="s">
        <v>293</v>
      </c>
      <c r="B1494" s="69" t="s">
        <v>303</v>
      </c>
      <c r="D1494" s="37"/>
    </row>
    <row r="1495" spans="1:4" x14ac:dyDescent="0.35">
      <c r="A1495" t="s">
        <v>293</v>
      </c>
      <c r="B1495" s="69" t="s">
        <v>199</v>
      </c>
      <c r="D1495" s="37"/>
    </row>
    <row r="1496" spans="1:4" x14ac:dyDescent="0.35">
      <c r="A1496" t="s">
        <v>293</v>
      </c>
      <c r="B1496" s="69" t="s">
        <v>194</v>
      </c>
      <c r="D1496" s="37"/>
    </row>
    <row r="1497" spans="1:4" x14ac:dyDescent="0.35">
      <c r="A1497" t="s">
        <v>293</v>
      </c>
      <c r="B1497" s="69" t="s">
        <v>144</v>
      </c>
      <c r="D1497" s="37"/>
    </row>
    <row r="1498" spans="1:4" x14ac:dyDescent="0.35">
      <c r="A1498" t="s">
        <v>293</v>
      </c>
      <c r="B1498" s="69" t="s">
        <v>145</v>
      </c>
      <c r="D1498" s="37"/>
    </row>
    <row r="1499" spans="1:4" x14ac:dyDescent="0.35">
      <c r="A1499" t="s">
        <v>293</v>
      </c>
      <c r="B1499" s="69" t="s">
        <v>146</v>
      </c>
      <c r="D1499" s="37"/>
    </row>
    <row r="1500" spans="1:4" x14ac:dyDescent="0.35">
      <c r="A1500" t="s">
        <v>293</v>
      </c>
      <c r="B1500" s="69" t="s">
        <v>147</v>
      </c>
      <c r="D1500" s="37"/>
    </row>
    <row r="1501" spans="1:4" x14ac:dyDescent="0.35">
      <c r="A1501" t="s">
        <v>294</v>
      </c>
      <c r="B1501" s="69" t="s">
        <v>299</v>
      </c>
      <c r="D1501" s="37"/>
    </row>
    <row r="1502" spans="1:4" x14ac:dyDescent="0.35">
      <c r="A1502" t="s">
        <v>294</v>
      </c>
      <c r="B1502" t="s">
        <v>445</v>
      </c>
      <c r="D1502" s="37"/>
    </row>
    <row r="1503" spans="1:4" x14ac:dyDescent="0.35">
      <c r="A1503" t="s">
        <v>294</v>
      </c>
      <c r="B1503" s="69" t="s">
        <v>189</v>
      </c>
      <c r="D1503" s="37"/>
    </row>
    <row r="1504" spans="1:4" x14ac:dyDescent="0.35">
      <c r="A1504" t="s">
        <v>294</v>
      </c>
      <c r="B1504" s="69" t="s">
        <v>190</v>
      </c>
      <c r="D1504" s="37"/>
    </row>
    <row r="1505" spans="1:4" x14ac:dyDescent="0.35">
      <c r="A1505" t="s">
        <v>294</v>
      </c>
      <c r="B1505" s="69" t="s">
        <v>301</v>
      </c>
      <c r="D1505" s="37"/>
    </row>
    <row r="1506" spans="1:4" x14ac:dyDescent="0.35">
      <c r="A1506" t="s">
        <v>294</v>
      </c>
      <c r="B1506" t="s">
        <v>446</v>
      </c>
      <c r="D1506" s="37"/>
    </row>
    <row r="1507" spans="1:4" x14ac:dyDescent="0.35">
      <c r="A1507" t="s">
        <v>294</v>
      </c>
      <c r="B1507" s="69" t="s">
        <v>40</v>
      </c>
      <c r="D1507" s="37"/>
    </row>
    <row r="1508" spans="1:4" x14ac:dyDescent="0.35">
      <c r="A1508" t="s">
        <v>294</v>
      </c>
      <c r="B1508" s="69" t="s">
        <v>303</v>
      </c>
      <c r="D1508" s="37"/>
    </row>
    <row r="1509" spans="1:4" x14ac:dyDescent="0.35">
      <c r="A1509" t="s">
        <v>294</v>
      </c>
      <c r="B1509" s="69" t="s">
        <v>199</v>
      </c>
      <c r="D1509" s="37"/>
    </row>
    <row r="1510" spans="1:4" x14ac:dyDescent="0.35">
      <c r="A1510" t="s">
        <v>294</v>
      </c>
      <c r="B1510" s="69" t="s">
        <v>194</v>
      </c>
      <c r="D1510" s="37"/>
    </row>
    <row r="1511" spans="1:4" x14ac:dyDescent="0.35">
      <c r="A1511" t="s">
        <v>294</v>
      </c>
      <c r="B1511" s="69" t="s">
        <v>144</v>
      </c>
      <c r="D1511" s="37"/>
    </row>
    <row r="1512" spans="1:4" x14ac:dyDescent="0.35">
      <c r="A1512" t="s">
        <v>294</v>
      </c>
      <c r="B1512" s="69" t="s">
        <v>145</v>
      </c>
      <c r="D1512" s="37"/>
    </row>
    <row r="1513" spans="1:4" x14ac:dyDescent="0.35">
      <c r="A1513" t="s">
        <v>294</v>
      </c>
      <c r="B1513" s="69" t="s">
        <v>146</v>
      </c>
      <c r="D1513" s="37"/>
    </row>
    <row r="1514" spans="1:4" x14ac:dyDescent="0.35">
      <c r="A1514" t="s">
        <v>294</v>
      </c>
      <c r="B1514" s="69" t="s">
        <v>147</v>
      </c>
      <c r="D1514" s="37"/>
    </row>
    <row r="1515" spans="1:4" x14ac:dyDescent="0.35">
      <c r="A1515" t="s">
        <v>295</v>
      </c>
      <c r="B1515" s="69" t="s">
        <v>299</v>
      </c>
      <c r="D1515" s="37"/>
    </row>
    <row r="1516" spans="1:4" x14ac:dyDescent="0.35">
      <c r="A1516" t="s">
        <v>295</v>
      </c>
      <c r="B1516" t="s">
        <v>445</v>
      </c>
      <c r="D1516" s="37"/>
    </row>
    <row r="1517" spans="1:4" x14ac:dyDescent="0.35">
      <c r="A1517" t="s">
        <v>295</v>
      </c>
      <c r="B1517" s="69" t="s">
        <v>189</v>
      </c>
      <c r="D1517" s="37"/>
    </row>
    <row r="1518" spans="1:4" x14ac:dyDescent="0.35">
      <c r="A1518" t="s">
        <v>295</v>
      </c>
      <c r="B1518" s="69" t="s">
        <v>190</v>
      </c>
      <c r="D1518" s="37"/>
    </row>
    <row r="1519" spans="1:4" x14ac:dyDescent="0.35">
      <c r="A1519" t="s">
        <v>295</v>
      </c>
      <c r="B1519" s="69" t="s">
        <v>301</v>
      </c>
      <c r="D1519" s="37"/>
    </row>
    <row r="1520" spans="1:4" x14ac:dyDescent="0.35">
      <c r="A1520" t="s">
        <v>295</v>
      </c>
      <c r="B1520" t="s">
        <v>446</v>
      </c>
      <c r="D1520" s="37"/>
    </row>
    <row r="1521" spans="1:4" x14ac:dyDescent="0.35">
      <c r="A1521" t="s">
        <v>295</v>
      </c>
      <c r="B1521" s="69" t="s">
        <v>40</v>
      </c>
      <c r="D1521" s="37"/>
    </row>
    <row r="1522" spans="1:4" x14ac:dyDescent="0.35">
      <c r="A1522" t="s">
        <v>295</v>
      </c>
      <c r="B1522" s="69" t="s">
        <v>303</v>
      </c>
      <c r="D1522" s="37"/>
    </row>
    <row r="1523" spans="1:4" x14ac:dyDescent="0.35">
      <c r="A1523" t="s">
        <v>295</v>
      </c>
      <c r="B1523" s="69" t="s">
        <v>199</v>
      </c>
      <c r="D1523" s="37"/>
    </row>
    <row r="1524" spans="1:4" x14ac:dyDescent="0.35">
      <c r="A1524" t="s">
        <v>295</v>
      </c>
      <c r="B1524" s="69" t="s">
        <v>194</v>
      </c>
      <c r="D1524" s="37"/>
    </row>
    <row r="1525" spans="1:4" x14ac:dyDescent="0.35">
      <c r="A1525" t="s">
        <v>295</v>
      </c>
      <c r="B1525" s="69" t="s">
        <v>144</v>
      </c>
      <c r="D1525" s="37"/>
    </row>
    <row r="1526" spans="1:4" x14ac:dyDescent="0.35">
      <c r="A1526" t="s">
        <v>295</v>
      </c>
      <c r="B1526" s="69" t="s">
        <v>145</v>
      </c>
      <c r="D1526" s="37"/>
    </row>
    <row r="1527" spans="1:4" x14ac:dyDescent="0.35">
      <c r="A1527" t="s">
        <v>295</v>
      </c>
      <c r="B1527" s="69" t="s">
        <v>146</v>
      </c>
      <c r="D1527" s="37"/>
    </row>
    <row r="1528" spans="1:4" x14ac:dyDescent="0.35">
      <c r="A1528" t="s">
        <v>295</v>
      </c>
      <c r="B1528" s="69" t="s">
        <v>147</v>
      </c>
      <c r="D1528" s="37"/>
    </row>
    <row r="1529" spans="1:4" x14ac:dyDescent="0.35">
      <c r="A1529" t="s">
        <v>296</v>
      </c>
      <c r="B1529" s="69" t="s">
        <v>299</v>
      </c>
      <c r="D1529" s="37"/>
    </row>
    <row r="1530" spans="1:4" x14ac:dyDescent="0.35">
      <c r="A1530" t="s">
        <v>296</v>
      </c>
      <c r="B1530" t="s">
        <v>445</v>
      </c>
      <c r="D1530" s="37"/>
    </row>
    <row r="1531" spans="1:4" x14ac:dyDescent="0.35">
      <c r="A1531" t="s">
        <v>296</v>
      </c>
      <c r="B1531" s="69" t="s">
        <v>189</v>
      </c>
      <c r="D1531" s="37"/>
    </row>
    <row r="1532" spans="1:4" x14ac:dyDescent="0.35">
      <c r="A1532" t="s">
        <v>296</v>
      </c>
      <c r="B1532" s="69" t="s">
        <v>190</v>
      </c>
      <c r="D1532" s="37"/>
    </row>
    <row r="1533" spans="1:4" x14ac:dyDescent="0.35">
      <c r="A1533" t="s">
        <v>296</v>
      </c>
      <c r="B1533" s="69" t="s">
        <v>301</v>
      </c>
      <c r="D1533" s="37"/>
    </row>
    <row r="1534" spans="1:4" x14ac:dyDescent="0.35">
      <c r="A1534" t="s">
        <v>296</v>
      </c>
      <c r="B1534" t="s">
        <v>446</v>
      </c>
      <c r="D1534" s="37"/>
    </row>
    <row r="1535" spans="1:4" x14ac:dyDescent="0.35">
      <c r="A1535" t="s">
        <v>296</v>
      </c>
      <c r="B1535" s="69" t="s">
        <v>40</v>
      </c>
      <c r="D1535" s="37"/>
    </row>
    <row r="1536" spans="1:4" x14ac:dyDescent="0.35">
      <c r="A1536" t="s">
        <v>296</v>
      </c>
      <c r="B1536" s="69" t="s">
        <v>303</v>
      </c>
      <c r="D1536" s="37"/>
    </row>
    <row r="1537" spans="1:4" x14ac:dyDescent="0.35">
      <c r="A1537" t="s">
        <v>296</v>
      </c>
      <c r="B1537" s="69" t="s">
        <v>199</v>
      </c>
      <c r="D1537" s="37"/>
    </row>
    <row r="1538" spans="1:4" x14ac:dyDescent="0.35">
      <c r="A1538" t="s">
        <v>296</v>
      </c>
      <c r="B1538" s="69" t="s">
        <v>194</v>
      </c>
      <c r="D1538" s="37"/>
    </row>
    <row r="1539" spans="1:4" x14ac:dyDescent="0.35">
      <c r="A1539" t="s">
        <v>296</v>
      </c>
      <c r="B1539" s="69" t="s">
        <v>144</v>
      </c>
      <c r="D1539" s="37"/>
    </row>
    <row r="1540" spans="1:4" x14ac:dyDescent="0.35">
      <c r="A1540" t="s">
        <v>296</v>
      </c>
      <c r="B1540" s="69" t="s">
        <v>145</v>
      </c>
      <c r="D1540" s="37"/>
    </row>
    <row r="1541" spans="1:4" x14ac:dyDescent="0.35">
      <c r="A1541" t="s">
        <v>296</v>
      </c>
      <c r="B1541" s="69" t="s">
        <v>146</v>
      </c>
      <c r="D1541" s="37"/>
    </row>
    <row r="1542" spans="1:4" x14ac:dyDescent="0.35">
      <c r="A1542" t="s">
        <v>296</v>
      </c>
      <c r="B1542" s="69" t="s">
        <v>147</v>
      </c>
      <c r="D1542" s="37"/>
    </row>
    <row r="1543" spans="1:4" x14ac:dyDescent="0.35">
      <c r="A1543" t="s">
        <v>297</v>
      </c>
      <c r="B1543" s="69" t="s">
        <v>299</v>
      </c>
      <c r="D1543" s="37"/>
    </row>
    <row r="1544" spans="1:4" x14ac:dyDescent="0.35">
      <c r="A1544" t="s">
        <v>297</v>
      </c>
      <c r="B1544" t="s">
        <v>445</v>
      </c>
      <c r="D1544" s="37"/>
    </row>
    <row r="1545" spans="1:4" x14ac:dyDescent="0.35">
      <c r="A1545" t="s">
        <v>297</v>
      </c>
      <c r="B1545" s="69" t="s">
        <v>189</v>
      </c>
      <c r="D1545" s="37"/>
    </row>
    <row r="1546" spans="1:4" x14ac:dyDescent="0.35">
      <c r="A1546" t="s">
        <v>297</v>
      </c>
      <c r="B1546" s="69" t="s">
        <v>190</v>
      </c>
      <c r="D1546" s="37"/>
    </row>
    <row r="1547" spans="1:4" x14ac:dyDescent="0.35">
      <c r="A1547" t="s">
        <v>297</v>
      </c>
      <c r="B1547" s="69" t="s">
        <v>301</v>
      </c>
      <c r="D1547" s="37"/>
    </row>
    <row r="1548" spans="1:4" x14ac:dyDescent="0.35">
      <c r="A1548" t="s">
        <v>297</v>
      </c>
      <c r="B1548" t="s">
        <v>446</v>
      </c>
      <c r="D1548" s="37"/>
    </row>
    <row r="1549" spans="1:4" x14ac:dyDescent="0.35">
      <c r="A1549" t="s">
        <v>297</v>
      </c>
      <c r="B1549" s="69" t="s">
        <v>40</v>
      </c>
      <c r="D1549" s="37"/>
    </row>
    <row r="1550" spans="1:4" x14ac:dyDescent="0.35">
      <c r="A1550" t="s">
        <v>297</v>
      </c>
      <c r="B1550" s="69" t="s">
        <v>303</v>
      </c>
      <c r="D1550" s="37"/>
    </row>
    <row r="1551" spans="1:4" x14ac:dyDescent="0.35">
      <c r="A1551" t="s">
        <v>297</v>
      </c>
      <c r="B1551" s="69" t="s">
        <v>199</v>
      </c>
      <c r="D1551" s="37"/>
    </row>
    <row r="1552" spans="1:4" x14ac:dyDescent="0.35">
      <c r="A1552" t="s">
        <v>297</v>
      </c>
      <c r="B1552" s="69" t="s">
        <v>194</v>
      </c>
      <c r="D1552" s="37"/>
    </row>
    <row r="1553" spans="1:4" x14ac:dyDescent="0.35">
      <c r="A1553" t="s">
        <v>297</v>
      </c>
      <c r="B1553" s="69" t="s">
        <v>144</v>
      </c>
      <c r="D1553" s="37"/>
    </row>
    <row r="1554" spans="1:4" x14ac:dyDescent="0.35">
      <c r="A1554" t="s">
        <v>297</v>
      </c>
      <c r="B1554" s="69" t="s">
        <v>145</v>
      </c>
      <c r="D1554" s="37"/>
    </row>
    <row r="1555" spans="1:4" x14ac:dyDescent="0.35">
      <c r="A1555" t="s">
        <v>297</v>
      </c>
      <c r="B1555" s="69" t="s">
        <v>146</v>
      </c>
      <c r="D1555" s="37"/>
    </row>
    <row r="1556" spans="1:4" x14ac:dyDescent="0.35">
      <c r="A1556" t="s">
        <v>297</v>
      </c>
      <c r="B1556" s="69" t="s">
        <v>147</v>
      </c>
      <c r="D1556" s="37"/>
    </row>
  </sheetData>
  <phoneticPr fontId="48" type="noConversion"/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518CCF1-63D1-4F37-AE9F-C3772D4A231A}">
          <x14:formula1>
            <xm:f>Targets!$Q$4:$Q$6</xm:f>
          </x14:formula1>
          <xm:sqref>U87:U193</xm:sqref>
        </x14:dataValidation>
        <x14:dataValidation type="list" allowBlank="1" showInputMessage="1" showErrorMessage="1" xr:uid="{C3A5DCF4-2393-44D7-8C13-A380056BE367}">
          <x14:formula1>
            <xm:f>Targets!$M$4:$M$20</xm:f>
          </x14:formula1>
          <xm:sqref>T87:T193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item1.xml>��� � 
</file>

<file path=customXml/item2.xml>��� � � � � � 
</file>

<file path=customXml/item3.xml>��
</file>

<file path=customXml/item4.xml>��
</file>

<file path=customXml/item5.xml>��
</file>

<file path=customXml/item6.xml>��
</file>

<file path=customXml/item7.xml>��� � 
</file>

<file path=customXml/item8.xml>��
</file>

<file path=customXml/item9.xml>��
</file>

<file path=customXml/item10.xml>��
</file>

<file path=customXml/item11.xml>��� � 
</file>

<file path=customXml/item12.xml>��� � � � � � 
</file>

<file path=customXml/item13.xml>��
</file>

<file path=customXml/item14.xml>��
</file>

<file path=customXml/item15.xml>��� � 
</file>

<file path=customXml/item16.xml>��� � 
</file>

<file path=customXml/item17.xml>��� � 
</file>

<file path=customXml/item18.xml>��
</file>

<file path=customXml/item19.xml>��
</file>

<file path=customXml/item20.xml>��
</file>

<file path=customXml/item21.xml>��� � 
</file>

<file path=customXml/item22.xml>��� � 
</file>

<file path=customXml/item23.xml>��� � 
</file>

<file path=customXml/item24.xml>��� � � "� � � "
</file>

<file path=customXml/item25.xml>��� � 
</file>

<file path=customXml/item26.xml>��
</file>

<file path=customXml/item27.xml>��� � 
</file>

<file path=customXml/item28.xml>��� � � � � � 
</file>

<file path=customXml/item29.xml>��
</file>

<file path=customXml/item30.xml>��
</file>

<file path=customXml/item31.xml>��
</file>

<file path=customXml/item32.xml>��� � 
</file>

<file path=customXml/item33.xml>��� � � � � � 
</file>

<file path=customXml/item34.xml>��� � 
</file>

<file path=customXml/item35.xml>��� � 
</file>

<file path=customXml/item36.xml>��� � 
</file>

<file path=customXml/item37.xml>��
</file>

<file path=customXml/item38.xml>��� "� � � "� � � � � � � � � 
</file>

<file path=customXml/item39.xml>��� � 
</file>

<file path=customXml/item40.xml>��
</file>

<file path=customXml/item41.xml>��
</file>

<file path=customXml/item42.xml>��� � � � � � 
</file>

<file path=customXml/item43.xml>��� � � � � � � � � � � � � "� "� "� "� "� "� "� "� "� "� "� "� "� "� "� "� "� "� "� "� "� "� "� "� "� "� "� "� "� "� "� "� "� "� "� "� "� "� � � � � "� "� "� � � � � � � � "� "� "� � � � "� "� "� "� "� "� � � � � � � "� � � "� "� "� "� "� "� "� "� "� "� "� "� � � � � � � � � � � � � "� "� "� "� "� "� � � � � � � "� � � "� "� "� "� "� "� "� "� "� "� "� "� � � � � � � � � � � � � � � � � � � � � � � � 
</file>

<file path=customXml/itemProps1.xml><?xml version="1.0" encoding="utf-8"?>
<ds:datastoreItem xmlns:ds="http://schemas.openxmlformats.org/officeDocument/2006/customXml" ds:itemID="{E42E9CE4-D197-4EB4-8467-534962689E55}">
  <ds:schemaRefs/>
</ds:datastoreItem>
</file>

<file path=customXml/itemProps2.xml><?xml version="1.0" encoding="utf-8"?>
<ds:datastoreItem xmlns:ds="http://schemas.openxmlformats.org/officeDocument/2006/customXml" ds:itemID="{C70F9AA7-8E3C-429D-B21C-1F71FD4B3DCB}">
  <ds:schemaRefs/>
</ds:datastoreItem>
</file>

<file path=customXml/itemProps3.xml><?xml version="1.0" encoding="utf-8"?>
<ds:datastoreItem xmlns:ds="http://schemas.openxmlformats.org/officeDocument/2006/customXml" ds:itemID="{D4A8C9F8-65C8-4F59-BE63-BDEF91D7F620}">
  <ds:schemaRefs/>
</ds:datastoreItem>
</file>

<file path=customXml/itemProps4.xml><?xml version="1.0" encoding="utf-8"?>
<ds:datastoreItem xmlns:ds="http://schemas.openxmlformats.org/officeDocument/2006/customXml" ds:itemID="{0F8A396E-6B73-4475-AC61-4AE18329EEBB}">
  <ds:schemaRefs/>
</ds:datastoreItem>
</file>

<file path=customXml/itemProps5.xml><?xml version="1.0" encoding="utf-8"?>
<ds:datastoreItem xmlns:ds="http://schemas.openxmlformats.org/officeDocument/2006/customXml" ds:itemID="{0D0F800C-55F0-4B8D-B65D-1956604BBC4A}">
  <ds:schemaRefs/>
</ds:datastoreItem>
</file>

<file path=customXml/itemProps6.xml><?xml version="1.0" encoding="utf-8"?>
<ds:datastoreItem xmlns:ds="http://schemas.openxmlformats.org/officeDocument/2006/customXml" ds:itemID="{AC17C8BE-B152-42DD-A34C-FD10F0245446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576E00CA-C4C3-46B3-AD1F-3EE26A173CA0}">
  <ds:schemaRefs/>
</ds:datastoreItem>
</file>

<file path=customXml/itemProps8.xml><?xml version="1.0" encoding="utf-8"?>
<ds:datastoreItem xmlns:ds="http://schemas.openxmlformats.org/officeDocument/2006/customXml" ds:itemID="{38769107-2822-48BA-A163-23A336FF9020}">
  <ds:schemaRefs/>
</ds:datastoreItem>
</file>

<file path=customXml/itemProps9.xml><?xml version="1.0" encoding="utf-8"?>
<ds:datastoreItem xmlns:ds="http://schemas.openxmlformats.org/officeDocument/2006/customXml" ds:itemID="{0DA15B66-50BD-4C34-A4A6-F7200DCB8044}">
  <ds:schemaRefs/>
</ds:datastoreItem>
</file>

<file path=customXml/itemProps10.xml><?xml version="1.0" encoding="utf-8"?>
<ds:datastoreItem xmlns:ds="http://schemas.openxmlformats.org/officeDocument/2006/customXml" ds:itemID="{AF00B4FA-D750-4F58-976F-B1151798FCDA}">
  <ds:schemaRefs/>
</ds:datastoreItem>
</file>

<file path=customXml/itemProps11.xml><?xml version="1.0" encoding="utf-8"?>
<ds:datastoreItem xmlns:ds="http://schemas.openxmlformats.org/officeDocument/2006/customXml" ds:itemID="{58C5A15C-C954-4888-9E99-C9BE9F56A850}">
  <ds:schemaRefs/>
</ds:datastoreItem>
</file>

<file path=customXml/itemProps12.xml><?xml version="1.0" encoding="utf-8"?>
<ds:datastoreItem xmlns:ds="http://schemas.openxmlformats.org/officeDocument/2006/customXml" ds:itemID="{42EFE6AE-9086-4C6F-9C8C-626EDF456519}">
  <ds:schemaRefs/>
</ds:datastoreItem>
</file>

<file path=customXml/itemProps13.xml><?xml version="1.0" encoding="utf-8"?>
<ds:datastoreItem xmlns:ds="http://schemas.openxmlformats.org/officeDocument/2006/customXml" ds:itemID="{136BC35F-9388-485C-BB16-B371643FE435}">
  <ds:schemaRefs/>
</ds:datastoreItem>
</file>

<file path=customXml/itemProps14.xml><?xml version="1.0" encoding="utf-8"?>
<ds:datastoreItem xmlns:ds="http://schemas.openxmlformats.org/officeDocument/2006/customXml" ds:itemID="{0DC66C4B-A148-4DD1-B5EB-3A2D106727DF}">
  <ds:schemaRefs/>
</ds:datastoreItem>
</file>

<file path=customXml/itemProps15.xml><?xml version="1.0" encoding="utf-8"?>
<ds:datastoreItem xmlns:ds="http://schemas.openxmlformats.org/officeDocument/2006/customXml" ds:itemID="{E058C73B-9365-4D9A-8A29-1987F1A3A56A}">
  <ds:schemaRefs/>
</ds:datastoreItem>
</file>

<file path=customXml/itemProps16.xml><?xml version="1.0" encoding="utf-8"?>
<ds:datastoreItem xmlns:ds="http://schemas.openxmlformats.org/officeDocument/2006/customXml" ds:itemID="{D7859309-649C-46A5-96A5-04CD5F423E3E}">
  <ds:schemaRefs/>
</ds:datastoreItem>
</file>

<file path=customXml/itemProps17.xml><?xml version="1.0" encoding="utf-8"?>
<ds:datastoreItem xmlns:ds="http://schemas.openxmlformats.org/officeDocument/2006/customXml" ds:itemID="{D7088BC6-4E39-4F1E-988A-F9FFB3578E1C}">
  <ds:schemaRefs/>
</ds:datastoreItem>
</file>

<file path=customXml/itemProps18.xml><?xml version="1.0" encoding="utf-8"?>
<ds:datastoreItem xmlns:ds="http://schemas.openxmlformats.org/officeDocument/2006/customXml" ds:itemID="{AAA6D46D-94C8-435F-92BE-B0CE8187092B}">
  <ds:schemaRefs/>
</ds:datastoreItem>
</file>

<file path=customXml/itemProps19.xml><?xml version="1.0" encoding="utf-8"?>
<ds:datastoreItem xmlns:ds="http://schemas.openxmlformats.org/officeDocument/2006/customXml" ds:itemID="{3D6AAB0A-D745-4EF9-8920-462D32D02F66}">
  <ds:schemaRefs/>
</ds:datastoreItem>
</file>

<file path=customXml/itemProps20.xml><?xml version="1.0" encoding="utf-8"?>
<ds:datastoreItem xmlns:ds="http://schemas.openxmlformats.org/officeDocument/2006/customXml" ds:itemID="{44BF2F49-E257-447F-8217-77E758993462}">
  <ds:schemaRefs/>
</ds:datastoreItem>
</file>

<file path=customXml/itemProps21.xml><?xml version="1.0" encoding="utf-8"?>
<ds:datastoreItem xmlns:ds="http://schemas.openxmlformats.org/officeDocument/2006/customXml" ds:itemID="{D5875026-8E73-444A-9706-8E0661E28F32}">
  <ds:schemaRefs/>
</ds:datastoreItem>
</file>

<file path=customXml/itemProps22.xml><?xml version="1.0" encoding="utf-8"?>
<ds:datastoreItem xmlns:ds="http://schemas.openxmlformats.org/officeDocument/2006/customXml" ds:itemID="{FB430F26-BF72-44F7-9E97-4C1A78416478}">
  <ds:schemaRefs/>
</ds:datastoreItem>
</file>

<file path=customXml/itemProps23.xml><?xml version="1.0" encoding="utf-8"?>
<ds:datastoreItem xmlns:ds="http://schemas.openxmlformats.org/officeDocument/2006/customXml" ds:itemID="{80CE0626-995F-476B-8796-91621794F8FE}">
  <ds:schemaRefs/>
</ds:datastoreItem>
</file>

<file path=customXml/itemProps24.xml><?xml version="1.0" encoding="utf-8"?>
<ds:datastoreItem xmlns:ds="http://schemas.openxmlformats.org/officeDocument/2006/customXml" ds:itemID="{FE306E6F-BDAA-4C78-A106-4D765B75F10A}">
  <ds:schemaRefs/>
</ds:datastoreItem>
</file>

<file path=customXml/itemProps25.xml><?xml version="1.0" encoding="utf-8"?>
<ds:datastoreItem xmlns:ds="http://schemas.openxmlformats.org/officeDocument/2006/customXml" ds:itemID="{399578CE-DEC7-43C4-AD8D-8631A5846A02}">
  <ds:schemaRefs/>
</ds:datastoreItem>
</file>

<file path=customXml/itemProps26.xml><?xml version="1.0" encoding="utf-8"?>
<ds:datastoreItem xmlns:ds="http://schemas.openxmlformats.org/officeDocument/2006/customXml" ds:itemID="{3CF7F571-4A9D-4573-88B7-3891E2B72BE1}">
  <ds:schemaRefs/>
</ds:datastoreItem>
</file>

<file path=customXml/itemProps27.xml><?xml version="1.0" encoding="utf-8"?>
<ds:datastoreItem xmlns:ds="http://schemas.openxmlformats.org/officeDocument/2006/customXml" ds:itemID="{0AF7685A-2129-416C-AC48-9001AC69EFCA}">
  <ds:schemaRefs/>
</ds:datastoreItem>
</file>

<file path=customXml/itemProps28.xml><?xml version="1.0" encoding="utf-8"?>
<ds:datastoreItem xmlns:ds="http://schemas.openxmlformats.org/officeDocument/2006/customXml" ds:itemID="{24674DA1-37AC-4C3F-BEEB-C8467C11CDC6}">
  <ds:schemaRefs/>
</ds:datastoreItem>
</file>

<file path=customXml/itemProps29.xml><?xml version="1.0" encoding="utf-8"?>
<ds:datastoreItem xmlns:ds="http://schemas.openxmlformats.org/officeDocument/2006/customXml" ds:itemID="{ECDD45EF-8224-43D8-97F8-789B8EF9A376}">
  <ds:schemaRefs/>
</ds:datastoreItem>
</file>

<file path=customXml/itemProps30.xml><?xml version="1.0" encoding="utf-8"?>
<ds:datastoreItem xmlns:ds="http://schemas.openxmlformats.org/officeDocument/2006/customXml" ds:itemID="{86599E87-849E-4849-A3C2-2BC620D6D4FD}">
  <ds:schemaRefs/>
</ds:datastoreItem>
</file>

<file path=customXml/itemProps31.xml><?xml version="1.0" encoding="utf-8"?>
<ds:datastoreItem xmlns:ds="http://schemas.openxmlformats.org/officeDocument/2006/customXml" ds:itemID="{8C3FFE2C-E90E-4852-A5A5-7873D01B38F4}">
  <ds:schemaRefs/>
</ds:datastoreItem>
</file>

<file path=customXml/itemProps32.xml><?xml version="1.0" encoding="utf-8"?>
<ds:datastoreItem xmlns:ds="http://schemas.openxmlformats.org/officeDocument/2006/customXml" ds:itemID="{3FB8461E-CFB0-4846-845E-BC1FC2AF0553}">
  <ds:schemaRefs/>
</ds:datastoreItem>
</file>

<file path=customXml/itemProps33.xml><?xml version="1.0" encoding="utf-8"?>
<ds:datastoreItem xmlns:ds="http://schemas.openxmlformats.org/officeDocument/2006/customXml" ds:itemID="{37DEE629-B61E-4141-B534-57A0D3F7F2C6}">
  <ds:schemaRefs/>
</ds:datastoreItem>
</file>

<file path=customXml/itemProps34.xml><?xml version="1.0" encoding="utf-8"?>
<ds:datastoreItem xmlns:ds="http://schemas.openxmlformats.org/officeDocument/2006/customXml" ds:itemID="{BB63E957-2D86-41A0-8397-0E6140EE51AC}">
  <ds:schemaRefs/>
</ds:datastoreItem>
</file>

<file path=customXml/itemProps35.xml><?xml version="1.0" encoding="utf-8"?>
<ds:datastoreItem xmlns:ds="http://schemas.openxmlformats.org/officeDocument/2006/customXml" ds:itemID="{97EE2AB5-5F6C-45F8-88C3-9FC861A8BBC8}">
  <ds:schemaRefs/>
</ds:datastoreItem>
</file>

<file path=customXml/itemProps36.xml><?xml version="1.0" encoding="utf-8"?>
<ds:datastoreItem xmlns:ds="http://schemas.openxmlformats.org/officeDocument/2006/customXml" ds:itemID="{F7F2D8D3-6B47-4721-B350-FF2E73B5D918}">
  <ds:schemaRefs/>
</ds:datastoreItem>
</file>

<file path=customXml/itemProps37.xml><?xml version="1.0" encoding="utf-8"?>
<ds:datastoreItem xmlns:ds="http://schemas.openxmlformats.org/officeDocument/2006/customXml" ds:itemID="{F1516354-154F-45FC-AB74-D2997451C5F2}">
  <ds:schemaRefs/>
</ds:datastoreItem>
</file>

<file path=customXml/itemProps38.xml><?xml version="1.0" encoding="utf-8"?>
<ds:datastoreItem xmlns:ds="http://schemas.openxmlformats.org/officeDocument/2006/customXml" ds:itemID="{0FC8A381-A41B-44C6-8105-90B3E5B2B4F5}">
  <ds:schemaRefs/>
</ds:datastoreItem>
</file>

<file path=customXml/itemProps39.xml><?xml version="1.0" encoding="utf-8"?>
<ds:datastoreItem xmlns:ds="http://schemas.openxmlformats.org/officeDocument/2006/customXml" ds:itemID="{8145BEDB-BE79-4B7C-84C7-6107E158EEEC}">
  <ds:schemaRefs/>
</ds:datastoreItem>
</file>

<file path=customXml/itemProps40.xml><?xml version="1.0" encoding="utf-8"?>
<ds:datastoreItem xmlns:ds="http://schemas.openxmlformats.org/officeDocument/2006/customXml" ds:itemID="{2E4FFDB4-FD66-4A97-A407-9EA7C4024AE7}">
  <ds:schemaRefs/>
</ds:datastoreItem>
</file>

<file path=customXml/itemProps41.xml><?xml version="1.0" encoding="utf-8"?>
<ds:datastoreItem xmlns:ds="http://schemas.openxmlformats.org/officeDocument/2006/customXml" ds:itemID="{B3542EF0-6536-40CE-B935-E0CF55315232}">
  <ds:schemaRefs/>
</ds:datastoreItem>
</file>

<file path=customXml/itemProps42.xml><?xml version="1.0" encoding="utf-8"?>
<ds:datastoreItem xmlns:ds="http://schemas.openxmlformats.org/officeDocument/2006/customXml" ds:itemID="{47AF4F71-C261-4A58-90A0-2859C2D3B2B5}">
  <ds:schemaRefs/>
</ds:datastoreItem>
</file>

<file path=customXml/itemProps43.xml><?xml version="1.0" encoding="utf-8"?>
<ds:datastoreItem xmlns:ds="http://schemas.openxmlformats.org/officeDocument/2006/customXml" ds:itemID="{2CA1005C-E2AA-439F-870A-00F826EFD91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DQO</vt:lpstr>
      <vt:lpstr>Base_Rendimientos</vt:lpstr>
      <vt:lpstr>Requesón</vt:lpstr>
      <vt:lpstr>Dim_Fecha</vt:lpstr>
      <vt:lpstr>Targets</vt:lpstr>
      <vt:lpstr>Pivots</vt:lpstr>
      <vt:lpstr>Precio Leche_EBITDA_Ventas</vt:lpstr>
      <vt:lpstr>TBL_REND_TARGET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Colasante</dc:creator>
  <cp:keywords/>
  <dc:description/>
  <cp:lastModifiedBy>Marcos Colasante</cp:lastModifiedBy>
  <cp:revision/>
  <cp:lastPrinted>2026-01-08T09:24:35Z</cp:lastPrinted>
  <dcterms:created xsi:type="dcterms:W3CDTF">2013-01-08T09:28:33Z</dcterms:created>
  <dcterms:modified xsi:type="dcterms:W3CDTF">2026-10-01T06:48:46Z</dcterms:modified>
  <cp:category/>
  <cp:contentStatus/>
</cp:coreProperties>
</file>