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grupotgt.com\OLV\Departamentos\Contabilidad\01 Produccion_rendimientos\Pruebas dashboard\ARCHIVOS PARA SUBIR\"/>
    </mc:Choice>
  </mc:AlternateContent>
  <xr:revisionPtr revIDLastSave="0" documentId="13_ncr:1_{5EAEC9F2-0B26-4FD0-A9C7-51F4139A3761}" xr6:coauthVersionLast="47" xr6:coauthVersionMax="47" xr10:uidLastSave="{00000000-0000-0000-0000-000000000000}"/>
  <bookViews>
    <workbookView xWindow="-110" yWindow="-110" windowWidth="19420" windowHeight="10300" tabRatio="618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1" hidden="1">REND_TARGET[]</definedName>
    <definedName name="_xlcn.WorksheetConnection_2026Rendimiento_nuevo_plantilla_VF_marcos.xlsxtbl_DimProducto1" hidden="1">tbl_DimProducto[]</definedName>
    <definedName name="_xlcn.WorksheetConnection_2026Rendimiento_nuevo_plantilla_VF_marcos.xlsxtbl_FactRendFecha1" hidden="1">tbl_DimFecha[]</definedName>
    <definedName name="_xlcn.WorksheetConnection_Rendimiento_nuevo_plantilla_VF_dash_buena_cambiado.xlsxTabla_master_rend1" hidden="1">Tabla_master_rend[]</definedName>
    <definedName name="_xlcn.WorksheetConnection_Rendimiento_VF_2026_.xlsxTabla_Contabilidad1" hidden="1">Tabla_Contabilidad[]</definedName>
    <definedName name="_xlcn.WorksheetConnection_Rendimiento_VF_2026_.xlsxTabla_Precio_Venta1" hidden="1">Tabla_Precio_Venta[]</definedName>
    <definedName name="_xlcn.WorksheetConnection_Rendimiento_VF_2026_.xlsxtbl_PrecioLeche1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27" r:id="rId8"/>
    <pivotCache cacheId="28" r:id="rId9"/>
    <pivotCache cacheId="29" r:id="rId10"/>
    <pivotCache cacheId="30" r:id="rId11"/>
    <pivotCache cacheId="31" r:id="rId12"/>
    <pivotCache cacheId="32" r:id="rId13"/>
    <pivotCache cacheId="33" r:id="rId14"/>
    <pivotCache cacheId="34" r:id="rId15"/>
    <pivotCache cacheId="35" r:id="rId16"/>
    <pivotCache cacheId="36" r:id="rId17"/>
    <pivotCache cacheId="37" r:id="rId18"/>
    <pivotCache cacheId="38" r:id="rId19"/>
  </pivotCaches>
  <extLst>
    <ext xmlns:x14="http://schemas.microsoft.com/office/spreadsheetml/2009/9/main" uri="{876F7934-8845-4945-9796-88D515C7AA90}">
      <x14:pivotCaches>
        <pivotCache cacheId="39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243" l="1"/>
  <c r="J23" i="243"/>
  <c r="C23" i="243"/>
  <c r="D23" i="243"/>
  <c r="P23" i="243"/>
  <c r="Q23" i="243" s="1"/>
  <c r="AA247" i="228"/>
  <c r="J63" i="237" a="1"/>
  <c r="J62" i="237" a="1"/>
  <c r="J61" i="237" a="1"/>
  <c r="J59" i="237" a="1"/>
  <c r="J58" i="237" a="1"/>
  <c r="J57" i="237" a="1"/>
  <c r="J56" i="237" a="1"/>
  <c r="J60" i="237" a="1"/>
  <c r="J53" i="237" a="1"/>
  <c r="J52" i="237" a="1"/>
  <c r="J55" i="237" a="1"/>
  <c r="C247" i="228"/>
  <c r="D247" i="228"/>
  <c r="I247" i="228"/>
  <c r="M247" i="228"/>
  <c r="Z247" i="228"/>
  <c r="AI247" i="228"/>
  <c r="CB247" i="228" s="1"/>
  <c r="AL247" i="228"/>
  <c r="AR247" i="228"/>
  <c r="AU247" i="228"/>
  <c r="AY247" i="228"/>
  <c r="BB247" i="228"/>
  <c r="BO247" i="228"/>
  <c r="BP247" i="228"/>
  <c r="BR247" i="228"/>
  <c r="BT247" i="228"/>
  <c r="BU247" i="228"/>
  <c r="BX247" i="228"/>
  <c r="CA247" i="228"/>
  <c r="O22" i="243"/>
  <c r="C22" i="243"/>
  <c r="D22" i="243"/>
  <c r="P22" i="243"/>
  <c r="Q22" i="243" s="1"/>
  <c r="O21" i="243"/>
  <c r="C21" i="243"/>
  <c r="D21" i="243"/>
  <c r="P21" i="243"/>
  <c r="Q21" i="243" s="1"/>
  <c r="C246" i="228"/>
  <c r="D246" i="228"/>
  <c r="I246" i="228"/>
  <c r="AM246" i="228" s="1"/>
  <c r="M246" i="228"/>
  <c r="Z246" i="228"/>
  <c r="AA246" i="228"/>
  <c r="AI246" i="228"/>
  <c r="CB246" i="228" s="1"/>
  <c r="AL246" i="228"/>
  <c r="AR246" i="228"/>
  <c r="AU246" i="228" s="1"/>
  <c r="AY246" i="228"/>
  <c r="BB246" i="228"/>
  <c r="BO246" i="228"/>
  <c r="BP246" i="228"/>
  <c r="BR246" i="228"/>
  <c r="BT246" i="228"/>
  <c r="BU246" i="228" s="1"/>
  <c r="BV246" i="228"/>
  <c r="BX246" i="228"/>
  <c r="BV243" i="228"/>
  <c r="AV245" i="228"/>
  <c r="AY245" i="228" s="1"/>
  <c r="AV244" i="228"/>
  <c r="AI244" i="228" s="1"/>
  <c r="CA244" i="228" s="1"/>
  <c r="AD245" i="228"/>
  <c r="AD244" i="228"/>
  <c r="Y245" i="228"/>
  <c r="X245" i="228"/>
  <c r="Z245" i="228" s="1"/>
  <c r="Y244" i="228"/>
  <c r="X244" i="228"/>
  <c r="Z244" i="228" s="1"/>
  <c r="C245" i="228"/>
  <c r="D245" i="228"/>
  <c r="I245" i="228"/>
  <c r="BV245" i="228" s="1"/>
  <c r="BW245" i="228" s="1"/>
  <c r="M245" i="228"/>
  <c r="AI245" i="228"/>
  <c r="CA245" i="228" s="1"/>
  <c r="AL245" i="228"/>
  <c r="AR245" i="228"/>
  <c r="AU245" i="228"/>
  <c r="BB245" i="228"/>
  <c r="BO245" i="228"/>
  <c r="BP245" i="228"/>
  <c r="BT245" i="228"/>
  <c r="BU245" i="228" s="1"/>
  <c r="C244" i="228"/>
  <c r="D244" i="228"/>
  <c r="I244" i="228"/>
  <c r="BV244" i="228" s="1"/>
  <c r="BW244" i="228" s="1"/>
  <c r="M244" i="228"/>
  <c r="AL244" i="228"/>
  <c r="AR244" i="228"/>
  <c r="AU244" i="228" s="1"/>
  <c r="BB244" i="228"/>
  <c r="BO244" i="228"/>
  <c r="BP244" i="228"/>
  <c r="BT244" i="228"/>
  <c r="BU244" i="228" s="1"/>
  <c r="O20" i="243"/>
  <c r="C20" i="243"/>
  <c r="D20" i="243"/>
  <c r="P20" i="243"/>
  <c r="Q20" i="243" s="1"/>
  <c r="C243" i="228"/>
  <c r="D243" i="228"/>
  <c r="I243" i="228"/>
  <c r="U243" i="228" s="1"/>
  <c r="M243" i="228"/>
  <c r="Z243" i="228"/>
  <c r="AA243" i="228"/>
  <c r="AI243" i="228"/>
  <c r="CA243" i="228" s="1"/>
  <c r="AL243" i="228"/>
  <c r="AR243" i="228"/>
  <c r="AU243" i="228" s="1"/>
  <c r="AY243" i="228"/>
  <c r="BB243" i="228"/>
  <c r="BO243" i="228"/>
  <c r="BP243" i="228"/>
  <c r="BR243" i="228"/>
  <c r="BT243" i="228"/>
  <c r="BU243" i="228" s="1"/>
  <c r="BX243" i="228"/>
  <c r="AO105" i="242"/>
  <c r="AK105" i="242"/>
  <c r="AJ247" i="228" l="1"/>
  <c r="CF247" i="228"/>
  <c r="CC247" i="228"/>
  <c r="CD247" i="228" s="1"/>
  <c r="BV247" i="228"/>
  <c r="BW247" i="228" s="1"/>
  <c r="U247" i="228"/>
  <c r="AM247" i="228"/>
  <c r="AQ247" i="228" s="1"/>
  <c r="BQ247" i="228"/>
  <c r="BW243" i="228"/>
  <c r="AK247" i="228"/>
  <c r="BX244" i="228"/>
  <c r="BX245" i="228"/>
  <c r="BY245" i="228" s="1"/>
  <c r="BZ245" i="228" s="1"/>
  <c r="BR244" i="228"/>
  <c r="CH244" i="228" s="1" a="1"/>
  <c r="CA246" i="228"/>
  <c r="AZ247" i="228"/>
  <c r="BR245" i="228"/>
  <c r="AK245" i="228" s="1"/>
  <c r="BY247" i="228"/>
  <c r="BZ247" i="228" s="1"/>
  <c r="BW246" i="228"/>
  <c r="AT247" i="228"/>
  <c r="AY244" i="228"/>
  <c r="CF246" i="228"/>
  <c r="CH247" i="228" a="1"/>
  <c r="AS247" i="228"/>
  <c r="CC246" i="228"/>
  <c r="CD246" i="228" s="1"/>
  <c r="BY246" i="228"/>
  <c r="BZ246" i="228" s="1"/>
  <c r="BQ246" i="228"/>
  <c r="AK246" i="228"/>
  <c r="CH246" i="228" a="1"/>
  <c r="U246" i="228"/>
  <c r="AQ246" i="228"/>
  <c r="AJ246" i="228"/>
  <c r="AZ246" i="228"/>
  <c r="AT246" i="228"/>
  <c r="AS246" i="228"/>
  <c r="AJ245" i="228"/>
  <c r="CF245" i="228"/>
  <c r="CH245" i="228" a="1"/>
  <c r="CB244" i="228"/>
  <c r="AA245" i="228"/>
  <c r="AA244" i="228"/>
  <c r="AM245" i="228"/>
  <c r="U245" i="228"/>
  <c r="AQ245" i="228"/>
  <c r="BQ245" i="228"/>
  <c r="CF244" i="228"/>
  <c r="U244" i="228"/>
  <c r="AM243" i="228"/>
  <c r="AQ243" i="228" s="1"/>
  <c r="CB245" i="228"/>
  <c r="CC245" i="228" s="1"/>
  <c r="AZ245" i="228"/>
  <c r="AM244" i="228"/>
  <c r="AQ244" i="228" s="1"/>
  <c r="AT245" i="228"/>
  <c r="AS245" i="228"/>
  <c r="AJ244" i="228"/>
  <c r="CB243" i="228"/>
  <c r="CC243" i="228" s="1"/>
  <c r="CD243" i="228" s="1"/>
  <c r="AT244" i="228"/>
  <c r="AS244" i="228"/>
  <c r="AZ244" i="228"/>
  <c r="CH243" i="228" a="1"/>
  <c r="AJ243" i="228"/>
  <c r="AS243" i="228"/>
  <c r="BY243" i="228"/>
  <c r="BZ243" i="228" s="1"/>
  <c r="CF243" i="228"/>
  <c r="BQ243" i="228"/>
  <c r="AK243" i="228"/>
  <c r="AZ243" i="228"/>
  <c r="AT243" i="228"/>
  <c r="AX242" i="228"/>
  <c r="BX242" i="228" s="1"/>
  <c r="C242" i="228"/>
  <c r="D242" i="228"/>
  <c r="I242" i="228"/>
  <c r="U242" i="228" s="1"/>
  <c r="M242" i="228"/>
  <c r="Z242" i="228"/>
  <c r="AA242" i="228"/>
  <c r="AL242" i="228"/>
  <c r="AR242" i="228"/>
  <c r="AU242" i="228" s="1"/>
  <c r="BB242" i="228"/>
  <c r="BO242" i="228"/>
  <c r="BP242" i="228"/>
  <c r="BT242" i="228"/>
  <c r="BU242" i="228" s="1"/>
  <c r="K47" i="242"/>
  <c r="K46" i="242"/>
  <c r="K45" i="242"/>
  <c r="O19" i="243"/>
  <c r="C19" i="243"/>
  <c r="D19" i="243"/>
  <c r="P19" i="243"/>
  <c r="Q19" i="243" s="1"/>
  <c r="C241" i="228"/>
  <c r="D241" i="228"/>
  <c r="I241" i="228"/>
  <c r="BV241" i="228" s="1"/>
  <c r="M241" i="228"/>
  <c r="Z241" i="228"/>
  <c r="AA241" i="228"/>
  <c r="AI241" i="228"/>
  <c r="AZ241" i="228" s="1"/>
  <c r="AL241" i="228"/>
  <c r="AR241" i="228"/>
  <c r="AU241" i="228" s="1"/>
  <c r="AY241" i="228"/>
  <c r="BB241" i="228"/>
  <c r="BO241" i="228"/>
  <c r="BP241" i="228"/>
  <c r="BR241" i="228"/>
  <c r="BT241" i="228"/>
  <c r="BU241" i="228" s="1"/>
  <c r="BX241" i="228"/>
  <c r="C240" i="228"/>
  <c r="D240" i="228"/>
  <c r="I240" i="228"/>
  <c r="M240" i="228"/>
  <c r="Z240" i="228"/>
  <c r="AA240" i="228"/>
  <c r="AI240" i="228"/>
  <c r="CB240" i="228" s="1"/>
  <c r="AL240" i="228"/>
  <c r="AR240" i="228"/>
  <c r="AU240" i="228" s="1"/>
  <c r="AY240" i="228"/>
  <c r="BB240" i="228"/>
  <c r="BO240" i="228"/>
  <c r="BP240" i="228"/>
  <c r="BR240" i="228"/>
  <c r="BT240" i="228"/>
  <c r="BU240" i="228" s="1"/>
  <c r="BX240" i="228"/>
  <c r="CG247" i="228" l="1"/>
  <c r="CI247" i="228" s="1"/>
  <c r="CE247" i="228"/>
  <c r="CG246" i="228"/>
  <c r="CI246" i="228" s="1"/>
  <c r="CE246" i="228"/>
  <c r="BY244" i="228"/>
  <c r="BZ244" i="228" s="1"/>
  <c r="BQ244" i="228"/>
  <c r="AK244" i="228"/>
  <c r="BW241" i="228"/>
  <c r="CC244" i="228"/>
  <c r="CD244" i="228" s="1"/>
  <c r="CD245" i="228"/>
  <c r="CE243" i="228"/>
  <c r="CG243" i="228"/>
  <c r="CI243" i="228" s="1"/>
  <c r="BR242" i="228"/>
  <c r="CH242" i="228" s="1" a="1"/>
  <c r="AY242" i="228"/>
  <c r="AI242" i="228"/>
  <c r="AZ242" i="228" s="1"/>
  <c r="AT242" i="228"/>
  <c r="AS242" i="228"/>
  <c r="BV242" i="228"/>
  <c r="BW242" i="228" s="1"/>
  <c r="AM242" i="228"/>
  <c r="AJ242" i="228"/>
  <c r="BY241" i="228"/>
  <c r="BZ241" i="228" s="1"/>
  <c r="CA240" i="228"/>
  <c r="CC240" i="228" s="1"/>
  <c r="CD240" i="228" s="1"/>
  <c r="CF240" i="228"/>
  <c r="AZ240" i="228"/>
  <c r="AS240" i="228"/>
  <c r="BQ241" i="228"/>
  <c r="BY240" i="228"/>
  <c r="BZ240" i="228" s="1"/>
  <c r="CH241" i="228" a="1"/>
  <c r="AJ240" i="228"/>
  <c r="CA241" i="228"/>
  <c r="BV240" i="228"/>
  <c r="BW240" i="228" s="1"/>
  <c r="AS241" i="228"/>
  <c r="AT240" i="228"/>
  <c r="CF241" i="228"/>
  <c r="AM241" i="228"/>
  <c r="AQ241" i="228" s="1"/>
  <c r="BQ240" i="228"/>
  <c r="CH240" i="228" a="1"/>
  <c r="U240" i="228"/>
  <c r="AK241" i="228"/>
  <c r="CB241" i="228"/>
  <c r="AJ241" i="228"/>
  <c r="U241" i="228"/>
  <c r="AT241" i="228"/>
  <c r="AM240" i="228"/>
  <c r="AQ240" i="228" s="1"/>
  <c r="AK240" i="228"/>
  <c r="AQ242" i="228" l="1"/>
  <c r="CG244" i="228"/>
  <c r="CI244" i="228" s="1"/>
  <c r="CE244" i="228"/>
  <c r="CG245" i="228"/>
  <c r="CI245" i="228" s="1"/>
  <c r="CE245" i="228"/>
  <c r="BY242" i="228"/>
  <c r="BZ242" i="228" s="1"/>
  <c r="AK242" i="228"/>
  <c r="BQ242" i="228"/>
  <c r="CA242" i="228"/>
  <c r="CB242" i="228"/>
  <c r="CC242" i="228"/>
  <c r="CF242" i="228"/>
  <c r="CG240" i="228"/>
  <c r="CI240" i="228" s="1"/>
  <c r="CE240" i="228"/>
  <c r="CC241" i="228"/>
  <c r="CD241" i="228" s="1"/>
  <c r="CG241" i="228" s="1"/>
  <c r="CI241" i="228" s="1"/>
  <c r="CD242" i="228" l="1"/>
  <c r="CE241" i="228"/>
  <c r="CG242" i="228" l="1"/>
  <c r="CI242" i="228" s="1"/>
  <c r="CE242" i="228"/>
  <c r="O18" i="243"/>
  <c r="C18" i="243"/>
  <c r="D18" i="243"/>
  <c r="P18" i="243"/>
  <c r="Q18" i="243" s="1"/>
  <c r="C239" i="228"/>
  <c r="D239" i="228"/>
  <c r="I239" i="228"/>
  <c r="AM239" i="228" s="1"/>
  <c r="M239" i="228"/>
  <c r="Z239" i="228"/>
  <c r="AA239" i="228"/>
  <c r="AI239" i="228"/>
  <c r="AZ239" i="228" s="1"/>
  <c r="AL239" i="228"/>
  <c r="AR239" i="228"/>
  <c r="AU239" i="228" s="1"/>
  <c r="AY239" i="228"/>
  <c r="BB239" i="228"/>
  <c r="BO239" i="228"/>
  <c r="BP239" i="228"/>
  <c r="BR239" i="228"/>
  <c r="BT239" i="228"/>
  <c r="BU239" i="228" s="1"/>
  <c r="BX239" i="228"/>
  <c r="O17" i="243"/>
  <c r="C17" i="243"/>
  <c r="D17" i="243"/>
  <c r="P17" i="243"/>
  <c r="Q17" i="243" s="1"/>
  <c r="C238" i="228"/>
  <c r="D238" i="228"/>
  <c r="I238" i="228"/>
  <c r="U238" i="228" s="1"/>
  <c r="M238" i="228"/>
  <c r="Z238" i="228"/>
  <c r="AA238" i="228"/>
  <c r="AI238" i="228"/>
  <c r="CA238" i="228" s="1"/>
  <c r="AL238" i="228"/>
  <c r="AR238" i="228"/>
  <c r="AU238" i="228" s="1"/>
  <c r="AY238" i="228"/>
  <c r="BB238" i="228"/>
  <c r="BO238" i="228"/>
  <c r="BP238" i="228"/>
  <c r="BR238" i="228"/>
  <c r="BT238" i="228"/>
  <c r="BU238" i="228" s="1"/>
  <c r="BX238" i="228"/>
  <c r="AV237" i="228"/>
  <c r="BX237" i="228" s="1"/>
  <c r="AV236" i="228"/>
  <c r="AY236" i="228" s="1"/>
  <c r="Y237" i="228"/>
  <c r="X237" i="228"/>
  <c r="Y236" i="228"/>
  <c r="X236" i="228"/>
  <c r="C237" i="228"/>
  <c r="D237" i="228"/>
  <c r="I237" i="228"/>
  <c r="M237" i="228"/>
  <c r="AL237" i="228"/>
  <c r="AR237" i="228"/>
  <c r="AU237" i="228" s="1"/>
  <c r="BB237" i="228"/>
  <c r="BO237" i="228"/>
  <c r="BP237" i="228"/>
  <c r="BT237" i="228"/>
  <c r="BU237" i="228" s="1"/>
  <c r="C236" i="228"/>
  <c r="D236" i="228"/>
  <c r="I236" i="228"/>
  <c r="U236" i="228" s="1"/>
  <c r="M236" i="228"/>
  <c r="AL236" i="228"/>
  <c r="AR236" i="228"/>
  <c r="AU236" i="228" s="1"/>
  <c r="BB236" i="228"/>
  <c r="BO236" i="228"/>
  <c r="BP236" i="228"/>
  <c r="BT236" i="228"/>
  <c r="BU236" i="228" s="1"/>
  <c r="AK104" i="242"/>
  <c r="AP104" i="242"/>
  <c r="AO104" i="242"/>
  <c r="AL104" i="242"/>
  <c r="AN104" i="242"/>
  <c r="AJ104" i="242"/>
  <c r="AI237" i="228" l="1"/>
  <c r="CA237" i="228" s="1"/>
  <c r="AY237" i="228"/>
  <c r="CB238" i="228"/>
  <c r="CC238" i="228" s="1"/>
  <c r="CD238" i="228" s="1"/>
  <c r="CF238" i="228"/>
  <c r="BR237" i="228"/>
  <c r="BY237" i="228" s="1"/>
  <c r="BZ237" i="228" s="1"/>
  <c r="CB239" i="228"/>
  <c r="AQ239" i="228"/>
  <c r="CA239" i="228"/>
  <c r="CF239" i="228"/>
  <c r="AT239" i="228"/>
  <c r="AJ239" i="228"/>
  <c r="U239" i="228"/>
  <c r="AS239" i="228"/>
  <c r="BV239" i="228"/>
  <c r="BW239" i="228" s="1"/>
  <c r="AI236" i="228"/>
  <c r="CA236" i="228" s="1"/>
  <c r="AK239" i="228"/>
  <c r="BQ239" i="228"/>
  <c r="BY239" i="228"/>
  <c r="BZ239" i="228" s="1"/>
  <c r="BX236" i="228"/>
  <c r="CH239" i="228" a="1"/>
  <c r="Z237" i="228"/>
  <c r="CH238" i="228" a="1"/>
  <c r="AS238" i="228"/>
  <c r="AM238" i="228"/>
  <c r="AQ238" i="228" s="1"/>
  <c r="BV238" i="228"/>
  <c r="BW238" i="228" s="1"/>
  <c r="AJ238" i="228"/>
  <c r="BQ238" i="228"/>
  <c r="AK238" i="228"/>
  <c r="AZ238" i="228"/>
  <c r="AA237" i="228"/>
  <c r="BY238" i="228"/>
  <c r="BZ238" i="228" s="1"/>
  <c r="BR236" i="228"/>
  <c r="AT238" i="228"/>
  <c r="Z236" i="228"/>
  <c r="CB237" i="228"/>
  <c r="CC237" i="228" s="1"/>
  <c r="CD237" i="228" s="1"/>
  <c r="AJ237" i="228"/>
  <c r="AA236" i="228"/>
  <c r="U237" i="228"/>
  <c r="AM237" i="228"/>
  <c r="BV237" i="228"/>
  <c r="BW237" i="228" s="1"/>
  <c r="AM236" i="228"/>
  <c r="AT237" i="228"/>
  <c r="BV236" i="228"/>
  <c r="AZ237" i="228"/>
  <c r="AS237" i="228"/>
  <c r="O16" i="243"/>
  <c r="C16" i="243"/>
  <c r="D16" i="243"/>
  <c r="P16" i="243"/>
  <c r="Q16" i="243" s="1"/>
  <c r="AV235" i="228"/>
  <c r="AI235" i="228" s="1"/>
  <c r="AV234" i="228"/>
  <c r="AI234" i="228" s="1"/>
  <c r="Y235" i="228"/>
  <c r="X235" i="228"/>
  <c r="Y234" i="228"/>
  <c r="X234" i="228"/>
  <c r="C235" i="228"/>
  <c r="D235" i="228"/>
  <c r="I235" i="228"/>
  <c r="U235" i="228" s="1"/>
  <c r="M235" i="228"/>
  <c r="AL235" i="228"/>
  <c r="AR235" i="228"/>
  <c r="AU235" i="228" s="1"/>
  <c r="BB235" i="228"/>
  <c r="BO235" i="228"/>
  <c r="BP235" i="228"/>
  <c r="BT235" i="228"/>
  <c r="BU235" i="228" s="1"/>
  <c r="C234" i="228"/>
  <c r="D234" i="228"/>
  <c r="I234" i="228"/>
  <c r="U234" i="228" s="1"/>
  <c r="M234" i="228"/>
  <c r="AL234" i="228"/>
  <c r="AR234" i="228"/>
  <c r="AU234" i="228" s="1"/>
  <c r="BB234" i="228"/>
  <c r="BO234" i="228"/>
  <c r="BP234" i="228"/>
  <c r="BT234" i="228"/>
  <c r="BU234" i="228" s="1"/>
  <c r="S165" i="242"/>
  <c r="AX232" i="228"/>
  <c r="BX232" i="228" s="1"/>
  <c r="C232" i="228"/>
  <c r="C233" i="228"/>
  <c r="D232" i="228"/>
  <c r="D233" i="228"/>
  <c r="I232" i="228"/>
  <c r="U232" i="228" s="1"/>
  <c r="I233" i="228"/>
  <c r="M232" i="228"/>
  <c r="M233" i="228"/>
  <c r="Z232" i="228"/>
  <c r="Z233" i="228"/>
  <c r="AA232" i="228"/>
  <c r="AA233" i="228"/>
  <c r="AI233" i="228"/>
  <c r="CB233" i="228" s="1"/>
  <c r="AL232" i="228"/>
  <c r="AL233" i="228"/>
  <c r="AR232" i="228"/>
  <c r="AU232" i="228" s="1"/>
  <c r="AR233" i="228"/>
  <c r="AU233" i="228" s="1"/>
  <c r="AY233" i="228"/>
  <c r="BB232" i="228"/>
  <c r="BB233" i="228"/>
  <c r="BO232" i="228"/>
  <c r="BO233" i="228"/>
  <c r="BP232" i="228"/>
  <c r="BP233" i="228"/>
  <c r="BR233" i="228"/>
  <c r="BT232" i="228"/>
  <c r="BU232" i="228" s="1"/>
  <c r="BT233" i="228"/>
  <c r="BU233" i="228" s="1"/>
  <c r="BX233" i="228"/>
  <c r="P15" i="243"/>
  <c r="Q15" i="243" s="1"/>
  <c r="O15" i="243"/>
  <c r="D15" i="243"/>
  <c r="C15" i="243"/>
  <c r="BK230" i="228"/>
  <c r="BT230" i="228" s="1"/>
  <c r="BU230" i="228" s="1"/>
  <c r="BJ230" i="228"/>
  <c r="BE230" i="228"/>
  <c r="BD230" i="228"/>
  <c r="BC230" i="228"/>
  <c r="BA230" i="228"/>
  <c r="C230" i="228"/>
  <c r="C231" i="228"/>
  <c r="D230" i="228"/>
  <c r="D231" i="228"/>
  <c r="I230" i="228"/>
  <c r="I231" i="228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1" i="228"/>
  <c r="BO231" i="228"/>
  <c r="BP231" i="228"/>
  <c r="BR231" i="228"/>
  <c r="BT231" i="228"/>
  <c r="BU231" i="228" s="1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AY225" i="228" s="1"/>
  <c r="Y226" i="228"/>
  <c r="X226" i="228"/>
  <c r="Y225" i="228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I229" i="228"/>
  <c r="U229" i="228" s="1"/>
  <c r="M225" i="228"/>
  <c r="M226" i="228"/>
  <c r="M227" i="228"/>
  <c r="M228" i="228"/>
  <c r="M229" i="228"/>
  <c r="Z227" i="228"/>
  <c r="Z228" i="228"/>
  <c r="Z229" i="228"/>
  <c r="AA227" i="228"/>
  <c r="AA228" i="228"/>
  <c r="AA229" i="228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U228" i="228" s="1"/>
  <c r="AR229" i="228"/>
  <c r="AU229" i="228" s="1"/>
  <c r="AY227" i="228"/>
  <c r="AY228" i="228"/>
  <c r="AY229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7" i="228"/>
  <c r="BX228" i="228"/>
  <c r="BX229" i="228"/>
  <c r="AO103" i="242"/>
  <c r="AK103" i="242"/>
  <c r="AL103" i="242"/>
  <c r="AN103" i="242"/>
  <c r="AJ103" i="242"/>
  <c r="CF237" i="228" l="1"/>
  <c r="AK237" i="228"/>
  <c r="BW236" i="228"/>
  <c r="CH237" i="228" a="1"/>
  <c r="CF236" i="228"/>
  <c r="AZ236" i="228"/>
  <c r="BQ237" i="228"/>
  <c r="AQ237" i="228"/>
  <c r="Z234" i="228"/>
  <c r="BY236" i="228"/>
  <c r="BZ236" i="228" s="1"/>
  <c r="BQ236" i="228"/>
  <c r="AK236" i="228"/>
  <c r="CC239" i="228"/>
  <c r="CD239" i="228" s="1"/>
  <c r="CE239" i="228" s="1"/>
  <c r="AS236" i="228"/>
  <c r="AJ236" i="228"/>
  <c r="BX226" i="228"/>
  <c r="BY226" i="228" s="1"/>
  <c r="BZ226" i="228" s="1"/>
  <c r="AT236" i="228"/>
  <c r="AQ236" i="228"/>
  <c r="CB236" i="228"/>
  <c r="CC236" i="228" s="1"/>
  <c r="CD236" i="228" s="1"/>
  <c r="CE236" i="228" s="1"/>
  <c r="CG238" i="228"/>
  <c r="CI238" i="228" s="1"/>
  <c r="CE238" i="228"/>
  <c r="CH236" i="228" a="1"/>
  <c r="AA234" i="228"/>
  <c r="AI232" i="228"/>
  <c r="CA232" i="228" s="1"/>
  <c r="CG237" i="228"/>
  <c r="CI237" i="228" s="1"/>
  <c r="CE237" i="228"/>
  <c r="Z235" i="228"/>
  <c r="AA235" i="228"/>
  <c r="BX234" i="228"/>
  <c r="BR235" i="228"/>
  <c r="BQ235" i="228" s="1"/>
  <c r="AM232" i="228"/>
  <c r="BW228" i="228"/>
  <c r="CA235" i="228"/>
  <c r="CB235" i="228"/>
  <c r="AZ234" i="228"/>
  <c r="CA234" i="228"/>
  <c r="BR234" i="228"/>
  <c r="CF234" i="228" s="1"/>
  <c r="AJ235" i="228"/>
  <c r="AZ235" i="228"/>
  <c r="AY234" i="228"/>
  <c r="AY235" i="228"/>
  <c r="BX235" i="228"/>
  <c r="BV234" i="228"/>
  <c r="BW234" i="228" s="1"/>
  <c r="AT235" i="228"/>
  <c r="AS235" i="228"/>
  <c r="BV235" i="228"/>
  <c r="BW235" i="228" s="1"/>
  <c r="AM234" i="228"/>
  <c r="AQ234" i="228" s="1"/>
  <c r="AM235" i="228"/>
  <c r="AQ235" i="228" s="1"/>
  <c r="AI225" i="228"/>
  <c r="AZ225" i="228" s="1"/>
  <c r="AA225" i="228"/>
  <c r="BP230" i="228"/>
  <c r="BO230" i="228"/>
  <c r="Z225" i="228"/>
  <c r="BR225" i="228"/>
  <c r="AI230" i="228"/>
  <c r="CA230" i="228" s="1"/>
  <c r="BR232" i="228"/>
  <c r="BB230" i="228"/>
  <c r="CB234" i="228"/>
  <c r="AJ234" i="228"/>
  <c r="AT234" i="228"/>
  <c r="AS234" i="228"/>
  <c r="AY232" i="228"/>
  <c r="CA233" i="228"/>
  <c r="CC233" i="228" s="1"/>
  <c r="CD233" i="228" s="1"/>
  <c r="AT233" i="228"/>
  <c r="BV232" i="228"/>
  <c r="AZ233" i="228"/>
  <c r="AJ233" i="228"/>
  <c r="CF233" i="228"/>
  <c r="AS233" i="228"/>
  <c r="AM233" i="228"/>
  <c r="AQ233" i="228" s="1"/>
  <c r="U233" i="228"/>
  <c r="BV233" i="228"/>
  <c r="BW233" i="228" s="1"/>
  <c r="AK233" i="228"/>
  <c r="CH233" i="228" a="1"/>
  <c r="BY233" i="228"/>
  <c r="BZ233" i="228" s="1"/>
  <c r="BQ233" i="228"/>
  <c r="AT229" i="228"/>
  <c r="AK231" i="228"/>
  <c r="BX230" i="228"/>
  <c r="AZ227" i="228"/>
  <c r="AY226" i="228"/>
  <c r="CF231" i="228"/>
  <c r="BX225" i="228"/>
  <c r="BR230" i="228"/>
  <c r="CB231" i="228"/>
  <c r="CC231" i="228" s="1"/>
  <c r="CD231" i="228" s="1"/>
  <c r="CH231" i="228" a="1"/>
  <c r="BY231" i="228"/>
  <c r="BZ231" i="228" s="1"/>
  <c r="AM230" i="228"/>
  <c r="AM231" i="228"/>
  <c r="AQ231" i="228" s="1"/>
  <c r="AS231" i="228"/>
  <c r="BV231" i="228"/>
  <c r="BW231" i="228" s="1"/>
  <c r="BV230" i="228"/>
  <c r="AJ231" i="228"/>
  <c r="BQ231" i="228"/>
  <c r="U231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BW227" i="228" s="1"/>
  <c r="AT227" i="228"/>
  <c r="AJ227" i="228"/>
  <c r="Z226" i="228"/>
  <c r="CH229" i="228" a="1"/>
  <c r="CF228" i="228"/>
  <c r="CF227" i="228"/>
  <c r="BQ227" i="228"/>
  <c r="BY228" i="228"/>
  <c r="BZ228" i="228" s="1"/>
  <c r="BY227" i="228"/>
  <c r="BZ227" i="228" s="1"/>
  <c r="CF229" i="228"/>
  <c r="BQ226" i="228"/>
  <c r="CF226" i="228"/>
  <c r="AT226" i="228"/>
  <c r="AZ226" i="228"/>
  <c r="CH226" i="228" a="1"/>
  <c r="CA226" i="228"/>
  <c r="CC226" i="228" s="1"/>
  <c r="CD226" i="228" s="1"/>
  <c r="CH228" i="228" a="1"/>
  <c r="CH227" i="228" a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AM225" i="228"/>
  <c r="AM229" i="228"/>
  <c r="AQ229" i="228" s="1"/>
  <c r="AS229" i="228"/>
  <c r="AS226" i="228"/>
  <c r="AZ229" i="228"/>
  <c r="AU227" i="228"/>
  <c r="AK226" i="228"/>
  <c r="AZ228" i="228"/>
  <c r="U226" i="228"/>
  <c r="CB229" i="228"/>
  <c r="AM226" i="228"/>
  <c r="AQ226" i="228" s="1"/>
  <c r="AJ229" i="228"/>
  <c r="BY229" i="228"/>
  <c r="BZ229" i="228" s="1"/>
  <c r="AS228" i="228"/>
  <c r="AK229" i="228"/>
  <c r="AJ226" i="228"/>
  <c r="E67" i="242"/>
  <c r="E55" i="242"/>
  <c r="AP103" i="242"/>
  <c r="BY235" i="228" l="1"/>
  <c r="BZ235" i="228" s="1"/>
  <c r="CG236" i="228"/>
  <c r="CI236" i="228" s="1"/>
  <c r="CG239" i="228"/>
  <c r="CI239" i="228" s="1"/>
  <c r="CF232" i="228"/>
  <c r="BW232" i="228"/>
  <c r="AQ232" i="228"/>
  <c r="AT232" i="228"/>
  <c r="CB232" i="228"/>
  <c r="CC232" i="228" s="1"/>
  <c r="CD232" i="228" s="1"/>
  <c r="CE232" i="228" s="1"/>
  <c r="AJ232" i="228"/>
  <c r="AZ232" i="228"/>
  <c r="AS232" i="228"/>
  <c r="BQ234" i="228"/>
  <c r="CC234" i="228"/>
  <c r="CD234" i="228" s="1"/>
  <c r="CE234" i="228" s="1"/>
  <c r="CF235" i="228"/>
  <c r="AK235" i="228"/>
  <c r="CH235" i="228" a="1"/>
  <c r="AK232" i="228"/>
  <c r="AK234" i="228"/>
  <c r="CH234" i="228" a="1"/>
  <c r="BQ232" i="228"/>
  <c r="AJ225" i="228"/>
  <c r="CC235" i="228"/>
  <c r="CD235" i="228" s="1"/>
  <c r="CH232" i="228" a="1"/>
  <c r="CB225" i="228"/>
  <c r="AS225" i="228"/>
  <c r="BW225" i="228"/>
  <c r="AT225" i="228"/>
  <c r="CA225" i="228"/>
  <c r="BQ225" i="228"/>
  <c r="AQ225" i="228"/>
  <c r="BY232" i="228"/>
  <c r="BZ232" i="228" s="1"/>
  <c r="AK225" i="228"/>
  <c r="BY234" i="228"/>
  <c r="BZ234" i="228" s="1"/>
  <c r="BY225" i="228"/>
  <c r="BZ225" i="228" s="1"/>
  <c r="CF225" i="228"/>
  <c r="AS230" i="228"/>
  <c r="CH225" i="228" a="1"/>
  <c r="CF230" i="228"/>
  <c r="CB230" i="228"/>
  <c r="CC230" i="228" s="1"/>
  <c r="CD230" i="228" s="1"/>
  <c r="AT230" i="228"/>
  <c r="AQ230" i="228"/>
  <c r="BW230" i="228"/>
  <c r="AJ230" i="228"/>
  <c r="AZ230" i="228"/>
  <c r="CG233" i="228"/>
  <c r="CI233" i="228" s="1"/>
  <c r="CE233" i="228"/>
  <c r="BQ230" i="228"/>
  <c r="BY230" i="228"/>
  <c r="BZ230" i="228" s="1"/>
  <c r="CH230" i="228" a="1"/>
  <c r="AK230" i="228"/>
  <c r="CG231" i="228"/>
  <c r="CI231" i="228" s="1"/>
  <c r="CE231" i="228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4" i="228" l="1"/>
  <c r="CI234" i="228" s="1"/>
  <c r="CG232" i="228"/>
  <c r="CI232" i="228" s="1"/>
  <c r="CC225" i="228"/>
  <c r="CD225" i="228" s="1"/>
  <c r="CG225" i="228" s="1"/>
  <c r="CI225" i="228" s="1"/>
  <c r="CG235" i="228"/>
  <c r="CI235" i="228" s="1"/>
  <c r="CE235" i="228"/>
  <c r="CG230" i="228"/>
  <c r="CI230" i="228" s="1"/>
  <c r="CE230" i="228"/>
  <c r="CE229" i="228"/>
  <c r="CG229" i="228"/>
  <c r="CI229" i="228" s="1"/>
  <c r="BK212" i="228"/>
  <c r="BT212" i="228" s="1"/>
  <c r="BU212" i="228" s="1"/>
  <c r="BJ212" i="228"/>
  <c r="BE212" i="228"/>
  <c r="BD212" i="228"/>
  <c r="BC212" i="228"/>
  <c r="BA212" i="228"/>
  <c r="BR212" i="228" s="1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1" i="228"/>
  <c r="BB210" i="228"/>
  <c r="AV222" i="228"/>
  <c r="BX222" i="228" s="1"/>
  <c r="AW221" i="228"/>
  <c r="AV221" i="228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Y221" i="228"/>
  <c r="X221" i="228"/>
  <c r="Y217" i="228"/>
  <c r="X217" i="228"/>
  <c r="Y216" i="228"/>
  <c r="X216" i="228"/>
  <c r="Y211" i="228"/>
  <c r="X211" i="228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2" i="228"/>
  <c r="AA213" i="228"/>
  <c r="AA214" i="228"/>
  <c r="AA215" i="228"/>
  <c r="AA218" i="228"/>
  <c r="AA219" i="228"/>
  <c r="AA220" i="228"/>
  <c r="AA223" i="228"/>
  <c r="AA224" i="228"/>
  <c r="AI213" i="228"/>
  <c r="AZ213" i="228" s="1"/>
  <c r="AI214" i="228"/>
  <c r="AZ214" i="228" s="1"/>
  <c r="AI215" i="228"/>
  <c r="AZ215" i="228" s="1"/>
  <c r="AI218" i="228"/>
  <c r="AZ218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8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3" i="228"/>
  <c r="BR214" i="228"/>
  <c r="BR215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3" i="228"/>
  <c r="BX214" i="228"/>
  <c r="BX215" i="228"/>
  <c r="BX218" i="228"/>
  <c r="BX220" i="228"/>
  <c r="BX223" i="228"/>
  <c r="BX224" i="228"/>
  <c r="CE225" i="228" l="1"/>
  <c r="BR216" i="228"/>
  <c r="BX219" i="228"/>
  <c r="BY219" i="228" s="1"/>
  <c r="BZ219" i="228" s="1"/>
  <c r="AY219" i="228"/>
  <c r="AY216" i="228"/>
  <c r="AY217" i="228"/>
  <c r="BB212" i="228"/>
  <c r="AI212" i="228"/>
  <c r="AZ212" i="228" s="1"/>
  <c r="Z211" i="228"/>
  <c r="BP212" i="228"/>
  <c r="AI219" i="228"/>
  <c r="CB219" i="228" s="1"/>
  <c r="BX212" i="228"/>
  <c r="BY212" i="228" s="1"/>
  <c r="BZ212" i="228" s="1"/>
  <c r="BO212" i="228"/>
  <c r="BX221" i="228"/>
  <c r="AA211" i="228"/>
  <c r="Z222" i="228"/>
  <c r="BX211" i="228"/>
  <c r="Z210" i="228"/>
  <c r="AA222" i="228"/>
  <c r="BX217" i="228"/>
  <c r="BY217" i="228" s="1"/>
  <c r="BZ217" i="228" s="1"/>
  <c r="BX216" i="228"/>
  <c r="BY216" i="228" s="1"/>
  <c r="BZ216" i="228" s="1"/>
  <c r="AI217" i="228"/>
  <c r="CB217" i="228" s="1"/>
  <c r="Z217" i="228"/>
  <c r="Z221" i="228"/>
  <c r="AI221" i="228"/>
  <c r="CB221" i="228" s="1"/>
  <c r="AA221" i="228"/>
  <c r="AA217" i="228"/>
  <c r="Z216" i="228"/>
  <c r="AM213" i="228"/>
  <c r="AQ213" i="228" s="1"/>
  <c r="BV213" i="228"/>
  <c r="BW213" i="228" s="1"/>
  <c r="AM224" i="228"/>
  <c r="AQ224" i="228" s="1"/>
  <c r="BV224" i="228"/>
  <c r="BW224" i="228" s="1"/>
  <c r="U212" i="228"/>
  <c r="BV212" i="228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BV217" i="228"/>
  <c r="U220" i="228"/>
  <c r="BV220" i="228"/>
  <c r="BW220" i="228" s="1"/>
  <c r="U217" i="228"/>
  <c r="BQ218" i="228"/>
  <c r="CH219" i="228" a="1"/>
  <c r="AZ220" i="228"/>
  <c r="AZ224" i="228"/>
  <c r="BQ215" i="228"/>
  <c r="CH218" i="228" a="1"/>
  <c r="CH215" i="228" a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AY221" i="228"/>
  <c r="AA210" i="228"/>
  <c r="AA216" i="228"/>
  <c r="AM223" i="228"/>
  <c r="AQ223" i="228" s="1"/>
  <c r="BQ216" i="228"/>
  <c r="CB216" i="228"/>
  <c r="BY213" i="228"/>
  <c r="BZ213" i="228" s="1"/>
  <c r="AS216" i="228"/>
  <c r="AK213" i="228"/>
  <c r="U219" i="228"/>
  <c r="CH224" i="228" a="1"/>
  <c r="CH212" i="228" a="1"/>
  <c r="U224" i="228"/>
  <c r="CH214" i="228" a="1"/>
  <c r="AS214" i="228"/>
  <c r="CH213" i="228" a="1"/>
  <c r="BQ220" i="228"/>
  <c r="BQ213" i="228"/>
  <c r="AT218" i="228"/>
  <c r="AM212" i="228"/>
  <c r="AM211" i="228"/>
  <c r="AQ211" i="228" s="1"/>
  <c r="CF216" i="228"/>
  <c r="CH216" i="228" a="1"/>
  <c r="U215" i="228"/>
  <c r="CA218" i="228"/>
  <c r="BY214" i="228"/>
  <c r="BZ214" i="228" s="1"/>
  <c r="CA216" i="228"/>
  <c r="AT216" i="228"/>
  <c r="AK220" i="228"/>
  <c r="AJ216" i="228"/>
  <c r="CF223" i="228"/>
  <c r="CF215" i="228"/>
  <c r="AJ215" i="228"/>
  <c r="CF214" i="228"/>
  <c r="AM210" i="228"/>
  <c r="CA214" i="228"/>
  <c r="BQ214" i="228"/>
  <c r="AT211" i="228"/>
  <c r="CB213" i="228"/>
  <c r="CA213" i="228"/>
  <c r="AU216" i="228"/>
  <c r="AS220" i="228"/>
  <c r="CA224" i="228"/>
  <c r="CC224" i="228" s="1"/>
  <c r="BY218" i="228"/>
  <c r="BZ218" i="228" s="1"/>
  <c r="CF213" i="228"/>
  <c r="CB215" i="228"/>
  <c r="CA215" i="228"/>
  <c r="AT224" i="228"/>
  <c r="AM222" i="228"/>
  <c r="AT223" i="228"/>
  <c r="AS215" i="228"/>
  <c r="AM220" i="228"/>
  <c r="AQ220" i="228" s="1"/>
  <c r="AK216" i="228"/>
  <c r="AS218" i="228"/>
  <c r="CB214" i="228"/>
  <c r="CA223" i="228"/>
  <c r="CA211" i="228"/>
  <c r="CF220" i="228"/>
  <c r="BY215" i="228"/>
  <c r="BZ215" i="228" s="1"/>
  <c r="BY220" i="228"/>
  <c r="BZ220" i="228" s="1"/>
  <c r="AM219" i="228"/>
  <c r="CA220" i="228"/>
  <c r="CC220" i="228" s="1"/>
  <c r="AT220" i="228"/>
  <c r="AM218" i="228"/>
  <c r="AQ218" i="228" s="1"/>
  <c r="AJ220" i="228"/>
  <c r="CH217" i="228" a="1"/>
  <c r="BY224" i="228"/>
  <c r="BZ224" i="228" s="1"/>
  <c r="BQ223" i="228"/>
  <c r="AS223" i="228"/>
  <c r="AK218" i="228"/>
  <c r="U221" i="228"/>
  <c r="AS213" i="228"/>
  <c r="CH223" i="228" a="1"/>
  <c r="CF218" i="228"/>
  <c r="CB218" i="228"/>
  <c r="BQ224" i="228"/>
  <c r="AS224" i="228"/>
  <c r="AM221" i="228"/>
  <c r="AK215" i="228"/>
  <c r="AJ218" i="228"/>
  <c r="AK214" i="228"/>
  <c r="AJ213" i="228"/>
  <c r="U213" i="228"/>
  <c r="AK224" i="228"/>
  <c r="AK223" i="228"/>
  <c r="AJ214" i="228"/>
  <c r="CH220" i="228" a="1"/>
  <c r="CF224" i="228"/>
  <c r="AT215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BQ212" i="228" l="1"/>
  <c r="AT212" i="228"/>
  <c r="BW212" i="228"/>
  <c r="CA212" i="228"/>
  <c r="AQ212" i="228"/>
  <c r="CF212" i="228"/>
  <c r="CF219" i="228"/>
  <c r="BW217" i="228"/>
  <c r="AJ212" i="228"/>
  <c r="CB212" i="228"/>
  <c r="AJ219" i="228"/>
  <c r="AK219" i="228"/>
  <c r="AS212" i="228"/>
  <c r="AS219" i="228"/>
  <c r="AQ219" i="228"/>
  <c r="AZ219" i="228"/>
  <c r="CA219" i="228"/>
  <c r="CC219" i="228" s="1"/>
  <c r="BQ219" i="228"/>
  <c r="AT219" i="228"/>
  <c r="BW219" i="228"/>
  <c r="AZ221" i="228"/>
  <c r="CA217" i="228"/>
  <c r="CC217" i="228" s="1"/>
  <c r="CD217" i="228" s="1"/>
  <c r="CG217" i="228" s="1"/>
  <c r="CI217" i="228" s="1"/>
  <c r="AK217" i="228"/>
  <c r="CF217" i="228"/>
  <c r="AS217" i="228"/>
  <c r="BQ217" i="228"/>
  <c r="AQ217" i="228"/>
  <c r="AT217" i="228"/>
  <c r="AZ217" i="228"/>
  <c r="AJ221" i="228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F211" i="228"/>
  <c r="AK222" i="228"/>
  <c r="CC213" i="228"/>
  <c r="CD213" i="228" s="1"/>
  <c r="CF210" i="228"/>
  <c r="CH222" i="228" a="1"/>
  <c r="BY222" i="228"/>
  <c r="BZ222" i="228" s="1"/>
  <c r="CH210" i="228" a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C212" i="228" l="1"/>
  <c r="CD212" i="228" s="1"/>
  <c r="CG212" i="228" s="1"/>
  <c r="CI212" i="228" s="1"/>
  <c r="CD219" i="228"/>
  <c r="CG219" i="228" s="1"/>
  <c r="CI219" i="228" s="1"/>
  <c r="CE217" i="228"/>
  <c r="CD221" i="228"/>
  <c r="CG221" i="228" s="1"/>
  <c r="CI221" i="228" s="1"/>
  <c r="CC210" i="228"/>
  <c r="CD210" i="228" s="1"/>
  <c r="CC222" i="228"/>
  <c r="CD222" i="228" s="1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E212" i="228" l="1"/>
  <c r="CE219" i="228"/>
  <c r="CE221" i="228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AA199" i="228" s="1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4" i="228" l="1"/>
  <c r="AY203" i="228"/>
  <c r="AI204" i="228"/>
  <c r="AS204" i="228" s="1"/>
  <c r="AY199" i="228"/>
  <c r="BR204" i="228"/>
  <c r="BY204" i="228" s="1"/>
  <c r="BZ204" i="228" s="1"/>
  <c r="BR199" i="228"/>
  <c r="BQ199" i="228" s="1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AZ199" i="228"/>
  <c r="BY197" i="228"/>
  <c r="BZ197" i="228" s="1"/>
  <c r="BW197" i="228"/>
  <c r="CH209" i="228" a="1"/>
  <c r="AK196" i="228"/>
  <c r="AT201" i="228"/>
  <c r="AM200" i="228"/>
  <c r="BW205" i="228"/>
  <c r="AJ205" i="228"/>
  <c r="AK194" i="228"/>
  <c r="AM204" i="228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CA198" i="228"/>
  <c r="AK209" i="228"/>
  <c r="AJ206" i="228"/>
  <c r="AJ199" i="228"/>
  <c r="CB194" i="228"/>
  <c r="CH198" i="228" a="1"/>
  <c r="CH197" i="228" a="1"/>
  <c r="CH196" i="228" a="1"/>
  <c r="AT196" i="228"/>
  <c r="CF208" i="228"/>
  <c r="CH208" i="228" a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AK201" i="228"/>
  <c r="AZ208" i="228"/>
  <c r="BQ202" i="228"/>
  <c r="AZ196" i="228"/>
  <c r="CF209" i="228"/>
  <c r="BY202" i="228"/>
  <c r="BZ202" i="228" s="1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AT193" i="228"/>
  <c r="CA193" i="228"/>
  <c r="AZ193" i="228"/>
  <c r="AT206" i="228"/>
  <c r="AT194" i="228"/>
  <c r="BY206" i="228"/>
  <c r="BZ206" i="228" s="1"/>
  <c r="BQ206" i="228"/>
  <c r="CH206" i="228" a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A205" i="228"/>
  <c r="AT205" i="228"/>
  <c r="AZ205" i="228"/>
  <c r="CH194" i="228" a="1"/>
  <c r="BQ194" i="228"/>
  <c r="CF194" i="228"/>
  <c r="BY194" i="228"/>
  <c r="BZ194" i="228" s="1"/>
  <c r="AU196" i="228"/>
  <c r="AU197" i="228"/>
  <c r="AS197" i="228"/>
  <c r="U194" i="228"/>
  <c r="CB193" i="228"/>
  <c r="BQ207" i="228"/>
  <c r="CH207" i="228" a="1"/>
  <c r="CF207" i="228"/>
  <c r="CB205" i="228"/>
  <c r="BQ205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193" i="228" a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CB202" i="228"/>
  <c r="U201" i="228"/>
  <c r="BW204" i="228" l="1"/>
  <c r="AQ204" i="228"/>
  <c r="AZ204" i="228"/>
  <c r="CA204" i="228"/>
  <c r="CB204" i="228"/>
  <c r="AT204" i="228"/>
  <c r="AK204" i="228"/>
  <c r="CF204" i="228"/>
  <c r="BQ204" i="228"/>
  <c r="CH204" i="228" a="1"/>
  <c r="AK203" i="228"/>
  <c r="BY199" i="228"/>
  <c r="BZ199" i="228" s="1"/>
  <c r="BY203" i="228"/>
  <c r="BZ203" i="228" s="1"/>
  <c r="AZ200" i="228"/>
  <c r="AK199" i="228"/>
  <c r="AK200" i="228"/>
  <c r="CF199" i="228"/>
  <c r="CH199" i="228" a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2" i="228"/>
  <c r="CD202" i="228" s="1"/>
  <c r="CC205" i="228"/>
  <c r="CD205" i="228" s="1"/>
  <c r="CC203" i="228"/>
  <c r="CD203" i="228" s="1"/>
  <c r="CC204" i="228" l="1"/>
  <c r="CD204" i="228" s="1"/>
  <c r="CC200" i="228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68" i="228" l="1"/>
  <c r="BO93" i="228"/>
  <c r="BR42" i="228"/>
  <c r="CH42" i="228" s="1" a="1"/>
  <c r="BO7" i="228"/>
  <c r="BO152" i="228"/>
  <c r="Z97" i="228"/>
  <c r="BO50" i="228"/>
  <c r="Z82" i="228"/>
  <c r="BO75" i="228"/>
  <c r="Z143" i="228"/>
  <c r="BO28" i="228"/>
  <c r="BX69" i="228"/>
  <c r="BY69" i="228" s="1"/>
  <c r="BZ69" i="228" s="1"/>
  <c r="BO100" i="228"/>
  <c r="BX62" i="228"/>
  <c r="BY62" i="228" s="1"/>
  <c r="BZ62" i="228" s="1"/>
  <c r="BX21" i="228"/>
  <c r="BY21" i="228" s="1"/>
  <c r="BZ21" i="228" s="1"/>
  <c r="BO5" i="228"/>
  <c r="BX87" i="228"/>
  <c r="BY87" i="228" s="1"/>
  <c r="BZ87" i="228" s="1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AQ47" i="228" s="1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AQ129" i="228" s="1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AQ144" i="228" s="1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AQ54" i="228" s="1"/>
  <c r="BV54" i="228"/>
  <c r="AM15" i="228"/>
  <c r="AQ15" i="228" s="1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69" i="228" a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8" i="228" a="1"/>
  <c r="CH19" i="228" a="1"/>
  <c r="CH93" i="228" a="1"/>
  <c r="AZ153" i="228"/>
  <c r="CH111" i="228" a="1"/>
  <c r="BO127" i="228"/>
  <c r="BO122" i="228"/>
  <c r="BO77" i="228"/>
  <c r="BX141" i="228"/>
  <c r="BY141" i="228" s="1"/>
  <c r="BZ141" i="228" s="1"/>
  <c r="CH55" i="228" a="1"/>
  <c r="BX155" i="228"/>
  <c r="BY155" i="228" s="1"/>
  <c r="BZ155" i="228" s="1"/>
  <c r="BX135" i="228"/>
  <c r="BY135" i="228" s="1"/>
  <c r="BZ135" i="228" s="1"/>
  <c r="AJ131" i="228"/>
  <c r="CH14" i="228" a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41" i="228" a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BR96" i="228"/>
  <c r="CH96" i="228" s="1" a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BX147" i="228"/>
  <c r="BY147" i="228" s="1"/>
  <c r="BZ147" i="228" s="1"/>
  <c r="CH26" i="228" a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BO37" i="228"/>
  <c r="CH36" i="228" a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BX80" i="228"/>
  <c r="BY80" i="228" s="1"/>
  <c r="BZ80" i="228" s="1"/>
  <c r="BX73" i="228"/>
  <c r="BY73" i="228" s="1"/>
  <c r="BZ73" i="228" s="1"/>
  <c r="BO62" i="228"/>
  <c r="BO57" i="228"/>
  <c r="CH3" i="228" a="1"/>
  <c r="BO103" i="228"/>
  <c r="BO124" i="228"/>
  <c r="BO102" i="228"/>
  <c r="BO80" i="228"/>
  <c r="BO64" i="228"/>
  <c r="BO59" i="228"/>
  <c r="BR43" i="228"/>
  <c r="CH43" i="228" s="1" a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15" i="228" a="1"/>
  <c r="BO156" i="228"/>
  <c r="BO133" i="228"/>
  <c r="Z83" i="228"/>
  <c r="BX59" i="228"/>
  <c r="BY59" i="228" s="1"/>
  <c r="BZ59" i="228" s="1"/>
  <c r="CH45" i="228" a="1"/>
  <c r="BO140" i="228"/>
  <c r="AA100" i="228"/>
  <c r="CH58" i="228" a="1"/>
  <c r="AA42" i="228"/>
  <c r="CH17" i="228" a="1"/>
  <c r="Z4" i="228"/>
  <c r="CH140" i="228" a="1"/>
  <c r="BX154" i="228"/>
  <c r="BY154" i="228" s="1"/>
  <c r="BZ154" i="228" s="1"/>
  <c r="BX150" i="228"/>
  <c r="BY150" i="228" s="1"/>
  <c r="BZ150" i="228" s="1"/>
  <c r="CH147" i="228" a="1"/>
  <c r="Z144" i="228"/>
  <c r="BO126" i="228"/>
  <c r="CH125" i="228" a="1"/>
  <c r="AA119" i="228"/>
  <c r="CH88" i="228" a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BO90" i="228"/>
  <c r="BX77" i="228"/>
  <c r="BY77" i="228" s="1"/>
  <c r="BZ77" i="228" s="1"/>
  <c r="BX27" i="228"/>
  <c r="BY27" i="228" s="1"/>
  <c r="BZ27" i="228" s="1"/>
  <c r="BO23" i="228"/>
  <c r="CH7" i="228" a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BO79" i="228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BO47" i="228"/>
  <c r="CH44" i="228" a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BO94" i="228"/>
  <c r="AA83" i="228"/>
  <c r="BX82" i="228"/>
  <c r="BY82" i="228" s="1"/>
  <c r="BZ82" i="228" s="1"/>
  <c r="CH59" i="228" a="1"/>
  <c r="CH32" i="228" a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BO135" i="228"/>
  <c r="CH114" i="228" a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B161" i="228"/>
  <c r="CH149" i="228" a="1"/>
  <c r="CH142" i="228" a="1"/>
  <c r="CH119" i="228" a="1"/>
  <c r="CH47" i="228" a="1"/>
  <c r="CB23" i="228"/>
  <c r="CC23" i="228" s="1"/>
  <c r="CD23" i="228" s="1"/>
  <c r="CH104" i="228" a="1"/>
  <c r="CH98" i="228" a="1"/>
  <c r="CH86" i="228" a="1"/>
  <c r="CH54" i="228" a="1"/>
  <c r="CH5" i="228" a="1"/>
  <c r="CH144" i="228" a="1"/>
  <c r="CH128" i="228" a="1"/>
  <c r="CH132" i="228" a="1"/>
  <c r="CH91" i="228" a="1"/>
  <c r="CH57" i="228" a="1"/>
  <c r="CH51" i="228" a="1"/>
  <c r="CH35" i="228" a="1"/>
  <c r="CH123" i="228" a="1"/>
  <c r="CH116" i="228" a="1"/>
  <c r="CH85" i="228" a="1"/>
  <c r="CH63" i="228" a="1"/>
  <c r="CH48" i="228" a="1"/>
  <c r="CH46" i="228" a="1"/>
  <c r="CH83" i="228" a="1"/>
  <c r="CH143" i="228" a="1"/>
  <c r="CH129" i="228" a="1"/>
  <c r="CB77" i="228"/>
  <c r="CH65" i="228" a="1"/>
  <c r="CH61" i="228" a="1"/>
  <c r="AZ23" i="228"/>
  <c r="CH4" i="228" a="1"/>
  <c r="CA143" i="228"/>
  <c r="CC143" i="228" s="1"/>
  <c r="CD143" i="228" s="1"/>
  <c r="CH158" i="228" a="1"/>
  <c r="CH131" i="228" a="1"/>
  <c r="CH103" i="228" a="1"/>
  <c r="CH90" i="228" a="1"/>
  <c r="CH15" i="228" a="1"/>
  <c r="BY99" i="228"/>
  <c r="BZ99" i="228" s="1"/>
  <c r="CH77" i="228" a="1"/>
  <c r="CH50" i="228" a="1"/>
  <c r="CA50" i="228"/>
  <c r="CC50" i="228" s="1"/>
  <c r="CD50" i="228" s="1"/>
  <c r="AZ50" i="228"/>
  <c r="CH60" i="228" a="1"/>
  <c r="CH52" i="228" a="1"/>
  <c r="CH29" i="228" a="1"/>
  <c r="CH31" i="228" a="1"/>
  <c r="CH64" i="228" a="1"/>
  <c r="CH22" i="228" a="1"/>
  <c r="CH102" i="228" a="1"/>
  <c r="CH9" i="228" a="1"/>
  <c r="CH10" i="228" a="1"/>
  <c r="CH89" i="228" a="1"/>
  <c r="CH105" i="228" a="1"/>
  <c r="AZ52" i="228"/>
  <c r="CB52" i="228"/>
  <c r="AZ134" i="228"/>
  <c r="CB134" i="228"/>
  <c r="CH49" i="228" a="1"/>
  <c r="CH100" i="228" a="1"/>
  <c r="CH110" i="228" a="1"/>
  <c r="CH118" i="228" a="1"/>
  <c r="CH124" i="228" a="1"/>
  <c r="CH127" i="228" a="1"/>
  <c r="CH130" i="228" a="1"/>
  <c r="CH136" i="228" a="1"/>
  <c r="CH137" i="228" a="1"/>
  <c r="CH138" i="228" a="1"/>
  <c r="CH146" i="228" a="1"/>
  <c r="CH160" i="228" a="1"/>
  <c r="CH112" i="228" a="1"/>
  <c r="CH120" i="228" a="1"/>
  <c r="CH28" i="228" a="1"/>
  <c r="CH109" i="228" a="1"/>
  <c r="CH117" i="228" a="1"/>
  <c r="CH148" i="228" a="1"/>
  <c r="CH121" i="228" a="1"/>
  <c r="CH150" i="228" a="1"/>
  <c r="CH151" i="228" a="1"/>
  <c r="CH82" i="228" a="1"/>
  <c r="CH25" i="228" a="1"/>
  <c r="CH81" i="228" a="1"/>
  <c r="CH145" i="228" a="1"/>
  <c r="CH152" i="228" a="1"/>
  <c r="CH153" i="228" a="1"/>
  <c r="CH155" i="228" a="1"/>
  <c r="CH6" i="228" a="1"/>
  <c r="CH11" i="228" a="1"/>
  <c r="CH12" i="228" a="1"/>
  <c r="CH13" i="228" a="1"/>
  <c r="CH24" i="228" a="1"/>
  <c r="CH27" i="228" a="1"/>
  <c r="CH34" i="228" a="1"/>
  <c r="CH37" i="228" a="1"/>
  <c r="CH39" i="228" a="1"/>
  <c r="CH66" i="228" a="1"/>
  <c r="CH70" i="228" a="1"/>
  <c r="CH71" i="228" a="1"/>
  <c r="CH78" i="228" a="1"/>
  <c r="CH133" i="228" a="1"/>
  <c r="CH134" i="228" a="1"/>
  <c r="CH157" i="228" a="1"/>
  <c r="CH23" i="228" a="1"/>
  <c r="CH30" i="228" a="1"/>
  <c r="CH33" i="228" a="1"/>
  <c r="CH38" i="228" a="1"/>
  <c r="CH62" i="228" a="1"/>
  <c r="CH67" i="228" a="1"/>
  <c r="CH72" i="228" a="1"/>
  <c r="CH73" i="228" a="1"/>
  <c r="CH75" i="228" a="1"/>
  <c r="CH76" i="228" a="1"/>
  <c r="CH108" i="228" a="1"/>
  <c r="AZ121" i="228"/>
  <c r="CA121" i="228"/>
  <c r="CH154" i="228" a="1"/>
  <c r="CH40" i="228" a="1"/>
  <c r="CH53" i="228" a="1"/>
  <c r="CH74" i="228" a="1"/>
  <c r="CH92" i="228" a="1"/>
  <c r="CH122" i="228" a="1"/>
  <c r="CH135" i="228" a="1"/>
  <c r="AZ108" i="228"/>
  <c r="CB108" i="228"/>
  <c r="CB135" i="228"/>
  <c r="AZ135" i="228"/>
  <c r="CH20" i="228" a="1"/>
  <c r="CF87" i="228"/>
  <c r="CF79" i="228"/>
  <c r="CH79" i="228" a="1"/>
  <c r="BQ161" i="228"/>
  <c r="CH161" i="228" a="1"/>
  <c r="AJ3" i="228"/>
  <c r="AT83" i="228"/>
  <c r="AJ79" i="228"/>
  <c r="AJ73" i="228"/>
  <c r="AK102" i="228"/>
  <c r="CF21" i="228"/>
  <c r="CH21" i="228" a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J54" i="237" s="1" a="1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AK42" i="228" l="1"/>
  <c r="BQ42" i="228"/>
  <c r="BY42" i="228"/>
  <c r="BZ42" i="228" s="1"/>
  <c r="BP186" i="228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AQ174" i="228" s="1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C158" i="228"/>
  <c r="CD158" i="228" s="1"/>
  <c r="CE158" i="228" s="1"/>
  <c r="CH168" i="228" a="1"/>
  <c r="CH182" i="228" a="1"/>
  <c r="CH170" i="228" a="1"/>
  <c r="CH186" i="228" a="1"/>
  <c r="CH171" i="228" a="1"/>
  <c r="CC144" i="228"/>
  <c r="CD144" i="228" s="1"/>
  <c r="CH173" i="228" a="1"/>
  <c r="CH175" i="228" a="1"/>
  <c r="CH181" i="228" a="1"/>
  <c r="CH172" i="228" a="1"/>
  <c r="CH176" i="228" a="1"/>
  <c r="CC135" i="228"/>
  <c r="CD135" i="228" s="1"/>
  <c r="CH178" i="228" a="1"/>
  <c r="CH191" i="228" a="1"/>
  <c r="CH174" i="228" a="1"/>
  <c r="CH192" i="228" a="1"/>
  <c r="CH165" i="228" a="1"/>
  <c r="CH184" i="228" a="1"/>
  <c r="CH187" i="228" a="1"/>
  <c r="CH190" i="228" a="1"/>
  <c r="CH177" i="228" a="1"/>
  <c r="CH179" i="228" a="1"/>
  <c r="CH183" i="228" a="1"/>
  <c r="CH185" i="228" a="1"/>
  <c r="CH189" i="228" a="1"/>
  <c r="CH164" i="228" a="1"/>
  <c r="CH163" i="228" a="1"/>
  <c r="CC121" i="228"/>
  <c r="CD121" i="228" s="1"/>
  <c r="CG121" i="228" s="1"/>
  <c r="CI121" i="228" s="1"/>
  <c r="CH180" i="228" a="1"/>
  <c r="CH162" i="228" a="1"/>
  <c r="CH166" i="228" a="1"/>
  <c r="CH169" i="228" a="1"/>
  <c r="CC61" i="228"/>
  <c r="CD61" i="228" s="1"/>
  <c r="CD86" i="228"/>
  <c r="CH167" i="228" a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56" i="237" a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G61" i="237"/>
  <c r="H61" i="237" s="1" a="1"/>
  <c r="G60" i="237"/>
  <c r="H60" i="237" s="1" a="1"/>
  <c r="G59" i="237"/>
  <c r="H59" i="237" s="1" a="1"/>
  <c r="G58" i="237"/>
  <c r="G57" i="237"/>
  <c r="G56" i="237"/>
  <c r="G55" i="237"/>
  <c r="H55" i="237" s="1" a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I59" i="237"/>
  <c r="H57" i="237" a="1"/>
  <c r="H58" i="237" a="1"/>
  <c r="I58" i="237"/>
  <c r="H54" i="237" a="1"/>
  <c r="I54" i="237" s="1"/>
  <c r="H53" i="237" a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1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1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1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1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1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1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<sst xmlns="http://schemas.openxmlformats.org/spreadsheetml/2006/main" count="7778" uniqueCount="629">
  <si>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</si>
  <si>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</si>
  <si>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</si>
  <si>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</si>
  <si>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</si>
  <si>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</si>
  <si>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</si>
  <si>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</si>
  <si>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</si>
  <si>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</si>
  <si>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</si>
  <si>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</si>
  <si>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</si>
  <si>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</si>
  <si>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</si>
  <si>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</si>
  <si>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</si>
  <si>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</si>
  <si>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</si>
  <si>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</si>
  <si>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</si>
  <si>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</si>
  <si>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</si>
  <si>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</si>
  <si>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</si>
  <si>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</si>
  <si>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</si>
  <si>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</si>
  <si>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</si>
  <si>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</si>
  <si>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</si>
  <si>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</si>
  <si>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</si>
  <si>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</si>
  <si>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</si>
  <si>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</si>
  <si>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</si>
  <si>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</si>
  <si>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</si>
  <si>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</si>
  <si>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</si>
  <si>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</si>
  <si>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</si>
  <si>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</si>
  <si>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</si>
  <si>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</si>
  <si>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</si>
  <si>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</si>
  <si>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</si>
  <si>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</si>
  <si>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</si>
  <si>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</si>
  <si>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</si>
  <si>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</si>
  <si>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</si>
  <si>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</si>
  <si>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</si>
  <si>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</si>
  <si>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</si>
  <si>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</si>
  <si>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</si>
  <si>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</si>
  <si>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</si>
  <si>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</si>
  <si>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</si>
  <si>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</si>
  <si>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</si>
  <si>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</si>
  <si>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</si>
  <si>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</si>
  <si>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</si>
  <si>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</si>
  <si>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</si>
  <si>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</si>
  <si>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</si>
  <si>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</si>
  <si>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</si>
  <si>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</si>
  <si>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</si>
  <si>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</si>
  <si>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</si>
  <si>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</si>
  <si>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</si>
  <si>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</si>
  <si>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</si>
  <si>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</si>
  <si>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</si>
  <si>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</si>
  <si>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</si>
  <si>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</si>
  <si>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</si>
  <si>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</si>
  <si>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</si>
  <si>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</si>
  <si>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</si>
  <si>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</si>
  <si>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</si>
  <si>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</si>
  <si>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</si>
  <si>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</si>
  <si>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</si>
  <si>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</si>
  <si>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</si>
  <si>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</si>
  <si>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</si>
  <si>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</si>
  <si>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</si>
  <si>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</si>
  <si>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</si>
  <si>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</si>
  <si>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</si>
  <si>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</si>
  <si>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</si>
  <si>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</si>
  <si>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</si>
  <si>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</si>
  <si>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</si>
  <si>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</si>
  <si>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</si>
  <si>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</si>
  <si>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</si>
  <si>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</si>
  <si>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</si>
  <si>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</si>
  <si>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</si>
  <si>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</si>
  <si>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</si>
  <si>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</si>
  <si>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</si>
  <si>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</si>
  <si>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</si>
  <si>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</si>
  <si>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</si>
  <si>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</si>
  <si>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</si>
  <si>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</si>
  <si>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</si>
  <si>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</si>
  <si>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</si>
  <si>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</si>
  <si>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</si>
  <si>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</si>
  <si>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</si>
  <si>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</si>
  <si>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</si>
  <si>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</si>
  <si>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</si>
  <si>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</si>
  <si>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</si>
  <si>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</si>
  <si>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</si>
  <si>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</si>
  <si>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</si>
  <si>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</si>
  <si>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</si>
  <si>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</si>
  <si>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</si>
  <si>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</si>
  <si>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</si>
  <si>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</si>
  <si>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</si>
  <si>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</si>
  <si>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</si>
  <si>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</si>
  <si>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</si>
  <si>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</si>
  <si>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</si>
  <si>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</si>
  <si>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</si>
  <si>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</si>
  <si>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</si>
  <si>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</si>
  <si>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</si>
  <si>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</si>
  <si>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</si>
  <si>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</si>
  <si>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</si>
  <si>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</si>
  <si>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</si>
  <si>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</si>
  <si>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</si>
  <si>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</si>
  <si>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</si>
  <si>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</si>
  <si>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</si>
  <si>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</si>
  <si>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</si>
  <si>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</si>
  <si>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</si>
  <si>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</si>
  <si>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</si>
  <si>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</si>
  <si>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</si>
  <si>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</si>
  <si>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</si>
  <si>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</si>
  <si>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</si>
  <si>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</si>
  <si>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</si>
  <si>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</si>
  <si>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</si>
  <si>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</si>
  <si>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</si>
  <si>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</si>
  <si>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</si>
  <si>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</si>
  <si>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</si>
  <si>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</si>
  <si>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</si>
  <si>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</si>
  <si>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</si>
  <si>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</si>
  <si>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</si>
  <si>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</si>
  <si>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</si>
  <si>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</si>
  <si>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</si>
  <si>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</si>
  <si>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</si>
  <si>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</si>
  <si>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</si>
  <si>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</si>
  <si>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</si>
  <si>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</si>
  <si>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</si>
  <si>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</si>
  <si>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</si>
  <si>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</si>
  <si>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</si>
  <si>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</si>
  <si>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</si>
  <si>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</si>
  <si>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</si>
  <si>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</si>
  <si>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</si>
  <si>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</si>
  <si>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</si>
  <si>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</si>
  <si>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</si>
  <si>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</si>
  <si>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</si>
  <si>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</si>
  <si>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</si>
  <si>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</si>
  <si>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</si>
  <si>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</si>
  <si>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</si>
  <si>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</si>
  <si>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</si>
  <si>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</si>
  <si>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</si>
  <si>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</si>
  <si>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</si>
  <si>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</si>
  <si>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</si>
  <si>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</si>
  <si>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</si>
  <si>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</si>
  <si>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</si>
  <si>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</si>
  <si>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</si>
  <si>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</si>
  <si>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</si>
  <si>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</si>
  <si>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</si>
  <si>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</si>
  <si>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</si>
  <si>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</si>
  <si>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</si>
  <si>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</si>
  <si>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</si>
  <si>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</si>
  <si>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</si>
  <si>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</si>
  <si>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</si>
  <si>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</si>
  <si>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</si>
  <si>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</si>
  <si>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</si>
  <si>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</si>
  <si>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</si>
  <si>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</si>
  <si>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</si>
  <si>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</si>
  <si>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</si>
  <si>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</si>
  <si>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</si>
  <si>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</si>
  <si>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</si>
  <si>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</si>
  <si>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</si>
  <si>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</si>
  <si>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</si>
  <si>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</si>
  <si>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</si>
  <si>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</si>
  <si>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</si>
  <si>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</si>
  <si>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</si>
  <si>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</si>
  <si>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</si>
  <si>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</si>
  <si>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</si>
  <si>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</si>
  <si>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</si>
  <si>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</si>
  <si>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</si>
  <si>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</si>
  <si>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</si>
  <si>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</si>
  <si>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</si>
  <si>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</si>
  <si>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</si>
  <si>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</si>
  <si>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</si>
  <si>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</si>
  <si>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</si>
  <si>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</si>
  <si>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</si>
  <si>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</si>
  <si>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</si>
  <si>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</si>
  <si>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</si>
  <si>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</si>
  <si>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</si>
  <si>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</si>
  <si>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</si>
  <si>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</si>
  <si>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</si>
  <si>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</si>
  <si>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</si>
  <si>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</si>
  <si>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</si>
  <si>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</si>
  <si>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</si>
  <si>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</si>
  <si>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</si>
  <si>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</si>
  <si>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</si>
  <si>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</si>
  <si>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</si>
  <si>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</si>
  <si>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</si>
  <si>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</si>
  <si>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</si>
  <si>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</si>
  <si>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</si>
  <si>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</si>
  <si>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</si>
  <si>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</si>
  <si>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</si>
  <si>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</si>
  <si>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</si>
  <si>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</si>
  <si>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</si>
  <si>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</si>
  <si>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</si>
  <si>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</si>
  <si>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</si>
  <si>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</si>
  <si>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</si>
  <si>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</si>
  <si>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</si>
  <si>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</si>
  <si>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</si>
  <si>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</si>
  <si>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</si>
  <si>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</si>
  <si>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</si>
  <si>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</si>
  <si>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</si>
  <si>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</si>
  <si>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</si>
  <si>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</si>
  <si>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</si>
  <si>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</si>
  <si>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</si>
  <si>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</si>
  <si>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</si>
  <si>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</si>
  <si>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</si>
  <si>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</si>
  <si>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</si>
  <si>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</si>
  <si>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</si>
  <si>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</si>
  <si>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</si>
  <si>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</si>
  <si>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</si>
  <si>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</si>
  <si>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</si>
  <si>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</si>
  <si>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</si>
  <si>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</si>
  <si>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</si>
  <si>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</si>
  <si>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</si>
  <si>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</si>
  <si>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</si>
  <si>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</si>
  <si>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</si>
  <si>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</si>
  <si>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</si>
  <si>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</si>
  <si>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</si>
  <si>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</si>
  <si>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</si>
  <si>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</si>
  <si>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</si>
  <si>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</si>
  <si>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</si>
  <si>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</si>
  <si>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</si>
  <si>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</si>
  <si>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</si>
  <si>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</si>
  <si>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</si>
  <si>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</si>
  <si>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</si>
  <si>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</si>
  <si>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</si>
  <si>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</si>
  <si>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</si>
  <si>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</si>
  <si>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</si>
  <si>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</si>
  <si>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</si>
  <si>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</si>
  <si>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</si>
  <si>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</si>
  <si>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</si>
  <si>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</si>
  <si>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</si>
  <si>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</si>
  <si>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</si>
  <si>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</si>
  <si>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</si>
  <si>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</si>
  <si>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</si>
  <si>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</si>
  <si>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</si>
  <si>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</si>
  <si>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</si>
  <si>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</si>
  <si>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</si>
  <si>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</si>
  <si>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</si>
  <si>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</si>
  <si>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</si>
  <si>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</si>
  <si>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</si>
  <si>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</si>
  <si>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</si>
  <si>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</si>
  <si>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</si>
  <si>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</si>
  <si>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</si>
  <si>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</si>
  <si>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</si>
  <si>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</si>
  <si>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</si>
  <si>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</si>
  <si>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</si>
  <si>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</si>
  <si>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</si>
  <si>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</si>
  <si>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</si>
  <si>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</si>
  <si>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</si>
  <si>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</si>
  <si>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</si>
  <si>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</si>
  <si>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</si>
  <si>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</si>
  <si>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</si>
  <si>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</si>
  <si>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</si>
  <si>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</si>
  <si>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</si>
  <si>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</si>
  <si>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</si>
  <si>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</si>
  <si>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</si>
  <si>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</si>
  <si>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</si>
  <si>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</si>
  <si>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</si>
  <si>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</si>
  <si>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</si>
  <si>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</si>
  <si>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</si>
  <si>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</si>
  <si>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</si>
  <si>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</si>
  <si>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</si>
  <si>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</si>
  <si>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</si>
  <si>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</si>
  <si>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</si>
  <si>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</si>
  <si>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</si>
  <si>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</si>
  <si>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</si>
  <si>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</si>
  <si>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</si>
  <si>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</si>
  <si>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</si>
  <si>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</si>
  <si>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</si>
  <si>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</si>
  <si>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</si>
  <si>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</si>
  <si>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</si>
  <si>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</si>
  <si>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</si>
  <si>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</si>
  <si>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</si>
  <si>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</si>
  <si>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</si>
  <si>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</si>
  <si>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</si>
  <si>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</si>
  <si>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</si>
  <si>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</si>
  <si>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</si>
  <si>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</si>
  <si>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</si>
  <si>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</si>
  <si>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</si>
  <si>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</si>
  <si>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</si>
  <si>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</si>
  <si>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</si>
  <si>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</si>
  <si>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</si>
  <si>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</si>
  <si>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</si>
  <si>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</si>
  <si>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</si>
  <si>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</si>
  <si>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</si>
  <si>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</si>
  <si>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</si>
  <si>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</si>
  <si>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</si>
  <si>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</si>
  <si>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</si>
  <si>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</si>
  <si>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</si>
  <si>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</si>
  <si>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</si>
  <si>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</si>
  <si>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</si>
  <si>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</si>
  <si>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</si>
  <si>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</si>
  <si>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</si>
  <si>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</si>
  <si>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</si>
  <si>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</si>
  <si>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</si>
  <si>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</si>
  <si>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</si>
  <si>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</si>
  <si>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</si>
  <si>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</si>
  <si>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</si>
  <si>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</si>
  <si>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</si>
  <si>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</si>
  <si>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</si>
  <si>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</si>
  <si>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</si>
  <si>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</si>
  <si>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</si>
  <si>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</si>
  <si>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</si>
  <si>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</si>
  <si>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</si>
  <si>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</si>
  <si>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</si>
  <si>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</si>
  <si>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</si>
  <si>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</si>
  <si>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</si>
  <si>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</si>
  <si>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</si>
  <si>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</si>
  <si>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</si>
  <si>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</si>
  <si>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</si>
  <si>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</si>
  <si>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</si>
  <si>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</si>
  <si>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</si>
  <si>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</si>
  <si>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</si>
  <si>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</si>
  <si>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</si>
  <si>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</si>
  <si>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</si>
  <si>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</si>
  <si>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</si>
  <si>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</si>
  <si>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</si>
  <si>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</si>
  <si>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</si>
  <si>
    <t>LAYNER Y ABBY</t>
  </si>
  <si>
    <t>salida DAF puntual</t>
  </si>
  <si>
    <t>010726326</t>
  </si>
  <si>
    <t>010726316</t>
  </si>
  <si>
    <t>020726304</t>
  </si>
  <si>
    <t>estimado</t>
  </si>
  <si>
    <t>090726326</t>
  </si>
  <si>
    <t>090726316</t>
  </si>
  <si>
    <t>160726326</t>
  </si>
  <si>
    <t>170726304</t>
  </si>
  <si>
    <t>pendiente definir kg</t>
  </si>
  <si>
    <t>240726301-304</t>
  </si>
  <si>
    <t>MARTA Y ELENA</t>
  </si>
  <si>
    <t>MARTA Y ABBY</t>
  </si>
  <si>
    <t>060826326</t>
  </si>
  <si>
    <t>140826301-304</t>
  </si>
  <si>
    <t>Flamengo</t>
  </si>
  <si>
    <t>280826301-304</t>
  </si>
  <si>
    <t>de ago</t>
  </si>
  <si>
    <t>100926304</t>
  </si>
  <si>
    <t xml:space="preserve">LAYNER   </t>
  </si>
  <si>
    <t>240926301-304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</si>
</sst>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\ * #,##0.00_-;\-&quot;$&quot;\ * #,##0.00_-;_-&quot;$&quot;\ * &quot;-&quot;??_-;_-@_-"/>
    <numFmt numFmtId="164" formatCode="#,##0\ &quot;€&quot;;\-#,##0\ &quot;€&quot;"/>
    <numFmt numFmtId="165" formatCode="#,##0.00\ &quot;€&quot;;\-#,##0.00\ &quot;€&quot;"/>
    <numFmt numFmtId="166" formatCode="0.000"/>
    <numFmt numFmtId="167" formatCode="0.0%"/>
    <numFmt numFmtId="168" formatCode="0.0"/>
    <numFmt numFmtId="169" formatCode="#,##0.0000"/>
    <numFmt numFmtId="170" formatCode="_-[$€-2]\ * #,##0_-;\-[$€-2]\ * #,##0_-;_-[$€-2]\ * &quot;-&quot;??_-;_-@_-"/>
    <numFmt numFmtId="171" formatCode="_-[$€-2]\ * #,##0.00_-;\-[$€-2]\ * #,##0.00_-;_-[$€-2]\ * &quot;-&quot;??_-;_-@_-"/>
    <numFmt numFmtId="172" formatCode="_-* #,##0.00\ [$€-C0A]_-;\-* #,##0.00\ [$€-C0A]_-;_-* &quot;-&quot;??\ [$€-C0A]_-;_-@_-"/>
    <numFmt numFmtId="173" formatCode="_-* #,##0\ [$€-C0A]_-;\-* #,##0\ [$€-C0A]_-;_-* &quot;-&quot;??\ [$€-C0A]_-;_-@_-"/>
    <numFmt numFmtId="174" formatCode="0\ %;\-0\ %;0\ %"/>
    <numFmt numFmtId="175" formatCode="0.00\ %;\-0.00\ %;0.00\ %"/>
    <numFmt numFmtId="176" formatCode="0.0000"/>
    <numFmt numFmtId="177" formatCode="#,##0.000"/>
    <numFmt numFmtId="178" formatCode="#,##0.00\ \€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19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8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8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7" fontId="0" fillId="36" borderId="0" xfId="98" applyNumberFormat="1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6" fontId="0" fillId="0" borderId="0" xfId="0" applyNumberFormat="1"/>
    <xf numFmtId="2" fontId="41" fillId="0" borderId="0" xfId="0" applyNumberFormat="1" applyFont="1"/>
    <xf numFmtId="167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70" fontId="0" fillId="0" borderId="0" xfId="0" applyNumberFormat="1"/>
    <xf numFmtId="167" fontId="0" fillId="0" borderId="0" xfId="98" applyNumberFormat="1" applyFont="1" applyFill="1"/>
    <xf numFmtId="171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7" fontId="0" fillId="0" borderId="0" xfId="98" applyNumberFormat="1" applyFont="1" applyAlignment="1">
      <alignment wrapText="1"/>
    </xf>
    <xf numFmtId="17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4" fontId="0" fillId="0" borderId="0" xfId="0" applyNumberFormat="1"/>
    <xf numFmtId="175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2" fontId="0" fillId="0" borderId="0" xfId="0" applyNumberFormat="1" applyAlignment="1">
      <alignment horizontal="center"/>
    </xf>
    <xf numFmtId="172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3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165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6" fontId="0" fillId="0" borderId="0" xfId="0" applyNumberFormat="1"/>
    <xf numFmtId="14" fontId="0" fillId="35" borderId="0" xfId="0" applyNumberFormat="1" applyFill="1" applyAlignment="1">
      <alignment vertical="center"/>
    </xf>
    <xf numFmtId="177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7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7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70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7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8" fontId="0" fillId="0" borderId="0" xfId="0" applyNumberFormat="1"/>
    <xf numFmtId="3" fontId="0" fillId="42" borderId="0" xfId="0" applyNumberFormat="1" applyFill="1"/>
    <xf numFmtId="178" fontId="0" fillId="0" borderId="0" xfId="0" applyNumberFormat="1"/>
    <xf numFmtId="4" fontId="0" fillId="0" borderId="43" xfId="0" applyNumberFormat="1" applyBorder="1"/>
    <xf numFmtId="3" fontId="0" fillId="42" borderId="0" xfId="0" applyNumberFormat="1" applyFill="1" applyAlignment="1">
      <alignment wrapText="1"/>
    </xf>
    <xf numFmtId="0" fontId="0" fillId="0" borderId="0" xfId="0" quotePrefix="1" applyAlignment="1">
      <alignment horizontal="center"/>
    </xf>
    <xf numFmtId="0" fontId="0" fillId="40" borderId="0" xfId="0" applyFill="1"/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5" formatCode="0.00\ %;\-0.00\ %;0.00\ %"/>
    </dxf>
    <dxf>
      <numFmt numFmtId="175" formatCode="0.00\ %;\-0.00\ %;0.00\ 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71" formatCode="_-[$€-2]\ * #,##0.00_-;\-[$€-2]\ * #,##0.00_-;_-[$€-2]\ * &quot;-&quot;??_-;_-@_-"/>
    </dxf>
    <dxf>
      <numFmt numFmtId="171" formatCode="_-[$€-2]\ * #,##0.00_-;\-[$€-2]\ * #,##0.00_-;_-[$€-2]\ * &quot;-&quot;??_-;_-@_-"/>
    </dxf>
    <dxf>
      <numFmt numFmtId="3" formatCode="#,##0"/>
    </dxf>
    <dxf>
      <numFmt numFmtId="175" formatCode="0.00\ %;\-0.00\ %;0.00\ %"/>
    </dxf>
    <dxf>
      <numFmt numFmtId="2" formatCode="0.00"/>
    </dxf>
    <dxf>
      <numFmt numFmtId="175" formatCode="0.00\ %;\-0.00\ %;0.00\ %"/>
    </dxf>
    <dxf>
      <numFmt numFmtId="176" formatCode="0.00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7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9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3" formatCode="_-* #,##0\ [$€-C0A]_-;\-* #,##0\ [$€-C0A]_-;_-* &quot;-&quot;??\ [$€-C0A]_-;_-@_-"/>
    </dxf>
    <dxf>
      <numFmt numFmtId="2" formatCode="0.00"/>
    </dxf>
    <dxf>
      <numFmt numFmtId="178" formatCode="#,##0.00\ \€"/>
    </dxf>
    <dxf>
      <numFmt numFmtId="167" formatCode="0.0%"/>
    </dxf>
    <dxf>
      <numFmt numFmtId="170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0.0%"/>
    </dxf>
    <dxf>
      <numFmt numFmtId="167" formatCode="0.0%"/>
    </dxf>
    <dxf>
      <numFmt numFmtId="1" formatCode="0"/>
    </dxf>
    <dxf>
      <numFmt numFmtId="1" formatCode="0"/>
    </dxf>
    <dxf>
      <numFmt numFmtId="1" formatCode="0"/>
    </dxf>
    <dxf>
      <numFmt numFmtId="167" formatCode="0.0%"/>
    </dxf>
    <dxf>
      <numFmt numFmtId="1" formatCode="0"/>
    </dxf>
    <dxf>
      <numFmt numFmtId="167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6" formatCode="0.000"/>
    </dxf>
    <dxf>
      <numFmt numFmtId="166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9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5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8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5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8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6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2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0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0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9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5"/>
    <dataField fld="2" subtotal="count" baseField="0" baseItem="0"/>
    <dataField fld="9" subtotal="count" baseField="0" baseItem="0"/>
    <dataField fld="10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32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36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7">
      <pivotArea type="all" dataOnly="0" outline="0" fieldPosition="0"/>
    </format>
    <format dxfId="6">
      <pivotArea outline="0" collapsedLevelsAreSubtotals="1" fieldPosition="0"/>
    </format>
    <format dxfId="5">
      <pivotArea field="0" type="button" dataOnly="0" labelOnly="1" outline="0" axis="axisRow" fieldPosition="0"/>
    </format>
    <format dxfId="4">
      <pivotArea dataOnly="0" labelOnly="1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9">
      <pivotArea collapsedLevelsAreSubtotals="1" fieldPosition="0">
        <references count="1">
          <reference field="0" count="0"/>
        </references>
      </pivotArea>
    </format>
    <format dxfId="8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38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0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27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5"/>
    <dataField fld="1" subtotal="count" baseField="0" baseItem="0"/>
  </dataFields>
  <formats count="1">
    <format dxfId="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33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13">
      <pivotArea outline="0" collapsedLevelsAreSubtotals="1" fieldPosition="0"/>
    </format>
    <format dxfId="12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34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6"/>
    <dataField fld="5" subtotal="count" baseField="0" baseItem="0"/>
  </dataFields>
  <formats count="1">
    <format dxfId="1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37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31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35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15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1113" totalsRowShown="0" headerRowDxfId="119" headerRowBorderDxfId="118" tableBorderDxfId="117">
  <autoFilter ref="B2:I1113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47" totalsRowShown="0" headerRowDxfId="108">
  <autoFilter ref="A2:CI247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23" totalsRowShown="0" headerRowDxfId="57" dataDxfId="56">
  <autoFilter ref="A1:Q23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3" totalsRowShown="0" headerRowDxfId="175" dataDxfId="173" headerRowBorderDxfId="174" tableBorderDxfId="172">
  <autoFilter ref="R86:U193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1113"/>
  <sheetViews>
    <sheetView tabSelected="1" topLeftCell="A1095" zoomScaleNormal="100" workbookViewId="0">
      <selection activeCell="I396" sqref="I396"/>
    </sheetView>
  </sheetViews>
  <sheetFormatPr baseColWidth="10" defaultColWidth="11.453125" defaultRowHeight="14.5" x14ac:dyDescent="0.35"/>
  <cols>
    <col min="5" max="5" width="17.453125" bestFit="1" customWidth="1"/>
    <col min="6" max="6" width="25.81640625" customWidth="1"/>
    <col min="7" max="7" width="26.1796875" customWidth="1"/>
    <col min="8" max="8" width="18.1796875" customWidth="1"/>
    <col min="9" max="9" width="26.81640625" customWidth="1"/>
    <col min="13" max="13" width="13.54296875" customWidth="1"/>
    <col min="14" max="14" width="17.54296875" customWidth="1"/>
    <col min="15" max="15" width="19.54296875" customWidth="1"/>
    <col min="16" max="16" width="16.453125" customWidth="1"/>
    <col min="18" max="18" width="14.81640625" customWidth="1"/>
  </cols>
  <sheetData>
    <row r="2" spans="2:18" ht="15" thickBot="1" x14ac:dyDescent="0.4">
      <c r="B2" s="173" t="s">
        <v>0</v>
      </c>
      <c r="C2" s="174" t="s">
        <v>1</v>
      </c>
      <c r="D2" s="174" t="s">
        <v>2</v>
      </c>
      <c r="E2" s="175" t="s">
        <v>3</v>
      </c>
      <c r="F2" s="176" t="s">
        <v>4</v>
      </c>
      <c r="G2" s="177" t="s">
        <v>5</v>
      </c>
      <c r="H2" s="177" t="s">
        <v>6</v>
      </c>
      <c r="I2" s="178" t="s">
        <v>7</v>
      </c>
      <c r="K2" s="151" t="s">
        <v>552</v>
      </c>
      <c r="L2" s="152" t="s">
        <v>553</v>
      </c>
      <c r="M2" s="152" t="s">
        <v>554</v>
      </c>
      <c r="N2" s="152" t="s">
        <v>555</v>
      </c>
      <c r="O2" s="152" t="s">
        <v>556</v>
      </c>
      <c r="P2" s="152" t="s">
        <v>557</v>
      </c>
      <c r="Q2" s="152" t="s">
        <v>558</v>
      </c>
      <c r="R2" s="153" t="s">
        <v>559</v>
      </c>
    </row>
    <row r="3" spans="2:18" x14ac:dyDescent="0.3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4">
        <v>46082</v>
      </c>
    </row>
    <row r="4" spans="2:18" x14ac:dyDescent="0.3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3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5"/>
    </row>
    <row r="6" spans="2:18" x14ac:dyDescent="0.3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3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5"/>
    </row>
    <row r="8" spans="2:18" x14ac:dyDescent="0.3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3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5"/>
    </row>
    <row r="10" spans="2:18" x14ac:dyDescent="0.3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6"/>
      <c r="L10" s="157"/>
      <c r="M10" s="158"/>
      <c r="N10" s="159"/>
      <c r="O10" s="160"/>
      <c r="P10" s="161"/>
      <c r="Q10" s="162"/>
      <c r="R10" s="163"/>
    </row>
    <row r="11" spans="2:18" x14ac:dyDescent="0.3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3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3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3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3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3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3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3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3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3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3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3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3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3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3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3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3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3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3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3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3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3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3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3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3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3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3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3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3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3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3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3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3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3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3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3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3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4">
        <v>0.9</v>
      </c>
    </row>
    <row r="48" spans="2:9" x14ac:dyDescent="0.3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3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4">
        <v>0.91</v>
      </c>
    </row>
    <row r="50" spans="2:9" x14ac:dyDescent="0.3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3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4">
        <v>0.87</v>
      </c>
    </row>
    <row r="52" spans="2:9" x14ac:dyDescent="0.3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3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4">
        <v>1.26</v>
      </c>
    </row>
    <row r="54" spans="2:9" x14ac:dyDescent="0.3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3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4">
        <v>1.1000000000000001</v>
      </c>
    </row>
    <row r="56" spans="2:9" x14ac:dyDescent="0.3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4">
        <v>1.1299999999999999</v>
      </c>
    </row>
    <row r="57" spans="2:9" x14ac:dyDescent="0.3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3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4">
        <v>1.37</v>
      </c>
    </row>
    <row r="59" spans="2:9" x14ac:dyDescent="0.3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3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4">
        <v>1.52</v>
      </c>
    </row>
    <row r="61" spans="2:9" x14ac:dyDescent="0.3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3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4">
        <v>1.07</v>
      </c>
    </row>
    <row r="63" spans="2:9" x14ac:dyDescent="0.3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3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4">
        <v>1.31</v>
      </c>
    </row>
    <row r="65" spans="2:9" x14ac:dyDescent="0.3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3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4">
        <v>1.2</v>
      </c>
    </row>
    <row r="67" spans="2:9" x14ac:dyDescent="0.3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3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4">
        <v>1.05</v>
      </c>
    </row>
    <row r="69" spans="2:9" x14ac:dyDescent="0.3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3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4">
        <v>0.88</v>
      </c>
    </row>
    <row r="71" spans="2:9" x14ac:dyDescent="0.3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5">
        <v>0.98</v>
      </c>
    </row>
    <row r="72" spans="2:9" x14ac:dyDescent="0.3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4">
        <v>1.06</v>
      </c>
    </row>
    <row r="73" spans="2:9" x14ac:dyDescent="0.3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5">
        <v>0.99</v>
      </c>
    </row>
    <row r="74" spans="2:9" x14ac:dyDescent="0.3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4">
        <v>1.17</v>
      </c>
    </row>
    <row r="75" spans="2:9" x14ac:dyDescent="0.3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5">
        <v>1.23</v>
      </c>
    </row>
    <row r="76" spans="2:9" x14ac:dyDescent="0.3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4">
        <v>1.02</v>
      </c>
    </row>
    <row r="77" spans="2:9" x14ac:dyDescent="0.3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5">
        <v>1.22</v>
      </c>
    </row>
    <row r="78" spans="2:9" x14ac:dyDescent="0.3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4">
        <v>1.08</v>
      </c>
    </row>
    <row r="79" spans="2:9" x14ac:dyDescent="0.3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5">
        <v>0.98</v>
      </c>
    </row>
    <row r="80" spans="2:9" x14ac:dyDescent="0.3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4">
        <v>0.88</v>
      </c>
    </row>
    <row r="81" spans="2:9" x14ac:dyDescent="0.3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5">
        <v>0.93</v>
      </c>
    </row>
    <row r="82" spans="2:9" x14ac:dyDescent="0.3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4">
        <v>1.01</v>
      </c>
    </row>
    <row r="83" spans="2:9" x14ac:dyDescent="0.3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5">
        <v>1.32</v>
      </c>
    </row>
    <row r="84" spans="2:9" x14ac:dyDescent="0.3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4">
        <v>1.17</v>
      </c>
    </row>
    <row r="85" spans="2:9" x14ac:dyDescent="0.3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5">
        <v>0.98</v>
      </c>
    </row>
    <row r="86" spans="2:9" x14ac:dyDescent="0.3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4">
        <v>3</v>
      </c>
    </row>
    <row r="87" spans="2:9" x14ac:dyDescent="0.3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5">
        <v>2.27</v>
      </c>
    </row>
    <row r="88" spans="2:9" x14ac:dyDescent="0.3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4">
        <v>2.04</v>
      </c>
    </row>
    <row r="89" spans="2:9" x14ac:dyDescent="0.3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5">
        <v>1.59</v>
      </c>
    </row>
    <row r="90" spans="2:9" x14ac:dyDescent="0.3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4">
        <v>1.4</v>
      </c>
    </row>
    <row r="91" spans="2:9" x14ac:dyDescent="0.3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5">
        <v>1.72</v>
      </c>
    </row>
    <row r="92" spans="2:9" x14ac:dyDescent="0.3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4">
        <v>1.56</v>
      </c>
    </row>
    <row r="93" spans="2:9" x14ac:dyDescent="0.3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5">
        <v>1.62</v>
      </c>
    </row>
    <row r="94" spans="2:9" x14ac:dyDescent="0.3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4">
        <v>1.77</v>
      </c>
    </row>
    <row r="95" spans="2:9" x14ac:dyDescent="0.3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5">
        <v>1.51</v>
      </c>
    </row>
    <row r="96" spans="2:9" x14ac:dyDescent="0.3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4">
        <v>1.29</v>
      </c>
    </row>
    <row r="97" spans="2:9" x14ac:dyDescent="0.3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5">
        <v>1.26</v>
      </c>
    </row>
    <row r="98" spans="2:9" x14ac:dyDescent="0.3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4">
        <v>1.25</v>
      </c>
    </row>
    <row r="99" spans="2:9" x14ac:dyDescent="0.3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5">
        <v>1.55</v>
      </c>
    </row>
    <row r="100" spans="2:9" x14ac:dyDescent="0.3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4">
        <v>1.73</v>
      </c>
    </row>
    <row r="101" spans="2:9" x14ac:dyDescent="0.3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5">
        <v>1.49</v>
      </c>
    </row>
    <row r="102" spans="2:9" x14ac:dyDescent="0.3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4">
        <v>1.36</v>
      </c>
    </row>
    <row r="103" spans="2:9" x14ac:dyDescent="0.3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5">
        <v>1.49</v>
      </c>
    </row>
    <row r="104" spans="2:9" x14ac:dyDescent="0.3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4">
        <v>1.36</v>
      </c>
    </row>
    <row r="105" spans="2:9" x14ac:dyDescent="0.3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5">
        <v>1.1399999999999999</v>
      </c>
    </row>
    <row r="106" spans="2:9" x14ac:dyDescent="0.3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4">
        <v>1.23</v>
      </c>
    </row>
    <row r="107" spans="2:9" x14ac:dyDescent="0.3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5">
        <v>1.23</v>
      </c>
    </row>
    <row r="108" spans="2:9" x14ac:dyDescent="0.3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4">
        <v>1.34</v>
      </c>
    </row>
    <row r="109" spans="2:9" x14ac:dyDescent="0.3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5">
        <v>1.47</v>
      </c>
    </row>
    <row r="110" spans="2:9" x14ac:dyDescent="0.3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4">
        <v>1.51</v>
      </c>
    </row>
    <row r="111" spans="2:9" x14ac:dyDescent="0.3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5">
        <v>1.56</v>
      </c>
    </row>
    <row r="112" spans="2:9" x14ac:dyDescent="0.3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4">
        <v>1.35</v>
      </c>
    </row>
    <row r="113" spans="2:9" x14ac:dyDescent="0.3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5">
        <v>1.52</v>
      </c>
    </row>
    <row r="114" spans="2:9" x14ac:dyDescent="0.3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4">
        <v>1.41</v>
      </c>
    </row>
    <row r="115" spans="2:9" x14ac:dyDescent="0.3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5">
        <v>1.33</v>
      </c>
    </row>
    <row r="116" spans="2:9" x14ac:dyDescent="0.3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4">
        <v>1.36</v>
      </c>
    </row>
    <row r="117" spans="2:9" x14ac:dyDescent="0.3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5">
        <v>1.18</v>
      </c>
    </row>
    <row r="118" spans="2:9" x14ac:dyDescent="0.3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4">
        <v>1.28</v>
      </c>
    </row>
    <row r="119" spans="2:9" x14ac:dyDescent="0.3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5">
        <v>1.2</v>
      </c>
    </row>
    <row r="120" spans="2:9" x14ac:dyDescent="0.3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4">
        <v>1.21</v>
      </c>
    </row>
    <row r="121" spans="2:9" x14ac:dyDescent="0.3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5">
        <v>1.29</v>
      </c>
    </row>
    <row r="122" spans="2:9" x14ac:dyDescent="0.3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4">
        <v>1.37</v>
      </c>
    </row>
    <row r="123" spans="2:9" x14ac:dyDescent="0.3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5">
        <v>1.31</v>
      </c>
    </row>
    <row r="124" spans="2:9" x14ac:dyDescent="0.3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4">
        <v>1.1399999999999999</v>
      </c>
    </row>
    <row r="125" spans="2:9" x14ac:dyDescent="0.3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5">
        <v>1.57</v>
      </c>
    </row>
    <row r="126" spans="2:9" x14ac:dyDescent="0.3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4">
        <v>1.68</v>
      </c>
    </row>
    <row r="127" spans="2:9" x14ac:dyDescent="0.3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5">
        <v>1.23</v>
      </c>
    </row>
    <row r="128" spans="2:9" x14ac:dyDescent="0.3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4">
        <v>1.4</v>
      </c>
    </row>
    <row r="129" spans="2:9" x14ac:dyDescent="0.3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5">
        <v>1.32</v>
      </c>
    </row>
    <row r="130" spans="2:9" x14ac:dyDescent="0.3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4">
        <v>1.37</v>
      </c>
    </row>
    <row r="131" spans="2:9" x14ac:dyDescent="0.3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5">
        <v>1.45</v>
      </c>
    </row>
    <row r="132" spans="2:9" x14ac:dyDescent="0.3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4">
        <v>1.36</v>
      </c>
    </row>
    <row r="133" spans="2:9" x14ac:dyDescent="0.3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5">
        <v>1.63</v>
      </c>
    </row>
    <row r="134" spans="2:9" x14ac:dyDescent="0.3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4">
        <v>1.54</v>
      </c>
    </row>
    <row r="135" spans="2:9" x14ac:dyDescent="0.3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5">
        <v>1.65</v>
      </c>
    </row>
    <row r="136" spans="2:9" x14ac:dyDescent="0.3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4">
        <v>1.6</v>
      </c>
    </row>
    <row r="137" spans="2:9" x14ac:dyDescent="0.3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5">
        <v>1.38</v>
      </c>
    </row>
    <row r="138" spans="2:9" x14ac:dyDescent="0.3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4">
        <v>1.36</v>
      </c>
    </row>
    <row r="139" spans="2:9" x14ac:dyDescent="0.3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5">
        <v>1.19</v>
      </c>
    </row>
    <row r="140" spans="2:9" x14ac:dyDescent="0.3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4">
        <v>1.33</v>
      </c>
    </row>
    <row r="141" spans="2:9" x14ac:dyDescent="0.3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5">
        <v>1.64</v>
      </c>
    </row>
    <row r="142" spans="2:9" x14ac:dyDescent="0.3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4">
        <v>1.65</v>
      </c>
    </row>
    <row r="143" spans="2:9" x14ac:dyDescent="0.3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5">
        <v>1.46</v>
      </c>
    </row>
    <row r="144" spans="2:9" x14ac:dyDescent="0.3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4">
        <v>1.53</v>
      </c>
    </row>
    <row r="145" spans="2:9" x14ac:dyDescent="0.3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5">
        <v>1.41</v>
      </c>
    </row>
    <row r="146" spans="2:9" x14ac:dyDescent="0.3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4">
        <v>1.39</v>
      </c>
    </row>
    <row r="147" spans="2:9" x14ac:dyDescent="0.3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5">
        <v>1.25</v>
      </c>
    </row>
    <row r="148" spans="2:9" x14ac:dyDescent="0.3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4">
        <v>1.28</v>
      </c>
    </row>
    <row r="149" spans="2:9" x14ac:dyDescent="0.3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5">
        <v>1.57</v>
      </c>
    </row>
    <row r="150" spans="2:9" x14ac:dyDescent="0.3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4">
        <v>1.49</v>
      </c>
    </row>
    <row r="151" spans="2:9" x14ac:dyDescent="0.3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5">
        <v>1.55</v>
      </c>
    </row>
    <row r="152" spans="2:9" x14ac:dyDescent="0.3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4">
        <v>1.44</v>
      </c>
    </row>
    <row r="153" spans="2:9" x14ac:dyDescent="0.3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5">
        <v>1.38</v>
      </c>
    </row>
    <row r="154" spans="2:9" x14ac:dyDescent="0.3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4">
        <v>1.1499999999999999</v>
      </c>
    </row>
    <row r="155" spans="2:9" x14ac:dyDescent="0.3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5">
        <v>1.27</v>
      </c>
    </row>
    <row r="156" spans="2:9" x14ac:dyDescent="0.3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4">
        <v>1.38</v>
      </c>
    </row>
    <row r="157" spans="2:9" x14ac:dyDescent="0.3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5">
        <v>1.66</v>
      </c>
    </row>
    <row r="158" spans="2:9" x14ac:dyDescent="0.3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4">
        <v>1.49</v>
      </c>
    </row>
    <row r="159" spans="2:9" x14ac:dyDescent="0.3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5">
        <v>1.46</v>
      </c>
    </row>
    <row r="160" spans="2:9" x14ac:dyDescent="0.3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4">
        <v>1.4</v>
      </c>
    </row>
    <row r="161" spans="2:9" x14ac:dyDescent="0.3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5">
        <v>1.41</v>
      </c>
    </row>
    <row r="162" spans="2:9" x14ac:dyDescent="0.3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4">
        <v>1.39</v>
      </c>
    </row>
    <row r="163" spans="2:9" x14ac:dyDescent="0.3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5">
        <v>1.82</v>
      </c>
    </row>
    <row r="164" spans="2:9" x14ac:dyDescent="0.3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4">
        <v>1.87</v>
      </c>
    </row>
    <row r="165" spans="2:9" x14ac:dyDescent="0.3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5">
        <v>1.72</v>
      </c>
    </row>
    <row r="166" spans="2:9" x14ac:dyDescent="0.3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4">
        <v>1.59</v>
      </c>
    </row>
    <row r="167" spans="2:9" x14ac:dyDescent="0.3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5">
        <v>1.52</v>
      </c>
    </row>
    <row r="168" spans="2:9" x14ac:dyDescent="0.3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4">
        <v>1.52</v>
      </c>
    </row>
    <row r="169" spans="2:9" x14ac:dyDescent="0.3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5">
        <v>1.57</v>
      </c>
    </row>
    <row r="170" spans="2:9" x14ac:dyDescent="0.3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4">
        <v>2.06</v>
      </c>
    </row>
    <row r="171" spans="2:9" x14ac:dyDescent="0.3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5">
        <v>1.95</v>
      </c>
    </row>
    <row r="172" spans="2:9" x14ac:dyDescent="0.3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4">
        <v>1.77</v>
      </c>
    </row>
    <row r="173" spans="2:9" x14ac:dyDescent="0.3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5">
        <v>1.88</v>
      </c>
    </row>
    <row r="174" spans="2:9" x14ac:dyDescent="0.3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4">
        <v>1.8</v>
      </c>
    </row>
    <row r="175" spans="2:9" x14ac:dyDescent="0.3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5">
        <v>1.65</v>
      </c>
    </row>
    <row r="176" spans="2:9" x14ac:dyDescent="0.3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4">
        <v>1.85</v>
      </c>
    </row>
    <row r="177" spans="2:9" x14ac:dyDescent="0.3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5">
        <v>2.02</v>
      </c>
    </row>
    <row r="178" spans="2:9" x14ac:dyDescent="0.3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4">
        <v>1.86</v>
      </c>
    </row>
    <row r="179" spans="2:9" x14ac:dyDescent="0.3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5">
        <v>1.72</v>
      </c>
    </row>
    <row r="180" spans="2:9" x14ac:dyDescent="0.3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4">
        <v>1.56</v>
      </c>
    </row>
    <row r="181" spans="2:9" x14ac:dyDescent="0.3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5">
        <v>1.43</v>
      </c>
    </row>
    <row r="182" spans="2:9" x14ac:dyDescent="0.3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4">
        <v>1.44</v>
      </c>
    </row>
    <row r="183" spans="2:9" x14ac:dyDescent="0.3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5">
        <v>1.63</v>
      </c>
    </row>
    <row r="184" spans="2:9" x14ac:dyDescent="0.3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4">
        <v>1.67</v>
      </c>
    </row>
    <row r="185" spans="2:9" x14ac:dyDescent="0.3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5">
        <v>1.82</v>
      </c>
    </row>
    <row r="186" spans="2:9" x14ac:dyDescent="0.3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4">
        <v>1.71</v>
      </c>
    </row>
    <row r="187" spans="2:9" x14ac:dyDescent="0.3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5">
        <v>1.67</v>
      </c>
    </row>
    <row r="188" spans="2:9" x14ac:dyDescent="0.3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4">
        <v>2.09</v>
      </c>
    </row>
    <row r="189" spans="2:9" x14ac:dyDescent="0.3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5">
        <v>1.58</v>
      </c>
    </row>
    <row r="190" spans="2:9" x14ac:dyDescent="0.3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4">
        <v>1.72</v>
      </c>
    </row>
    <row r="191" spans="2:9" x14ac:dyDescent="0.3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5">
        <v>1.86</v>
      </c>
    </row>
    <row r="192" spans="2:9" x14ac:dyDescent="0.3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4">
        <v>2.15</v>
      </c>
    </row>
    <row r="193" spans="2:9" x14ac:dyDescent="0.3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5">
        <v>1.85</v>
      </c>
    </row>
    <row r="194" spans="2:9" x14ac:dyDescent="0.3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4">
        <v>1.71</v>
      </c>
    </row>
    <row r="195" spans="2:9" x14ac:dyDescent="0.3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5">
        <v>1.65</v>
      </c>
    </row>
    <row r="196" spans="2:9" x14ac:dyDescent="0.3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4">
        <v>1.58</v>
      </c>
    </row>
    <row r="197" spans="2:9" x14ac:dyDescent="0.3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5">
        <v>1.49</v>
      </c>
    </row>
    <row r="198" spans="2:9" x14ac:dyDescent="0.3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4">
        <v>1.44</v>
      </c>
    </row>
    <row r="199" spans="2:9" x14ac:dyDescent="0.3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5">
        <v>1.48</v>
      </c>
    </row>
    <row r="200" spans="2:9" x14ac:dyDescent="0.3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4">
        <v>1.62</v>
      </c>
    </row>
    <row r="201" spans="2:9" x14ac:dyDescent="0.3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5">
        <v>1.6</v>
      </c>
    </row>
    <row r="202" spans="2:9" x14ac:dyDescent="0.3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4">
        <v>1.57</v>
      </c>
    </row>
    <row r="203" spans="2:9" x14ac:dyDescent="0.3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5">
        <v>1.48</v>
      </c>
    </row>
    <row r="204" spans="2:9" x14ac:dyDescent="0.3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4">
        <v>1.56</v>
      </c>
    </row>
    <row r="205" spans="2:9" x14ac:dyDescent="0.3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5">
        <v>1.44</v>
      </c>
    </row>
    <row r="206" spans="2:9" x14ac:dyDescent="0.3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4">
        <v>1.36</v>
      </c>
    </row>
    <row r="207" spans="2:9" x14ac:dyDescent="0.3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5">
        <v>1.53</v>
      </c>
    </row>
    <row r="208" spans="2:9" x14ac:dyDescent="0.3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4">
        <v>1.83</v>
      </c>
    </row>
    <row r="209" spans="2:9" x14ac:dyDescent="0.3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5">
        <v>1.18</v>
      </c>
    </row>
    <row r="210" spans="2:9" x14ac:dyDescent="0.3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4">
        <v>1.42</v>
      </c>
    </row>
    <row r="211" spans="2:9" x14ac:dyDescent="0.3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5">
        <v>1.24</v>
      </c>
    </row>
    <row r="212" spans="2:9" x14ac:dyDescent="0.3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4">
        <v>1.18</v>
      </c>
    </row>
    <row r="213" spans="2:9" x14ac:dyDescent="0.3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5">
        <v>1.05</v>
      </c>
    </row>
    <row r="214" spans="2:9" x14ac:dyDescent="0.3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4">
        <v>1.1299999999999999</v>
      </c>
    </row>
    <row r="215" spans="2:9" x14ac:dyDescent="0.3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5">
        <v>1.34</v>
      </c>
    </row>
    <row r="216" spans="2:9" x14ac:dyDescent="0.35">
      <c r="B216" s="166">
        <v>46030</v>
      </c>
      <c r="C216" s="167" t="s">
        <v>12</v>
      </c>
      <c r="D216" s="168">
        <v>0.47916666666666669</v>
      </c>
      <c r="E216" s="169" t="s">
        <v>20</v>
      </c>
      <c r="F216" s="170">
        <v>65</v>
      </c>
      <c r="G216" s="171">
        <v>7.33</v>
      </c>
      <c r="H216" s="171">
        <v>16</v>
      </c>
      <c r="I216" s="172">
        <v>1.56</v>
      </c>
    </row>
    <row r="217" spans="2:9" x14ac:dyDescent="0.3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4">
        <v>1.2</v>
      </c>
    </row>
    <row r="218" spans="2:9" x14ac:dyDescent="0.3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4">
        <v>1.04</v>
      </c>
    </row>
    <row r="219" spans="2:9" x14ac:dyDescent="0.3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4">
        <v>0.9</v>
      </c>
    </row>
    <row r="220" spans="2:9" x14ac:dyDescent="0.3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4">
        <v>0.97</v>
      </c>
    </row>
    <row r="221" spans="2:9" x14ac:dyDescent="0.3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4">
        <v>0.93</v>
      </c>
    </row>
    <row r="222" spans="2:9" x14ac:dyDescent="0.3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4">
        <v>1.01</v>
      </c>
    </row>
    <row r="223" spans="2:9" x14ac:dyDescent="0.3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4">
        <v>1.04</v>
      </c>
    </row>
    <row r="224" spans="2:9" x14ac:dyDescent="0.3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4">
        <v>0.97</v>
      </c>
    </row>
    <row r="225" spans="2:9" x14ac:dyDescent="0.3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4">
        <v>0.93</v>
      </c>
    </row>
    <row r="226" spans="2:9" x14ac:dyDescent="0.3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4">
        <v>1.01</v>
      </c>
    </row>
    <row r="227" spans="2:9" x14ac:dyDescent="0.3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4">
        <v>1.04</v>
      </c>
    </row>
    <row r="228" spans="2:9" x14ac:dyDescent="0.3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4">
        <v>1.6</v>
      </c>
    </row>
    <row r="229" spans="2:9" x14ac:dyDescent="0.3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4">
        <v>1.47</v>
      </c>
    </row>
    <row r="230" spans="2:9" x14ac:dyDescent="0.3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4">
        <v>1.1399999999999999</v>
      </c>
    </row>
    <row r="231" spans="2:9" x14ac:dyDescent="0.3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4">
        <v>1</v>
      </c>
    </row>
    <row r="232" spans="2:9" x14ac:dyDescent="0.3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4">
        <v>0.99</v>
      </c>
    </row>
    <row r="233" spans="2:9" x14ac:dyDescent="0.3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4">
        <v>1.37</v>
      </c>
    </row>
    <row r="234" spans="2:9" x14ac:dyDescent="0.3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4">
        <v>1.4</v>
      </c>
    </row>
    <row r="235" spans="2:9" x14ac:dyDescent="0.3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4">
        <v>1.33</v>
      </c>
    </row>
    <row r="236" spans="2:9" x14ac:dyDescent="0.3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4">
        <v>1.17</v>
      </c>
    </row>
    <row r="237" spans="2:9" x14ac:dyDescent="0.3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4">
        <v>1.08</v>
      </c>
    </row>
    <row r="238" spans="2:9" x14ac:dyDescent="0.3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4">
        <v>1.2</v>
      </c>
    </row>
    <row r="239" spans="2:9" x14ac:dyDescent="0.3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4">
        <v>1.3</v>
      </c>
    </row>
    <row r="240" spans="2:9" x14ac:dyDescent="0.3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4">
        <v>1.22</v>
      </c>
    </row>
    <row r="241" spans="2:9" x14ac:dyDescent="0.3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4">
        <v>1.1200000000000001</v>
      </c>
    </row>
    <row r="242" spans="2:9" x14ac:dyDescent="0.3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4" t="s">
        <v>9</v>
      </c>
    </row>
    <row r="243" spans="2:9" x14ac:dyDescent="0.3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4" t="s">
        <v>9</v>
      </c>
    </row>
    <row r="244" spans="2:9" x14ac:dyDescent="0.3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4">
        <v>1.1299999999999999</v>
      </c>
    </row>
    <row r="245" spans="2:9" x14ac:dyDescent="0.3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4">
        <v>1.23</v>
      </c>
    </row>
    <row r="246" spans="2:9" x14ac:dyDescent="0.3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4">
        <v>1.45</v>
      </c>
    </row>
    <row r="247" spans="2:9" x14ac:dyDescent="0.3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4" t="s">
        <v>9</v>
      </c>
    </row>
    <row r="248" spans="2:9" x14ac:dyDescent="0.3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4">
        <v>2.4300000000000002</v>
      </c>
    </row>
    <row r="249" spans="2:9" x14ac:dyDescent="0.3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4">
        <v>3.32</v>
      </c>
    </row>
    <row r="250" spans="2:9" x14ac:dyDescent="0.3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4">
        <v>2.8</v>
      </c>
    </row>
    <row r="251" spans="2:9" x14ac:dyDescent="0.3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4">
        <v>2.13</v>
      </c>
    </row>
    <row r="252" spans="2:9" x14ac:dyDescent="0.3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4" t="s">
        <v>9</v>
      </c>
    </row>
    <row r="253" spans="2:9" x14ac:dyDescent="0.3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4">
        <v>2.38</v>
      </c>
    </row>
    <row r="254" spans="2:9" x14ac:dyDescent="0.3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4">
        <v>2.46</v>
      </c>
    </row>
    <row r="255" spans="2:9" x14ac:dyDescent="0.3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4">
        <v>1.97</v>
      </c>
    </row>
    <row r="256" spans="2:9" x14ac:dyDescent="0.3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4" t="s">
        <v>9</v>
      </c>
    </row>
    <row r="257" spans="2:9" x14ac:dyDescent="0.3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4" t="s">
        <v>9</v>
      </c>
    </row>
    <row r="258" spans="2:9" x14ac:dyDescent="0.3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4">
        <v>1.97</v>
      </c>
    </row>
    <row r="259" spans="2:9" x14ac:dyDescent="0.3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4">
        <v>1.79</v>
      </c>
    </row>
    <row r="260" spans="2:9" x14ac:dyDescent="0.3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4">
        <v>1.57</v>
      </c>
    </row>
    <row r="261" spans="2:9" x14ac:dyDescent="0.3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4">
        <v>1.4</v>
      </c>
    </row>
    <row r="262" spans="2:9" x14ac:dyDescent="0.3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4">
        <v>1.28</v>
      </c>
    </row>
    <row r="263" spans="2:9" x14ac:dyDescent="0.3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4">
        <v>1.25</v>
      </c>
    </row>
    <row r="264" spans="2:9" x14ac:dyDescent="0.3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4">
        <v>1.03</v>
      </c>
    </row>
    <row r="265" spans="2:9" x14ac:dyDescent="0.3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4">
        <v>0.99</v>
      </c>
    </row>
    <row r="266" spans="2:9" x14ac:dyDescent="0.3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4">
        <v>0.96</v>
      </c>
    </row>
    <row r="267" spans="2:9" x14ac:dyDescent="0.3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4">
        <v>0.91</v>
      </c>
    </row>
    <row r="268" spans="2:9" x14ac:dyDescent="0.3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4">
        <v>1.18</v>
      </c>
    </row>
    <row r="269" spans="2:9" x14ac:dyDescent="0.3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4">
        <v>1.28</v>
      </c>
    </row>
    <row r="270" spans="2:9" x14ac:dyDescent="0.3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4">
        <v>1.24</v>
      </c>
    </row>
    <row r="271" spans="2:9" x14ac:dyDescent="0.3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4">
        <v>1.08</v>
      </c>
    </row>
    <row r="272" spans="2:9" x14ac:dyDescent="0.3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4">
        <v>0.93</v>
      </c>
    </row>
    <row r="273" spans="2:9" x14ac:dyDescent="0.3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4">
        <v>1.04</v>
      </c>
    </row>
    <row r="274" spans="2:9" x14ac:dyDescent="0.3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4">
        <v>0.94</v>
      </c>
    </row>
    <row r="275" spans="2:9" x14ac:dyDescent="0.3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4">
        <v>0.94</v>
      </c>
    </row>
    <row r="276" spans="2:9" x14ac:dyDescent="0.3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4" t="s">
        <v>9</v>
      </c>
    </row>
    <row r="277" spans="2:9" x14ac:dyDescent="0.3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4">
        <v>1.1100000000000001</v>
      </c>
    </row>
    <row r="278" spans="2:9" x14ac:dyDescent="0.3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4">
        <v>1.1399999999999999</v>
      </c>
    </row>
    <row r="279" spans="2:9" x14ac:dyDescent="0.3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4">
        <v>1.26</v>
      </c>
    </row>
    <row r="280" spans="2:9" x14ac:dyDescent="0.3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4">
        <v>1.45</v>
      </c>
    </row>
    <row r="281" spans="2:9" x14ac:dyDescent="0.3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4">
        <v>1.43</v>
      </c>
    </row>
    <row r="282" spans="2:9" x14ac:dyDescent="0.3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4">
        <v>1.05</v>
      </c>
    </row>
    <row r="283" spans="2:9" x14ac:dyDescent="0.3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4">
        <v>1.05</v>
      </c>
    </row>
    <row r="284" spans="2:9" x14ac:dyDescent="0.3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4">
        <v>0.91</v>
      </c>
    </row>
    <row r="285" spans="2:9" x14ac:dyDescent="0.3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4">
        <v>0.86</v>
      </c>
    </row>
    <row r="286" spans="2:9" x14ac:dyDescent="0.3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4" t="s">
        <v>9</v>
      </c>
    </row>
    <row r="287" spans="2:9" x14ac:dyDescent="0.3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4">
        <v>0.96</v>
      </c>
    </row>
    <row r="288" spans="2:9" x14ac:dyDescent="0.3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4">
        <v>1.21</v>
      </c>
    </row>
    <row r="289" spans="2:9" x14ac:dyDescent="0.3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4">
        <v>1.1499999999999999</v>
      </c>
    </row>
    <row r="290" spans="2:9" x14ac:dyDescent="0.3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4">
        <v>1.05</v>
      </c>
    </row>
    <row r="291" spans="2:9" x14ac:dyDescent="0.3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4">
        <v>1.07</v>
      </c>
    </row>
    <row r="292" spans="2:9" x14ac:dyDescent="0.3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4" t="s">
        <v>9</v>
      </c>
    </row>
    <row r="293" spans="2:9" x14ac:dyDescent="0.3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4">
        <v>0.98</v>
      </c>
    </row>
    <row r="294" spans="2:9" x14ac:dyDescent="0.3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4">
        <v>1.05</v>
      </c>
    </row>
    <row r="295" spans="2:9" x14ac:dyDescent="0.3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4">
        <v>1.1100000000000001</v>
      </c>
    </row>
    <row r="296" spans="2:9" x14ac:dyDescent="0.3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4">
        <v>1.06</v>
      </c>
    </row>
    <row r="297" spans="2:9" x14ac:dyDescent="0.3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4">
        <v>1.17</v>
      </c>
    </row>
    <row r="298" spans="2:9" x14ac:dyDescent="0.35">
      <c r="B298" s="166">
        <v>46142</v>
      </c>
      <c r="C298" s="167" t="s">
        <v>12</v>
      </c>
      <c r="D298" s="168">
        <v>0.44444444444444442</v>
      </c>
      <c r="E298" s="169" t="s">
        <v>585</v>
      </c>
      <c r="F298" s="170">
        <v>209</v>
      </c>
      <c r="G298" s="171">
        <v>7.53</v>
      </c>
      <c r="H298" s="171">
        <v>11</v>
      </c>
      <c r="I298" s="172">
        <v>1.1599999999999999</v>
      </c>
    </row>
    <row r="299" spans="2:9" x14ac:dyDescent="0.3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4">
        <v>1.08</v>
      </c>
    </row>
    <row r="300" spans="2:9" x14ac:dyDescent="0.3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4" t="s">
        <v>9</v>
      </c>
    </row>
    <row r="301" spans="2:9" x14ac:dyDescent="0.3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4" t="s">
        <v>9</v>
      </c>
    </row>
    <row r="302" spans="2:9" x14ac:dyDescent="0.3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4">
        <v>1.05</v>
      </c>
    </row>
    <row r="303" spans="2:9" x14ac:dyDescent="0.3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4">
        <v>1.08</v>
      </c>
    </row>
    <row r="304" spans="2:9" x14ac:dyDescent="0.3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4">
        <v>1.04</v>
      </c>
    </row>
    <row r="305" spans="2:9" x14ac:dyDescent="0.3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4">
        <v>1.04</v>
      </c>
    </row>
    <row r="306" spans="2:9" x14ac:dyDescent="0.3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4">
        <v>1.01</v>
      </c>
    </row>
    <row r="307" spans="2:9" x14ac:dyDescent="0.3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4">
        <v>0.95</v>
      </c>
    </row>
    <row r="308" spans="2:9" x14ac:dyDescent="0.3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4">
        <v>1.18</v>
      </c>
    </row>
    <row r="309" spans="2:9" x14ac:dyDescent="0.3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4">
        <v>1.0900000000000001</v>
      </c>
    </row>
    <row r="310" spans="2:9" x14ac:dyDescent="0.3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4">
        <v>0.99</v>
      </c>
    </row>
    <row r="311" spans="2:9" x14ac:dyDescent="0.3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4">
        <v>1.03</v>
      </c>
    </row>
    <row r="312" spans="2:9" x14ac:dyDescent="0.3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4">
        <v>0.96</v>
      </c>
    </row>
    <row r="313" spans="2:9" x14ac:dyDescent="0.3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4">
        <v>1.29</v>
      </c>
    </row>
    <row r="314" spans="2:9" x14ac:dyDescent="0.3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4">
        <v>1.28</v>
      </c>
    </row>
    <row r="315" spans="2:9" x14ac:dyDescent="0.3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4">
        <v>1.26</v>
      </c>
    </row>
    <row r="316" spans="2:9" x14ac:dyDescent="0.3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4">
        <v>1.05</v>
      </c>
    </row>
    <row r="317" spans="2:9" x14ac:dyDescent="0.3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4">
        <v>1.1599999999999999</v>
      </c>
    </row>
    <row r="318" spans="2:9" x14ac:dyDescent="0.3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4">
        <v>1.2</v>
      </c>
    </row>
    <row r="319" spans="2:9" x14ac:dyDescent="0.35">
      <c r="B319" s="166">
        <v>46171</v>
      </c>
      <c r="C319" s="167" t="s">
        <v>12</v>
      </c>
      <c r="D319" s="168">
        <v>0.53472222222222221</v>
      </c>
      <c r="E319" s="169" t="s">
        <v>125</v>
      </c>
      <c r="F319" s="170">
        <v>51</v>
      </c>
      <c r="G319" s="171">
        <v>7.58</v>
      </c>
      <c r="H319" s="171">
        <v>7</v>
      </c>
      <c r="I319" s="172">
        <v>1.1599999999999999</v>
      </c>
    </row>
    <row r="320" spans="2:9" x14ac:dyDescent="0.35">
      <c r="B320" s="145">
        <v>46174</v>
      </c>
      <c r="C320" s="14" t="s">
        <v>12</v>
      </c>
      <c r="D320" s="15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4">
        <v>1.34</v>
      </c>
    </row>
    <row r="321" spans="2:9" x14ac:dyDescent="0.35">
      <c r="B321" s="145">
        <v>46175</v>
      </c>
      <c r="C321" s="14" t="s">
        <v>12</v>
      </c>
      <c r="D321" s="15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4">
        <v>1.63</v>
      </c>
    </row>
    <row r="322" spans="2:9" x14ac:dyDescent="0.35">
      <c r="B322" s="145">
        <v>46176</v>
      </c>
      <c r="C322" s="14" t="s">
        <v>12</v>
      </c>
      <c r="D322" s="15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4">
        <v>1.46</v>
      </c>
    </row>
    <row r="323" spans="2:9" x14ac:dyDescent="0.35">
      <c r="B323" s="145">
        <v>46177</v>
      </c>
      <c r="C323" s="14" t="s">
        <v>12</v>
      </c>
      <c r="D323" s="15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4">
        <v>1.66</v>
      </c>
    </row>
    <row r="324" spans="2:9" x14ac:dyDescent="0.35">
      <c r="B324" s="145">
        <v>46178</v>
      </c>
      <c r="C324" s="14" t="s">
        <v>12</v>
      </c>
      <c r="D324" s="15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4">
        <v>1.32</v>
      </c>
    </row>
    <row r="325" spans="2:9" x14ac:dyDescent="0.35">
      <c r="B325" s="145">
        <v>46181</v>
      </c>
      <c r="C325" s="14" t="s">
        <v>12</v>
      </c>
      <c r="D325" s="15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4">
        <v>1.21</v>
      </c>
    </row>
    <row r="326" spans="2:9" x14ac:dyDescent="0.35">
      <c r="B326" s="145">
        <v>46182</v>
      </c>
      <c r="C326" s="14" t="s">
        <v>12</v>
      </c>
      <c r="D326" s="15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4">
        <v>1.37</v>
      </c>
    </row>
    <row r="327" spans="2:9" x14ac:dyDescent="0.35">
      <c r="B327" s="145">
        <v>46183</v>
      </c>
      <c r="C327" s="14" t="s">
        <v>12</v>
      </c>
      <c r="D327" s="15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4" t="s">
        <v>9</v>
      </c>
    </row>
    <row r="328" spans="2:9" x14ac:dyDescent="0.35">
      <c r="B328" s="145">
        <v>46184</v>
      </c>
      <c r="C328" s="14" t="s">
        <v>12</v>
      </c>
      <c r="D328" s="15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4">
        <v>1.39</v>
      </c>
    </row>
    <row r="329" spans="2:9" x14ac:dyDescent="0.35">
      <c r="B329" s="145">
        <v>46185</v>
      </c>
      <c r="C329" s="14" t="s">
        <v>12</v>
      </c>
      <c r="D329" s="15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4">
        <v>1.28</v>
      </c>
    </row>
    <row r="330" spans="2:9" x14ac:dyDescent="0.35">
      <c r="B330" s="166">
        <v>46188</v>
      </c>
      <c r="C330" s="167" t="s">
        <v>12</v>
      </c>
      <c r="D330" s="168">
        <v>0.40277777777777779</v>
      </c>
      <c r="E330" s="169" t="s">
        <v>11</v>
      </c>
      <c r="F330" s="170" t="s">
        <v>9</v>
      </c>
      <c r="G330" s="171" t="s">
        <v>9</v>
      </c>
      <c r="H330" s="171" t="s">
        <v>9</v>
      </c>
      <c r="I330" s="172" t="s">
        <v>9</v>
      </c>
    </row>
    <row r="331" spans="2:9" x14ac:dyDescent="0.35">
      <c r="B331" s="145">
        <v>46189</v>
      </c>
      <c r="C331" s="14" t="s">
        <v>12</v>
      </c>
      <c r="D331" s="15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4" t="s">
        <v>9</v>
      </c>
    </row>
    <row r="332" spans="2:9" x14ac:dyDescent="0.35">
      <c r="B332" s="145">
        <v>46190</v>
      </c>
      <c r="C332" s="14" t="s">
        <v>12</v>
      </c>
      <c r="D332" s="15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4">
        <v>2.89</v>
      </c>
    </row>
    <row r="333" spans="2:9" x14ac:dyDescent="0.35">
      <c r="B333" s="145">
        <v>46191</v>
      </c>
      <c r="C333" s="14" t="s">
        <v>12</v>
      </c>
      <c r="D333" s="15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4">
        <v>2.77</v>
      </c>
    </row>
    <row r="334" spans="2:9" x14ac:dyDescent="0.35">
      <c r="B334" s="145">
        <v>46192</v>
      </c>
      <c r="C334" s="14" t="s">
        <v>12</v>
      </c>
      <c r="D334" s="15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4">
        <v>2.37</v>
      </c>
    </row>
    <row r="335" spans="2:9" x14ac:dyDescent="0.35">
      <c r="B335" s="166">
        <v>46195</v>
      </c>
      <c r="C335" s="167" t="s">
        <v>12</v>
      </c>
      <c r="D335" s="168">
        <v>0.37152777777777779</v>
      </c>
      <c r="E335" s="169" t="s">
        <v>15</v>
      </c>
      <c r="F335" s="170" t="s">
        <v>9</v>
      </c>
      <c r="G335" s="171" t="s">
        <v>9</v>
      </c>
      <c r="H335" s="171" t="s">
        <v>9</v>
      </c>
      <c r="I335" s="172" t="s">
        <v>9</v>
      </c>
    </row>
    <row r="336" spans="2:9" x14ac:dyDescent="0.35">
      <c r="B336" s="145">
        <v>46196</v>
      </c>
      <c r="C336" s="14" t="s">
        <v>12</v>
      </c>
      <c r="D336" s="15">
        <v>0.38541666666666669</v>
      </c>
      <c r="E336" s="18" t="s">
        <v>15</v>
      </c>
      <c r="F336" s="26">
        <v>45</v>
      </c>
      <c r="G336" s="17">
        <v>6.98</v>
      </c>
      <c r="H336" s="17">
        <v>47</v>
      </c>
      <c r="I336" s="164">
        <v>2.2799999999999998</v>
      </c>
    </row>
    <row r="337" spans="2:10" x14ac:dyDescent="0.35">
      <c r="B337" s="145">
        <v>46197</v>
      </c>
      <c r="C337" s="14" t="s">
        <v>12</v>
      </c>
      <c r="D337" s="15">
        <v>0.39930555555555558</v>
      </c>
      <c r="E337" s="18" t="s">
        <v>15</v>
      </c>
      <c r="F337" s="26">
        <v>56</v>
      </c>
      <c r="G337" s="17">
        <v>7.24</v>
      </c>
      <c r="H337" s="17">
        <v>34</v>
      </c>
      <c r="I337" s="164">
        <v>1.95</v>
      </c>
    </row>
    <row r="338" spans="2:10" x14ac:dyDescent="0.35">
      <c r="B338" s="145">
        <v>46198</v>
      </c>
      <c r="C338" s="14" t="s">
        <v>12</v>
      </c>
      <c r="D338" s="15">
        <v>0.36805555555555558</v>
      </c>
      <c r="E338" s="18" t="s">
        <v>15</v>
      </c>
      <c r="F338" s="26">
        <v>43</v>
      </c>
      <c r="G338" s="17">
        <v>7.59</v>
      </c>
      <c r="H338" s="17">
        <v>17</v>
      </c>
      <c r="I338" s="164">
        <v>1.76</v>
      </c>
    </row>
    <row r="339" spans="2:10" x14ac:dyDescent="0.35">
      <c r="B339" s="145">
        <v>46199</v>
      </c>
      <c r="C339" s="14" t="s">
        <v>12</v>
      </c>
      <c r="D339" s="15">
        <v>0.375</v>
      </c>
      <c r="E339" s="18" t="s">
        <v>15</v>
      </c>
      <c r="F339" s="26">
        <v>39</v>
      </c>
      <c r="G339" s="17">
        <v>7.44</v>
      </c>
      <c r="H339" s="17">
        <v>0</v>
      </c>
      <c r="I339" s="164">
        <v>1.52</v>
      </c>
    </row>
    <row r="340" spans="2:10" x14ac:dyDescent="0.35">
      <c r="B340" s="166">
        <v>46202</v>
      </c>
      <c r="C340" s="167" t="s">
        <v>12</v>
      </c>
      <c r="D340" s="168">
        <v>0.3888888888888889</v>
      </c>
      <c r="E340" s="169" t="s">
        <v>15</v>
      </c>
      <c r="F340" s="170">
        <v>26</v>
      </c>
      <c r="G340" s="171">
        <v>7.62</v>
      </c>
      <c r="H340" s="171">
        <v>14</v>
      </c>
      <c r="I340" s="172">
        <v>1.5</v>
      </c>
    </row>
    <row r="341" spans="2:10" x14ac:dyDescent="0.35">
      <c r="B341" s="145">
        <v>46203</v>
      </c>
      <c r="C341" s="14" t="s">
        <v>12</v>
      </c>
      <c r="D341" s="15">
        <v>0.35069444444444442</v>
      </c>
      <c r="E341" s="18" t="s">
        <v>15</v>
      </c>
      <c r="F341" s="26" t="s">
        <v>9</v>
      </c>
      <c r="G341" s="17" t="s">
        <v>9</v>
      </c>
      <c r="H341" s="17" t="s">
        <v>9</v>
      </c>
      <c r="I341" s="164" t="s">
        <v>9</v>
      </c>
    </row>
    <row r="342" spans="2:10" x14ac:dyDescent="0.35">
      <c r="B342" s="145">
        <v>46204</v>
      </c>
      <c r="C342" s="14" t="s">
        <v>12</v>
      </c>
      <c r="D342" s="15">
        <v>0.375</v>
      </c>
      <c r="E342" s="18" t="s">
        <v>15</v>
      </c>
      <c r="F342" s="26">
        <v>65</v>
      </c>
      <c r="G342" s="17">
        <v>7.31</v>
      </c>
      <c r="H342" s="17" t="s">
        <v>9</v>
      </c>
      <c r="I342" s="164">
        <v>1.1100000000000001</v>
      </c>
      <c r="J342" t="s">
        <v>608</v>
      </c>
    </row>
    <row r="343" spans="2:10" x14ac:dyDescent="0.35">
      <c r="B343" s="145">
        <v>46205</v>
      </c>
      <c r="C343" s="14" t="s">
        <v>12</v>
      </c>
      <c r="D343" s="15">
        <v>0.41319444444444442</v>
      </c>
      <c r="E343" s="18" t="s">
        <v>15</v>
      </c>
      <c r="F343" s="26" t="s">
        <v>9</v>
      </c>
      <c r="G343" s="17" t="s">
        <v>9</v>
      </c>
      <c r="H343" s="17" t="s">
        <v>9</v>
      </c>
      <c r="I343" s="164" t="s">
        <v>9</v>
      </c>
    </row>
    <row r="344" spans="2:10" x14ac:dyDescent="0.35">
      <c r="B344" s="145">
        <v>46206</v>
      </c>
      <c r="C344" s="14" t="s">
        <v>12</v>
      </c>
      <c r="D344" s="15">
        <v>0.3888888888888889</v>
      </c>
      <c r="E344" s="18" t="s">
        <v>15</v>
      </c>
      <c r="F344" s="26" t="s">
        <v>9</v>
      </c>
      <c r="G344" s="17" t="s">
        <v>9</v>
      </c>
      <c r="H344" s="17" t="s">
        <v>9</v>
      </c>
      <c r="I344" s="164" t="s">
        <v>9</v>
      </c>
    </row>
    <row r="345" spans="2:10" x14ac:dyDescent="0.35">
      <c r="B345" s="166">
        <v>46209</v>
      </c>
      <c r="C345" s="167" t="s">
        <v>12</v>
      </c>
      <c r="D345" s="168">
        <v>0.375</v>
      </c>
      <c r="E345" s="169" t="s">
        <v>607</v>
      </c>
      <c r="F345" s="170">
        <v>83</v>
      </c>
      <c r="G345" s="171">
        <v>7.59</v>
      </c>
      <c r="H345" s="171" t="s">
        <v>9</v>
      </c>
      <c r="I345" s="172">
        <v>1.56</v>
      </c>
      <c r="J345" t="s">
        <v>608</v>
      </c>
    </row>
    <row r="346" spans="2:10" x14ac:dyDescent="0.35">
      <c r="B346" s="145">
        <v>46210</v>
      </c>
      <c r="C346" s="14" t="s">
        <v>12</v>
      </c>
      <c r="D346" s="15">
        <v>0.36805555555555558</v>
      </c>
      <c r="E346" s="18" t="s">
        <v>607</v>
      </c>
      <c r="F346" s="26" t="s">
        <v>9</v>
      </c>
      <c r="G346" s="17" t="s">
        <v>9</v>
      </c>
      <c r="H346" s="17" t="s">
        <v>9</v>
      </c>
      <c r="I346" s="164" t="s">
        <v>9</v>
      </c>
    </row>
    <row r="347" spans="2:10" x14ac:dyDescent="0.35">
      <c r="B347" s="145">
        <v>46211</v>
      </c>
      <c r="C347" s="14" t="s">
        <v>12</v>
      </c>
      <c r="D347" s="15">
        <v>0.375</v>
      </c>
      <c r="E347" s="18" t="s">
        <v>607</v>
      </c>
      <c r="F347" s="26">
        <v>41</v>
      </c>
      <c r="G347" s="17">
        <v>7.53</v>
      </c>
      <c r="H347" s="17">
        <v>64</v>
      </c>
      <c r="I347" s="164">
        <v>1.78</v>
      </c>
    </row>
    <row r="348" spans="2:10" x14ac:dyDescent="0.35">
      <c r="B348" s="145">
        <v>46212</v>
      </c>
      <c r="C348" s="14" t="s">
        <v>12</v>
      </c>
      <c r="D348" s="15">
        <v>0.375</v>
      </c>
      <c r="E348" s="18" t="s">
        <v>607</v>
      </c>
      <c r="F348" s="26" t="s">
        <v>9</v>
      </c>
      <c r="G348" s="17" t="s">
        <v>9</v>
      </c>
      <c r="H348" s="17" t="s">
        <v>9</v>
      </c>
      <c r="I348" s="164" t="s">
        <v>9</v>
      </c>
    </row>
    <row r="349" spans="2:10" x14ac:dyDescent="0.35">
      <c r="B349" s="145">
        <v>46213</v>
      </c>
      <c r="C349" s="14" t="s">
        <v>12</v>
      </c>
      <c r="D349" s="15">
        <v>0.40277777777777779</v>
      </c>
      <c r="E349" s="18" t="s">
        <v>607</v>
      </c>
      <c r="F349" s="26">
        <v>33</v>
      </c>
      <c r="G349" s="17">
        <v>7.4</v>
      </c>
      <c r="H349" s="17">
        <v>42</v>
      </c>
      <c r="I349" s="164">
        <v>1.64</v>
      </c>
    </row>
    <row r="350" spans="2:10" x14ac:dyDescent="0.35">
      <c r="B350" s="166">
        <v>46216</v>
      </c>
      <c r="C350" s="167" t="s">
        <v>12</v>
      </c>
      <c r="D350" s="168">
        <v>0.3888888888888889</v>
      </c>
      <c r="E350" s="169" t="s">
        <v>15</v>
      </c>
      <c r="F350" s="170" t="s">
        <v>9</v>
      </c>
      <c r="G350" s="171" t="s">
        <v>9</v>
      </c>
      <c r="H350" s="171" t="s">
        <v>9</v>
      </c>
      <c r="I350" s="172" t="s">
        <v>9</v>
      </c>
    </row>
    <row r="351" spans="2:10" x14ac:dyDescent="0.35">
      <c r="B351" s="145">
        <v>46217</v>
      </c>
      <c r="C351" s="14" t="s">
        <v>12</v>
      </c>
      <c r="D351" s="15">
        <v>0.3888888888888889</v>
      </c>
      <c r="E351" s="18" t="s">
        <v>15</v>
      </c>
      <c r="F351" s="26" t="s">
        <v>9</v>
      </c>
      <c r="G351" s="17" t="s">
        <v>9</v>
      </c>
      <c r="H351" s="17" t="s">
        <v>9</v>
      </c>
      <c r="I351" s="164" t="s">
        <v>9</v>
      </c>
    </row>
    <row r="352" spans="2:10" x14ac:dyDescent="0.35">
      <c r="B352" s="145">
        <v>46218</v>
      </c>
      <c r="C352" s="14" t="s">
        <v>12</v>
      </c>
      <c r="D352" s="15">
        <v>0.375</v>
      </c>
      <c r="E352" s="18" t="s">
        <v>15</v>
      </c>
      <c r="F352" s="26" t="s">
        <v>9</v>
      </c>
      <c r="G352" s="17" t="s">
        <v>9</v>
      </c>
      <c r="H352" s="17" t="s">
        <v>9</v>
      </c>
      <c r="I352" s="164" t="s">
        <v>9</v>
      </c>
    </row>
    <row r="353" spans="2:9" x14ac:dyDescent="0.35">
      <c r="B353" s="145">
        <v>46219</v>
      </c>
      <c r="C353" s="14" t="s">
        <v>12</v>
      </c>
      <c r="D353" s="15">
        <v>0.3576388888888889</v>
      </c>
      <c r="E353" s="18" t="s">
        <v>15</v>
      </c>
      <c r="F353" s="26" t="s">
        <v>9</v>
      </c>
      <c r="G353" s="17" t="s">
        <v>9</v>
      </c>
      <c r="H353" s="17" t="s">
        <v>9</v>
      </c>
      <c r="I353" s="164" t="s">
        <v>9</v>
      </c>
    </row>
    <row r="354" spans="2:9" x14ac:dyDescent="0.35">
      <c r="B354" s="145">
        <v>46220</v>
      </c>
      <c r="C354" s="14" t="s">
        <v>12</v>
      </c>
      <c r="D354" s="15">
        <v>0.51388888888888884</v>
      </c>
      <c r="E354" s="18" t="s">
        <v>15</v>
      </c>
      <c r="F354" s="26">
        <v>41</v>
      </c>
      <c r="G354" s="17">
        <v>7.86</v>
      </c>
      <c r="H354" s="17">
        <v>38</v>
      </c>
      <c r="I354" s="164">
        <v>1.42</v>
      </c>
    </row>
    <row r="355" spans="2:9" x14ac:dyDescent="0.35">
      <c r="B355" s="145">
        <v>46223</v>
      </c>
      <c r="C355" s="14" t="s">
        <v>12</v>
      </c>
      <c r="D355" s="15">
        <v>0.35416666666666669</v>
      </c>
      <c r="E355" s="18" t="s">
        <v>15</v>
      </c>
      <c r="F355" s="26" t="s">
        <v>9</v>
      </c>
      <c r="G355" s="17" t="s">
        <v>9</v>
      </c>
      <c r="H355" s="17" t="s">
        <v>9</v>
      </c>
      <c r="I355" s="164" t="s">
        <v>9</v>
      </c>
    </row>
    <row r="356" spans="2:9" x14ac:dyDescent="0.35">
      <c r="B356" s="166">
        <v>46224</v>
      </c>
      <c r="C356" s="167" t="s">
        <v>12</v>
      </c>
      <c r="D356" s="168">
        <v>0.34722222222222221</v>
      </c>
      <c r="E356" s="169" t="s">
        <v>15</v>
      </c>
      <c r="F356" s="170">
        <v>48</v>
      </c>
      <c r="G356" s="171">
        <v>8.16</v>
      </c>
      <c r="H356" s="171">
        <v>43</v>
      </c>
      <c r="I356" s="172">
        <v>1.66</v>
      </c>
    </row>
    <row r="357" spans="2:9" x14ac:dyDescent="0.35">
      <c r="B357" s="145">
        <v>46225</v>
      </c>
      <c r="C357" s="14" t="s">
        <v>12</v>
      </c>
      <c r="D357" s="15">
        <v>0.31944444444444442</v>
      </c>
      <c r="E357" s="18" t="s">
        <v>15</v>
      </c>
      <c r="F357" s="26" t="s">
        <v>9</v>
      </c>
      <c r="G357" s="17" t="s">
        <v>9</v>
      </c>
      <c r="H357" s="17" t="s">
        <v>9</v>
      </c>
      <c r="I357" s="164" t="s">
        <v>9</v>
      </c>
    </row>
    <row r="358" spans="2:9" x14ac:dyDescent="0.35">
      <c r="B358" s="145">
        <v>46226</v>
      </c>
      <c r="C358" s="14" t="s">
        <v>12</v>
      </c>
      <c r="D358" s="15">
        <v>0.3611111111111111</v>
      </c>
      <c r="E358" s="18" t="s">
        <v>15</v>
      </c>
      <c r="F358" s="26">
        <v>40</v>
      </c>
      <c r="G358" s="17">
        <v>7.7</v>
      </c>
      <c r="H358" s="17">
        <v>49</v>
      </c>
      <c r="I358" s="164">
        <v>1.99</v>
      </c>
    </row>
    <row r="359" spans="2:9" x14ac:dyDescent="0.35">
      <c r="B359" s="145">
        <v>46227</v>
      </c>
      <c r="C359" s="14" t="s">
        <v>12</v>
      </c>
      <c r="D359" s="15">
        <v>0.44097222222222221</v>
      </c>
      <c r="E359" s="18" t="s">
        <v>15</v>
      </c>
      <c r="F359" s="26" t="s">
        <v>9</v>
      </c>
      <c r="G359" s="17" t="s">
        <v>9</v>
      </c>
      <c r="H359" s="17" t="s">
        <v>9</v>
      </c>
      <c r="I359" s="164" t="s">
        <v>9</v>
      </c>
    </row>
    <row r="360" spans="2:9" x14ac:dyDescent="0.35">
      <c r="B360" s="145">
        <v>46230</v>
      </c>
      <c r="C360" s="14" t="s">
        <v>12</v>
      </c>
      <c r="D360" s="15">
        <v>0.36458333333333331</v>
      </c>
      <c r="E360" s="18" t="s">
        <v>32</v>
      </c>
      <c r="F360" s="26">
        <v>28</v>
      </c>
      <c r="G360" s="17">
        <v>8.09</v>
      </c>
      <c r="H360" s="17">
        <v>27</v>
      </c>
      <c r="I360" s="164">
        <v>1.3</v>
      </c>
    </row>
    <row r="361" spans="2:9" x14ac:dyDescent="0.35">
      <c r="B361" s="166">
        <v>46231</v>
      </c>
      <c r="C361" s="167" t="s">
        <v>12</v>
      </c>
      <c r="D361" s="168">
        <v>0.3576388888888889</v>
      </c>
      <c r="E361" s="169" t="s">
        <v>32</v>
      </c>
      <c r="F361" s="170">
        <v>42</v>
      </c>
      <c r="G361" s="171">
        <v>8.01</v>
      </c>
      <c r="H361" s="171">
        <v>26</v>
      </c>
      <c r="I361" s="172">
        <v>1.46</v>
      </c>
    </row>
    <row r="362" spans="2:9" x14ac:dyDescent="0.35">
      <c r="B362" s="145">
        <v>46232</v>
      </c>
      <c r="C362" s="14" t="s">
        <v>12</v>
      </c>
      <c r="D362" s="15">
        <v>0.33333333333333331</v>
      </c>
      <c r="E362" s="18" t="s">
        <v>32</v>
      </c>
      <c r="F362" s="26">
        <v>48</v>
      </c>
      <c r="G362" s="17">
        <v>7.79</v>
      </c>
      <c r="H362" s="17">
        <v>38</v>
      </c>
      <c r="I362" s="164">
        <v>1.56</v>
      </c>
    </row>
    <row r="363" spans="2:9" x14ac:dyDescent="0.35">
      <c r="B363" s="145">
        <v>46233</v>
      </c>
      <c r="C363" s="14" t="s">
        <v>12</v>
      </c>
      <c r="D363" s="15">
        <v>0.34722222222222221</v>
      </c>
      <c r="E363" s="18" t="s">
        <v>32</v>
      </c>
      <c r="F363" s="26">
        <v>42</v>
      </c>
      <c r="G363" s="17">
        <v>8.15</v>
      </c>
      <c r="H363" s="17">
        <v>8</v>
      </c>
      <c r="I363" s="164">
        <v>1.22</v>
      </c>
    </row>
    <row r="364" spans="2:9" x14ac:dyDescent="0.35">
      <c r="B364" s="166">
        <v>46234</v>
      </c>
      <c r="C364" s="167" t="s">
        <v>12</v>
      </c>
      <c r="D364" s="168">
        <v>0.37152777777777779</v>
      </c>
      <c r="E364" s="169" t="s">
        <v>32</v>
      </c>
      <c r="F364" s="170">
        <v>36</v>
      </c>
      <c r="G364" s="171">
        <v>8.1</v>
      </c>
      <c r="H364" s="171">
        <v>0</v>
      </c>
      <c r="I364" s="172">
        <v>1.41</v>
      </c>
    </row>
    <row r="365" spans="2:9" x14ac:dyDescent="0.35">
      <c r="B365" s="145">
        <v>46237</v>
      </c>
      <c r="C365" s="14" t="s">
        <v>12</v>
      </c>
      <c r="D365" s="15">
        <v>0.35069444444444442</v>
      </c>
      <c r="E365" s="18" t="s">
        <v>11</v>
      </c>
      <c r="F365" s="26" t="s">
        <v>9</v>
      </c>
      <c r="G365" s="17" t="s">
        <v>9</v>
      </c>
      <c r="H365" s="17" t="s">
        <v>9</v>
      </c>
      <c r="I365" s="164" t="s">
        <v>9</v>
      </c>
    </row>
    <row r="366" spans="2:9" x14ac:dyDescent="0.35">
      <c r="B366" s="145">
        <v>46238</v>
      </c>
      <c r="C366" s="14" t="s">
        <v>12</v>
      </c>
      <c r="D366" s="15">
        <v>0.40625</v>
      </c>
      <c r="E366" s="18" t="s">
        <v>11</v>
      </c>
      <c r="F366" s="26" t="s">
        <v>9</v>
      </c>
      <c r="G366" s="17" t="s">
        <v>9</v>
      </c>
      <c r="H366" s="17" t="s">
        <v>9</v>
      </c>
      <c r="I366" s="164" t="s">
        <v>9</v>
      </c>
    </row>
    <row r="367" spans="2:9" x14ac:dyDescent="0.35">
      <c r="B367" s="145">
        <v>46239</v>
      </c>
      <c r="C367" s="14" t="s">
        <v>12</v>
      </c>
      <c r="D367" s="15" t="s">
        <v>586</v>
      </c>
      <c r="E367" s="18" t="s">
        <v>11</v>
      </c>
      <c r="F367" s="26" t="s">
        <v>9</v>
      </c>
      <c r="G367" s="17" t="s">
        <v>9</v>
      </c>
      <c r="H367" s="17" t="s">
        <v>9</v>
      </c>
      <c r="I367" s="164" t="s">
        <v>9</v>
      </c>
    </row>
    <row r="368" spans="2:9" x14ac:dyDescent="0.35">
      <c r="B368" s="145">
        <v>46240</v>
      </c>
      <c r="C368" s="14" t="s">
        <v>12</v>
      </c>
      <c r="D368" s="15">
        <v>0.52083333333333337</v>
      </c>
      <c r="E368" s="18" t="s">
        <v>11</v>
      </c>
      <c r="F368" s="26">
        <v>34</v>
      </c>
      <c r="G368" s="17">
        <v>8.08</v>
      </c>
      <c r="H368" s="17">
        <v>35</v>
      </c>
      <c r="I368" s="164">
        <v>1.63</v>
      </c>
    </row>
    <row r="369" spans="2:9" x14ac:dyDescent="0.35">
      <c r="B369" s="145">
        <v>46241</v>
      </c>
      <c r="C369" s="14" t="s">
        <v>12</v>
      </c>
      <c r="D369" s="15">
        <v>0.52083333333333337</v>
      </c>
      <c r="E369" s="18" t="s">
        <v>619</v>
      </c>
      <c r="F369" s="26">
        <v>37</v>
      </c>
      <c r="G369" s="17">
        <v>7.78</v>
      </c>
      <c r="H369" s="17">
        <v>17</v>
      </c>
      <c r="I369" s="164">
        <v>1.57</v>
      </c>
    </row>
    <row r="370" spans="2:9" x14ac:dyDescent="0.35">
      <c r="B370" s="145">
        <v>46244</v>
      </c>
      <c r="C370" s="14" t="s">
        <v>12</v>
      </c>
      <c r="D370" s="15">
        <v>0.34375</v>
      </c>
      <c r="E370" s="18" t="s">
        <v>620</v>
      </c>
      <c r="F370" s="26" t="s">
        <v>9</v>
      </c>
      <c r="G370" s="17" t="s">
        <v>9</v>
      </c>
      <c r="H370" s="17" t="s">
        <v>9</v>
      </c>
      <c r="I370" s="164" t="s">
        <v>9</v>
      </c>
    </row>
    <row r="371" spans="2:9" x14ac:dyDescent="0.35">
      <c r="B371" s="166">
        <v>46245</v>
      </c>
      <c r="C371" s="167" t="s">
        <v>12</v>
      </c>
      <c r="D371" s="168">
        <v>0.39930555555555558</v>
      </c>
      <c r="E371" s="169" t="s">
        <v>620</v>
      </c>
      <c r="F371" s="170" t="s">
        <v>9</v>
      </c>
      <c r="G371" s="171" t="s">
        <v>9</v>
      </c>
      <c r="H371" s="171" t="s">
        <v>9</v>
      </c>
      <c r="I371" s="172" t="s">
        <v>9</v>
      </c>
    </row>
    <row r="372" spans="2:9" x14ac:dyDescent="0.35">
      <c r="B372" s="145">
        <v>46246</v>
      </c>
      <c r="C372" s="14" t="s">
        <v>12</v>
      </c>
      <c r="D372" s="15">
        <v>0.41666666666666669</v>
      </c>
      <c r="E372" s="18" t="s">
        <v>620</v>
      </c>
      <c r="F372" s="26">
        <v>37</v>
      </c>
      <c r="G372" s="17">
        <v>7.7</v>
      </c>
      <c r="H372" s="17">
        <v>12</v>
      </c>
      <c r="I372" s="164">
        <v>1.7</v>
      </c>
    </row>
    <row r="373" spans="2:9" x14ac:dyDescent="0.35">
      <c r="B373" s="145">
        <v>46247</v>
      </c>
      <c r="C373" s="14" t="s">
        <v>12</v>
      </c>
      <c r="D373" s="15">
        <v>0.4236111111111111</v>
      </c>
      <c r="E373" s="18" t="s">
        <v>620</v>
      </c>
      <c r="F373" s="26">
        <v>30</v>
      </c>
      <c r="G373" s="17">
        <v>8.14</v>
      </c>
      <c r="H373" s="17">
        <v>5</v>
      </c>
      <c r="I373" s="164">
        <v>1.66</v>
      </c>
    </row>
    <row r="374" spans="2:9" x14ac:dyDescent="0.35">
      <c r="B374" s="166">
        <v>46248</v>
      </c>
      <c r="C374" s="167" t="s">
        <v>12</v>
      </c>
      <c r="D374" s="168">
        <v>0.43055555555555558</v>
      </c>
      <c r="E374" s="169" t="s">
        <v>620</v>
      </c>
      <c r="F374" s="170">
        <v>34</v>
      </c>
      <c r="G374" s="171">
        <v>7.96</v>
      </c>
      <c r="H374" s="171">
        <v>10</v>
      </c>
      <c r="I374" s="172">
        <v>1.48</v>
      </c>
    </row>
    <row r="375" spans="2:9" x14ac:dyDescent="0.35">
      <c r="B375" s="145">
        <v>46251</v>
      </c>
      <c r="C375" s="14" t="s">
        <v>12</v>
      </c>
      <c r="D375" s="15">
        <v>0.34722222222222221</v>
      </c>
      <c r="E375" s="18" t="s">
        <v>15</v>
      </c>
      <c r="F375" s="26" t="s">
        <v>9</v>
      </c>
      <c r="G375" s="17" t="s">
        <v>9</v>
      </c>
      <c r="H375" s="17" t="s">
        <v>9</v>
      </c>
      <c r="I375" s="164" t="s">
        <v>9</v>
      </c>
    </row>
    <row r="376" spans="2:9" x14ac:dyDescent="0.35">
      <c r="B376" s="145">
        <v>46252</v>
      </c>
      <c r="C376" s="14" t="s">
        <v>12</v>
      </c>
      <c r="D376" s="15">
        <v>0.3611111111111111</v>
      </c>
      <c r="E376" s="18" t="s">
        <v>15</v>
      </c>
      <c r="F376" s="26">
        <v>27</v>
      </c>
      <c r="G376" s="17">
        <v>8.61</v>
      </c>
      <c r="H376" s="17">
        <v>9</v>
      </c>
      <c r="I376" s="164">
        <v>1.9</v>
      </c>
    </row>
    <row r="377" spans="2:9" x14ac:dyDescent="0.35">
      <c r="B377" s="166">
        <v>46253</v>
      </c>
      <c r="C377" s="167" t="s">
        <v>12</v>
      </c>
      <c r="D377" s="168">
        <v>0.33333333333333331</v>
      </c>
      <c r="E377" s="169" t="s">
        <v>15</v>
      </c>
      <c r="F377" s="170" t="s">
        <v>9</v>
      </c>
      <c r="G377" s="171" t="s">
        <v>9</v>
      </c>
      <c r="H377" s="171" t="s">
        <v>9</v>
      </c>
      <c r="I377" s="172" t="s">
        <v>9</v>
      </c>
    </row>
    <row r="378" spans="2:9" x14ac:dyDescent="0.35">
      <c r="B378" s="145">
        <v>46254</v>
      </c>
      <c r="C378" s="14" t="s">
        <v>12</v>
      </c>
      <c r="D378" s="15">
        <v>0.31944444444444442</v>
      </c>
      <c r="E378" s="18" t="s">
        <v>15</v>
      </c>
      <c r="F378" s="26">
        <v>27</v>
      </c>
      <c r="G378" s="17">
        <v>8.5</v>
      </c>
      <c r="H378" s="17">
        <v>10</v>
      </c>
      <c r="I378" s="164">
        <v>2.2799999999999998</v>
      </c>
    </row>
    <row r="379" spans="2:9" x14ac:dyDescent="0.35">
      <c r="B379" s="145">
        <v>46255</v>
      </c>
      <c r="C379" s="14" t="s">
        <v>12</v>
      </c>
      <c r="D379" s="15">
        <v>0.33333333333333331</v>
      </c>
      <c r="E379" s="18" t="s">
        <v>15</v>
      </c>
      <c r="F379" s="26">
        <v>33</v>
      </c>
      <c r="G379" s="17">
        <v>7.94</v>
      </c>
      <c r="H379" s="17">
        <v>0</v>
      </c>
      <c r="I379" s="164">
        <v>2.04</v>
      </c>
    </row>
    <row r="380" spans="2:9" x14ac:dyDescent="0.35">
      <c r="B380" s="145">
        <v>46258</v>
      </c>
      <c r="C380" s="14" t="s">
        <v>12</v>
      </c>
      <c r="D380" s="15">
        <v>0.36805555555555558</v>
      </c>
      <c r="E380" s="18" t="s">
        <v>607</v>
      </c>
      <c r="F380" s="26" t="s">
        <v>9</v>
      </c>
      <c r="G380" s="17" t="s">
        <v>9</v>
      </c>
      <c r="H380" s="17" t="s">
        <v>9</v>
      </c>
      <c r="I380" s="164" t="s">
        <v>9</v>
      </c>
    </row>
    <row r="381" spans="2:9" x14ac:dyDescent="0.35">
      <c r="B381" s="166">
        <v>46259</v>
      </c>
      <c r="C381" s="167" t="s">
        <v>12</v>
      </c>
      <c r="D381" s="168">
        <v>0.3611111111111111</v>
      </c>
      <c r="E381" s="169" t="s">
        <v>607</v>
      </c>
      <c r="F381" s="170" t="s">
        <v>9</v>
      </c>
      <c r="G381" s="171" t="s">
        <v>9</v>
      </c>
      <c r="H381" s="171" t="s">
        <v>9</v>
      </c>
      <c r="I381" s="172" t="s">
        <v>9</v>
      </c>
    </row>
    <row r="382" spans="2:9" x14ac:dyDescent="0.35">
      <c r="B382" s="145">
        <v>46260</v>
      </c>
      <c r="C382" s="14" t="s">
        <v>12</v>
      </c>
      <c r="D382" s="15">
        <v>0.34722222222222221</v>
      </c>
      <c r="E382" s="18" t="s">
        <v>607</v>
      </c>
      <c r="F382" s="26">
        <v>29</v>
      </c>
      <c r="G382" s="17">
        <v>8.7100000000000009</v>
      </c>
      <c r="H382" s="17">
        <v>19</v>
      </c>
      <c r="I382" s="164">
        <v>1.65</v>
      </c>
    </row>
    <row r="383" spans="2:9" x14ac:dyDescent="0.35">
      <c r="B383" s="145">
        <v>46261</v>
      </c>
      <c r="C383" s="14" t="s">
        <v>12</v>
      </c>
      <c r="D383" s="15">
        <v>0.34722222222222221</v>
      </c>
      <c r="E383" s="18" t="s">
        <v>607</v>
      </c>
      <c r="F383" s="26">
        <v>22</v>
      </c>
      <c r="G383" s="17">
        <v>8.0399999999999991</v>
      </c>
      <c r="H383" s="17">
        <v>15</v>
      </c>
      <c r="I383" s="164">
        <v>1.74</v>
      </c>
    </row>
    <row r="384" spans="2:9" x14ac:dyDescent="0.35">
      <c r="B384" s="145">
        <v>46262</v>
      </c>
      <c r="C384" s="14" t="s">
        <v>12</v>
      </c>
      <c r="D384" s="15">
        <v>0.4513888888888889</v>
      </c>
      <c r="E384" s="18" t="s">
        <v>15</v>
      </c>
      <c r="F384" s="26">
        <v>36</v>
      </c>
      <c r="G384" s="17">
        <v>8</v>
      </c>
      <c r="H384" s="17">
        <v>23</v>
      </c>
      <c r="I384" s="164">
        <v>1.94</v>
      </c>
    </row>
    <row r="385" spans="2:9" x14ac:dyDescent="0.35">
      <c r="B385" s="166">
        <v>46265</v>
      </c>
      <c r="C385" s="167" t="s">
        <v>12</v>
      </c>
      <c r="D385" s="168">
        <v>0.38194444444444442</v>
      </c>
      <c r="E385" s="169" t="s">
        <v>607</v>
      </c>
      <c r="F385" s="170">
        <v>26</v>
      </c>
      <c r="G385" s="171">
        <v>8.5299999999999994</v>
      </c>
      <c r="H385" s="171">
        <v>11</v>
      </c>
      <c r="I385" s="172">
        <v>1.75</v>
      </c>
    </row>
    <row r="386" spans="2:9" x14ac:dyDescent="0.35">
      <c r="B386" s="145">
        <v>46266</v>
      </c>
      <c r="C386" s="14" t="s">
        <v>12</v>
      </c>
      <c r="D386" s="15">
        <v>0.36458333333333331</v>
      </c>
      <c r="E386" s="18" t="s">
        <v>607</v>
      </c>
      <c r="F386" s="26" t="s">
        <v>9</v>
      </c>
      <c r="G386" s="17" t="s">
        <v>9</v>
      </c>
      <c r="H386" s="17" t="s">
        <v>9</v>
      </c>
      <c r="I386" s="164" t="s">
        <v>9</v>
      </c>
    </row>
    <row r="387" spans="2:9" x14ac:dyDescent="0.35">
      <c r="B387" s="145">
        <v>46267</v>
      </c>
      <c r="C387" s="14" t="s">
        <v>12</v>
      </c>
      <c r="D387" s="15">
        <v>0.40625</v>
      </c>
      <c r="E387" s="18" t="s">
        <v>607</v>
      </c>
      <c r="F387" s="26" t="s">
        <v>9</v>
      </c>
      <c r="G387" s="17" t="s">
        <v>9</v>
      </c>
      <c r="H387" s="17" t="s">
        <v>9</v>
      </c>
      <c r="I387" s="164" t="s">
        <v>9</v>
      </c>
    </row>
    <row r="388" spans="2:9" x14ac:dyDescent="0.35">
      <c r="B388" s="145">
        <v>46268</v>
      </c>
      <c r="C388" s="14" t="s">
        <v>12</v>
      </c>
      <c r="D388" s="15">
        <v>0.36805555555555558</v>
      </c>
      <c r="E388" s="18" t="s">
        <v>607</v>
      </c>
      <c r="F388" s="26">
        <v>35</v>
      </c>
      <c r="G388" s="17">
        <v>8.44</v>
      </c>
      <c r="H388" s="17">
        <v>28</v>
      </c>
      <c r="I388" s="164">
        <v>1.79</v>
      </c>
    </row>
    <row r="389" spans="2:9" x14ac:dyDescent="0.35">
      <c r="B389" s="145">
        <v>46269</v>
      </c>
      <c r="C389" s="14" t="s">
        <v>12</v>
      </c>
      <c r="D389" s="15">
        <v>0.3611111111111111</v>
      </c>
      <c r="E389" s="18" t="s">
        <v>607</v>
      </c>
      <c r="F389" s="26" t="s">
        <v>9</v>
      </c>
      <c r="G389" s="17" t="s">
        <v>9</v>
      </c>
      <c r="H389" s="17" t="s">
        <v>9</v>
      </c>
      <c r="I389" s="164" t="s">
        <v>9</v>
      </c>
    </row>
    <row r="390" spans="2:9" x14ac:dyDescent="0.35">
      <c r="B390" s="145">
        <v>46272</v>
      </c>
      <c r="C390" s="14" t="s">
        <v>12</v>
      </c>
      <c r="D390" s="15">
        <v>0.43055555555555558</v>
      </c>
      <c r="E390" s="18" t="s">
        <v>620</v>
      </c>
      <c r="F390" s="26" t="s">
        <v>9</v>
      </c>
      <c r="G390" s="17" t="s">
        <v>9</v>
      </c>
      <c r="H390" s="17" t="s">
        <v>9</v>
      </c>
      <c r="I390" s="164" t="s">
        <v>9</v>
      </c>
    </row>
    <row r="391" spans="2:9" x14ac:dyDescent="0.35">
      <c r="B391" s="145">
        <v>46273</v>
      </c>
      <c r="C391" s="14" t="s">
        <v>12</v>
      </c>
      <c r="D391" s="15">
        <v>0.44791666666666669</v>
      </c>
      <c r="E391" s="18" t="s">
        <v>620</v>
      </c>
      <c r="F391" s="26" t="s">
        <v>9</v>
      </c>
      <c r="G391" s="17" t="s">
        <v>9</v>
      </c>
      <c r="H391" s="17" t="s">
        <v>9</v>
      </c>
      <c r="I391" s="164" t="s">
        <v>9</v>
      </c>
    </row>
    <row r="392" spans="2:9" x14ac:dyDescent="0.35">
      <c r="B392" s="166">
        <v>46274</v>
      </c>
      <c r="C392" s="167" t="s">
        <v>12</v>
      </c>
      <c r="D392" s="168">
        <v>0.44791666666666669</v>
      </c>
      <c r="E392" s="169" t="s">
        <v>620</v>
      </c>
      <c r="F392" s="170" t="s">
        <v>9</v>
      </c>
      <c r="G392" s="171" t="s">
        <v>9</v>
      </c>
      <c r="H392" s="171" t="s">
        <v>9</v>
      </c>
      <c r="I392" s="172" t="s">
        <v>9</v>
      </c>
    </row>
    <row r="393" spans="2:9" x14ac:dyDescent="0.35">
      <c r="B393" s="145">
        <v>46275</v>
      </c>
      <c r="C393" s="14" t="s">
        <v>12</v>
      </c>
      <c r="D393" s="15">
        <v>0.44444444444444442</v>
      </c>
      <c r="E393" s="18" t="s">
        <v>10</v>
      </c>
      <c r="F393" s="26">
        <v>36</v>
      </c>
      <c r="G393" s="17">
        <v>7.95</v>
      </c>
      <c r="H393" s="17">
        <v>51</v>
      </c>
      <c r="I393" s="164">
        <v>1.77</v>
      </c>
    </row>
    <row r="394" spans="2:9" x14ac:dyDescent="0.35">
      <c r="B394" s="145">
        <v>46276</v>
      </c>
      <c r="C394" s="14" t="s">
        <v>12</v>
      </c>
      <c r="D394" s="15">
        <v>0.4236111111111111</v>
      </c>
      <c r="E394" s="18" t="s">
        <v>10</v>
      </c>
      <c r="F394" s="26">
        <v>36</v>
      </c>
      <c r="G394" s="17">
        <v>8.06</v>
      </c>
      <c r="H394" s="17">
        <v>49</v>
      </c>
      <c r="I394" s="164">
        <v>1.62</v>
      </c>
    </row>
    <row r="395" spans="2:9" x14ac:dyDescent="0.35">
      <c r="B395" s="145">
        <v>46280</v>
      </c>
      <c r="C395" s="14" t="s">
        <v>12</v>
      </c>
      <c r="D395" s="15">
        <v>0.37847222222222221</v>
      </c>
      <c r="E395" s="18" t="s">
        <v>32</v>
      </c>
      <c r="F395" s="26" t="s">
        <v>9</v>
      </c>
      <c r="G395" s="17" t="s">
        <v>9</v>
      </c>
      <c r="H395" s="17" t="s">
        <v>9</v>
      </c>
      <c r="I395" s="164" t="s">
        <v>9</v>
      </c>
    </row>
    <row r="396" spans="2:9" x14ac:dyDescent="0.35">
      <c r="B396" s="166">
        <v>46281</v>
      </c>
      <c r="C396" s="167" t="s">
        <v>12</v>
      </c>
      <c r="D396" s="168">
        <v>0.35069444444444442</v>
      </c>
      <c r="E396" s="169" t="s">
        <v>32</v>
      </c>
      <c r="F396" s="170" t="s">
        <v>9</v>
      </c>
      <c r="G396" s="171" t="s">
        <v>9</v>
      </c>
      <c r="H396" s="171" t="s">
        <v>9</v>
      </c>
      <c r="I396" s="172" t="s">
        <v>9</v>
      </c>
    </row>
    <row r="397" spans="2:9" x14ac:dyDescent="0.35">
      <c r="B397" s="145">
        <v>46282</v>
      </c>
      <c r="C397" s="14" t="s">
        <v>12</v>
      </c>
      <c r="D397" s="15">
        <v>0.36805555555555558</v>
      </c>
      <c r="E397" s="18" t="s">
        <v>32</v>
      </c>
      <c r="F397" s="26" t="s">
        <v>9</v>
      </c>
      <c r="G397" s="17" t="s">
        <v>9</v>
      </c>
      <c r="H397" s="17" t="s">
        <v>9</v>
      </c>
      <c r="I397" s="164" t="s">
        <v>9</v>
      </c>
    </row>
    <row r="398" spans="2:9" x14ac:dyDescent="0.35">
      <c r="B398" s="145">
        <v>46283</v>
      </c>
      <c r="C398" s="14" t="s">
        <v>12</v>
      </c>
      <c r="D398" s="15">
        <v>0.35416666666666669</v>
      </c>
      <c r="E398" s="18" t="s">
        <v>32</v>
      </c>
      <c r="F398" s="26">
        <v>40</v>
      </c>
      <c r="G398" s="17">
        <v>7.97</v>
      </c>
      <c r="H398" s="17">
        <v>55</v>
      </c>
      <c r="I398" s="164">
        <v>1.75</v>
      </c>
    </row>
    <row r="399" spans="2:9" x14ac:dyDescent="0.35">
      <c r="B399" s="145">
        <v>46286</v>
      </c>
      <c r="C399" s="14" t="s">
        <v>12</v>
      </c>
      <c r="D399" s="15">
        <v>0.39583333333333331</v>
      </c>
      <c r="E399" s="18" t="s">
        <v>627</v>
      </c>
      <c r="F399" s="26">
        <v>37</v>
      </c>
      <c r="G399" s="17">
        <v>7.96</v>
      </c>
      <c r="H399" s="17">
        <v>72</v>
      </c>
      <c r="I399" s="164">
        <v>1.96</v>
      </c>
    </row>
    <row r="400" spans="2:9" x14ac:dyDescent="0.35">
      <c r="B400" s="166">
        <v>46287</v>
      </c>
      <c r="C400" s="167" t="s">
        <v>12</v>
      </c>
      <c r="D400" s="168">
        <v>0.38541666666666669</v>
      </c>
      <c r="E400" s="169" t="s">
        <v>627</v>
      </c>
      <c r="F400" s="170">
        <v>41</v>
      </c>
      <c r="G400" s="171">
        <v>7.65</v>
      </c>
      <c r="H400" s="171">
        <v>72</v>
      </c>
      <c r="I400" s="172">
        <v>2.0099999999999998</v>
      </c>
    </row>
    <row r="401" spans="2:9" x14ac:dyDescent="0.35">
      <c r="B401" s="145">
        <v>46288</v>
      </c>
      <c r="C401" s="14" t="s">
        <v>12</v>
      </c>
      <c r="D401" s="15">
        <v>0.44444444444444442</v>
      </c>
      <c r="E401" s="18" t="s">
        <v>627</v>
      </c>
      <c r="F401" s="26">
        <v>38</v>
      </c>
      <c r="G401" s="17">
        <v>7.2</v>
      </c>
      <c r="H401" s="17">
        <v>74</v>
      </c>
      <c r="I401" s="164">
        <v>1.91</v>
      </c>
    </row>
    <row r="402" spans="2:9" x14ac:dyDescent="0.35">
      <c r="B402" s="145">
        <v>46289</v>
      </c>
      <c r="C402" s="14" t="s">
        <v>12</v>
      </c>
      <c r="D402" s="15">
        <v>0.43055555555555558</v>
      </c>
      <c r="E402" s="18" t="s">
        <v>627</v>
      </c>
      <c r="F402" s="26">
        <v>57</v>
      </c>
      <c r="G402" s="17">
        <v>7.51</v>
      </c>
      <c r="H402" s="17">
        <v>49</v>
      </c>
      <c r="I402" s="164">
        <v>1.51</v>
      </c>
    </row>
    <row r="403" spans="2:9" x14ac:dyDescent="0.35">
      <c r="B403" s="145">
        <v>46290</v>
      </c>
      <c r="C403" s="14" t="s">
        <v>12</v>
      </c>
      <c r="D403" s="15">
        <v>0.40277777777777779</v>
      </c>
      <c r="E403" s="18" t="s">
        <v>627</v>
      </c>
      <c r="F403" s="26" t="s">
        <v>9</v>
      </c>
      <c r="G403" s="17" t="s">
        <v>9</v>
      </c>
      <c r="H403" s="17" t="s">
        <v>9</v>
      </c>
      <c r="I403" s="164" t="s">
        <v>9</v>
      </c>
    </row>
    <row r="404" spans="2:9" x14ac:dyDescent="0.35">
      <c r="B404" s="166">
        <v>46293</v>
      </c>
      <c r="C404" s="167" t="s">
        <v>12</v>
      </c>
      <c r="D404" s="168">
        <v>0.43402777777777779</v>
      </c>
      <c r="E404" s="169" t="s">
        <v>10</v>
      </c>
      <c r="F404" s="170" t="s">
        <v>9</v>
      </c>
      <c r="G404" s="171" t="s">
        <v>9</v>
      </c>
      <c r="H404" s="171" t="s">
        <v>9</v>
      </c>
      <c r="I404" s="172" t="s">
        <v>9</v>
      </c>
    </row>
    <row r="405" spans="2:9" x14ac:dyDescent="0.35">
      <c r="B405" s="166">
        <v>46294</v>
      </c>
      <c r="C405" s="167" t="s">
        <v>12</v>
      </c>
      <c r="D405" s="168">
        <v>0.47569444444444398</v>
      </c>
      <c r="E405" s="169" t="s">
        <v>10</v>
      </c>
      <c r="F405" s="170" t="s">
        <v>9</v>
      </c>
      <c r="G405" s="171" t="s">
        <v>9</v>
      </c>
      <c r="H405" s="171" t="s">
        <v>9</v>
      </c>
      <c r="I405" s="172" t="s">
        <v>9</v>
      </c>
    </row>
    <row r="406" spans="2:9" x14ac:dyDescent="0.35">
      <c r="B406" s="166">
        <v>46295</v>
      </c>
      <c r="C406" s="167" t="s">
        <v>12</v>
      </c>
      <c r="D406" s="168">
        <v>0.51736111111111105</v>
      </c>
      <c r="E406" s="169" t="s">
        <v>10</v>
      </c>
      <c r="F406" s="170" t="s">
        <v>9</v>
      </c>
      <c r="G406" s="171" t="s">
        <v>9</v>
      </c>
      <c r="H406" s="171" t="s">
        <v>9</v>
      </c>
      <c r="I406" s="172" t="s">
        <v>9</v>
      </c>
    </row>
    <row r="407" spans="2:9" x14ac:dyDescent="0.35">
      <c r="B407" s="145"/>
      <c r="C407" s="14"/>
      <c r="D407" s="15"/>
      <c r="E407" s="18"/>
      <c r="F407" s="26"/>
      <c r="G407" s="17"/>
      <c r="H407" s="17"/>
      <c r="I407" s="164"/>
    </row>
    <row r="408" spans="2:9" x14ac:dyDescent="0.35">
      <c r="B408" s="145"/>
      <c r="C408" s="14"/>
      <c r="D408" s="15"/>
      <c r="E408" s="18"/>
      <c r="F408" s="26"/>
      <c r="G408" s="17"/>
      <c r="H408" s="17"/>
      <c r="I408" s="164"/>
    </row>
    <row r="409" spans="2:9" x14ac:dyDescent="0.35">
      <c r="B409" s="145"/>
      <c r="C409" s="14"/>
      <c r="D409" s="15"/>
      <c r="E409" s="18"/>
      <c r="F409" s="26"/>
      <c r="G409" s="17"/>
      <c r="H409" s="17"/>
      <c r="I409" s="164"/>
    </row>
    <row r="410" spans="2:9" x14ac:dyDescent="0.35">
      <c r="B410" s="145"/>
      <c r="C410" s="14"/>
      <c r="D410" s="15"/>
      <c r="E410" s="18"/>
      <c r="F410" s="26"/>
      <c r="G410" s="17"/>
      <c r="H410" s="17"/>
      <c r="I410" s="164"/>
    </row>
    <row r="411" spans="2:9" x14ac:dyDescent="0.35">
      <c r="B411" s="145"/>
      <c r="C411" s="14"/>
      <c r="D411" s="15"/>
      <c r="E411" s="18"/>
      <c r="F411" s="26"/>
      <c r="G411" s="17"/>
      <c r="H411" s="17"/>
      <c r="I411" s="164"/>
    </row>
    <row r="412" spans="2:9" x14ac:dyDescent="0.35">
      <c r="B412" s="145"/>
      <c r="C412" s="14"/>
      <c r="D412" s="15"/>
      <c r="E412" s="18"/>
      <c r="F412" s="26"/>
      <c r="G412" s="17"/>
      <c r="H412" s="17"/>
      <c r="I412" s="164"/>
    </row>
    <row r="413" spans="2:9" x14ac:dyDescent="0.35">
      <c r="B413" s="145"/>
      <c r="C413" s="14"/>
      <c r="D413" s="15"/>
      <c r="E413" s="18"/>
      <c r="F413" s="26"/>
      <c r="G413" s="17"/>
      <c r="H413" s="17"/>
      <c r="I413" s="164"/>
    </row>
    <row r="414" spans="2:9" x14ac:dyDescent="0.35">
      <c r="B414" s="145"/>
      <c r="C414" s="14"/>
      <c r="D414" s="15"/>
      <c r="E414" s="18"/>
      <c r="F414" s="26"/>
      <c r="G414" s="17"/>
      <c r="H414" s="17"/>
      <c r="I414" s="164"/>
    </row>
    <row r="415" spans="2:9" x14ac:dyDescent="0.35">
      <c r="B415" s="145"/>
      <c r="C415" s="14"/>
      <c r="D415" s="15"/>
      <c r="E415" s="18"/>
      <c r="F415" s="26"/>
      <c r="G415" s="17"/>
      <c r="H415" s="17"/>
      <c r="I415" s="164"/>
    </row>
    <row r="416" spans="2:9" x14ac:dyDescent="0.35">
      <c r="B416" s="145"/>
      <c r="C416" s="14"/>
      <c r="D416" s="15"/>
      <c r="E416" s="18"/>
      <c r="F416" s="26"/>
      <c r="G416" s="17"/>
      <c r="H416" s="17"/>
      <c r="I416" s="164"/>
    </row>
    <row r="417" spans="2:9" x14ac:dyDescent="0.35">
      <c r="B417" s="145"/>
      <c r="C417" s="14"/>
      <c r="D417" s="15"/>
      <c r="E417" s="18"/>
      <c r="F417" s="26"/>
      <c r="G417" s="17"/>
      <c r="H417" s="17"/>
      <c r="I417" s="164"/>
    </row>
    <row r="418" spans="2:9" x14ac:dyDescent="0.35">
      <c r="B418" s="145"/>
      <c r="C418" s="14"/>
      <c r="D418" s="15"/>
      <c r="E418" s="18"/>
      <c r="F418" s="26"/>
      <c r="G418" s="17"/>
      <c r="H418" s="17"/>
      <c r="I418" s="164"/>
    </row>
    <row r="419" spans="2:9" x14ac:dyDescent="0.35">
      <c r="B419" s="145"/>
      <c r="C419" s="14"/>
      <c r="D419" s="15"/>
      <c r="E419" s="18"/>
      <c r="F419" s="26"/>
      <c r="G419" s="17"/>
      <c r="H419" s="17"/>
      <c r="I419" s="164"/>
    </row>
    <row r="420" spans="2:9" x14ac:dyDescent="0.35">
      <c r="B420" s="145"/>
      <c r="C420" s="14"/>
      <c r="D420" s="15"/>
      <c r="E420" s="18"/>
      <c r="F420" s="26"/>
      <c r="G420" s="17"/>
      <c r="H420" s="17"/>
      <c r="I420" s="164"/>
    </row>
    <row r="421" spans="2:9" x14ac:dyDescent="0.35">
      <c r="B421" s="145"/>
      <c r="C421" s="14"/>
      <c r="D421" s="15"/>
      <c r="E421" s="18"/>
      <c r="F421" s="26"/>
      <c r="G421" s="17"/>
      <c r="H421" s="17"/>
      <c r="I421" s="164"/>
    </row>
    <row r="422" spans="2:9" x14ac:dyDescent="0.35">
      <c r="B422" s="145"/>
      <c r="C422" s="14"/>
      <c r="D422" s="15"/>
      <c r="E422" s="18"/>
      <c r="F422" s="26"/>
      <c r="G422" s="17"/>
      <c r="H422" s="17"/>
      <c r="I422" s="164"/>
    </row>
    <row r="423" spans="2:9" x14ac:dyDescent="0.35">
      <c r="B423" s="145"/>
      <c r="C423" s="14"/>
      <c r="D423" s="15"/>
      <c r="E423" s="18"/>
      <c r="F423" s="26"/>
      <c r="G423" s="17"/>
      <c r="H423" s="17"/>
      <c r="I423" s="164"/>
    </row>
    <row r="424" spans="2:9" x14ac:dyDescent="0.35">
      <c r="B424" s="145"/>
      <c r="C424" s="14"/>
      <c r="D424" s="15"/>
      <c r="E424" s="18"/>
      <c r="F424" s="26"/>
      <c r="G424" s="17"/>
      <c r="H424" s="17"/>
      <c r="I424" s="164"/>
    </row>
    <row r="425" spans="2:9" x14ac:dyDescent="0.35">
      <c r="B425" s="145"/>
      <c r="C425" s="14"/>
      <c r="D425" s="15"/>
      <c r="E425" s="18"/>
      <c r="F425" s="26"/>
      <c r="G425" s="17"/>
      <c r="H425" s="17"/>
      <c r="I425" s="164"/>
    </row>
    <row r="426" spans="2:9" x14ac:dyDescent="0.35">
      <c r="B426" s="145"/>
      <c r="C426" s="14"/>
      <c r="D426" s="15"/>
      <c r="E426" s="18"/>
      <c r="F426" s="26"/>
      <c r="G426" s="17"/>
      <c r="H426" s="17"/>
      <c r="I426" s="164"/>
    </row>
    <row r="427" spans="2:9" x14ac:dyDescent="0.35">
      <c r="B427" s="145"/>
      <c r="C427" s="14"/>
      <c r="D427" s="15"/>
      <c r="E427" s="18"/>
      <c r="F427" s="26"/>
      <c r="G427" s="17"/>
      <c r="H427" s="17"/>
      <c r="I427" s="164"/>
    </row>
    <row r="428" spans="2:9" x14ac:dyDescent="0.35">
      <c r="B428" s="145"/>
      <c r="C428" s="14"/>
      <c r="D428" s="15"/>
      <c r="E428" s="18"/>
      <c r="F428" s="26"/>
      <c r="G428" s="17"/>
      <c r="H428" s="17"/>
      <c r="I428" s="164"/>
    </row>
    <row r="429" spans="2:9" x14ac:dyDescent="0.35">
      <c r="B429" s="145"/>
      <c r="C429" s="14"/>
      <c r="D429" s="15"/>
      <c r="E429" s="18"/>
      <c r="F429" s="26"/>
      <c r="G429" s="17"/>
      <c r="H429" s="17"/>
      <c r="I429" s="164"/>
    </row>
    <row r="430" spans="2:9" x14ac:dyDescent="0.35">
      <c r="B430" s="145"/>
      <c r="C430" s="14"/>
      <c r="D430" s="15"/>
      <c r="E430" s="18"/>
      <c r="F430" s="26"/>
      <c r="G430" s="17"/>
      <c r="H430" s="17"/>
      <c r="I430" s="164"/>
    </row>
    <row r="431" spans="2:9" x14ac:dyDescent="0.35">
      <c r="B431" s="145"/>
      <c r="C431" s="14"/>
      <c r="D431" s="15"/>
      <c r="E431" s="18"/>
      <c r="F431" s="26"/>
      <c r="G431" s="17"/>
      <c r="H431" s="17"/>
      <c r="I431" s="164"/>
    </row>
    <row r="432" spans="2:9" x14ac:dyDescent="0.35">
      <c r="B432" s="145"/>
      <c r="C432" s="14"/>
      <c r="D432" s="15"/>
      <c r="E432" s="18"/>
      <c r="F432" s="26"/>
      <c r="G432" s="17"/>
      <c r="H432" s="17"/>
      <c r="I432" s="164"/>
    </row>
    <row r="433" spans="2:9" x14ac:dyDescent="0.35">
      <c r="B433" s="145"/>
      <c r="C433" s="14"/>
      <c r="D433" s="15"/>
      <c r="E433" s="18"/>
      <c r="F433" s="26"/>
      <c r="G433" s="17"/>
      <c r="H433" s="17"/>
      <c r="I433" s="164"/>
    </row>
    <row r="434" spans="2:9" x14ac:dyDescent="0.35">
      <c r="B434" s="145"/>
      <c r="C434" s="14"/>
      <c r="D434" s="15"/>
      <c r="E434" s="18"/>
      <c r="F434" s="26"/>
      <c r="G434" s="17"/>
      <c r="H434" s="17"/>
      <c r="I434" s="164"/>
    </row>
    <row r="435" spans="2:9" x14ac:dyDescent="0.35">
      <c r="B435" s="145"/>
      <c r="C435" s="14"/>
      <c r="D435" s="15"/>
      <c r="E435" s="18"/>
      <c r="F435" s="26"/>
      <c r="G435" s="17"/>
      <c r="H435" s="17"/>
      <c r="I435" s="164"/>
    </row>
    <row r="436" spans="2:9" x14ac:dyDescent="0.35">
      <c r="B436" s="145"/>
      <c r="C436" s="14"/>
      <c r="D436" s="15"/>
      <c r="E436" s="18"/>
      <c r="F436" s="26"/>
      <c r="G436" s="17"/>
      <c r="H436" s="17"/>
      <c r="I436" s="164"/>
    </row>
    <row r="437" spans="2:9" x14ac:dyDescent="0.35">
      <c r="B437" s="145"/>
      <c r="C437" s="14"/>
      <c r="D437" s="15"/>
      <c r="E437" s="18"/>
      <c r="F437" s="26"/>
      <c r="G437" s="17"/>
      <c r="H437" s="17"/>
      <c r="I437" s="164"/>
    </row>
    <row r="438" spans="2:9" x14ac:dyDescent="0.35">
      <c r="B438" s="145"/>
      <c r="C438" s="14"/>
      <c r="D438" s="15"/>
      <c r="E438" s="18"/>
      <c r="F438" s="26"/>
      <c r="G438" s="17"/>
      <c r="H438" s="17"/>
      <c r="I438" s="164"/>
    </row>
    <row r="439" spans="2:9" x14ac:dyDescent="0.35">
      <c r="B439" s="145"/>
      <c r="C439" s="14"/>
      <c r="D439" s="15"/>
      <c r="E439" s="18"/>
      <c r="F439" s="26"/>
      <c r="G439" s="17"/>
      <c r="H439" s="17"/>
      <c r="I439" s="164"/>
    </row>
    <row r="440" spans="2:9" x14ac:dyDescent="0.35">
      <c r="B440" s="145"/>
      <c r="C440" s="14"/>
      <c r="D440" s="15"/>
      <c r="E440" s="18"/>
      <c r="F440" s="26"/>
      <c r="G440" s="17"/>
      <c r="H440" s="17"/>
      <c r="I440" s="164"/>
    </row>
    <row r="441" spans="2:9" x14ac:dyDescent="0.35">
      <c r="B441" s="145"/>
      <c r="C441" s="14"/>
      <c r="D441" s="15"/>
      <c r="E441" s="18"/>
      <c r="F441" s="26"/>
      <c r="G441" s="17"/>
      <c r="H441" s="17"/>
      <c r="I441" s="164"/>
    </row>
    <row r="442" spans="2:9" x14ac:dyDescent="0.35">
      <c r="B442" s="145"/>
      <c r="C442" s="14"/>
      <c r="D442" s="15"/>
      <c r="E442" s="18"/>
      <c r="F442" s="26"/>
      <c r="G442" s="17"/>
      <c r="H442" s="17"/>
      <c r="I442" s="164"/>
    </row>
    <row r="443" spans="2:9" x14ac:dyDescent="0.35">
      <c r="B443" s="145"/>
      <c r="C443" s="14"/>
      <c r="D443" s="15"/>
      <c r="E443" s="18"/>
      <c r="F443" s="26"/>
      <c r="G443" s="17"/>
      <c r="H443" s="17"/>
      <c r="I443" s="164"/>
    </row>
    <row r="444" spans="2:9" x14ac:dyDescent="0.35">
      <c r="B444" s="145"/>
      <c r="C444" s="14"/>
      <c r="D444" s="15"/>
      <c r="E444" s="18"/>
      <c r="F444" s="26"/>
      <c r="G444" s="17"/>
      <c r="H444" s="17"/>
      <c r="I444" s="164"/>
    </row>
    <row r="445" spans="2:9" x14ac:dyDescent="0.35">
      <c r="B445" s="145"/>
      <c r="C445" s="14"/>
      <c r="D445" s="15"/>
      <c r="E445" s="18"/>
      <c r="F445" s="26"/>
      <c r="G445" s="17"/>
      <c r="H445" s="17"/>
      <c r="I445" s="164"/>
    </row>
    <row r="446" spans="2:9" x14ac:dyDescent="0.35">
      <c r="B446" s="145"/>
      <c r="C446" s="14"/>
      <c r="D446" s="15"/>
      <c r="E446" s="18"/>
      <c r="F446" s="26"/>
      <c r="G446" s="17"/>
      <c r="H446" s="17"/>
      <c r="I446" s="164"/>
    </row>
    <row r="447" spans="2:9" x14ac:dyDescent="0.35">
      <c r="B447" s="145"/>
      <c r="C447" s="14"/>
      <c r="D447" s="15"/>
      <c r="E447" s="18"/>
      <c r="F447" s="26"/>
      <c r="G447" s="17"/>
      <c r="H447" s="17"/>
      <c r="I447" s="164"/>
    </row>
    <row r="448" spans="2:9" x14ac:dyDescent="0.35">
      <c r="B448" s="145"/>
      <c r="C448" s="14"/>
      <c r="D448" s="15"/>
      <c r="E448" s="18"/>
      <c r="F448" s="26"/>
      <c r="G448" s="17"/>
      <c r="H448" s="17"/>
      <c r="I448" s="164"/>
    </row>
    <row r="449" spans="2:9" x14ac:dyDescent="0.35">
      <c r="B449" s="145"/>
      <c r="C449" s="14"/>
      <c r="D449" s="15"/>
      <c r="E449" s="18"/>
      <c r="F449" s="26"/>
      <c r="G449" s="17"/>
      <c r="H449" s="17"/>
      <c r="I449" s="164"/>
    </row>
    <row r="450" spans="2:9" x14ac:dyDescent="0.35">
      <c r="B450" s="145"/>
      <c r="C450" s="14"/>
      <c r="D450" s="15"/>
      <c r="E450" s="18"/>
      <c r="F450" s="26"/>
      <c r="G450" s="17"/>
      <c r="H450" s="17"/>
      <c r="I450" s="164"/>
    </row>
    <row r="451" spans="2:9" x14ac:dyDescent="0.35">
      <c r="B451" s="145"/>
      <c r="C451" s="14"/>
      <c r="D451" s="15"/>
      <c r="E451" s="18"/>
      <c r="F451" s="26"/>
      <c r="G451" s="17"/>
      <c r="H451" s="17"/>
      <c r="I451" s="164"/>
    </row>
    <row r="452" spans="2:9" x14ac:dyDescent="0.35">
      <c r="B452" s="145"/>
      <c r="C452" s="14"/>
      <c r="D452" s="15"/>
      <c r="E452" s="18"/>
      <c r="F452" s="26"/>
      <c r="G452" s="17"/>
      <c r="H452" s="17"/>
      <c r="I452" s="164"/>
    </row>
    <row r="453" spans="2:9" x14ac:dyDescent="0.35">
      <c r="B453" s="145"/>
      <c r="C453" s="14"/>
      <c r="D453" s="15"/>
      <c r="E453" s="18"/>
      <c r="F453" s="26"/>
      <c r="G453" s="17"/>
      <c r="H453" s="17"/>
      <c r="I453" s="164"/>
    </row>
    <row r="454" spans="2:9" x14ac:dyDescent="0.35">
      <c r="B454" s="145"/>
      <c r="C454" s="14"/>
      <c r="D454" s="15"/>
      <c r="E454" s="18"/>
      <c r="F454" s="26"/>
      <c r="G454" s="17"/>
      <c r="H454" s="17"/>
      <c r="I454" s="164"/>
    </row>
    <row r="455" spans="2:9" x14ac:dyDescent="0.35">
      <c r="B455" s="145"/>
      <c r="C455" s="14"/>
      <c r="D455" s="15"/>
      <c r="E455" s="18"/>
      <c r="F455" s="26"/>
      <c r="G455" s="17"/>
      <c r="H455" s="17"/>
      <c r="I455" s="164"/>
    </row>
    <row r="456" spans="2:9" x14ac:dyDescent="0.35">
      <c r="B456" s="145"/>
      <c r="C456" s="14"/>
      <c r="D456" s="15"/>
      <c r="E456" s="18"/>
      <c r="F456" s="26"/>
      <c r="G456" s="17"/>
      <c r="H456" s="17"/>
      <c r="I456" s="164"/>
    </row>
    <row r="457" spans="2:9" x14ac:dyDescent="0.35">
      <c r="B457" s="145"/>
      <c r="C457" s="14"/>
      <c r="D457" s="15"/>
      <c r="E457" s="18"/>
      <c r="F457" s="26"/>
      <c r="G457" s="17"/>
      <c r="H457" s="17"/>
      <c r="I457" s="164"/>
    </row>
    <row r="458" spans="2:9" x14ac:dyDescent="0.35">
      <c r="B458" s="145"/>
      <c r="C458" s="14"/>
      <c r="D458" s="15"/>
      <c r="E458" s="18"/>
      <c r="F458" s="26"/>
      <c r="G458" s="17"/>
      <c r="H458" s="17"/>
      <c r="I458" s="164"/>
    </row>
    <row r="459" spans="2:9" x14ac:dyDescent="0.35">
      <c r="B459" s="145"/>
      <c r="C459" s="14"/>
      <c r="D459" s="15"/>
      <c r="E459" s="18"/>
      <c r="F459" s="26"/>
      <c r="G459" s="17"/>
      <c r="H459" s="17"/>
      <c r="I459" s="164"/>
    </row>
    <row r="460" spans="2:9" x14ac:dyDescent="0.35">
      <c r="B460" s="145"/>
      <c r="C460" s="14"/>
      <c r="D460" s="15"/>
      <c r="E460" s="18"/>
      <c r="F460" s="26"/>
      <c r="G460" s="17"/>
      <c r="H460" s="17"/>
      <c r="I460" s="164"/>
    </row>
    <row r="461" spans="2:9" x14ac:dyDescent="0.35">
      <c r="B461" s="145"/>
      <c r="C461" s="14"/>
      <c r="D461" s="15"/>
      <c r="E461" s="18"/>
      <c r="F461" s="26"/>
      <c r="G461" s="17"/>
      <c r="H461" s="17"/>
      <c r="I461" s="164"/>
    </row>
    <row r="462" spans="2:9" x14ac:dyDescent="0.35">
      <c r="B462" s="145"/>
      <c r="C462" s="14"/>
      <c r="D462" s="15"/>
      <c r="E462" s="18"/>
      <c r="F462" s="26"/>
      <c r="G462" s="17"/>
      <c r="H462" s="17"/>
      <c r="I462" s="164"/>
    </row>
    <row r="463" spans="2:9" x14ac:dyDescent="0.35">
      <c r="B463" s="145"/>
      <c r="C463" s="14"/>
      <c r="D463" s="15"/>
      <c r="E463" s="18"/>
      <c r="F463" s="26"/>
      <c r="G463" s="17"/>
      <c r="H463" s="17"/>
      <c r="I463" s="164"/>
    </row>
    <row r="464" spans="2:9" x14ac:dyDescent="0.35">
      <c r="B464" s="145"/>
      <c r="C464" s="14"/>
      <c r="D464" s="15"/>
      <c r="E464" s="18"/>
      <c r="F464" s="26"/>
      <c r="G464" s="17"/>
      <c r="H464" s="17"/>
      <c r="I464" s="164"/>
    </row>
    <row r="465" spans="2:9" x14ac:dyDescent="0.35">
      <c r="B465" s="145"/>
      <c r="C465" s="14"/>
      <c r="D465" s="15"/>
      <c r="E465" s="18"/>
      <c r="F465" s="26"/>
      <c r="G465" s="17"/>
      <c r="H465" s="17"/>
      <c r="I465" s="164"/>
    </row>
    <row r="466" spans="2:9" x14ac:dyDescent="0.35">
      <c r="B466" s="145"/>
      <c r="C466" s="14"/>
      <c r="D466" s="15"/>
      <c r="E466" s="18"/>
      <c r="F466" s="26"/>
      <c r="G466" s="17"/>
      <c r="H466" s="17"/>
      <c r="I466" s="164"/>
    </row>
    <row r="467" spans="2:9" x14ac:dyDescent="0.35">
      <c r="B467" s="145"/>
      <c r="C467" s="14"/>
      <c r="D467" s="15"/>
      <c r="E467" s="18"/>
      <c r="F467" s="26"/>
      <c r="G467" s="17"/>
      <c r="H467" s="17"/>
      <c r="I467" s="164"/>
    </row>
    <row r="468" spans="2:9" x14ac:dyDescent="0.35">
      <c r="B468" s="145"/>
      <c r="C468" s="14"/>
      <c r="D468" s="15"/>
      <c r="E468" s="18"/>
      <c r="F468" s="26"/>
      <c r="G468" s="17"/>
      <c r="H468" s="17"/>
      <c r="I468" s="164"/>
    </row>
    <row r="469" spans="2:9" x14ac:dyDescent="0.35">
      <c r="B469" s="145"/>
      <c r="C469" s="14"/>
      <c r="D469" s="15"/>
      <c r="E469" s="18"/>
      <c r="F469" s="26"/>
      <c r="G469" s="17"/>
      <c r="H469" s="17"/>
      <c r="I469" s="164"/>
    </row>
    <row r="470" spans="2:9" x14ac:dyDescent="0.35">
      <c r="B470" s="145"/>
      <c r="C470" s="14"/>
      <c r="D470" s="15"/>
      <c r="E470" s="18"/>
      <c r="F470" s="26"/>
      <c r="G470" s="17"/>
      <c r="H470" s="17"/>
      <c r="I470" s="164"/>
    </row>
    <row r="471" spans="2:9" x14ac:dyDescent="0.35">
      <c r="B471" s="145"/>
      <c r="C471" s="14"/>
      <c r="D471" s="15"/>
      <c r="E471" s="18"/>
      <c r="F471" s="26"/>
      <c r="G471" s="17"/>
      <c r="H471" s="17"/>
      <c r="I471" s="164"/>
    </row>
    <row r="472" spans="2:9" x14ac:dyDescent="0.35">
      <c r="B472" s="145"/>
      <c r="C472" s="14"/>
      <c r="D472" s="15"/>
      <c r="E472" s="18"/>
      <c r="F472" s="26"/>
      <c r="G472" s="17"/>
      <c r="H472" s="17"/>
      <c r="I472" s="164"/>
    </row>
    <row r="473" spans="2:9" x14ac:dyDescent="0.35">
      <c r="B473" s="145"/>
      <c r="C473" s="14"/>
      <c r="D473" s="15"/>
      <c r="E473" s="18"/>
      <c r="F473" s="26"/>
      <c r="G473" s="17"/>
      <c r="H473" s="17"/>
      <c r="I473" s="164"/>
    </row>
    <row r="474" spans="2:9" x14ac:dyDescent="0.35">
      <c r="B474" s="145"/>
      <c r="C474" s="14"/>
      <c r="D474" s="15"/>
      <c r="E474" s="18"/>
      <c r="F474" s="26"/>
      <c r="G474" s="17"/>
      <c r="H474" s="17"/>
      <c r="I474" s="164"/>
    </row>
    <row r="475" spans="2:9" x14ac:dyDescent="0.35">
      <c r="B475" s="145"/>
      <c r="C475" s="14"/>
      <c r="D475" s="15"/>
      <c r="E475" s="18"/>
      <c r="F475" s="26"/>
      <c r="G475" s="17"/>
      <c r="H475" s="17"/>
      <c r="I475" s="164"/>
    </row>
    <row r="476" spans="2:9" x14ac:dyDescent="0.35">
      <c r="B476" s="145"/>
      <c r="C476" s="14"/>
      <c r="D476" s="15"/>
      <c r="E476" s="18"/>
      <c r="F476" s="26"/>
      <c r="G476" s="17"/>
      <c r="H476" s="17"/>
      <c r="I476" s="164"/>
    </row>
    <row r="477" spans="2:9" x14ac:dyDescent="0.35">
      <c r="B477" s="145"/>
      <c r="C477" s="14"/>
      <c r="D477" s="15"/>
      <c r="E477" s="18"/>
      <c r="F477" s="26"/>
      <c r="G477" s="17"/>
      <c r="H477" s="17"/>
      <c r="I477" s="164"/>
    </row>
    <row r="478" spans="2:9" x14ac:dyDescent="0.35">
      <c r="B478" s="145"/>
      <c r="C478" s="14"/>
      <c r="D478" s="15"/>
      <c r="E478" s="18"/>
      <c r="F478" s="26"/>
      <c r="G478" s="17"/>
      <c r="H478" s="17"/>
      <c r="I478" s="164"/>
    </row>
    <row r="479" spans="2:9" x14ac:dyDescent="0.35">
      <c r="B479" s="145"/>
      <c r="C479" s="14"/>
      <c r="D479" s="15"/>
      <c r="E479" s="18"/>
      <c r="F479" s="26"/>
      <c r="G479" s="17"/>
      <c r="H479" s="17"/>
      <c r="I479" s="164"/>
    </row>
    <row r="480" spans="2:9" x14ac:dyDescent="0.35">
      <c r="B480" s="145"/>
      <c r="C480" s="14"/>
      <c r="D480" s="15"/>
      <c r="E480" s="18"/>
      <c r="F480" s="26"/>
      <c r="G480" s="17"/>
      <c r="H480" s="17"/>
      <c r="I480" s="164"/>
    </row>
    <row r="481" spans="2:9" x14ac:dyDescent="0.35">
      <c r="B481" s="145"/>
      <c r="C481" s="14"/>
      <c r="D481" s="15"/>
      <c r="E481" s="18"/>
      <c r="F481" s="26"/>
      <c r="G481" s="17"/>
      <c r="H481" s="17"/>
      <c r="I481" s="164"/>
    </row>
    <row r="482" spans="2:9" x14ac:dyDescent="0.35">
      <c r="B482" s="145"/>
      <c r="C482" s="14"/>
      <c r="D482" s="15"/>
      <c r="E482" s="18"/>
      <c r="F482" s="26"/>
      <c r="G482" s="17"/>
      <c r="H482" s="17"/>
      <c r="I482" s="164"/>
    </row>
    <row r="483" spans="2:9" x14ac:dyDescent="0.35">
      <c r="B483" s="145"/>
      <c r="C483" s="14"/>
      <c r="D483" s="15"/>
      <c r="E483" s="18"/>
      <c r="F483" s="26"/>
      <c r="G483" s="17"/>
      <c r="H483" s="17"/>
      <c r="I483" s="164"/>
    </row>
    <row r="484" spans="2:9" x14ac:dyDescent="0.35">
      <c r="B484" s="145"/>
      <c r="C484" s="14"/>
      <c r="D484" s="15"/>
      <c r="E484" s="18"/>
      <c r="F484" s="26"/>
      <c r="G484" s="17"/>
      <c r="H484" s="17"/>
      <c r="I484" s="164"/>
    </row>
    <row r="485" spans="2:9" x14ac:dyDescent="0.35">
      <c r="B485" s="145"/>
      <c r="C485" s="14"/>
      <c r="D485" s="15"/>
      <c r="E485" s="18"/>
      <c r="F485" s="26"/>
      <c r="G485" s="17"/>
      <c r="H485" s="17"/>
      <c r="I485" s="164"/>
    </row>
    <row r="486" spans="2:9" x14ac:dyDescent="0.35">
      <c r="B486" s="145"/>
      <c r="C486" s="14"/>
      <c r="D486" s="15"/>
      <c r="E486" s="18"/>
      <c r="F486" s="26"/>
      <c r="G486" s="17"/>
      <c r="H486" s="17"/>
      <c r="I486" s="164"/>
    </row>
    <row r="487" spans="2:9" x14ac:dyDescent="0.35">
      <c r="B487" s="145"/>
      <c r="C487" s="14"/>
      <c r="D487" s="15"/>
      <c r="E487" s="18"/>
      <c r="F487" s="26"/>
      <c r="G487" s="17"/>
      <c r="H487" s="17"/>
      <c r="I487" s="164"/>
    </row>
    <row r="488" spans="2:9" x14ac:dyDescent="0.35">
      <c r="B488" s="145"/>
      <c r="C488" s="14"/>
      <c r="D488" s="15"/>
      <c r="E488" s="18"/>
      <c r="F488" s="26"/>
      <c r="G488" s="17"/>
      <c r="H488" s="17"/>
      <c r="I488" s="164"/>
    </row>
    <row r="489" spans="2:9" x14ac:dyDescent="0.35">
      <c r="B489" s="145"/>
      <c r="C489" s="14"/>
      <c r="D489" s="15"/>
      <c r="E489" s="18"/>
      <c r="F489" s="26"/>
      <c r="G489" s="17"/>
      <c r="H489" s="17"/>
      <c r="I489" s="164"/>
    </row>
    <row r="490" spans="2:9" x14ac:dyDescent="0.35">
      <c r="B490" s="145"/>
      <c r="C490" s="14"/>
      <c r="D490" s="15"/>
      <c r="E490" s="18"/>
      <c r="F490" s="26"/>
      <c r="G490" s="17"/>
      <c r="H490" s="17"/>
      <c r="I490" s="164"/>
    </row>
    <row r="491" spans="2:9" x14ac:dyDescent="0.35">
      <c r="B491" s="145"/>
      <c r="C491" s="14"/>
      <c r="D491" s="15"/>
      <c r="E491" s="18"/>
      <c r="F491" s="26"/>
      <c r="G491" s="17"/>
      <c r="H491" s="17"/>
      <c r="I491" s="164"/>
    </row>
    <row r="492" spans="2:9" x14ac:dyDescent="0.35">
      <c r="B492" s="145"/>
      <c r="C492" s="14"/>
      <c r="D492" s="15"/>
      <c r="E492" s="18"/>
      <c r="F492" s="26"/>
      <c r="G492" s="17"/>
      <c r="H492" s="17"/>
      <c r="I492" s="164"/>
    </row>
    <row r="493" spans="2:9" x14ac:dyDescent="0.35">
      <c r="B493" s="145"/>
      <c r="C493" s="14"/>
      <c r="D493" s="15"/>
      <c r="E493" s="18"/>
      <c r="F493" s="26"/>
      <c r="G493" s="17"/>
      <c r="H493" s="17"/>
      <c r="I493" s="164"/>
    </row>
    <row r="494" spans="2:9" x14ac:dyDescent="0.35">
      <c r="B494" s="145"/>
      <c r="C494" s="14"/>
      <c r="D494" s="15"/>
      <c r="E494" s="18"/>
      <c r="F494" s="26"/>
      <c r="G494" s="17"/>
      <c r="H494" s="17"/>
      <c r="I494" s="164"/>
    </row>
    <row r="495" spans="2:9" x14ac:dyDescent="0.35">
      <c r="B495" s="145"/>
      <c r="C495" s="14"/>
      <c r="D495" s="15"/>
      <c r="E495" s="18"/>
      <c r="F495" s="26"/>
      <c r="G495" s="17"/>
      <c r="H495" s="17"/>
      <c r="I495" s="164"/>
    </row>
    <row r="496" spans="2:9" x14ac:dyDescent="0.35">
      <c r="B496" s="145"/>
      <c r="C496" s="14"/>
      <c r="D496" s="15"/>
      <c r="E496" s="18"/>
      <c r="F496" s="26"/>
      <c r="G496" s="17"/>
      <c r="H496" s="17"/>
      <c r="I496" s="164"/>
    </row>
    <row r="497" spans="2:9" x14ac:dyDescent="0.35">
      <c r="B497" s="145"/>
      <c r="C497" s="14"/>
      <c r="D497" s="15"/>
      <c r="E497" s="18"/>
      <c r="F497" s="26"/>
      <c r="G497" s="17"/>
      <c r="H497" s="17"/>
      <c r="I497" s="164"/>
    </row>
    <row r="498" spans="2:9" x14ac:dyDescent="0.35">
      <c r="B498" s="145"/>
      <c r="C498" s="14"/>
      <c r="D498" s="15"/>
      <c r="E498" s="18"/>
      <c r="F498" s="26"/>
      <c r="G498" s="17"/>
      <c r="H498" s="17"/>
      <c r="I498" s="164"/>
    </row>
    <row r="499" spans="2:9" x14ac:dyDescent="0.35">
      <c r="B499" s="145"/>
      <c r="C499" s="14"/>
      <c r="D499" s="15"/>
      <c r="E499" s="18"/>
      <c r="F499" s="26"/>
      <c r="G499" s="17"/>
      <c r="H499" s="17"/>
      <c r="I499" s="164"/>
    </row>
    <row r="500" spans="2:9" x14ac:dyDescent="0.35">
      <c r="B500" s="145"/>
      <c r="C500" s="14"/>
      <c r="D500" s="15"/>
      <c r="E500" s="18"/>
      <c r="F500" s="26"/>
      <c r="G500" s="17"/>
      <c r="H500" s="17"/>
      <c r="I500" s="164"/>
    </row>
    <row r="501" spans="2:9" x14ac:dyDescent="0.35">
      <c r="B501" s="145"/>
      <c r="C501" s="14"/>
      <c r="D501" s="15"/>
      <c r="E501" s="18"/>
      <c r="F501" s="26"/>
      <c r="G501" s="17"/>
      <c r="H501" s="17"/>
      <c r="I501" s="164"/>
    </row>
    <row r="502" spans="2:9" x14ac:dyDescent="0.35">
      <c r="B502" s="145"/>
      <c r="C502" s="14"/>
      <c r="D502" s="15"/>
      <c r="E502" s="18"/>
      <c r="F502" s="26"/>
      <c r="G502" s="17"/>
      <c r="H502" s="17"/>
      <c r="I502" s="164"/>
    </row>
    <row r="503" spans="2:9" x14ac:dyDescent="0.35">
      <c r="B503" s="145"/>
      <c r="C503" s="14"/>
      <c r="D503" s="15"/>
      <c r="E503" s="18"/>
      <c r="F503" s="26"/>
      <c r="G503" s="17"/>
      <c r="H503" s="17"/>
      <c r="I503" s="164"/>
    </row>
    <row r="504" spans="2:9" x14ac:dyDescent="0.35">
      <c r="B504" s="145"/>
      <c r="C504" s="14"/>
      <c r="D504" s="15"/>
      <c r="E504" s="18"/>
      <c r="F504" s="26"/>
      <c r="G504" s="17"/>
      <c r="H504" s="17"/>
      <c r="I504" s="164"/>
    </row>
    <row r="505" spans="2:9" x14ac:dyDescent="0.35">
      <c r="B505" s="145"/>
      <c r="C505" s="14"/>
      <c r="D505" s="15"/>
      <c r="E505" s="18"/>
      <c r="F505" s="26"/>
      <c r="G505" s="17"/>
      <c r="H505" s="17"/>
      <c r="I505" s="164"/>
    </row>
    <row r="506" spans="2:9" x14ac:dyDescent="0.35">
      <c r="B506" s="145"/>
      <c r="C506" s="14"/>
      <c r="D506" s="15"/>
      <c r="E506" s="18"/>
      <c r="F506" s="26"/>
      <c r="G506" s="17"/>
      <c r="H506" s="17"/>
      <c r="I506" s="164"/>
    </row>
    <row r="507" spans="2:9" x14ac:dyDescent="0.35">
      <c r="B507" s="145"/>
      <c r="C507" s="14"/>
      <c r="D507" s="15"/>
      <c r="E507" s="18"/>
      <c r="F507" s="26"/>
      <c r="G507" s="17"/>
      <c r="H507" s="17"/>
      <c r="I507" s="164"/>
    </row>
    <row r="508" spans="2:9" x14ac:dyDescent="0.35">
      <c r="B508" s="145"/>
      <c r="C508" s="14"/>
      <c r="D508" s="15"/>
      <c r="E508" s="18"/>
      <c r="F508" s="26"/>
      <c r="G508" s="17"/>
      <c r="H508" s="17"/>
      <c r="I508" s="164"/>
    </row>
    <row r="509" spans="2:9" x14ac:dyDescent="0.35">
      <c r="B509" s="145"/>
      <c r="C509" s="14"/>
      <c r="D509" s="15"/>
      <c r="E509" s="18"/>
      <c r="F509" s="26"/>
      <c r="G509" s="17"/>
      <c r="H509" s="17"/>
      <c r="I509" s="164"/>
    </row>
    <row r="510" spans="2:9" x14ac:dyDescent="0.35">
      <c r="B510" s="145"/>
      <c r="C510" s="14"/>
      <c r="D510" s="15"/>
      <c r="E510" s="18"/>
      <c r="F510" s="26"/>
      <c r="G510" s="17"/>
      <c r="H510" s="17"/>
      <c r="I510" s="164"/>
    </row>
    <row r="511" spans="2:9" x14ac:dyDescent="0.35">
      <c r="B511" s="145"/>
      <c r="C511" s="14"/>
      <c r="D511" s="15"/>
      <c r="E511" s="18"/>
      <c r="F511" s="26"/>
      <c r="G511" s="17"/>
      <c r="H511" s="17"/>
      <c r="I511" s="164"/>
    </row>
    <row r="512" spans="2:9" x14ac:dyDescent="0.35">
      <c r="B512" s="145"/>
      <c r="C512" s="14"/>
      <c r="D512" s="15"/>
      <c r="E512" s="18"/>
      <c r="F512" s="26"/>
      <c r="G512" s="17"/>
      <c r="H512" s="17"/>
      <c r="I512" s="164"/>
    </row>
    <row r="513" spans="2:9" x14ac:dyDescent="0.35">
      <c r="B513" s="145"/>
      <c r="C513" s="14"/>
      <c r="D513" s="15"/>
      <c r="E513" s="18"/>
      <c r="F513" s="26"/>
      <c r="G513" s="17"/>
      <c r="H513" s="17"/>
      <c r="I513" s="164"/>
    </row>
    <row r="514" spans="2:9" x14ac:dyDescent="0.35">
      <c r="B514" s="145"/>
      <c r="C514" s="14"/>
      <c r="D514" s="15"/>
      <c r="E514" s="18"/>
      <c r="F514" s="26"/>
      <c r="G514" s="17"/>
      <c r="H514" s="17"/>
      <c r="I514" s="164"/>
    </row>
    <row r="515" spans="2:9" x14ac:dyDescent="0.35">
      <c r="B515" s="145"/>
      <c r="C515" s="14"/>
      <c r="D515" s="15"/>
      <c r="E515" s="18"/>
      <c r="F515" s="26"/>
      <c r="G515" s="17"/>
      <c r="H515" s="17"/>
      <c r="I515" s="164"/>
    </row>
    <row r="516" spans="2:9" x14ac:dyDescent="0.35">
      <c r="B516" s="145"/>
      <c r="C516" s="14"/>
      <c r="D516" s="15"/>
      <c r="E516" s="18"/>
      <c r="F516" s="26"/>
      <c r="G516" s="17"/>
      <c r="H516" s="17"/>
      <c r="I516" s="164"/>
    </row>
    <row r="517" spans="2:9" x14ac:dyDescent="0.35">
      <c r="B517" s="145"/>
      <c r="C517" s="14"/>
      <c r="D517" s="15"/>
      <c r="E517" s="18"/>
      <c r="F517" s="26"/>
      <c r="G517" s="17"/>
      <c r="H517" s="17"/>
      <c r="I517" s="164"/>
    </row>
    <row r="518" spans="2:9" x14ac:dyDescent="0.35">
      <c r="B518" s="145"/>
      <c r="C518" s="14"/>
      <c r="D518" s="15"/>
      <c r="E518" s="18"/>
      <c r="F518" s="26"/>
      <c r="G518" s="17"/>
      <c r="H518" s="17"/>
      <c r="I518" s="164"/>
    </row>
    <row r="519" spans="2:9" x14ac:dyDescent="0.35">
      <c r="B519" s="145"/>
      <c r="C519" s="14"/>
      <c r="D519" s="15"/>
      <c r="E519" s="18"/>
      <c r="F519" s="26"/>
      <c r="G519" s="17"/>
      <c r="H519" s="17"/>
      <c r="I519" s="164"/>
    </row>
    <row r="520" spans="2:9" x14ac:dyDescent="0.35">
      <c r="B520" s="145"/>
      <c r="C520" s="14"/>
      <c r="D520" s="15"/>
      <c r="E520" s="18"/>
      <c r="F520" s="26"/>
      <c r="G520" s="17"/>
      <c r="H520" s="17"/>
      <c r="I520" s="164"/>
    </row>
    <row r="521" spans="2:9" x14ac:dyDescent="0.35">
      <c r="B521" s="145"/>
      <c r="C521" s="14"/>
      <c r="D521" s="15"/>
      <c r="E521" s="18"/>
      <c r="F521" s="26"/>
      <c r="G521" s="17"/>
      <c r="H521" s="17"/>
      <c r="I521" s="164"/>
    </row>
    <row r="522" spans="2:9" x14ac:dyDescent="0.35">
      <c r="B522" s="145"/>
      <c r="C522" s="14"/>
      <c r="D522" s="15"/>
      <c r="E522" s="18"/>
      <c r="F522" s="26"/>
      <c r="G522" s="17"/>
      <c r="H522" s="17"/>
      <c r="I522" s="164"/>
    </row>
    <row r="523" spans="2:9" x14ac:dyDescent="0.35">
      <c r="B523" s="145"/>
      <c r="C523" s="14"/>
      <c r="D523" s="15"/>
      <c r="E523" s="18"/>
      <c r="F523" s="26"/>
      <c r="G523" s="17"/>
      <c r="H523" s="17"/>
      <c r="I523" s="164"/>
    </row>
    <row r="524" spans="2:9" x14ac:dyDescent="0.35">
      <c r="B524" s="145"/>
      <c r="C524" s="14"/>
      <c r="D524" s="15"/>
      <c r="E524" s="18"/>
      <c r="F524" s="26"/>
      <c r="G524" s="17"/>
      <c r="H524" s="17"/>
      <c r="I524" s="164"/>
    </row>
    <row r="525" spans="2:9" x14ac:dyDescent="0.35">
      <c r="B525" s="145"/>
      <c r="C525" s="14"/>
      <c r="D525" s="15"/>
      <c r="E525" s="18"/>
      <c r="F525" s="26"/>
      <c r="G525" s="17"/>
      <c r="H525" s="17"/>
      <c r="I525" s="164"/>
    </row>
    <row r="526" spans="2:9" x14ac:dyDescent="0.35">
      <c r="B526" s="145"/>
      <c r="C526" s="14"/>
      <c r="D526" s="15"/>
      <c r="E526" s="18"/>
      <c r="F526" s="26"/>
      <c r="G526" s="17"/>
      <c r="H526" s="17"/>
      <c r="I526" s="164"/>
    </row>
    <row r="527" spans="2:9" x14ac:dyDescent="0.35">
      <c r="B527" s="145"/>
      <c r="C527" s="14"/>
      <c r="D527" s="15"/>
      <c r="E527" s="18"/>
      <c r="F527" s="26"/>
      <c r="G527" s="17"/>
      <c r="H527" s="17"/>
      <c r="I527" s="164"/>
    </row>
    <row r="528" spans="2:9" x14ac:dyDescent="0.35">
      <c r="B528" s="145"/>
      <c r="C528" s="14"/>
      <c r="D528" s="15"/>
      <c r="E528" s="18"/>
      <c r="F528" s="26"/>
      <c r="G528" s="17"/>
      <c r="H528" s="17"/>
      <c r="I528" s="164"/>
    </row>
    <row r="529" spans="2:9" x14ac:dyDescent="0.35">
      <c r="B529" s="145"/>
      <c r="C529" s="14"/>
      <c r="D529" s="15"/>
      <c r="E529" s="18"/>
      <c r="F529" s="26"/>
      <c r="G529" s="17"/>
      <c r="H529" s="17"/>
      <c r="I529" s="164"/>
    </row>
    <row r="530" spans="2:9" x14ac:dyDescent="0.35">
      <c r="B530" s="145"/>
      <c r="C530" s="14"/>
      <c r="D530" s="15"/>
      <c r="E530" s="18"/>
      <c r="F530" s="26"/>
      <c r="G530" s="17"/>
      <c r="H530" s="17"/>
      <c r="I530" s="164"/>
    </row>
    <row r="531" spans="2:9" x14ac:dyDescent="0.35">
      <c r="B531" s="145"/>
      <c r="C531" s="14"/>
      <c r="D531" s="15"/>
      <c r="E531" s="18"/>
      <c r="F531" s="26"/>
      <c r="G531" s="17"/>
      <c r="H531" s="17"/>
      <c r="I531" s="164"/>
    </row>
    <row r="532" spans="2:9" x14ac:dyDescent="0.35">
      <c r="B532" s="145"/>
      <c r="C532" s="14"/>
      <c r="D532" s="15"/>
      <c r="E532" s="18"/>
      <c r="F532" s="26"/>
      <c r="G532" s="17"/>
      <c r="H532" s="17"/>
      <c r="I532" s="164"/>
    </row>
    <row r="533" spans="2:9" x14ac:dyDescent="0.35">
      <c r="B533" s="145"/>
      <c r="C533" s="14"/>
      <c r="D533" s="15"/>
      <c r="E533" s="18"/>
      <c r="F533" s="26"/>
      <c r="G533" s="17"/>
      <c r="H533" s="17"/>
      <c r="I533" s="164"/>
    </row>
    <row r="534" spans="2:9" x14ac:dyDescent="0.35">
      <c r="B534" s="145"/>
      <c r="C534" s="14"/>
      <c r="D534" s="15"/>
      <c r="E534" s="18"/>
      <c r="F534" s="26"/>
      <c r="G534" s="17"/>
      <c r="H534" s="17"/>
      <c r="I534" s="164"/>
    </row>
    <row r="535" spans="2:9" x14ac:dyDescent="0.35">
      <c r="B535" s="145"/>
      <c r="C535" s="14"/>
      <c r="D535" s="15"/>
      <c r="E535" s="18"/>
      <c r="F535" s="26"/>
      <c r="G535" s="17"/>
      <c r="H535" s="17"/>
      <c r="I535" s="164"/>
    </row>
    <row r="536" spans="2:9" x14ac:dyDescent="0.35">
      <c r="B536" s="145"/>
      <c r="C536" s="14"/>
      <c r="D536" s="15"/>
      <c r="E536" s="18"/>
      <c r="F536" s="26"/>
      <c r="G536" s="17"/>
      <c r="H536" s="17"/>
      <c r="I536" s="164"/>
    </row>
    <row r="537" spans="2:9" x14ac:dyDescent="0.35">
      <c r="B537" s="145"/>
      <c r="C537" s="14"/>
      <c r="D537" s="15"/>
      <c r="E537" s="18"/>
      <c r="F537" s="26"/>
      <c r="G537" s="17"/>
      <c r="H537" s="17"/>
      <c r="I537" s="164"/>
    </row>
    <row r="538" spans="2:9" x14ac:dyDescent="0.35">
      <c r="B538" s="145"/>
      <c r="C538" s="14"/>
      <c r="D538" s="15"/>
      <c r="E538" s="18"/>
      <c r="F538" s="26"/>
      <c r="G538" s="17"/>
      <c r="H538" s="17"/>
      <c r="I538" s="164"/>
    </row>
    <row r="539" spans="2:9" x14ac:dyDescent="0.35">
      <c r="B539" s="145"/>
      <c r="C539" s="14"/>
      <c r="D539" s="15"/>
      <c r="E539" s="18"/>
      <c r="F539" s="26"/>
      <c r="G539" s="17"/>
      <c r="H539" s="17"/>
      <c r="I539" s="164"/>
    </row>
    <row r="540" spans="2:9" x14ac:dyDescent="0.35">
      <c r="B540" s="145"/>
      <c r="C540" s="14"/>
      <c r="D540" s="15"/>
      <c r="E540" s="18"/>
      <c r="F540" s="26"/>
      <c r="G540" s="17"/>
      <c r="H540" s="17"/>
      <c r="I540" s="164"/>
    </row>
    <row r="541" spans="2:9" x14ac:dyDescent="0.35">
      <c r="B541" s="145"/>
      <c r="C541" s="14"/>
      <c r="D541" s="15"/>
      <c r="E541" s="18"/>
      <c r="F541" s="26"/>
      <c r="G541" s="17"/>
      <c r="H541" s="17"/>
      <c r="I541" s="164"/>
    </row>
    <row r="542" spans="2:9" x14ac:dyDescent="0.35">
      <c r="B542" s="145"/>
      <c r="C542" s="14"/>
      <c r="D542" s="15"/>
      <c r="E542" s="18"/>
      <c r="F542" s="26"/>
      <c r="G542" s="17"/>
      <c r="H542" s="17"/>
      <c r="I542" s="164"/>
    </row>
    <row r="543" spans="2:9" x14ac:dyDescent="0.35">
      <c r="B543" s="145"/>
      <c r="C543" s="14"/>
      <c r="D543" s="15"/>
      <c r="E543" s="18"/>
      <c r="F543" s="26"/>
      <c r="G543" s="17"/>
      <c r="H543" s="17"/>
      <c r="I543" s="164"/>
    </row>
    <row r="544" spans="2:9" x14ac:dyDescent="0.35">
      <c r="B544" s="145"/>
      <c r="C544" s="14"/>
      <c r="D544" s="15"/>
      <c r="E544" s="18"/>
      <c r="F544" s="26"/>
      <c r="G544" s="17"/>
      <c r="H544" s="17"/>
      <c r="I544" s="164"/>
    </row>
    <row r="545" spans="2:9" x14ac:dyDescent="0.35">
      <c r="B545" s="145"/>
      <c r="C545" s="14"/>
      <c r="D545" s="15"/>
      <c r="E545" s="18"/>
      <c r="F545" s="26"/>
      <c r="G545" s="17"/>
      <c r="H545" s="17"/>
      <c r="I545" s="164"/>
    </row>
    <row r="546" spans="2:9" x14ac:dyDescent="0.35">
      <c r="B546" s="145"/>
      <c r="C546" s="14"/>
      <c r="D546" s="15"/>
      <c r="E546" s="18"/>
      <c r="F546" s="26"/>
      <c r="G546" s="17"/>
      <c r="H546" s="17"/>
      <c r="I546" s="164"/>
    </row>
    <row r="547" spans="2:9" x14ac:dyDescent="0.35">
      <c r="B547" s="145"/>
      <c r="C547" s="14"/>
      <c r="D547" s="15"/>
      <c r="E547" s="18"/>
      <c r="F547" s="26"/>
      <c r="G547" s="17"/>
      <c r="H547" s="17"/>
      <c r="I547" s="164"/>
    </row>
    <row r="548" spans="2:9" x14ac:dyDescent="0.35">
      <c r="B548" s="145"/>
      <c r="C548" s="14"/>
      <c r="D548" s="15"/>
      <c r="E548" s="18"/>
      <c r="F548" s="26"/>
      <c r="G548" s="17"/>
      <c r="H548" s="17"/>
      <c r="I548" s="164"/>
    </row>
    <row r="549" spans="2:9" x14ac:dyDescent="0.35">
      <c r="B549" s="145"/>
      <c r="C549" s="14"/>
      <c r="D549" s="15"/>
      <c r="E549" s="18"/>
      <c r="F549" s="26"/>
      <c r="G549" s="17"/>
      <c r="H549" s="17"/>
      <c r="I549" s="164"/>
    </row>
    <row r="550" spans="2:9" x14ac:dyDescent="0.35">
      <c r="B550" s="145"/>
      <c r="C550" s="14"/>
      <c r="D550" s="15"/>
      <c r="E550" s="18"/>
      <c r="F550" s="26"/>
      <c r="G550" s="17"/>
      <c r="H550" s="17"/>
      <c r="I550" s="164"/>
    </row>
    <row r="551" spans="2:9" x14ac:dyDescent="0.35">
      <c r="B551" s="145"/>
      <c r="C551" s="14"/>
      <c r="D551" s="15"/>
      <c r="E551" s="18"/>
      <c r="F551" s="26"/>
      <c r="G551" s="17"/>
      <c r="H551" s="17"/>
      <c r="I551" s="164"/>
    </row>
    <row r="552" spans="2:9" x14ac:dyDescent="0.35">
      <c r="B552" s="145"/>
      <c r="C552" s="14"/>
      <c r="D552" s="15"/>
      <c r="E552" s="18"/>
      <c r="F552" s="26"/>
      <c r="G552" s="17"/>
      <c r="H552" s="17"/>
      <c r="I552" s="164"/>
    </row>
    <row r="553" spans="2:9" x14ac:dyDescent="0.35">
      <c r="B553" s="145"/>
      <c r="C553" s="14"/>
      <c r="D553" s="15"/>
      <c r="E553" s="18"/>
      <c r="F553" s="26"/>
      <c r="G553" s="17"/>
      <c r="H553" s="17"/>
      <c r="I553" s="164"/>
    </row>
    <row r="554" spans="2:9" x14ac:dyDescent="0.35">
      <c r="B554" s="145"/>
      <c r="C554" s="14"/>
      <c r="D554" s="15"/>
      <c r="E554" s="18"/>
      <c r="F554" s="26"/>
      <c r="G554" s="17"/>
      <c r="H554" s="17"/>
      <c r="I554" s="164"/>
    </row>
    <row r="555" spans="2:9" x14ac:dyDescent="0.35">
      <c r="B555" s="145"/>
      <c r="C555" s="14"/>
      <c r="D555" s="15"/>
      <c r="E555" s="18"/>
      <c r="F555" s="26"/>
      <c r="G555" s="17"/>
      <c r="H555" s="17"/>
      <c r="I555" s="164"/>
    </row>
    <row r="556" spans="2:9" x14ac:dyDescent="0.35">
      <c r="B556" s="145"/>
      <c r="C556" s="14"/>
      <c r="D556" s="15"/>
      <c r="E556" s="18"/>
      <c r="F556" s="26"/>
      <c r="G556" s="17"/>
      <c r="H556" s="17"/>
      <c r="I556" s="164"/>
    </row>
    <row r="557" spans="2:9" x14ac:dyDescent="0.35">
      <c r="B557" s="145"/>
      <c r="C557" s="14"/>
      <c r="D557" s="15"/>
      <c r="E557" s="18"/>
      <c r="F557" s="26"/>
      <c r="G557" s="17"/>
      <c r="H557" s="17"/>
      <c r="I557" s="164"/>
    </row>
    <row r="558" spans="2:9" x14ac:dyDescent="0.35">
      <c r="B558" s="145"/>
      <c r="C558" s="14"/>
      <c r="D558" s="15"/>
      <c r="E558" s="18"/>
      <c r="F558" s="26"/>
      <c r="G558" s="17"/>
      <c r="H558" s="17"/>
      <c r="I558" s="164"/>
    </row>
    <row r="559" spans="2:9" x14ac:dyDescent="0.35">
      <c r="B559" s="145"/>
      <c r="C559" s="14"/>
      <c r="D559" s="15"/>
      <c r="E559" s="18"/>
      <c r="F559" s="26"/>
      <c r="G559" s="17"/>
      <c r="H559" s="17"/>
      <c r="I559" s="164"/>
    </row>
    <row r="560" spans="2:9" x14ac:dyDescent="0.35">
      <c r="B560" s="145"/>
      <c r="C560" s="14"/>
      <c r="D560" s="15"/>
      <c r="E560" s="18"/>
      <c r="F560" s="26"/>
      <c r="G560" s="17"/>
      <c r="H560" s="17"/>
      <c r="I560" s="164"/>
    </row>
    <row r="561" spans="2:9" x14ac:dyDescent="0.35">
      <c r="B561" s="145"/>
      <c r="C561" s="14"/>
      <c r="D561" s="15"/>
      <c r="E561" s="18"/>
      <c r="F561" s="26"/>
      <c r="G561" s="17"/>
      <c r="H561" s="17"/>
      <c r="I561" s="164"/>
    </row>
    <row r="562" spans="2:9" x14ac:dyDescent="0.35">
      <c r="B562" s="145"/>
      <c r="C562" s="14"/>
      <c r="D562" s="15"/>
      <c r="E562" s="18"/>
      <c r="F562" s="26"/>
      <c r="G562" s="17"/>
      <c r="H562" s="17"/>
      <c r="I562" s="164"/>
    </row>
    <row r="563" spans="2:9" x14ac:dyDescent="0.35">
      <c r="B563" s="145"/>
      <c r="C563" s="14"/>
      <c r="D563" s="15"/>
      <c r="E563" s="18"/>
      <c r="F563" s="26"/>
      <c r="G563" s="17"/>
      <c r="H563" s="17"/>
      <c r="I563" s="164"/>
    </row>
    <row r="564" spans="2:9" x14ac:dyDescent="0.35">
      <c r="B564" s="145"/>
      <c r="C564" s="14"/>
      <c r="D564" s="15"/>
      <c r="E564" s="18"/>
      <c r="F564" s="26"/>
      <c r="G564" s="17"/>
      <c r="H564" s="17"/>
      <c r="I564" s="164"/>
    </row>
    <row r="565" spans="2:9" x14ac:dyDescent="0.35">
      <c r="B565" s="145"/>
      <c r="C565" s="14"/>
      <c r="D565" s="15"/>
      <c r="E565" s="18"/>
      <c r="F565" s="26"/>
      <c r="G565" s="17"/>
      <c r="H565" s="17"/>
      <c r="I565" s="164"/>
    </row>
    <row r="566" spans="2:9" x14ac:dyDescent="0.35">
      <c r="B566" s="145"/>
      <c r="C566" s="14"/>
      <c r="D566" s="15"/>
      <c r="E566" s="18"/>
      <c r="F566" s="26"/>
      <c r="G566" s="17"/>
      <c r="H566" s="17"/>
      <c r="I566" s="164"/>
    </row>
    <row r="567" spans="2:9" x14ac:dyDescent="0.35">
      <c r="B567" s="145"/>
      <c r="C567" s="14"/>
      <c r="D567" s="15"/>
      <c r="E567" s="18"/>
      <c r="F567" s="26"/>
      <c r="G567" s="17"/>
      <c r="H567" s="17"/>
      <c r="I567" s="164"/>
    </row>
    <row r="568" spans="2:9" x14ac:dyDescent="0.35">
      <c r="B568" s="145"/>
      <c r="C568" s="14"/>
      <c r="D568" s="15"/>
      <c r="E568" s="18"/>
      <c r="F568" s="26"/>
      <c r="G568" s="17"/>
      <c r="H568" s="17"/>
      <c r="I568" s="164"/>
    </row>
    <row r="569" spans="2:9" x14ac:dyDescent="0.35">
      <c r="B569" s="145"/>
      <c r="C569" s="14"/>
      <c r="D569" s="15"/>
      <c r="E569" s="18"/>
      <c r="F569" s="26"/>
      <c r="G569" s="17"/>
      <c r="H569" s="17"/>
      <c r="I569" s="164"/>
    </row>
    <row r="570" spans="2:9" x14ac:dyDescent="0.35">
      <c r="B570" s="145"/>
      <c r="C570" s="14"/>
      <c r="D570" s="15"/>
      <c r="E570" s="18"/>
      <c r="F570" s="26"/>
      <c r="G570" s="17"/>
      <c r="H570" s="17"/>
      <c r="I570" s="164"/>
    </row>
    <row r="571" spans="2:9" x14ac:dyDescent="0.35">
      <c r="B571" s="145"/>
      <c r="C571" s="14"/>
      <c r="D571" s="15"/>
      <c r="E571" s="18"/>
      <c r="F571" s="26"/>
      <c r="G571" s="17"/>
      <c r="H571" s="17"/>
      <c r="I571" s="164"/>
    </row>
    <row r="572" spans="2:9" x14ac:dyDescent="0.35">
      <c r="B572" s="145"/>
      <c r="C572" s="14"/>
      <c r="D572" s="15"/>
      <c r="E572" s="18"/>
      <c r="F572" s="26"/>
      <c r="G572" s="17"/>
      <c r="H572" s="17"/>
      <c r="I572" s="164"/>
    </row>
    <row r="573" spans="2:9" x14ac:dyDescent="0.35">
      <c r="B573" s="145"/>
      <c r="C573" s="14"/>
      <c r="D573" s="15"/>
      <c r="E573" s="18"/>
      <c r="F573" s="26"/>
      <c r="G573" s="17"/>
      <c r="H573" s="17"/>
      <c r="I573" s="164"/>
    </row>
    <row r="574" spans="2:9" x14ac:dyDescent="0.35">
      <c r="B574" s="145"/>
      <c r="C574" s="14"/>
      <c r="D574" s="15"/>
      <c r="E574" s="18"/>
      <c r="F574" s="26"/>
      <c r="G574" s="17"/>
      <c r="H574" s="17"/>
      <c r="I574" s="164"/>
    </row>
    <row r="575" spans="2:9" x14ac:dyDescent="0.35">
      <c r="B575" s="145"/>
      <c r="C575" s="14"/>
      <c r="D575" s="15"/>
      <c r="E575" s="18"/>
      <c r="F575" s="26"/>
      <c r="G575" s="17"/>
      <c r="H575" s="17"/>
      <c r="I575" s="164"/>
    </row>
    <row r="576" spans="2:9" x14ac:dyDescent="0.35">
      <c r="B576" s="145"/>
      <c r="C576" s="14"/>
      <c r="D576" s="15"/>
      <c r="E576" s="18"/>
      <c r="F576" s="26"/>
      <c r="G576" s="17"/>
      <c r="H576" s="17"/>
      <c r="I576" s="164"/>
    </row>
    <row r="577" spans="2:9" x14ac:dyDescent="0.35">
      <c r="B577" s="145"/>
      <c r="C577" s="14"/>
      <c r="D577" s="15"/>
      <c r="E577" s="18"/>
      <c r="F577" s="26"/>
      <c r="G577" s="17"/>
      <c r="H577" s="17"/>
      <c r="I577" s="164"/>
    </row>
    <row r="578" spans="2:9" x14ac:dyDescent="0.35">
      <c r="B578" s="145"/>
      <c r="C578" s="14"/>
      <c r="D578" s="15"/>
      <c r="E578" s="18"/>
      <c r="F578" s="26"/>
      <c r="G578" s="17"/>
      <c r="H578" s="17"/>
      <c r="I578" s="164"/>
    </row>
    <row r="579" spans="2:9" x14ac:dyDescent="0.35">
      <c r="B579" s="145"/>
      <c r="C579" s="14"/>
      <c r="D579" s="15"/>
      <c r="E579" s="18"/>
      <c r="F579" s="26"/>
      <c r="G579" s="17"/>
      <c r="H579" s="17"/>
      <c r="I579" s="164"/>
    </row>
    <row r="580" spans="2:9" x14ac:dyDescent="0.35">
      <c r="B580" s="145"/>
      <c r="C580" s="14"/>
      <c r="D580" s="15"/>
      <c r="E580" s="18"/>
      <c r="F580" s="26"/>
      <c r="G580" s="17"/>
      <c r="H580" s="17"/>
      <c r="I580" s="164"/>
    </row>
    <row r="581" spans="2:9" x14ac:dyDescent="0.35">
      <c r="B581" s="145"/>
      <c r="C581" s="14"/>
      <c r="D581" s="15"/>
      <c r="E581" s="18"/>
      <c r="F581" s="26"/>
      <c r="G581" s="17"/>
      <c r="H581" s="17"/>
      <c r="I581" s="164"/>
    </row>
    <row r="582" spans="2:9" x14ac:dyDescent="0.35">
      <c r="B582" s="145"/>
      <c r="C582" s="14"/>
      <c r="D582" s="15"/>
      <c r="E582" s="18"/>
      <c r="F582" s="26"/>
      <c r="G582" s="17"/>
      <c r="H582" s="17"/>
      <c r="I582" s="164"/>
    </row>
    <row r="583" spans="2:9" x14ac:dyDescent="0.35">
      <c r="B583" s="145"/>
      <c r="C583" s="14"/>
      <c r="D583" s="15"/>
      <c r="E583" s="18"/>
      <c r="F583" s="26"/>
      <c r="G583" s="17"/>
      <c r="H583" s="17"/>
      <c r="I583" s="164"/>
    </row>
    <row r="584" spans="2:9" x14ac:dyDescent="0.35">
      <c r="B584" s="145"/>
      <c r="C584" s="14"/>
      <c r="D584" s="15"/>
      <c r="E584" s="18"/>
      <c r="F584" s="26"/>
      <c r="G584" s="17"/>
      <c r="H584" s="17"/>
      <c r="I584" s="164"/>
    </row>
    <row r="585" spans="2:9" x14ac:dyDescent="0.35">
      <c r="B585" s="145"/>
      <c r="C585" s="14"/>
      <c r="D585" s="15"/>
      <c r="E585" s="18"/>
      <c r="F585" s="26"/>
      <c r="G585" s="17"/>
      <c r="H585" s="17"/>
      <c r="I585" s="164"/>
    </row>
    <row r="586" spans="2:9" x14ac:dyDescent="0.35">
      <c r="B586" s="145"/>
      <c r="C586" s="14"/>
      <c r="D586" s="15"/>
      <c r="E586" s="18"/>
      <c r="F586" s="26"/>
      <c r="G586" s="17"/>
      <c r="H586" s="17"/>
      <c r="I586" s="164"/>
    </row>
    <row r="587" spans="2:9" x14ac:dyDescent="0.35">
      <c r="B587" s="145"/>
      <c r="C587" s="14"/>
      <c r="D587" s="15"/>
      <c r="E587" s="18"/>
      <c r="F587" s="26"/>
      <c r="G587" s="17"/>
      <c r="H587" s="17"/>
      <c r="I587" s="164"/>
    </row>
    <row r="588" spans="2:9" x14ac:dyDescent="0.35">
      <c r="B588" s="145"/>
      <c r="C588" s="14"/>
      <c r="D588" s="15"/>
      <c r="E588" s="18"/>
      <c r="F588" s="26"/>
      <c r="G588" s="17"/>
      <c r="H588" s="17"/>
      <c r="I588" s="164"/>
    </row>
    <row r="589" spans="2:9" x14ac:dyDescent="0.35">
      <c r="B589" s="145"/>
      <c r="C589" s="14"/>
      <c r="D589" s="15"/>
      <c r="E589" s="18"/>
      <c r="F589" s="26"/>
      <c r="G589" s="17"/>
      <c r="H589" s="17"/>
      <c r="I589" s="164"/>
    </row>
    <row r="590" spans="2:9" x14ac:dyDescent="0.35">
      <c r="B590" s="145"/>
      <c r="C590" s="14"/>
      <c r="D590" s="15"/>
      <c r="E590" s="18"/>
      <c r="F590" s="26"/>
      <c r="G590" s="17"/>
      <c r="H590" s="17"/>
      <c r="I590" s="164"/>
    </row>
    <row r="591" spans="2:9" x14ac:dyDescent="0.35">
      <c r="B591" s="145"/>
      <c r="C591" s="14"/>
      <c r="D591" s="15"/>
      <c r="E591" s="18"/>
      <c r="F591" s="26"/>
      <c r="G591" s="17"/>
      <c r="H591" s="17"/>
      <c r="I591" s="164"/>
    </row>
    <row r="592" spans="2:9" x14ac:dyDescent="0.35">
      <c r="B592" s="145"/>
      <c r="C592" s="14"/>
      <c r="D592" s="15"/>
      <c r="E592" s="18"/>
      <c r="F592" s="26"/>
      <c r="G592" s="17"/>
      <c r="H592" s="17"/>
      <c r="I592" s="164"/>
    </row>
    <row r="593" spans="2:9" x14ac:dyDescent="0.35">
      <c r="B593" s="145"/>
      <c r="C593" s="14"/>
      <c r="D593" s="15"/>
      <c r="E593" s="18"/>
      <c r="F593" s="26"/>
      <c r="G593" s="17"/>
      <c r="H593" s="17"/>
      <c r="I593" s="164"/>
    </row>
    <row r="594" spans="2:9" x14ac:dyDescent="0.35">
      <c r="B594" s="145"/>
      <c r="C594" s="14"/>
      <c r="D594" s="15"/>
      <c r="E594" s="18"/>
      <c r="F594" s="26"/>
      <c r="G594" s="17"/>
      <c r="H594" s="17"/>
      <c r="I594" s="164"/>
    </row>
    <row r="595" spans="2:9" x14ac:dyDescent="0.35">
      <c r="B595" s="145"/>
      <c r="C595" s="14"/>
      <c r="D595" s="15"/>
      <c r="E595" s="18"/>
      <c r="F595" s="26"/>
      <c r="G595" s="17"/>
      <c r="H595" s="17"/>
      <c r="I595" s="164"/>
    </row>
    <row r="596" spans="2:9" x14ac:dyDescent="0.35">
      <c r="B596" s="145"/>
      <c r="C596" s="14"/>
      <c r="D596" s="15"/>
      <c r="E596" s="18"/>
      <c r="F596" s="26"/>
      <c r="G596" s="17"/>
      <c r="H596" s="17"/>
      <c r="I596" s="164"/>
    </row>
    <row r="597" spans="2:9" x14ac:dyDescent="0.35">
      <c r="B597" s="145"/>
      <c r="C597" s="14"/>
      <c r="D597" s="15"/>
      <c r="E597" s="18"/>
      <c r="F597" s="26"/>
      <c r="G597" s="17"/>
      <c r="H597" s="17"/>
      <c r="I597" s="164"/>
    </row>
    <row r="598" spans="2:9" x14ac:dyDescent="0.35">
      <c r="B598" s="145"/>
      <c r="C598" s="14"/>
      <c r="D598" s="15"/>
      <c r="E598" s="18"/>
      <c r="F598" s="26"/>
      <c r="G598" s="17"/>
      <c r="H598" s="17"/>
      <c r="I598" s="164"/>
    </row>
    <row r="599" spans="2:9" x14ac:dyDescent="0.35">
      <c r="B599" s="145"/>
      <c r="C599" s="14"/>
      <c r="D599" s="15"/>
      <c r="E599" s="18"/>
      <c r="F599" s="26"/>
      <c r="G599" s="17"/>
      <c r="H599" s="17"/>
      <c r="I599" s="164"/>
    </row>
    <row r="600" spans="2:9" x14ac:dyDescent="0.35">
      <c r="B600" s="145"/>
      <c r="C600" s="14"/>
      <c r="D600" s="15"/>
      <c r="E600" s="18"/>
      <c r="F600" s="26"/>
      <c r="G600" s="17"/>
      <c r="H600" s="17"/>
      <c r="I600" s="164"/>
    </row>
    <row r="601" spans="2:9" x14ac:dyDescent="0.35">
      <c r="B601" s="145"/>
      <c r="C601" s="14"/>
      <c r="D601" s="15"/>
      <c r="E601" s="18"/>
      <c r="F601" s="26"/>
      <c r="G601" s="17"/>
      <c r="H601" s="17"/>
      <c r="I601" s="164"/>
    </row>
    <row r="602" spans="2:9" x14ac:dyDescent="0.35">
      <c r="B602" s="145"/>
      <c r="C602" s="14"/>
      <c r="D602" s="15"/>
      <c r="E602" s="18"/>
      <c r="F602" s="26"/>
      <c r="G602" s="17"/>
      <c r="H602" s="17"/>
      <c r="I602" s="164"/>
    </row>
    <row r="603" spans="2:9" x14ac:dyDescent="0.35">
      <c r="B603" s="145"/>
      <c r="C603" s="14"/>
      <c r="D603" s="15"/>
      <c r="E603" s="18"/>
      <c r="F603" s="26"/>
      <c r="G603" s="17"/>
      <c r="H603" s="17"/>
      <c r="I603" s="164"/>
    </row>
    <row r="604" spans="2:9" x14ac:dyDescent="0.35">
      <c r="B604" s="145"/>
      <c r="C604" s="14"/>
      <c r="D604" s="15"/>
      <c r="E604" s="18"/>
      <c r="F604" s="26"/>
      <c r="G604" s="17"/>
      <c r="H604" s="17"/>
      <c r="I604" s="164"/>
    </row>
    <row r="605" spans="2:9" x14ac:dyDescent="0.35">
      <c r="B605" s="145"/>
      <c r="C605" s="14"/>
      <c r="D605" s="15"/>
      <c r="E605" s="18"/>
      <c r="F605" s="26"/>
      <c r="G605" s="17"/>
      <c r="H605" s="17"/>
      <c r="I605" s="164"/>
    </row>
    <row r="606" spans="2:9" x14ac:dyDescent="0.35">
      <c r="B606" s="145"/>
      <c r="C606" s="14"/>
      <c r="D606" s="15"/>
      <c r="E606" s="18"/>
      <c r="F606" s="26"/>
      <c r="G606" s="17"/>
      <c r="H606" s="17"/>
      <c r="I606" s="164"/>
    </row>
    <row r="607" spans="2:9" x14ac:dyDescent="0.35">
      <c r="B607" s="145"/>
      <c r="C607" s="14"/>
      <c r="D607" s="15"/>
      <c r="E607" s="18"/>
      <c r="F607" s="26"/>
      <c r="G607" s="17"/>
      <c r="H607" s="17"/>
      <c r="I607" s="164"/>
    </row>
    <row r="608" spans="2:9" x14ac:dyDescent="0.35">
      <c r="B608" s="145"/>
      <c r="C608" s="14"/>
      <c r="D608" s="15"/>
      <c r="E608" s="18"/>
      <c r="F608" s="26"/>
      <c r="G608" s="17"/>
      <c r="H608" s="17"/>
      <c r="I608" s="164"/>
    </row>
    <row r="609" spans="2:9" x14ac:dyDescent="0.35">
      <c r="B609" s="145"/>
      <c r="C609" s="14"/>
      <c r="D609" s="15"/>
      <c r="E609" s="18"/>
      <c r="F609" s="26"/>
      <c r="G609" s="17"/>
      <c r="H609" s="17"/>
      <c r="I609" s="164"/>
    </row>
    <row r="610" spans="2:9" x14ac:dyDescent="0.35">
      <c r="B610" s="145"/>
      <c r="C610" s="14"/>
      <c r="D610" s="15"/>
      <c r="E610" s="18"/>
      <c r="F610" s="26"/>
      <c r="G610" s="17"/>
      <c r="H610" s="17"/>
      <c r="I610" s="164"/>
    </row>
    <row r="611" spans="2:9" x14ac:dyDescent="0.35">
      <c r="B611" s="145"/>
      <c r="C611" s="14"/>
      <c r="D611" s="15"/>
      <c r="E611" s="18"/>
      <c r="F611" s="26"/>
      <c r="G611" s="17"/>
      <c r="H611" s="17"/>
      <c r="I611" s="164"/>
    </row>
    <row r="612" spans="2:9" x14ac:dyDescent="0.35">
      <c r="B612" s="145"/>
      <c r="C612" s="14"/>
      <c r="D612" s="15"/>
      <c r="E612" s="18"/>
      <c r="F612" s="26"/>
      <c r="G612" s="17"/>
      <c r="H612" s="17"/>
      <c r="I612" s="164"/>
    </row>
    <row r="613" spans="2:9" x14ac:dyDescent="0.35">
      <c r="B613" s="145"/>
      <c r="C613" s="14"/>
      <c r="D613" s="15"/>
      <c r="E613" s="18"/>
      <c r="F613" s="26"/>
      <c r="G613" s="17"/>
      <c r="H613" s="17"/>
      <c r="I613" s="164"/>
    </row>
    <row r="614" spans="2:9" x14ac:dyDescent="0.35">
      <c r="B614" s="145"/>
      <c r="C614" s="14"/>
      <c r="D614" s="15"/>
      <c r="E614" s="18"/>
      <c r="F614" s="26"/>
      <c r="G614" s="17"/>
      <c r="H614" s="17"/>
      <c r="I614" s="164"/>
    </row>
    <row r="615" spans="2:9" x14ac:dyDescent="0.35">
      <c r="B615" s="145"/>
      <c r="C615" s="14"/>
      <c r="D615" s="15"/>
      <c r="E615" s="18"/>
      <c r="F615" s="26"/>
      <c r="G615" s="17"/>
      <c r="H615" s="17"/>
      <c r="I615" s="164"/>
    </row>
    <row r="616" spans="2:9" x14ac:dyDescent="0.35">
      <c r="B616" s="145"/>
      <c r="C616" s="14"/>
      <c r="D616" s="15"/>
      <c r="E616" s="18"/>
      <c r="F616" s="26"/>
      <c r="G616" s="17"/>
      <c r="H616" s="17"/>
      <c r="I616" s="164"/>
    </row>
    <row r="617" spans="2:9" x14ac:dyDescent="0.35">
      <c r="B617" s="145"/>
      <c r="C617" s="14"/>
      <c r="D617" s="15"/>
      <c r="E617" s="18"/>
      <c r="F617" s="26"/>
      <c r="G617" s="17"/>
      <c r="H617" s="17"/>
      <c r="I617" s="164"/>
    </row>
    <row r="618" spans="2:9" x14ac:dyDescent="0.35">
      <c r="B618" s="145"/>
      <c r="C618" s="14"/>
      <c r="D618" s="15"/>
      <c r="E618" s="18"/>
      <c r="F618" s="26"/>
      <c r="G618" s="17"/>
      <c r="H618" s="17"/>
      <c r="I618" s="164"/>
    </row>
    <row r="619" spans="2:9" x14ac:dyDescent="0.35">
      <c r="B619" s="145"/>
      <c r="C619" s="14"/>
      <c r="D619" s="15"/>
      <c r="E619" s="18"/>
      <c r="F619" s="26"/>
      <c r="G619" s="17"/>
      <c r="H619" s="17"/>
      <c r="I619" s="164"/>
    </row>
    <row r="620" spans="2:9" x14ac:dyDescent="0.35">
      <c r="B620" s="145"/>
      <c r="C620" s="14"/>
      <c r="D620" s="15"/>
      <c r="E620" s="18"/>
      <c r="F620" s="26"/>
      <c r="G620" s="17"/>
      <c r="H620" s="17"/>
      <c r="I620" s="164"/>
    </row>
    <row r="621" spans="2:9" x14ac:dyDescent="0.35">
      <c r="B621" s="145"/>
      <c r="C621" s="14"/>
      <c r="D621" s="15"/>
      <c r="E621" s="18"/>
      <c r="F621" s="26"/>
      <c r="G621" s="17"/>
      <c r="H621" s="17"/>
      <c r="I621" s="164"/>
    </row>
    <row r="622" spans="2:9" x14ac:dyDescent="0.35">
      <c r="B622" s="145"/>
      <c r="C622" s="14"/>
      <c r="D622" s="15"/>
      <c r="E622" s="18"/>
      <c r="F622" s="26"/>
      <c r="G622" s="17"/>
      <c r="H622" s="17"/>
      <c r="I622" s="164"/>
    </row>
    <row r="623" spans="2:9" x14ac:dyDescent="0.35">
      <c r="B623" s="145"/>
      <c r="C623" s="14"/>
      <c r="D623" s="15"/>
      <c r="E623" s="18"/>
      <c r="F623" s="26"/>
      <c r="G623" s="17"/>
      <c r="H623" s="17"/>
      <c r="I623" s="164"/>
    </row>
    <row r="624" spans="2:9" x14ac:dyDescent="0.35">
      <c r="B624" s="145"/>
      <c r="C624" s="14"/>
      <c r="D624" s="15"/>
      <c r="E624" s="18"/>
      <c r="F624" s="26"/>
      <c r="G624" s="17"/>
      <c r="H624" s="17"/>
      <c r="I624" s="164"/>
    </row>
    <row r="625" spans="2:9" x14ac:dyDescent="0.35">
      <c r="B625" s="145"/>
      <c r="C625" s="14"/>
      <c r="D625" s="15"/>
      <c r="E625" s="18"/>
      <c r="F625" s="26"/>
      <c r="G625" s="17"/>
      <c r="H625" s="17"/>
      <c r="I625" s="164"/>
    </row>
    <row r="626" spans="2:9" x14ac:dyDescent="0.35">
      <c r="B626" s="145"/>
      <c r="C626" s="14"/>
      <c r="D626" s="15"/>
      <c r="E626" s="18"/>
      <c r="F626" s="26"/>
      <c r="G626" s="17"/>
      <c r="H626" s="17"/>
      <c r="I626" s="164"/>
    </row>
    <row r="627" spans="2:9" x14ac:dyDescent="0.35">
      <c r="B627" s="145"/>
      <c r="C627" s="14"/>
      <c r="D627" s="15"/>
      <c r="E627" s="18"/>
      <c r="F627" s="26"/>
      <c r="G627" s="17"/>
      <c r="H627" s="17"/>
      <c r="I627" s="164"/>
    </row>
    <row r="628" spans="2:9" x14ac:dyDescent="0.35">
      <c r="B628" s="145"/>
      <c r="C628" s="14"/>
      <c r="D628" s="15"/>
      <c r="E628" s="18"/>
      <c r="F628" s="26"/>
      <c r="G628" s="17"/>
      <c r="H628" s="17"/>
      <c r="I628" s="164"/>
    </row>
    <row r="629" spans="2:9" x14ac:dyDescent="0.35">
      <c r="B629" s="145"/>
      <c r="C629" s="14"/>
      <c r="D629" s="15"/>
      <c r="E629" s="18"/>
      <c r="F629" s="26"/>
      <c r="G629" s="17"/>
      <c r="H629" s="17"/>
      <c r="I629" s="164"/>
    </row>
    <row r="630" spans="2:9" x14ac:dyDescent="0.35">
      <c r="B630" s="145"/>
      <c r="C630" s="14"/>
      <c r="D630" s="15"/>
      <c r="E630" s="18"/>
      <c r="F630" s="26"/>
      <c r="G630" s="17"/>
      <c r="H630" s="17"/>
      <c r="I630" s="164"/>
    </row>
    <row r="631" spans="2:9" x14ac:dyDescent="0.35">
      <c r="B631" s="145"/>
      <c r="C631" s="14"/>
      <c r="D631" s="15"/>
      <c r="E631" s="18"/>
      <c r="F631" s="26"/>
      <c r="G631" s="17"/>
      <c r="H631" s="17"/>
      <c r="I631" s="164"/>
    </row>
    <row r="632" spans="2:9" x14ac:dyDescent="0.35">
      <c r="B632" s="145"/>
      <c r="C632" s="14"/>
      <c r="D632" s="15"/>
      <c r="E632" s="18"/>
      <c r="F632" s="26"/>
      <c r="G632" s="17"/>
      <c r="H632" s="17"/>
      <c r="I632" s="164"/>
    </row>
    <row r="633" spans="2:9" x14ac:dyDescent="0.35">
      <c r="B633" s="145"/>
      <c r="C633" s="14"/>
      <c r="D633" s="15"/>
      <c r="E633" s="18"/>
      <c r="F633" s="26"/>
      <c r="G633" s="17"/>
      <c r="H633" s="17"/>
      <c r="I633" s="164"/>
    </row>
    <row r="634" spans="2:9" x14ac:dyDescent="0.35">
      <c r="B634" s="145"/>
      <c r="C634" s="14"/>
      <c r="D634" s="15"/>
      <c r="E634" s="18"/>
      <c r="F634" s="26"/>
      <c r="G634" s="17"/>
      <c r="H634" s="17"/>
      <c r="I634" s="164"/>
    </row>
    <row r="635" spans="2:9" x14ac:dyDescent="0.35">
      <c r="B635" s="145"/>
      <c r="C635" s="14"/>
      <c r="D635" s="15"/>
      <c r="E635" s="18"/>
      <c r="F635" s="26"/>
      <c r="G635" s="17"/>
      <c r="H635" s="17"/>
      <c r="I635" s="164"/>
    </row>
    <row r="636" spans="2:9" x14ac:dyDescent="0.35">
      <c r="B636" s="145"/>
      <c r="C636" s="14"/>
      <c r="D636" s="15"/>
      <c r="E636" s="18"/>
      <c r="F636" s="26"/>
      <c r="G636" s="17"/>
      <c r="H636" s="17"/>
      <c r="I636" s="164"/>
    </row>
    <row r="637" spans="2:9" x14ac:dyDescent="0.35">
      <c r="B637" s="145"/>
      <c r="C637" s="14"/>
      <c r="D637" s="15"/>
      <c r="E637" s="18"/>
      <c r="F637" s="26"/>
      <c r="G637" s="17"/>
      <c r="H637" s="17"/>
      <c r="I637" s="164"/>
    </row>
    <row r="638" spans="2:9" x14ac:dyDescent="0.35">
      <c r="B638" s="145"/>
      <c r="C638" s="14"/>
      <c r="D638" s="15"/>
      <c r="E638" s="18"/>
      <c r="F638" s="26"/>
      <c r="G638" s="17"/>
      <c r="H638" s="17"/>
      <c r="I638" s="164"/>
    </row>
    <row r="639" spans="2:9" x14ac:dyDescent="0.35">
      <c r="B639" s="145"/>
      <c r="C639" s="14"/>
      <c r="D639" s="15"/>
      <c r="E639" s="18"/>
      <c r="F639" s="26"/>
      <c r="G639" s="17"/>
      <c r="H639" s="17"/>
      <c r="I639" s="164"/>
    </row>
    <row r="640" spans="2:9" x14ac:dyDescent="0.35">
      <c r="B640" s="145"/>
      <c r="C640" s="14"/>
      <c r="D640" s="15"/>
      <c r="E640" s="18"/>
      <c r="F640" s="26"/>
      <c r="G640" s="17"/>
      <c r="H640" s="17"/>
      <c r="I640" s="164"/>
    </row>
    <row r="641" spans="2:9" x14ac:dyDescent="0.35">
      <c r="B641" s="145"/>
      <c r="C641" s="14"/>
      <c r="D641" s="15"/>
      <c r="E641" s="18"/>
      <c r="F641" s="26"/>
      <c r="G641" s="17"/>
      <c r="H641" s="17"/>
      <c r="I641" s="164"/>
    </row>
    <row r="642" spans="2:9" x14ac:dyDescent="0.35">
      <c r="B642" s="145"/>
      <c r="C642" s="14"/>
      <c r="D642" s="15"/>
      <c r="E642" s="18"/>
      <c r="F642" s="26"/>
      <c r="G642" s="17"/>
      <c r="H642" s="17"/>
      <c r="I642" s="164"/>
    </row>
    <row r="643" spans="2:9" x14ac:dyDescent="0.35">
      <c r="B643" s="145"/>
      <c r="C643" s="14"/>
      <c r="D643" s="15"/>
      <c r="E643" s="18"/>
      <c r="F643" s="26"/>
      <c r="G643" s="17"/>
      <c r="H643" s="17"/>
      <c r="I643" s="164"/>
    </row>
    <row r="644" spans="2:9" x14ac:dyDescent="0.35">
      <c r="B644" s="145"/>
      <c r="C644" s="14"/>
      <c r="D644" s="15"/>
      <c r="E644" s="18"/>
      <c r="F644" s="26"/>
      <c r="G644" s="17"/>
      <c r="H644" s="17"/>
      <c r="I644" s="164"/>
    </row>
    <row r="645" spans="2:9" x14ac:dyDescent="0.35">
      <c r="B645" s="145"/>
      <c r="C645" s="14"/>
      <c r="D645" s="15"/>
      <c r="E645" s="18"/>
      <c r="F645" s="26"/>
      <c r="G645" s="17"/>
      <c r="H645" s="17"/>
      <c r="I645" s="164"/>
    </row>
    <row r="646" spans="2:9" x14ac:dyDescent="0.35">
      <c r="B646" s="145"/>
      <c r="C646" s="14"/>
      <c r="D646" s="15"/>
      <c r="E646" s="18"/>
      <c r="F646" s="26"/>
      <c r="G646" s="17"/>
      <c r="H646" s="17"/>
      <c r="I646" s="164"/>
    </row>
    <row r="647" spans="2:9" x14ac:dyDescent="0.35">
      <c r="B647" s="145"/>
      <c r="C647" s="14"/>
      <c r="D647" s="15"/>
      <c r="E647" s="18"/>
      <c r="F647" s="26"/>
      <c r="G647" s="17"/>
      <c r="H647" s="17"/>
      <c r="I647" s="164"/>
    </row>
    <row r="648" spans="2:9" x14ac:dyDescent="0.35">
      <c r="B648" s="145"/>
      <c r="C648" s="14"/>
      <c r="D648" s="15"/>
      <c r="E648" s="18"/>
      <c r="F648" s="26"/>
      <c r="G648" s="17"/>
      <c r="H648" s="17"/>
      <c r="I648" s="164"/>
    </row>
    <row r="649" spans="2:9" x14ac:dyDescent="0.35">
      <c r="B649" s="145"/>
      <c r="C649" s="14"/>
      <c r="D649" s="15"/>
      <c r="E649" s="18"/>
      <c r="F649" s="26"/>
      <c r="G649" s="17"/>
      <c r="H649" s="17"/>
      <c r="I649" s="164"/>
    </row>
    <row r="650" spans="2:9" x14ac:dyDescent="0.35">
      <c r="B650" s="145"/>
      <c r="C650" s="14"/>
      <c r="D650" s="15"/>
      <c r="E650" s="18"/>
      <c r="F650" s="26"/>
      <c r="G650" s="17"/>
      <c r="H650" s="17"/>
      <c r="I650" s="164"/>
    </row>
    <row r="651" spans="2:9" x14ac:dyDescent="0.35">
      <c r="B651" s="145"/>
      <c r="C651" s="14"/>
      <c r="D651" s="15"/>
      <c r="E651" s="18"/>
      <c r="F651" s="26"/>
      <c r="G651" s="17"/>
      <c r="H651" s="17"/>
      <c r="I651" s="164"/>
    </row>
    <row r="652" spans="2:9" x14ac:dyDescent="0.35">
      <c r="B652" s="145"/>
      <c r="C652" s="14"/>
      <c r="D652" s="15"/>
      <c r="E652" s="18"/>
      <c r="F652" s="26"/>
      <c r="G652" s="17"/>
      <c r="H652" s="17"/>
      <c r="I652" s="164"/>
    </row>
    <row r="653" spans="2:9" x14ac:dyDescent="0.35">
      <c r="B653" s="145"/>
      <c r="C653" s="14"/>
      <c r="D653" s="15"/>
      <c r="E653" s="18"/>
      <c r="F653" s="26"/>
      <c r="G653" s="17"/>
      <c r="H653" s="17"/>
      <c r="I653" s="164"/>
    </row>
    <row r="654" spans="2:9" x14ac:dyDescent="0.35">
      <c r="B654" s="145"/>
      <c r="C654" s="14"/>
      <c r="D654" s="15"/>
      <c r="E654" s="18"/>
      <c r="F654" s="26"/>
      <c r="G654" s="17"/>
      <c r="H654" s="17"/>
      <c r="I654" s="164"/>
    </row>
    <row r="655" spans="2:9" x14ac:dyDescent="0.35">
      <c r="B655" s="145"/>
      <c r="C655" s="14"/>
      <c r="D655" s="15"/>
      <c r="E655" s="18"/>
      <c r="F655" s="26"/>
      <c r="G655" s="17"/>
      <c r="H655" s="17"/>
      <c r="I655" s="164"/>
    </row>
    <row r="656" spans="2:9" x14ac:dyDescent="0.35">
      <c r="B656" s="145"/>
      <c r="C656" s="14"/>
      <c r="D656" s="15"/>
      <c r="E656" s="18"/>
      <c r="F656" s="26"/>
      <c r="G656" s="17"/>
      <c r="H656" s="17"/>
      <c r="I656" s="164"/>
    </row>
    <row r="657" spans="2:9" x14ac:dyDescent="0.35">
      <c r="B657" s="145"/>
      <c r="C657" s="14"/>
      <c r="D657" s="15"/>
      <c r="E657" s="18"/>
      <c r="F657" s="26"/>
      <c r="G657" s="17"/>
      <c r="H657" s="17"/>
      <c r="I657" s="164"/>
    </row>
    <row r="658" spans="2:9" x14ac:dyDescent="0.35">
      <c r="B658" s="145"/>
      <c r="C658" s="14"/>
      <c r="D658" s="15"/>
      <c r="E658" s="18"/>
      <c r="F658" s="26"/>
      <c r="G658" s="17"/>
      <c r="H658" s="17"/>
      <c r="I658" s="164"/>
    </row>
    <row r="659" spans="2:9" x14ac:dyDescent="0.35">
      <c r="B659" s="145"/>
      <c r="C659" s="14"/>
      <c r="D659" s="15"/>
      <c r="E659" s="18"/>
      <c r="F659" s="26"/>
      <c r="G659" s="17"/>
      <c r="H659" s="17"/>
      <c r="I659" s="164"/>
    </row>
    <row r="660" spans="2:9" x14ac:dyDescent="0.35">
      <c r="B660" s="145"/>
      <c r="C660" s="14"/>
      <c r="D660" s="15"/>
      <c r="E660" s="18"/>
      <c r="F660" s="26"/>
      <c r="G660" s="17"/>
      <c r="H660" s="17"/>
      <c r="I660" s="164"/>
    </row>
    <row r="661" spans="2:9" x14ac:dyDescent="0.35">
      <c r="B661" s="145"/>
      <c r="C661" s="14"/>
      <c r="D661" s="15"/>
      <c r="E661" s="18"/>
      <c r="F661" s="26"/>
      <c r="G661" s="17"/>
      <c r="H661" s="17"/>
      <c r="I661" s="164"/>
    </row>
    <row r="662" spans="2:9" x14ac:dyDescent="0.35">
      <c r="B662" s="145"/>
      <c r="C662" s="14"/>
      <c r="D662" s="15"/>
      <c r="E662" s="18"/>
      <c r="F662" s="26"/>
      <c r="G662" s="17"/>
      <c r="H662" s="17"/>
      <c r="I662" s="164"/>
    </row>
    <row r="663" spans="2:9" x14ac:dyDescent="0.35">
      <c r="B663" s="145"/>
      <c r="C663" s="14"/>
      <c r="D663" s="15"/>
      <c r="E663" s="18"/>
      <c r="F663" s="26"/>
      <c r="G663" s="17"/>
      <c r="H663" s="17"/>
      <c r="I663" s="164"/>
    </row>
    <row r="664" spans="2:9" x14ac:dyDescent="0.35">
      <c r="B664" s="145"/>
      <c r="C664" s="14"/>
      <c r="D664" s="15"/>
      <c r="E664" s="18"/>
      <c r="F664" s="26"/>
      <c r="G664" s="17"/>
      <c r="H664" s="17"/>
      <c r="I664" s="164"/>
    </row>
    <row r="665" spans="2:9" x14ac:dyDescent="0.35">
      <c r="B665" s="145"/>
      <c r="C665" s="14"/>
      <c r="D665" s="15"/>
      <c r="E665" s="18"/>
      <c r="F665" s="26"/>
      <c r="G665" s="17"/>
      <c r="H665" s="17"/>
      <c r="I665" s="164"/>
    </row>
    <row r="666" spans="2:9" x14ac:dyDescent="0.35">
      <c r="B666" s="145"/>
      <c r="C666" s="14"/>
      <c r="D666" s="15"/>
      <c r="E666" s="18"/>
      <c r="F666" s="26"/>
      <c r="G666" s="17"/>
      <c r="H666" s="17"/>
      <c r="I666" s="164"/>
    </row>
    <row r="667" spans="2:9" x14ac:dyDescent="0.35">
      <c r="B667" s="145"/>
      <c r="C667" s="14"/>
      <c r="D667" s="15"/>
      <c r="E667" s="18"/>
      <c r="F667" s="26"/>
      <c r="G667" s="17"/>
      <c r="H667" s="17"/>
      <c r="I667" s="164"/>
    </row>
    <row r="668" spans="2:9" x14ac:dyDescent="0.35">
      <c r="B668" s="145"/>
      <c r="C668" s="14"/>
      <c r="D668" s="15"/>
      <c r="E668" s="18"/>
      <c r="F668" s="26"/>
      <c r="G668" s="17"/>
      <c r="H668" s="17"/>
      <c r="I668" s="164"/>
    </row>
    <row r="669" spans="2:9" x14ac:dyDescent="0.35">
      <c r="B669" s="145"/>
      <c r="C669" s="14"/>
      <c r="D669" s="15"/>
      <c r="E669" s="18"/>
      <c r="F669" s="26"/>
      <c r="G669" s="17"/>
      <c r="H669" s="17"/>
      <c r="I669" s="164"/>
    </row>
    <row r="670" spans="2:9" x14ac:dyDescent="0.35">
      <c r="B670" s="145"/>
      <c r="C670" s="14"/>
      <c r="D670" s="15"/>
      <c r="E670" s="18"/>
      <c r="F670" s="26"/>
      <c r="G670" s="17"/>
      <c r="H670" s="17"/>
      <c r="I670" s="164"/>
    </row>
    <row r="671" spans="2:9" x14ac:dyDescent="0.35">
      <c r="B671" s="145"/>
      <c r="C671" s="14"/>
      <c r="D671" s="15"/>
      <c r="E671" s="18"/>
      <c r="F671" s="26"/>
      <c r="G671" s="17"/>
      <c r="H671" s="17"/>
      <c r="I671" s="164"/>
    </row>
    <row r="672" spans="2:9" x14ac:dyDescent="0.35">
      <c r="B672" s="145"/>
      <c r="C672" s="14"/>
      <c r="D672" s="15"/>
      <c r="E672" s="18"/>
      <c r="F672" s="26"/>
      <c r="G672" s="17"/>
      <c r="H672" s="17"/>
      <c r="I672" s="164"/>
    </row>
    <row r="673" spans="2:9" x14ac:dyDescent="0.35">
      <c r="B673" s="145"/>
      <c r="C673" s="14"/>
      <c r="D673" s="15"/>
      <c r="E673" s="18"/>
      <c r="F673" s="26"/>
      <c r="G673" s="17"/>
      <c r="H673" s="17"/>
      <c r="I673" s="164"/>
    </row>
    <row r="674" spans="2:9" x14ac:dyDescent="0.35">
      <c r="B674" s="145"/>
      <c r="C674" s="14"/>
      <c r="D674" s="15"/>
      <c r="E674" s="18"/>
      <c r="F674" s="26"/>
      <c r="G674" s="17"/>
      <c r="H674" s="17"/>
      <c r="I674" s="164"/>
    </row>
    <row r="675" spans="2:9" x14ac:dyDescent="0.35">
      <c r="B675" s="145"/>
      <c r="C675" s="14"/>
      <c r="D675" s="15"/>
      <c r="E675" s="18"/>
      <c r="F675" s="26"/>
      <c r="G675" s="17"/>
      <c r="H675" s="17"/>
      <c r="I675" s="164"/>
    </row>
    <row r="676" spans="2:9" x14ac:dyDescent="0.35">
      <c r="B676" s="145"/>
      <c r="C676" s="14"/>
      <c r="D676" s="15"/>
      <c r="E676" s="18"/>
      <c r="F676" s="26"/>
      <c r="G676" s="17"/>
      <c r="H676" s="17"/>
      <c r="I676" s="164"/>
    </row>
    <row r="677" spans="2:9" x14ac:dyDescent="0.35">
      <c r="B677" s="145"/>
      <c r="C677" s="14"/>
      <c r="D677" s="15"/>
      <c r="E677" s="18"/>
      <c r="F677" s="26"/>
      <c r="G677" s="17"/>
      <c r="H677" s="17"/>
      <c r="I677" s="164"/>
    </row>
    <row r="678" spans="2:9" x14ac:dyDescent="0.35">
      <c r="B678" s="145"/>
      <c r="C678" s="14"/>
      <c r="D678" s="15"/>
      <c r="E678" s="18"/>
      <c r="F678" s="26"/>
      <c r="G678" s="17"/>
      <c r="H678" s="17"/>
      <c r="I678" s="164"/>
    </row>
    <row r="679" spans="2:9" x14ac:dyDescent="0.35">
      <c r="B679" s="145"/>
      <c r="C679" s="14"/>
      <c r="D679" s="15"/>
      <c r="E679" s="18"/>
      <c r="F679" s="26"/>
      <c r="G679" s="17"/>
      <c r="H679" s="17"/>
      <c r="I679" s="164"/>
    </row>
    <row r="680" spans="2:9" x14ac:dyDescent="0.35">
      <c r="B680" s="145"/>
      <c r="C680" s="14"/>
      <c r="D680" s="15"/>
      <c r="E680" s="18"/>
      <c r="F680" s="26"/>
      <c r="G680" s="17"/>
      <c r="H680" s="17"/>
      <c r="I680" s="164"/>
    </row>
    <row r="681" spans="2:9" x14ac:dyDescent="0.35">
      <c r="B681" s="145"/>
      <c r="C681" s="14"/>
      <c r="D681" s="15"/>
      <c r="E681" s="18"/>
      <c r="F681" s="26"/>
      <c r="G681" s="17"/>
      <c r="H681" s="17"/>
      <c r="I681" s="164"/>
    </row>
    <row r="682" spans="2:9" x14ac:dyDescent="0.35">
      <c r="B682" s="145"/>
      <c r="C682" s="14"/>
      <c r="D682" s="15"/>
      <c r="E682" s="18"/>
      <c r="F682" s="26"/>
      <c r="G682" s="17"/>
      <c r="H682" s="17"/>
      <c r="I682" s="164"/>
    </row>
    <row r="683" spans="2:9" x14ac:dyDescent="0.35">
      <c r="B683" s="145"/>
      <c r="C683" s="14"/>
      <c r="D683" s="15"/>
      <c r="E683" s="18"/>
      <c r="F683" s="26"/>
      <c r="G683" s="17"/>
      <c r="H683" s="17"/>
      <c r="I683" s="164"/>
    </row>
    <row r="684" spans="2:9" x14ac:dyDescent="0.35">
      <c r="B684" s="145"/>
      <c r="C684" s="14"/>
      <c r="D684" s="15"/>
      <c r="E684" s="18"/>
      <c r="F684" s="26"/>
      <c r="G684" s="17"/>
      <c r="H684" s="17"/>
      <c r="I684" s="164"/>
    </row>
    <row r="685" spans="2:9" x14ac:dyDescent="0.35">
      <c r="B685" s="145"/>
      <c r="C685" s="14"/>
      <c r="D685" s="15"/>
      <c r="E685" s="18"/>
      <c r="F685" s="26"/>
      <c r="G685" s="17"/>
      <c r="H685" s="17"/>
      <c r="I685" s="164"/>
    </row>
    <row r="686" spans="2:9" x14ac:dyDescent="0.35">
      <c r="B686" s="145"/>
      <c r="C686" s="14"/>
      <c r="D686" s="15"/>
      <c r="E686" s="18"/>
      <c r="F686" s="26"/>
      <c r="G686" s="17"/>
      <c r="H686" s="17"/>
      <c r="I686" s="164"/>
    </row>
    <row r="687" spans="2:9" x14ac:dyDescent="0.35">
      <c r="B687" s="145"/>
      <c r="C687" s="14"/>
      <c r="D687" s="15"/>
      <c r="E687" s="18"/>
      <c r="F687" s="26"/>
      <c r="G687" s="17"/>
      <c r="H687" s="17"/>
      <c r="I687" s="164"/>
    </row>
    <row r="688" spans="2:9" x14ac:dyDescent="0.35">
      <c r="B688" s="145"/>
      <c r="C688" s="14"/>
      <c r="D688" s="15"/>
      <c r="E688" s="18"/>
      <c r="F688" s="26"/>
      <c r="G688" s="17"/>
      <c r="H688" s="17"/>
      <c r="I688" s="164"/>
    </row>
    <row r="689" spans="2:9" x14ac:dyDescent="0.35">
      <c r="B689" s="145"/>
      <c r="C689" s="14"/>
      <c r="D689" s="15"/>
      <c r="E689" s="18"/>
      <c r="F689" s="26"/>
      <c r="G689" s="17"/>
      <c r="H689" s="17"/>
      <c r="I689" s="164"/>
    </row>
    <row r="690" spans="2:9" x14ac:dyDescent="0.35">
      <c r="B690" s="145"/>
      <c r="C690" s="14"/>
      <c r="D690" s="15"/>
      <c r="E690" s="18"/>
      <c r="F690" s="26"/>
      <c r="G690" s="17"/>
      <c r="H690" s="17"/>
      <c r="I690" s="164"/>
    </row>
    <row r="691" spans="2:9" x14ac:dyDescent="0.35">
      <c r="B691" s="145"/>
      <c r="C691" s="14"/>
      <c r="D691" s="15"/>
      <c r="E691" s="18"/>
      <c r="F691" s="26"/>
      <c r="G691" s="17"/>
      <c r="H691" s="17"/>
      <c r="I691" s="164"/>
    </row>
    <row r="692" spans="2:9" x14ac:dyDescent="0.35">
      <c r="B692" s="145"/>
      <c r="C692" s="14"/>
      <c r="D692" s="15"/>
      <c r="E692" s="18"/>
      <c r="F692" s="26"/>
      <c r="G692" s="17"/>
      <c r="H692" s="17"/>
      <c r="I692" s="164"/>
    </row>
    <row r="693" spans="2:9" x14ac:dyDescent="0.35">
      <c r="B693" s="145"/>
      <c r="C693" s="14"/>
      <c r="D693" s="15"/>
      <c r="E693" s="18"/>
      <c r="F693" s="26"/>
      <c r="G693" s="17"/>
      <c r="H693" s="17"/>
      <c r="I693" s="164"/>
    </row>
    <row r="694" spans="2:9" x14ac:dyDescent="0.35">
      <c r="B694" s="145"/>
      <c r="C694" s="14"/>
      <c r="D694" s="15"/>
      <c r="E694" s="18"/>
      <c r="F694" s="26"/>
      <c r="G694" s="17"/>
      <c r="H694" s="17"/>
      <c r="I694" s="164"/>
    </row>
    <row r="695" spans="2:9" x14ac:dyDescent="0.35">
      <c r="B695" s="145"/>
      <c r="C695" s="14"/>
      <c r="D695" s="15"/>
      <c r="E695" s="18"/>
      <c r="F695" s="26"/>
      <c r="G695" s="17"/>
      <c r="H695" s="17"/>
      <c r="I695" s="164"/>
    </row>
    <row r="696" spans="2:9" x14ac:dyDescent="0.35">
      <c r="B696" s="145"/>
      <c r="C696" s="14"/>
      <c r="D696" s="15"/>
      <c r="E696" s="18"/>
      <c r="F696" s="26"/>
      <c r="G696" s="17"/>
      <c r="H696" s="17"/>
      <c r="I696" s="164"/>
    </row>
    <row r="697" spans="2:9" x14ac:dyDescent="0.35">
      <c r="B697" s="145"/>
      <c r="C697" s="14"/>
      <c r="D697" s="15"/>
      <c r="E697" s="18"/>
      <c r="F697" s="26"/>
      <c r="G697" s="17"/>
      <c r="H697" s="17"/>
      <c r="I697" s="164"/>
    </row>
    <row r="698" spans="2:9" x14ac:dyDescent="0.35">
      <c r="B698" s="145"/>
      <c r="C698" s="14"/>
      <c r="D698" s="15"/>
      <c r="E698" s="18"/>
      <c r="F698" s="26"/>
      <c r="G698" s="17"/>
      <c r="H698" s="17"/>
      <c r="I698" s="164"/>
    </row>
    <row r="699" spans="2:9" x14ac:dyDescent="0.35">
      <c r="B699" s="145"/>
      <c r="C699" s="14"/>
      <c r="D699" s="15"/>
      <c r="E699" s="18"/>
      <c r="F699" s="26"/>
      <c r="G699" s="17"/>
      <c r="H699" s="17"/>
      <c r="I699" s="164"/>
    </row>
    <row r="700" spans="2:9" x14ac:dyDescent="0.35">
      <c r="B700" s="145"/>
      <c r="C700" s="14"/>
      <c r="D700" s="15"/>
      <c r="E700" s="18"/>
      <c r="F700" s="26"/>
      <c r="G700" s="17"/>
      <c r="H700" s="17"/>
      <c r="I700" s="164"/>
    </row>
    <row r="701" spans="2:9" x14ac:dyDescent="0.35">
      <c r="B701" s="145"/>
      <c r="C701" s="14"/>
      <c r="D701" s="15"/>
      <c r="E701" s="18"/>
      <c r="F701" s="26"/>
      <c r="G701" s="17"/>
      <c r="H701" s="17"/>
      <c r="I701" s="164"/>
    </row>
    <row r="702" spans="2:9" x14ac:dyDescent="0.35">
      <c r="B702" s="145"/>
      <c r="C702" s="14"/>
      <c r="D702" s="15"/>
      <c r="E702" s="18"/>
      <c r="F702" s="26"/>
      <c r="G702" s="17"/>
      <c r="H702" s="17"/>
      <c r="I702" s="164"/>
    </row>
    <row r="703" spans="2:9" x14ac:dyDescent="0.35">
      <c r="B703" s="145"/>
      <c r="C703" s="14"/>
      <c r="D703" s="15"/>
      <c r="E703" s="18"/>
      <c r="F703" s="26"/>
      <c r="G703" s="17"/>
      <c r="H703" s="17"/>
      <c r="I703" s="164"/>
    </row>
    <row r="704" spans="2:9" x14ac:dyDescent="0.35">
      <c r="B704" s="145"/>
      <c r="C704" s="14"/>
      <c r="D704" s="15"/>
      <c r="E704" s="18"/>
      <c r="F704" s="26"/>
      <c r="G704" s="17"/>
      <c r="H704" s="17"/>
      <c r="I704" s="164"/>
    </row>
    <row r="705" spans="2:9" x14ac:dyDescent="0.35">
      <c r="B705" s="145"/>
      <c r="C705" s="14"/>
      <c r="D705" s="15"/>
      <c r="E705" s="18"/>
      <c r="F705" s="26"/>
      <c r="G705" s="17"/>
      <c r="H705" s="17"/>
      <c r="I705" s="164"/>
    </row>
    <row r="706" spans="2:9" x14ac:dyDescent="0.35">
      <c r="B706" s="145"/>
      <c r="C706" s="14"/>
      <c r="D706" s="15"/>
      <c r="E706" s="18"/>
      <c r="F706" s="26"/>
      <c r="G706" s="17"/>
      <c r="H706" s="17"/>
      <c r="I706" s="164"/>
    </row>
    <row r="707" spans="2:9" x14ac:dyDescent="0.35">
      <c r="B707" s="145"/>
      <c r="C707" s="14"/>
      <c r="D707" s="15"/>
      <c r="E707" s="18"/>
      <c r="F707" s="26"/>
      <c r="G707" s="17"/>
      <c r="H707" s="17"/>
      <c r="I707" s="164"/>
    </row>
    <row r="708" spans="2:9" x14ac:dyDescent="0.35">
      <c r="B708" s="145"/>
      <c r="C708" s="14"/>
      <c r="D708" s="15"/>
      <c r="E708" s="18"/>
      <c r="F708" s="26"/>
      <c r="G708" s="17"/>
      <c r="H708" s="17"/>
      <c r="I708" s="164"/>
    </row>
    <row r="709" spans="2:9" x14ac:dyDescent="0.35">
      <c r="B709" s="145"/>
      <c r="C709" s="14"/>
      <c r="D709" s="15"/>
      <c r="E709" s="18"/>
      <c r="F709" s="26"/>
      <c r="G709" s="17"/>
      <c r="H709" s="17"/>
      <c r="I709" s="164"/>
    </row>
    <row r="710" spans="2:9" x14ac:dyDescent="0.35">
      <c r="B710" s="145"/>
      <c r="C710" s="14"/>
      <c r="D710" s="15"/>
      <c r="E710" s="18"/>
      <c r="F710" s="26"/>
      <c r="G710" s="17"/>
      <c r="H710" s="17"/>
      <c r="I710" s="164"/>
    </row>
    <row r="711" spans="2:9" x14ac:dyDescent="0.35">
      <c r="B711" s="145"/>
      <c r="C711" s="14"/>
      <c r="D711" s="15"/>
      <c r="E711" s="18"/>
      <c r="F711" s="26"/>
      <c r="G711" s="17"/>
      <c r="H711" s="17"/>
      <c r="I711" s="164"/>
    </row>
    <row r="712" spans="2:9" x14ac:dyDescent="0.35">
      <c r="B712" s="145"/>
      <c r="C712" s="14"/>
      <c r="D712" s="15"/>
      <c r="E712" s="18"/>
      <c r="F712" s="26"/>
      <c r="G712" s="17"/>
      <c r="H712" s="17"/>
      <c r="I712" s="164"/>
    </row>
    <row r="713" spans="2:9" x14ac:dyDescent="0.35">
      <c r="B713" s="145"/>
      <c r="C713" s="14"/>
      <c r="D713" s="15"/>
      <c r="E713" s="18"/>
      <c r="F713" s="26"/>
      <c r="G713" s="17"/>
      <c r="H713" s="17"/>
      <c r="I713" s="164"/>
    </row>
    <row r="714" spans="2:9" x14ac:dyDescent="0.35">
      <c r="B714" s="145"/>
      <c r="C714" s="14"/>
      <c r="D714" s="15"/>
      <c r="E714" s="18"/>
      <c r="F714" s="26"/>
      <c r="G714" s="17"/>
      <c r="H714" s="17"/>
      <c r="I714" s="164"/>
    </row>
    <row r="715" spans="2:9" x14ac:dyDescent="0.35">
      <c r="B715" s="145"/>
      <c r="C715" s="14"/>
      <c r="D715" s="15"/>
      <c r="E715" s="18"/>
      <c r="F715" s="26"/>
      <c r="G715" s="17"/>
      <c r="H715" s="17"/>
      <c r="I715" s="164"/>
    </row>
    <row r="716" spans="2:9" x14ac:dyDescent="0.35">
      <c r="B716" s="145"/>
      <c r="C716" s="14"/>
      <c r="D716" s="15"/>
      <c r="E716" s="18"/>
      <c r="F716" s="26"/>
      <c r="G716" s="17"/>
      <c r="H716" s="17"/>
      <c r="I716" s="164"/>
    </row>
    <row r="717" spans="2:9" x14ac:dyDescent="0.35">
      <c r="B717" s="145"/>
      <c r="C717" s="14"/>
      <c r="D717" s="15"/>
      <c r="E717" s="18"/>
      <c r="F717" s="26"/>
      <c r="G717" s="17"/>
      <c r="H717" s="17"/>
      <c r="I717" s="164"/>
    </row>
    <row r="718" spans="2:9" x14ac:dyDescent="0.35">
      <c r="B718" s="145"/>
      <c r="C718" s="14"/>
      <c r="D718" s="15"/>
      <c r="E718" s="18"/>
      <c r="F718" s="26"/>
      <c r="G718" s="17"/>
      <c r="H718" s="17"/>
      <c r="I718" s="164"/>
    </row>
    <row r="719" spans="2:9" x14ac:dyDescent="0.35">
      <c r="B719" s="145"/>
      <c r="C719" s="14"/>
      <c r="D719" s="15"/>
      <c r="E719" s="18"/>
      <c r="F719" s="26"/>
      <c r="G719" s="17"/>
      <c r="H719" s="17"/>
      <c r="I719" s="164"/>
    </row>
    <row r="720" spans="2:9" x14ac:dyDescent="0.35">
      <c r="B720" s="145"/>
      <c r="C720" s="14"/>
      <c r="D720" s="15"/>
      <c r="E720" s="18"/>
      <c r="F720" s="26"/>
      <c r="G720" s="17"/>
      <c r="H720" s="17"/>
      <c r="I720" s="164"/>
    </row>
    <row r="721" spans="2:9" x14ac:dyDescent="0.35">
      <c r="B721" s="145"/>
      <c r="C721" s="14"/>
      <c r="D721" s="15"/>
      <c r="E721" s="18"/>
      <c r="F721" s="26"/>
      <c r="G721" s="17"/>
      <c r="H721" s="17"/>
      <c r="I721" s="164"/>
    </row>
    <row r="722" spans="2:9" x14ac:dyDescent="0.35">
      <c r="B722" s="145"/>
      <c r="C722" s="14"/>
      <c r="D722" s="15"/>
      <c r="E722" s="18"/>
      <c r="F722" s="26"/>
      <c r="G722" s="17"/>
      <c r="H722" s="17"/>
      <c r="I722" s="164"/>
    </row>
    <row r="723" spans="2:9" x14ac:dyDescent="0.35">
      <c r="B723" s="145"/>
      <c r="C723" s="14"/>
      <c r="D723" s="15"/>
      <c r="E723" s="18"/>
      <c r="F723" s="26"/>
      <c r="G723" s="17"/>
      <c r="H723" s="17"/>
      <c r="I723" s="164"/>
    </row>
    <row r="724" spans="2:9" x14ac:dyDescent="0.35">
      <c r="B724" s="145"/>
      <c r="C724" s="14"/>
      <c r="D724" s="15"/>
      <c r="E724" s="18"/>
      <c r="F724" s="26"/>
      <c r="G724" s="17"/>
      <c r="H724" s="17"/>
      <c r="I724" s="164"/>
    </row>
    <row r="725" spans="2:9" x14ac:dyDescent="0.35">
      <c r="B725" s="145"/>
      <c r="C725" s="14"/>
      <c r="D725" s="15"/>
      <c r="E725" s="18"/>
      <c r="F725" s="26"/>
      <c r="G725" s="17"/>
      <c r="H725" s="17"/>
      <c r="I725" s="164"/>
    </row>
    <row r="726" spans="2:9" x14ac:dyDescent="0.35">
      <c r="B726" s="145"/>
      <c r="C726" s="14"/>
      <c r="D726" s="15"/>
      <c r="E726" s="18"/>
      <c r="F726" s="26"/>
      <c r="G726" s="17"/>
      <c r="H726" s="17"/>
      <c r="I726" s="164"/>
    </row>
    <row r="727" spans="2:9" x14ac:dyDescent="0.35">
      <c r="B727" s="145"/>
      <c r="C727" s="14"/>
      <c r="D727" s="15"/>
      <c r="E727" s="18"/>
      <c r="F727" s="26"/>
      <c r="G727" s="17"/>
      <c r="H727" s="17"/>
      <c r="I727" s="164"/>
    </row>
    <row r="728" spans="2:9" x14ac:dyDescent="0.35">
      <c r="B728" s="145"/>
      <c r="C728" s="14"/>
      <c r="D728" s="15"/>
      <c r="E728" s="18"/>
      <c r="F728" s="26"/>
      <c r="G728" s="17"/>
      <c r="H728" s="17"/>
      <c r="I728" s="164"/>
    </row>
    <row r="729" spans="2:9" x14ac:dyDescent="0.35">
      <c r="B729" s="145"/>
      <c r="C729" s="14"/>
      <c r="D729" s="15"/>
      <c r="E729" s="18"/>
      <c r="F729" s="26"/>
      <c r="G729" s="17"/>
      <c r="H729" s="17"/>
      <c r="I729" s="164"/>
    </row>
    <row r="730" spans="2:9" x14ac:dyDescent="0.35">
      <c r="B730" s="145"/>
      <c r="C730" s="14"/>
      <c r="D730" s="15"/>
      <c r="E730" s="18"/>
      <c r="F730" s="26"/>
      <c r="G730" s="17"/>
      <c r="H730" s="17"/>
      <c r="I730" s="164"/>
    </row>
    <row r="731" spans="2:9" x14ac:dyDescent="0.35">
      <c r="B731" s="145"/>
      <c r="C731" s="14"/>
      <c r="D731" s="15"/>
      <c r="E731" s="18"/>
      <c r="F731" s="26"/>
      <c r="G731" s="17"/>
      <c r="H731" s="17"/>
      <c r="I731" s="164"/>
    </row>
    <row r="732" spans="2:9" x14ac:dyDescent="0.35">
      <c r="B732" s="145"/>
      <c r="C732" s="14"/>
      <c r="D732" s="15"/>
      <c r="E732" s="18"/>
      <c r="F732" s="26"/>
      <c r="G732" s="17"/>
      <c r="H732" s="17"/>
      <c r="I732" s="164"/>
    </row>
    <row r="733" spans="2:9" x14ac:dyDescent="0.35">
      <c r="B733" s="145"/>
      <c r="C733" s="14"/>
      <c r="D733" s="15"/>
      <c r="E733" s="18"/>
      <c r="F733" s="26"/>
      <c r="G733" s="17"/>
      <c r="H733" s="17"/>
      <c r="I733" s="164"/>
    </row>
    <row r="734" spans="2:9" x14ac:dyDescent="0.35">
      <c r="B734" s="145"/>
      <c r="C734" s="14"/>
      <c r="D734" s="15"/>
      <c r="E734" s="18"/>
      <c r="F734" s="26"/>
      <c r="G734" s="17"/>
      <c r="H734" s="17"/>
      <c r="I734" s="164"/>
    </row>
    <row r="735" spans="2:9" x14ac:dyDescent="0.35">
      <c r="B735" s="145"/>
      <c r="C735" s="14"/>
      <c r="D735" s="15"/>
      <c r="E735" s="18"/>
      <c r="F735" s="26"/>
      <c r="G735" s="17"/>
      <c r="H735" s="17"/>
      <c r="I735" s="164"/>
    </row>
    <row r="736" spans="2:9" x14ac:dyDescent="0.35">
      <c r="B736" s="145"/>
      <c r="C736" s="14"/>
      <c r="D736" s="15"/>
      <c r="E736" s="18"/>
      <c r="F736" s="26"/>
      <c r="G736" s="17"/>
      <c r="H736" s="17"/>
      <c r="I736" s="164"/>
    </row>
    <row r="737" spans="2:9" x14ac:dyDescent="0.35">
      <c r="B737" s="145"/>
      <c r="C737" s="14"/>
      <c r="D737" s="15"/>
      <c r="E737" s="18"/>
      <c r="F737" s="26"/>
      <c r="G737" s="17"/>
      <c r="H737" s="17"/>
      <c r="I737" s="164"/>
    </row>
    <row r="738" spans="2:9" x14ac:dyDescent="0.35">
      <c r="B738" s="145"/>
      <c r="C738" s="14"/>
      <c r="D738" s="15"/>
      <c r="E738" s="18"/>
      <c r="F738" s="26"/>
      <c r="G738" s="17"/>
      <c r="H738" s="17"/>
      <c r="I738" s="164"/>
    </row>
    <row r="739" spans="2:9" x14ac:dyDescent="0.35">
      <c r="B739" s="145"/>
      <c r="C739" s="14"/>
      <c r="D739" s="15"/>
      <c r="E739" s="18"/>
      <c r="F739" s="26"/>
      <c r="G739" s="17"/>
      <c r="H739" s="17"/>
      <c r="I739" s="164"/>
    </row>
    <row r="740" spans="2:9" x14ac:dyDescent="0.35">
      <c r="B740" s="145"/>
      <c r="C740" s="14"/>
      <c r="D740" s="15"/>
      <c r="E740" s="18"/>
      <c r="F740" s="26"/>
      <c r="G740" s="17"/>
      <c r="H740" s="17"/>
      <c r="I740" s="164"/>
    </row>
    <row r="741" spans="2:9" x14ac:dyDescent="0.35">
      <c r="B741" s="145"/>
      <c r="C741" s="14"/>
      <c r="D741" s="15"/>
      <c r="E741" s="18"/>
      <c r="F741" s="26"/>
      <c r="G741" s="17"/>
      <c r="H741" s="17"/>
      <c r="I741" s="164"/>
    </row>
    <row r="742" spans="2:9" x14ac:dyDescent="0.35">
      <c r="B742" s="145"/>
      <c r="C742" s="14"/>
      <c r="D742" s="15"/>
      <c r="E742" s="18"/>
      <c r="F742" s="26"/>
      <c r="G742" s="17"/>
      <c r="H742" s="17"/>
      <c r="I742" s="164"/>
    </row>
    <row r="743" spans="2:9" x14ac:dyDescent="0.35">
      <c r="B743" s="145"/>
      <c r="C743" s="14"/>
      <c r="D743" s="15"/>
      <c r="E743" s="18"/>
      <c r="F743" s="26"/>
      <c r="G743" s="17"/>
      <c r="H743" s="17"/>
      <c r="I743" s="164"/>
    </row>
    <row r="744" spans="2:9" x14ac:dyDescent="0.35">
      <c r="B744" s="145"/>
      <c r="C744" s="14"/>
      <c r="D744" s="15"/>
      <c r="E744" s="18"/>
      <c r="F744" s="26"/>
      <c r="G744" s="17"/>
      <c r="H744" s="17"/>
      <c r="I744" s="164"/>
    </row>
    <row r="745" spans="2:9" x14ac:dyDescent="0.35">
      <c r="B745" s="145"/>
      <c r="C745" s="14"/>
      <c r="D745" s="15"/>
      <c r="E745" s="18"/>
      <c r="F745" s="26"/>
      <c r="G745" s="17"/>
      <c r="H745" s="17"/>
      <c r="I745" s="164"/>
    </row>
    <row r="746" spans="2:9" x14ac:dyDescent="0.35">
      <c r="B746" s="145"/>
      <c r="C746" s="14"/>
      <c r="D746" s="15"/>
      <c r="E746" s="18"/>
      <c r="F746" s="26"/>
      <c r="G746" s="17"/>
      <c r="H746" s="17"/>
      <c r="I746" s="164"/>
    </row>
    <row r="747" spans="2:9" x14ac:dyDescent="0.35">
      <c r="B747" s="145"/>
      <c r="C747" s="14"/>
      <c r="D747" s="15"/>
      <c r="E747" s="18"/>
      <c r="F747" s="26"/>
      <c r="G747" s="17"/>
      <c r="H747" s="17"/>
      <c r="I747" s="164"/>
    </row>
    <row r="748" spans="2:9" x14ac:dyDescent="0.35">
      <c r="B748" s="145"/>
      <c r="C748" s="14"/>
      <c r="D748" s="15"/>
      <c r="E748" s="18"/>
      <c r="F748" s="26"/>
      <c r="G748" s="17"/>
      <c r="H748" s="17"/>
      <c r="I748" s="164"/>
    </row>
    <row r="749" spans="2:9" x14ac:dyDescent="0.35">
      <c r="B749" s="145"/>
      <c r="C749" s="14"/>
      <c r="D749" s="15"/>
      <c r="E749" s="18"/>
      <c r="F749" s="26"/>
      <c r="G749" s="17"/>
      <c r="H749" s="17"/>
      <c r="I749" s="164"/>
    </row>
    <row r="750" spans="2:9" x14ac:dyDescent="0.35">
      <c r="B750" s="145"/>
      <c r="C750" s="14"/>
      <c r="D750" s="15"/>
      <c r="E750" s="18"/>
      <c r="F750" s="26"/>
      <c r="G750" s="17"/>
      <c r="H750" s="17"/>
      <c r="I750" s="164"/>
    </row>
    <row r="751" spans="2:9" x14ac:dyDescent="0.35">
      <c r="B751" s="145"/>
      <c r="C751" s="14"/>
      <c r="D751" s="15"/>
      <c r="E751" s="18"/>
      <c r="F751" s="26"/>
      <c r="G751" s="17"/>
      <c r="H751" s="17"/>
      <c r="I751" s="164"/>
    </row>
    <row r="752" spans="2:9" x14ac:dyDescent="0.35">
      <c r="B752" s="145"/>
      <c r="C752" s="14"/>
      <c r="D752" s="15"/>
      <c r="E752" s="18"/>
      <c r="F752" s="26"/>
      <c r="G752" s="17"/>
      <c r="H752" s="17"/>
      <c r="I752" s="164"/>
    </row>
    <row r="753" spans="2:9" x14ac:dyDescent="0.35">
      <c r="B753" s="145"/>
      <c r="C753" s="14"/>
      <c r="D753" s="15"/>
      <c r="E753" s="18"/>
      <c r="F753" s="26"/>
      <c r="G753" s="17"/>
      <c r="H753" s="17"/>
      <c r="I753" s="164"/>
    </row>
    <row r="754" spans="2:9" x14ac:dyDescent="0.35">
      <c r="B754" s="145"/>
      <c r="C754" s="14"/>
      <c r="D754" s="15"/>
      <c r="E754" s="18"/>
      <c r="F754" s="26"/>
      <c r="G754" s="17"/>
      <c r="H754" s="17"/>
      <c r="I754" s="164"/>
    </row>
    <row r="755" spans="2:9" x14ac:dyDescent="0.35">
      <c r="B755" s="145"/>
      <c r="C755" s="14"/>
      <c r="D755" s="15"/>
      <c r="E755" s="18"/>
      <c r="F755" s="26"/>
      <c r="G755" s="17"/>
      <c r="H755" s="17"/>
      <c r="I755" s="164"/>
    </row>
    <row r="756" spans="2:9" x14ac:dyDescent="0.35">
      <c r="B756" s="145"/>
      <c r="C756" s="14"/>
      <c r="D756" s="15"/>
      <c r="E756" s="18"/>
      <c r="F756" s="26"/>
      <c r="G756" s="17"/>
      <c r="H756" s="17"/>
      <c r="I756" s="164"/>
    </row>
    <row r="757" spans="2:9" x14ac:dyDescent="0.35">
      <c r="B757" s="145"/>
      <c r="C757" s="14"/>
      <c r="D757" s="15"/>
      <c r="E757" s="18"/>
      <c r="F757" s="26"/>
      <c r="G757" s="17"/>
      <c r="H757" s="17"/>
      <c r="I757" s="164"/>
    </row>
    <row r="758" spans="2:9" x14ac:dyDescent="0.35">
      <c r="B758" s="145"/>
      <c r="C758" s="14"/>
      <c r="D758" s="15"/>
      <c r="E758" s="18"/>
      <c r="F758" s="26"/>
      <c r="G758" s="17"/>
      <c r="H758" s="17"/>
      <c r="I758" s="164"/>
    </row>
    <row r="759" spans="2:9" x14ac:dyDescent="0.35">
      <c r="B759" s="145"/>
      <c r="C759" s="14"/>
      <c r="D759" s="15"/>
      <c r="E759" s="18"/>
      <c r="F759" s="26"/>
      <c r="G759" s="17"/>
      <c r="H759" s="17"/>
      <c r="I759" s="164"/>
    </row>
    <row r="760" spans="2:9" x14ac:dyDescent="0.35">
      <c r="B760" s="145"/>
      <c r="C760" s="14"/>
      <c r="D760" s="15"/>
      <c r="E760" s="18"/>
      <c r="F760" s="26"/>
      <c r="G760" s="17"/>
      <c r="H760" s="17"/>
      <c r="I760" s="164"/>
    </row>
    <row r="761" spans="2:9" x14ac:dyDescent="0.35">
      <c r="B761" s="145"/>
      <c r="C761" s="14"/>
      <c r="D761" s="15"/>
      <c r="E761" s="18"/>
      <c r="F761" s="26"/>
      <c r="G761" s="17"/>
      <c r="H761" s="17"/>
      <c r="I761" s="164"/>
    </row>
    <row r="762" spans="2:9" x14ac:dyDescent="0.35">
      <c r="B762" s="145"/>
      <c r="C762" s="14"/>
      <c r="D762" s="15"/>
      <c r="E762" s="18"/>
      <c r="F762" s="26"/>
      <c r="G762" s="17"/>
      <c r="H762" s="17"/>
      <c r="I762" s="164"/>
    </row>
    <row r="763" spans="2:9" x14ac:dyDescent="0.35">
      <c r="B763" s="145"/>
      <c r="C763" s="14"/>
      <c r="D763" s="15"/>
      <c r="E763" s="18"/>
      <c r="F763" s="26"/>
      <c r="G763" s="17"/>
      <c r="H763" s="17"/>
      <c r="I763" s="164"/>
    </row>
    <row r="764" spans="2:9" x14ac:dyDescent="0.35">
      <c r="B764" s="145"/>
      <c r="C764" s="14"/>
      <c r="D764" s="15"/>
      <c r="E764" s="18"/>
      <c r="F764" s="26"/>
      <c r="G764" s="17"/>
      <c r="H764" s="17"/>
      <c r="I764" s="164"/>
    </row>
    <row r="765" spans="2:9" x14ac:dyDescent="0.35">
      <c r="B765" s="145"/>
      <c r="C765" s="14"/>
      <c r="D765" s="15"/>
      <c r="E765" s="18"/>
      <c r="F765" s="26"/>
      <c r="G765" s="17"/>
      <c r="H765" s="17"/>
      <c r="I765" s="164"/>
    </row>
    <row r="766" spans="2:9" x14ac:dyDescent="0.35">
      <c r="B766" s="145"/>
      <c r="C766" s="14"/>
      <c r="D766" s="15"/>
      <c r="E766" s="18"/>
      <c r="F766" s="26"/>
      <c r="G766" s="17"/>
      <c r="H766" s="17"/>
      <c r="I766" s="164"/>
    </row>
    <row r="767" spans="2:9" x14ac:dyDescent="0.35">
      <c r="B767" s="145"/>
      <c r="C767" s="14"/>
      <c r="D767" s="15"/>
      <c r="E767" s="18"/>
      <c r="F767" s="26"/>
      <c r="G767" s="17"/>
      <c r="H767" s="17"/>
      <c r="I767" s="164"/>
    </row>
    <row r="768" spans="2:9" x14ac:dyDescent="0.35">
      <c r="B768" s="145"/>
      <c r="C768" s="14"/>
      <c r="D768" s="15"/>
      <c r="E768" s="18"/>
      <c r="F768" s="26"/>
      <c r="G768" s="17"/>
      <c r="H768" s="17"/>
      <c r="I768" s="164"/>
    </row>
    <row r="769" spans="2:9" x14ac:dyDescent="0.35">
      <c r="B769" s="145"/>
      <c r="C769" s="14"/>
      <c r="D769" s="15"/>
      <c r="E769" s="18"/>
      <c r="F769" s="26"/>
      <c r="G769" s="17"/>
      <c r="H769" s="17"/>
      <c r="I769" s="164"/>
    </row>
    <row r="770" spans="2:9" x14ac:dyDescent="0.35">
      <c r="B770" s="145"/>
      <c r="C770" s="14"/>
      <c r="D770" s="15"/>
      <c r="E770" s="18"/>
      <c r="F770" s="26"/>
      <c r="G770" s="17"/>
      <c r="H770" s="17"/>
      <c r="I770" s="164"/>
    </row>
    <row r="771" spans="2:9" x14ac:dyDescent="0.35">
      <c r="B771" s="145"/>
      <c r="C771" s="14"/>
      <c r="D771" s="15"/>
      <c r="E771" s="18"/>
      <c r="F771" s="26"/>
      <c r="G771" s="17"/>
      <c r="H771" s="17"/>
      <c r="I771" s="164"/>
    </row>
    <row r="772" spans="2:9" x14ac:dyDescent="0.35">
      <c r="B772" s="145"/>
      <c r="C772" s="14"/>
      <c r="D772" s="15"/>
      <c r="E772" s="18"/>
      <c r="F772" s="26"/>
      <c r="G772" s="17"/>
      <c r="H772" s="17"/>
      <c r="I772" s="164"/>
    </row>
    <row r="773" spans="2:9" x14ac:dyDescent="0.35">
      <c r="B773" s="145"/>
      <c r="C773" s="14"/>
      <c r="D773" s="15"/>
      <c r="E773" s="18"/>
      <c r="F773" s="26"/>
      <c r="G773" s="17"/>
      <c r="H773" s="17"/>
      <c r="I773" s="164"/>
    </row>
    <row r="774" spans="2:9" x14ac:dyDescent="0.35">
      <c r="B774" s="145"/>
      <c r="C774" s="14"/>
      <c r="D774" s="15"/>
      <c r="E774" s="18"/>
      <c r="F774" s="26"/>
      <c r="G774" s="17"/>
      <c r="H774" s="17"/>
      <c r="I774" s="164"/>
    </row>
    <row r="775" spans="2:9" x14ac:dyDescent="0.35">
      <c r="B775" s="145"/>
      <c r="C775" s="14"/>
      <c r="D775" s="15"/>
      <c r="E775" s="18"/>
      <c r="F775" s="26"/>
      <c r="G775" s="17"/>
      <c r="H775" s="17"/>
      <c r="I775" s="164"/>
    </row>
    <row r="776" spans="2:9" x14ac:dyDescent="0.35">
      <c r="B776" s="145"/>
      <c r="C776" s="14"/>
      <c r="D776" s="15"/>
      <c r="E776" s="18"/>
      <c r="F776" s="26"/>
      <c r="G776" s="17"/>
      <c r="H776" s="17"/>
      <c r="I776" s="164"/>
    </row>
    <row r="777" spans="2:9" x14ac:dyDescent="0.35">
      <c r="B777" s="145"/>
      <c r="C777" s="14"/>
      <c r="D777" s="15"/>
      <c r="E777" s="18"/>
      <c r="F777" s="26"/>
      <c r="G777" s="17"/>
      <c r="H777" s="17"/>
      <c r="I777" s="164"/>
    </row>
    <row r="778" spans="2:9" x14ac:dyDescent="0.35">
      <c r="B778" s="145"/>
      <c r="C778" s="14"/>
      <c r="D778" s="15"/>
      <c r="E778" s="18"/>
      <c r="F778" s="26"/>
      <c r="G778" s="17"/>
      <c r="H778" s="17"/>
      <c r="I778" s="164"/>
    </row>
    <row r="779" spans="2:9" x14ac:dyDescent="0.35">
      <c r="B779" s="145"/>
      <c r="C779" s="14"/>
      <c r="D779" s="15"/>
      <c r="E779" s="18"/>
      <c r="F779" s="26"/>
      <c r="G779" s="17"/>
      <c r="H779" s="17"/>
      <c r="I779" s="164"/>
    </row>
    <row r="780" spans="2:9" x14ac:dyDescent="0.35">
      <c r="B780" s="145"/>
      <c r="C780" s="14"/>
      <c r="D780" s="15"/>
      <c r="E780" s="18"/>
      <c r="F780" s="26"/>
      <c r="G780" s="17"/>
      <c r="H780" s="17"/>
      <c r="I780" s="164"/>
    </row>
    <row r="781" spans="2:9" x14ac:dyDescent="0.35">
      <c r="B781" s="145"/>
      <c r="C781" s="14"/>
      <c r="D781" s="15"/>
      <c r="E781" s="18"/>
      <c r="F781" s="26"/>
      <c r="G781" s="17"/>
      <c r="H781" s="17"/>
      <c r="I781" s="164"/>
    </row>
    <row r="782" spans="2:9" x14ac:dyDescent="0.35">
      <c r="B782" s="145"/>
      <c r="C782" s="14"/>
      <c r="D782" s="15"/>
      <c r="E782" s="18"/>
      <c r="F782" s="26"/>
      <c r="G782" s="17"/>
      <c r="H782" s="17"/>
      <c r="I782" s="164"/>
    </row>
    <row r="783" spans="2:9" x14ac:dyDescent="0.35">
      <c r="B783" s="145"/>
      <c r="C783" s="14"/>
      <c r="D783" s="15"/>
      <c r="E783" s="18"/>
      <c r="F783" s="26"/>
      <c r="G783" s="17"/>
      <c r="H783" s="17"/>
      <c r="I783" s="164"/>
    </row>
    <row r="784" spans="2:9" x14ac:dyDescent="0.35">
      <c r="B784" s="145"/>
      <c r="C784" s="14"/>
      <c r="D784" s="15"/>
      <c r="E784" s="18"/>
      <c r="F784" s="26"/>
      <c r="G784" s="17"/>
      <c r="H784" s="17"/>
      <c r="I784" s="164"/>
    </row>
    <row r="785" spans="2:9" x14ac:dyDescent="0.35">
      <c r="B785" s="145"/>
      <c r="C785" s="14"/>
      <c r="D785" s="15"/>
      <c r="E785" s="18"/>
      <c r="F785" s="26"/>
      <c r="G785" s="17"/>
      <c r="H785" s="17"/>
      <c r="I785" s="164"/>
    </row>
    <row r="786" spans="2:9" x14ac:dyDescent="0.35">
      <c r="B786" s="145"/>
      <c r="C786" s="14"/>
      <c r="D786" s="15"/>
      <c r="E786" s="18"/>
      <c r="F786" s="26"/>
      <c r="G786" s="17"/>
      <c r="H786" s="17"/>
      <c r="I786" s="164"/>
    </row>
    <row r="787" spans="2:9" x14ac:dyDescent="0.35">
      <c r="B787" s="145"/>
      <c r="C787" s="14"/>
      <c r="D787" s="15"/>
      <c r="E787" s="18"/>
      <c r="F787" s="26"/>
      <c r="G787" s="17"/>
      <c r="H787" s="17"/>
      <c r="I787" s="164"/>
    </row>
    <row r="788" spans="2:9" x14ac:dyDescent="0.35">
      <c r="B788" s="145"/>
      <c r="C788" s="14"/>
      <c r="D788" s="15"/>
      <c r="E788" s="18"/>
      <c r="F788" s="26"/>
      <c r="G788" s="17"/>
      <c r="H788" s="17"/>
      <c r="I788" s="164"/>
    </row>
    <row r="789" spans="2:9" x14ac:dyDescent="0.35">
      <c r="B789" s="145"/>
      <c r="C789" s="14"/>
      <c r="D789" s="15"/>
      <c r="E789" s="18"/>
      <c r="F789" s="26"/>
      <c r="G789" s="17"/>
      <c r="H789" s="17"/>
      <c r="I789" s="164"/>
    </row>
    <row r="790" spans="2:9" x14ac:dyDescent="0.35">
      <c r="B790" s="145"/>
      <c r="C790" s="14"/>
      <c r="D790" s="15"/>
      <c r="E790" s="18"/>
      <c r="F790" s="26"/>
      <c r="G790" s="17"/>
      <c r="H790" s="17"/>
      <c r="I790" s="164"/>
    </row>
    <row r="791" spans="2:9" x14ac:dyDescent="0.35">
      <c r="B791" s="145"/>
      <c r="C791" s="14"/>
      <c r="D791" s="15"/>
      <c r="E791" s="18"/>
      <c r="F791" s="26"/>
      <c r="G791" s="17"/>
      <c r="H791" s="17"/>
      <c r="I791" s="164"/>
    </row>
    <row r="792" spans="2:9" x14ac:dyDescent="0.35">
      <c r="B792" s="145"/>
      <c r="C792" s="14"/>
      <c r="D792" s="15"/>
      <c r="E792" s="18"/>
      <c r="F792" s="26"/>
      <c r="G792" s="17"/>
      <c r="H792" s="17"/>
      <c r="I792" s="164"/>
    </row>
    <row r="793" spans="2:9" x14ac:dyDescent="0.35">
      <c r="B793" s="145"/>
      <c r="C793" s="14"/>
      <c r="D793" s="15"/>
      <c r="E793" s="18"/>
      <c r="F793" s="26"/>
      <c r="G793" s="17"/>
      <c r="H793" s="17"/>
      <c r="I793" s="164"/>
    </row>
    <row r="794" spans="2:9" x14ac:dyDescent="0.35">
      <c r="B794" s="145"/>
      <c r="C794" s="14"/>
      <c r="D794" s="15"/>
      <c r="E794" s="18"/>
      <c r="F794" s="26"/>
      <c r="G794" s="17"/>
      <c r="H794" s="17"/>
      <c r="I794" s="164"/>
    </row>
    <row r="795" spans="2:9" x14ac:dyDescent="0.35">
      <c r="B795" s="145"/>
      <c r="C795" s="14"/>
      <c r="D795" s="15"/>
      <c r="E795" s="18"/>
      <c r="F795" s="26"/>
      <c r="G795" s="17"/>
      <c r="H795" s="17"/>
      <c r="I795" s="164"/>
    </row>
    <row r="796" spans="2:9" x14ac:dyDescent="0.35">
      <c r="B796" s="145"/>
      <c r="C796" s="14"/>
      <c r="D796" s="15"/>
      <c r="E796" s="18"/>
      <c r="F796" s="26"/>
      <c r="G796" s="17"/>
      <c r="H796" s="17"/>
      <c r="I796" s="164"/>
    </row>
    <row r="797" spans="2:9" x14ac:dyDescent="0.35">
      <c r="B797" s="145"/>
      <c r="C797" s="14"/>
      <c r="D797" s="15"/>
      <c r="E797" s="18"/>
      <c r="F797" s="26"/>
      <c r="G797" s="17"/>
      <c r="H797" s="17"/>
      <c r="I797" s="164"/>
    </row>
    <row r="798" spans="2:9" x14ac:dyDescent="0.35">
      <c r="B798" s="145"/>
      <c r="C798" s="14"/>
      <c r="D798" s="15"/>
      <c r="E798" s="18"/>
      <c r="F798" s="26"/>
      <c r="G798" s="17"/>
      <c r="H798" s="17"/>
      <c r="I798" s="164"/>
    </row>
    <row r="799" spans="2:9" x14ac:dyDescent="0.35">
      <c r="B799" s="145"/>
      <c r="C799" s="14"/>
      <c r="D799" s="15"/>
      <c r="E799" s="18"/>
      <c r="F799" s="26"/>
      <c r="G799" s="17"/>
      <c r="H799" s="17"/>
      <c r="I799" s="164"/>
    </row>
    <row r="800" spans="2:9" x14ac:dyDescent="0.35">
      <c r="B800" s="145"/>
      <c r="C800" s="14"/>
      <c r="D800" s="15"/>
      <c r="E800" s="18"/>
      <c r="F800" s="26"/>
      <c r="G800" s="17"/>
      <c r="H800" s="17"/>
      <c r="I800" s="164"/>
    </row>
    <row r="801" spans="2:9" x14ac:dyDescent="0.35">
      <c r="B801" s="145"/>
      <c r="C801" s="14"/>
      <c r="D801" s="15"/>
      <c r="E801" s="18"/>
      <c r="F801" s="26"/>
      <c r="G801" s="17"/>
      <c r="H801" s="17"/>
      <c r="I801" s="164"/>
    </row>
    <row r="802" spans="2:9" x14ac:dyDescent="0.35">
      <c r="B802" s="145"/>
      <c r="C802" s="14"/>
      <c r="D802" s="15"/>
      <c r="E802" s="18"/>
      <c r="F802" s="26"/>
      <c r="G802" s="17"/>
      <c r="H802" s="17"/>
      <c r="I802" s="164"/>
    </row>
    <row r="803" spans="2:9" x14ac:dyDescent="0.35">
      <c r="B803" s="145"/>
      <c r="C803" s="14"/>
      <c r="D803" s="15"/>
      <c r="E803" s="18"/>
      <c r="F803" s="26"/>
      <c r="G803" s="17"/>
      <c r="H803" s="17"/>
      <c r="I803" s="164"/>
    </row>
    <row r="804" spans="2:9" x14ac:dyDescent="0.35">
      <c r="B804" s="145"/>
      <c r="C804" s="14"/>
      <c r="D804" s="15"/>
      <c r="E804" s="18"/>
      <c r="F804" s="26"/>
      <c r="G804" s="17"/>
      <c r="H804" s="17"/>
      <c r="I804" s="164"/>
    </row>
    <row r="805" spans="2:9" x14ac:dyDescent="0.35">
      <c r="B805" s="145"/>
      <c r="C805" s="14"/>
      <c r="D805" s="15"/>
      <c r="E805" s="18"/>
      <c r="F805" s="26"/>
      <c r="G805" s="17"/>
      <c r="H805" s="17"/>
      <c r="I805" s="164"/>
    </row>
    <row r="806" spans="2:9" x14ac:dyDescent="0.35">
      <c r="B806" s="145"/>
      <c r="C806" s="14"/>
      <c r="D806" s="15"/>
      <c r="E806" s="18"/>
      <c r="F806" s="26"/>
      <c r="G806" s="17"/>
      <c r="H806" s="17"/>
      <c r="I806" s="164"/>
    </row>
    <row r="807" spans="2:9" x14ac:dyDescent="0.35">
      <c r="B807" s="145"/>
      <c r="C807" s="14"/>
      <c r="D807" s="15"/>
      <c r="E807" s="18"/>
      <c r="F807" s="26"/>
      <c r="G807" s="17"/>
      <c r="H807" s="17"/>
      <c r="I807" s="164"/>
    </row>
    <row r="808" spans="2:9" x14ac:dyDescent="0.35">
      <c r="B808" s="145"/>
      <c r="C808" s="14"/>
      <c r="D808" s="15"/>
      <c r="E808" s="18"/>
      <c r="F808" s="26"/>
      <c r="G808" s="17"/>
      <c r="H808" s="17"/>
      <c r="I808" s="164"/>
    </row>
    <row r="809" spans="2:9" x14ac:dyDescent="0.35">
      <c r="B809" s="145"/>
      <c r="C809" s="14"/>
      <c r="D809" s="15"/>
      <c r="E809" s="18"/>
      <c r="F809" s="26"/>
      <c r="G809" s="17"/>
      <c r="H809" s="17"/>
      <c r="I809" s="164"/>
    </row>
    <row r="810" spans="2:9" x14ac:dyDescent="0.35">
      <c r="B810" s="145"/>
      <c r="C810" s="14"/>
      <c r="D810" s="15"/>
      <c r="E810" s="18"/>
      <c r="F810" s="26"/>
      <c r="G810" s="17"/>
      <c r="H810" s="17"/>
      <c r="I810" s="164"/>
    </row>
    <row r="811" spans="2:9" x14ac:dyDescent="0.35">
      <c r="B811" s="145"/>
      <c r="C811" s="14"/>
      <c r="D811" s="15"/>
      <c r="E811" s="18"/>
      <c r="F811" s="26"/>
      <c r="G811" s="17"/>
      <c r="H811" s="17"/>
      <c r="I811" s="164"/>
    </row>
    <row r="812" spans="2:9" x14ac:dyDescent="0.35">
      <c r="B812" s="145"/>
      <c r="C812" s="14"/>
      <c r="D812" s="15"/>
      <c r="E812" s="18"/>
      <c r="F812" s="26"/>
      <c r="G812" s="17"/>
      <c r="H812" s="17"/>
      <c r="I812" s="164"/>
    </row>
    <row r="813" spans="2:9" x14ac:dyDescent="0.35">
      <c r="B813" s="145"/>
      <c r="C813" s="14"/>
      <c r="D813" s="15"/>
      <c r="E813" s="18"/>
      <c r="F813" s="26"/>
      <c r="G813" s="17"/>
      <c r="H813" s="17"/>
      <c r="I813" s="164"/>
    </row>
    <row r="814" spans="2:9" x14ac:dyDescent="0.35">
      <c r="B814" s="145"/>
      <c r="C814" s="14"/>
      <c r="D814" s="15"/>
      <c r="E814" s="18"/>
      <c r="F814" s="26"/>
      <c r="G814" s="17"/>
      <c r="H814" s="17"/>
      <c r="I814" s="164"/>
    </row>
    <row r="815" spans="2:9" x14ac:dyDescent="0.35">
      <c r="B815" s="145"/>
      <c r="C815" s="14"/>
      <c r="D815" s="15"/>
      <c r="E815" s="18"/>
      <c r="F815" s="26"/>
      <c r="G815" s="17"/>
      <c r="H815" s="17"/>
      <c r="I815" s="164"/>
    </row>
    <row r="816" spans="2:9" x14ac:dyDescent="0.35">
      <c r="B816" s="145"/>
      <c r="C816" s="14"/>
      <c r="D816" s="15"/>
      <c r="E816" s="18"/>
      <c r="F816" s="26"/>
      <c r="G816" s="17"/>
      <c r="H816" s="17"/>
      <c r="I816" s="164"/>
    </row>
    <row r="817" spans="2:9" x14ac:dyDescent="0.35">
      <c r="B817" s="145"/>
      <c r="C817" s="14"/>
      <c r="D817" s="15"/>
      <c r="E817" s="18"/>
      <c r="F817" s="26"/>
      <c r="G817" s="17"/>
      <c r="H817" s="17"/>
      <c r="I817" s="164"/>
    </row>
    <row r="818" spans="2:9" x14ac:dyDescent="0.35">
      <c r="B818" s="145"/>
      <c r="C818" s="14"/>
      <c r="D818" s="15"/>
      <c r="E818" s="18"/>
      <c r="F818" s="26"/>
      <c r="G818" s="17"/>
      <c r="H818" s="17"/>
      <c r="I818" s="164"/>
    </row>
    <row r="819" spans="2:9" x14ac:dyDescent="0.35">
      <c r="B819" s="145"/>
      <c r="C819" s="14"/>
      <c r="D819" s="15"/>
      <c r="E819" s="18"/>
      <c r="F819" s="26"/>
      <c r="G819" s="17"/>
      <c r="H819" s="17"/>
      <c r="I819" s="164"/>
    </row>
    <row r="820" spans="2:9" x14ac:dyDescent="0.35">
      <c r="B820" s="145"/>
      <c r="C820" s="14"/>
      <c r="D820" s="15"/>
      <c r="E820" s="18"/>
      <c r="F820" s="26"/>
      <c r="G820" s="17"/>
      <c r="H820" s="17"/>
      <c r="I820" s="164"/>
    </row>
    <row r="821" spans="2:9" x14ac:dyDescent="0.35">
      <c r="B821" s="145"/>
      <c r="C821" s="14"/>
      <c r="D821" s="15"/>
      <c r="E821" s="18"/>
      <c r="F821" s="26"/>
      <c r="G821" s="17"/>
      <c r="H821" s="17"/>
      <c r="I821" s="164"/>
    </row>
    <row r="822" spans="2:9" x14ac:dyDescent="0.35">
      <c r="B822" s="145"/>
      <c r="C822" s="14"/>
      <c r="D822" s="15"/>
      <c r="E822" s="18"/>
      <c r="F822" s="26"/>
      <c r="G822" s="17"/>
      <c r="H822" s="17"/>
      <c r="I822" s="164"/>
    </row>
    <row r="823" spans="2:9" x14ac:dyDescent="0.35">
      <c r="B823" s="145"/>
      <c r="C823" s="14"/>
      <c r="D823" s="15"/>
      <c r="E823" s="18"/>
      <c r="F823" s="26"/>
      <c r="G823" s="17"/>
      <c r="H823" s="17"/>
      <c r="I823" s="164"/>
    </row>
    <row r="824" spans="2:9" x14ac:dyDescent="0.35">
      <c r="B824" s="145"/>
      <c r="C824" s="14"/>
      <c r="D824" s="15"/>
      <c r="E824" s="18"/>
      <c r="F824" s="26"/>
      <c r="G824" s="17"/>
      <c r="H824" s="17"/>
      <c r="I824" s="164"/>
    </row>
    <row r="825" spans="2:9" x14ac:dyDescent="0.35">
      <c r="B825" s="145"/>
      <c r="C825" s="14"/>
      <c r="D825" s="15"/>
      <c r="E825" s="18"/>
      <c r="F825" s="26"/>
      <c r="G825" s="17"/>
      <c r="H825" s="17"/>
      <c r="I825" s="164"/>
    </row>
    <row r="826" spans="2:9" x14ac:dyDescent="0.35">
      <c r="B826" s="145"/>
      <c r="C826" s="14"/>
      <c r="D826" s="15"/>
      <c r="E826" s="18"/>
      <c r="F826" s="26"/>
      <c r="G826" s="17"/>
      <c r="H826" s="17"/>
      <c r="I826" s="164"/>
    </row>
    <row r="827" spans="2:9" x14ac:dyDescent="0.35">
      <c r="B827" s="145"/>
      <c r="C827" s="14"/>
      <c r="D827" s="15"/>
      <c r="E827" s="18"/>
      <c r="F827" s="26"/>
      <c r="G827" s="17"/>
      <c r="H827" s="17"/>
      <c r="I827" s="164"/>
    </row>
    <row r="828" spans="2:9" x14ac:dyDescent="0.35">
      <c r="B828" s="145"/>
      <c r="C828" s="14"/>
      <c r="D828" s="15"/>
      <c r="E828" s="18"/>
      <c r="F828" s="26"/>
      <c r="G828" s="17"/>
      <c r="H828" s="17"/>
      <c r="I828" s="164"/>
    </row>
    <row r="829" spans="2:9" x14ac:dyDescent="0.35">
      <c r="B829" s="145"/>
      <c r="C829" s="14"/>
      <c r="D829" s="15"/>
      <c r="E829" s="18"/>
      <c r="F829" s="26"/>
      <c r="G829" s="17"/>
      <c r="H829" s="17"/>
      <c r="I829" s="164"/>
    </row>
    <row r="830" spans="2:9" x14ac:dyDescent="0.35">
      <c r="B830" s="145"/>
      <c r="C830" s="14"/>
      <c r="D830" s="15"/>
      <c r="E830" s="18"/>
      <c r="F830" s="26"/>
      <c r="G830" s="17"/>
      <c r="H830" s="17"/>
      <c r="I830" s="164"/>
    </row>
    <row r="831" spans="2:9" x14ac:dyDescent="0.35">
      <c r="B831" s="145"/>
      <c r="C831" s="14"/>
      <c r="D831" s="15"/>
      <c r="E831" s="18"/>
      <c r="F831" s="26"/>
      <c r="G831" s="17"/>
      <c r="H831" s="17"/>
      <c r="I831" s="164"/>
    </row>
    <row r="832" spans="2:9" x14ac:dyDescent="0.35">
      <c r="B832" s="145"/>
      <c r="C832" s="14"/>
      <c r="D832" s="15"/>
      <c r="E832" s="18"/>
      <c r="F832" s="26"/>
      <c r="G832" s="17"/>
      <c r="H832" s="17"/>
      <c r="I832" s="164"/>
    </row>
    <row r="833" spans="2:9" x14ac:dyDescent="0.35">
      <c r="B833" s="145"/>
      <c r="C833" s="14"/>
      <c r="D833" s="15"/>
      <c r="E833" s="18"/>
      <c r="F833" s="26"/>
      <c r="G833" s="17"/>
      <c r="H833" s="17"/>
      <c r="I833" s="164"/>
    </row>
    <row r="834" spans="2:9" x14ac:dyDescent="0.35">
      <c r="B834" s="145"/>
      <c r="C834" s="14"/>
      <c r="D834" s="15"/>
      <c r="E834" s="18"/>
      <c r="F834" s="26"/>
      <c r="G834" s="17"/>
      <c r="H834" s="17"/>
      <c r="I834" s="164"/>
    </row>
    <row r="835" spans="2:9" x14ac:dyDescent="0.35">
      <c r="B835" s="145"/>
      <c r="C835" s="14"/>
      <c r="D835" s="15"/>
      <c r="E835" s="18"/>
      <c r="F835" s="26"/>
      <c r="G835" s="17"/>
      <c r="H835" s="17"/>
      <c r="I835" s="164"/>
    </row>
    <row r="836" spans="2:9" x14ac:dyDescent="0.35">
      <c r="B836" s="145"/>
      <c r="C836" s="14"/>
      <c r="D836" s="15"/>
      <c r="E836" s="18"/>
      <c r="F836" s="26"/>
      <c r="G836" s="17"/>
      <c r="H836" s="17"/>
      <c r="I836" s="164"/>
    </row>
    <row r="837" spans="2:9" x14ac:dyDescent="0.35">
      <c r="B837" s="145"/>
      <c r="C837" s="14"/>
      <c r="D837" s="15"/>
      <c r="E837" s="18"/>
      <c r="F837" s="26"/>
      <c r="G837" s="17"/>
      <c r="H837" s="17"/>
      <c r="I837" s="164"/>
    </row>
    <row r="838" spans="2:9" x14ac:dyDescent="0.35">
      <c r="B838" s="145"/>
      <c r="C838" s="14"/>
      <c r="D838" s="15"/>
      <c r="E838" s="18"/>
      <c r="F838" s="26"/>
      <c r="G838" s="17"/>
      <c r="H838" s="17"/>
      <c r="I838" s="164"/>
    </row>
    <row r="839" spans="2:9" x14ac:dyDescent="0.35">
      <c r="B839" s="145"/>
      <c r="C839" s="14"/>
      <c r="D839" s="15"/>
      <c r="E839" s="18"/>
      <c r="F839" s="26"/>
      <c r="G839" s="17"/>
      <c r="H839" s="17"/>
      <c r="I839" s="164"/>
    </row>
    <row r="840" spans="2:9" x14ac:dyDescent="0.35">
      <c r="B840" s="145"/>
      <c r="C840" s="14"/>
      <c r="D840" s="15"/>
      <c r="E840" s="18"/>
      <c r="F840" s="26"/>
      <c r="G840" s="17"/>
      <c r="H840" s="17"/>
      <c r="I840" s="164"/>
    </row>
    <row r="841" spans="2:9" x14ac:dyDescent="0.35">
      <c r="B841" s="145"/>
      <c r="C841" s="14"/>
      <c r="D841" s="15"/>
      <c r="E841" s="18"/>
      <c r="F841" s="26"/>
      <c r="G841" s="17"/>
      <c r="H841" s="17"/>
      <c r="I841" s="164"/>
    </row>
    <row r="842" spans="2:9" x14ac:dyDescent="0.35">
      <c r="B842" s="145"/>
      <c r="C842" s="14"/>
      <c r="D842" s="15"/>
      <c r="E842" s="18"/>
      <c r="F842" s="26"/>
      <c r="G842" s="17"/>
      <c r="H842" s="17"/>
      <c r="I842" s="164"/>
    </row>
    <row r="843" spans="2:9" x14ac:dyDescent="0.35">
      <c r="B843" s="145"/>
      <c r="C843" s="14"/>
      <c r="D843" s="15"/>
      <c r="E843" s="18"/>
      <c r="F843" s="26"/>
      <c r="G843" s="17"/>
      <c r="H843" s="17"/>
      <c r="I843" s="164"/>
    </row>
    <row r="844" spans="2:9" x14ac:dyDescent="0.35">
      <c r="B844" s="145"/>
      <c r="C844" s="14"/>
      <c r="D844" s="15"/>
      <c r="E844" s="18"/>
      <c r="F844" s="26"/>
      <c r="G844" s="17"/>
      <c r="H844" s="17"/>
      <c r="I844" s="164"/>
    </row>
    <row r="845" spans="2:9" x14ac:dyDescent="0.35">
      <c r="B845" s="145"/>
      <c r="C845" s="14"/>
      <c r="D845" s="15"/>
      <c r="E845" s="18"/>
      <c r="F845" s="26"/>
      <c r="G845" s="17"/>
      <c r="H845" s="17"/>
      <c r="I845" s="164"/>
    </row>
    <row r="846" spans="2:9" x14ac:dyDescent="0.35">
      <c r="B846" s="145"/>
      <c r="C846" s="14"/>
      <c r="D846" s="15"/>
      <c r="E846" s="18"/>
      <c r="F846" s="26"/>
      <c r="G846" s="17"/>
      <c r="H846" s="17"/>
      <c r="I846" s="164"/>
    </row>
    <row r="847" spans="2:9" x14ac:dyDescent="0.35">
      <c r="B847" s="145"/>
      <c r="C847" s="14"/>
      <c r="D847" s="15"/>
      <c r="E847" s="18"/>
      <c r="F847" s="26"/>
      <c r="G847" s="17"/>
      <c r="H847" s="17"/>
      <c r="I847" s="164"/>
    </row>
    <row r="848" spans="2:9" x14ac:dyDescent="0.35">
      <c r="B848" s="145"/>
      <c r="C848" s="14"/>
      <c r="D848" s="15"/>
      <c r="E848" s="18"/>
      <c r="F848" s="26"/>
      <c r="G848" s="17"/>
      <c r="H848" s="17"/>
      <c r="I848" s="164"/>
    </row>
    <row r="849" spans="2:9" x14ac:dyDescent="0.35">
      <c r="B849" s="145"/>
      <c r="C849" s="14"/>
      <c r="D849" s="15"/>
      <c r="E849" s="18"/>
      <c r="F849" s="26"/>
      <c r="G849" s="17"/>
      <c r="H849" s="17"/>
      <c r="I849" s="164"/>
    </row>
    <row r="850" spans="2:9" x14ac:dyDescent="0.35">
      <c r="B850" s="145"/>
      <c r="C850" s="14"/>
      <c r="D850" s="15"/>
      <c r="E850" s="18"/>
      <c r="F850" s="26"/>
      <c r="G850" s="17"/>
      <c r="H850" s="17"/>
      <c r="I850" s="164"/>
    </row>
    <row r="851" spans="2:9" x14ac:dyDescent="0.35">
      <c r="B851" s="145"/>
      <c r="C851" s="14"/>
      <c r="D851" s="15"/>
      <c r="E851" s="18"/>
      <c r="F851" s="26"/>
      <c r="G851" s="17"/>
      <c r="H851" s="17"/>
      <c r="I851" s="164"/>
    </row>
    <row r="852" spans="2:9" x14ac:dyDescent="0.35">
      <c r="B852" s="145"/>
      <c r="C852" s="14"/>
      <c r="D852" s="15"/>
      <c r="E852" s="18"/>
      <c r="F852" s="26"/>
      <c r="G852" s="17"/>
      <c r="H852" s="17"/>
      <c r="I852" s="164"/>
    </row>
    <row r="853" spans="2:9" x14ac:dyDescent="0.35">
      <c r="B853" s="145"/>
      <c r="C853" s="14"/>
      <c r="D853" s="15"/>
      <c r="E853" s="18"/>
      <c r="F853" s="26"/>
      <c r="G853" s="17"/>
      <c r="H853" s="17"/>
      <c r="I853" s="164"/>
    </row>
    <row r="854" spans="2:9" x14ac:dyDescent="0.35">
      <c r="B854" s="145"/>
      <c r="C854" s="14"/>
      <c r="D854" s="15"/>
      <c r="E854" s="18"/>
      <c r="F854" s="26"/>
      <c r="G854" s="17"/>
      <c r="H854" s="17"/>
      <c r="I854" s="164"/>
    </row>
    <row r="855" spans="2:9" x14ac:dyDescent="0.35">
      <c r="B855" s="145"/>
      <c r="C855" s="14"/>
      <c r="D855" s="15"/>
      <c r="E855" s="18"/>
      <c r="F855" s="26"/>
      <c r="G855" s="17"/>
      <c r="H855" s="17"/>
      <c r="I855" s="164"/>
    </row>
    <row r="856" spans="2:9" x14ac:dyDescent="0.35">
      <c r="B856" s="145"/>
      <c r="C856" s="14"/>
      <c r="D856" s="15"/>
      <c r="E856" s="18"/>
      <c r="F856" s="26"/>
      <c r="G856" s="17"/>
      <c r="H856" s="17"/>
      <c r="I856" s="164"/>
    </row>
    <row r="857" spans="2:9" x14ac:dyDescent="0.35">
      <c r="B857" s="145"/>
      <c r="C857" s="14"/>
      <c r="D857" s="15"/>
      <c r="E857" s="18"/>
      <c r="F857" s="26"/>
      <c r="G857" s="17"/>
      <c r="H857" s="17"/>
      <c r="I857" s="164"/>
    </row>
    <row r="858" spans="2:9" x14ac:dyDescent="0.35">
      <c r="B858" s="145"/>
      <c r="C858" s="14"/>
      <c r="D858" s="15"/>
      <c r="E858" s="18"/>
      <c r="F858" s="26"/>
      <c r="G858" s="17"/>
      <c r="H858" s="17"/>
      <c r="I858" s="164"/>
    </row>
    <row r="859" spans="2:9" x14ac:dyDescent="0.35">
      <c r="B859" s="145"/>
      <c r="C859" s="14"/>
      <c r="D859" s="15"/>
      <c r="E859" s="18"/>
      <c r="F859" s="26"/>
      <c r="G859" s="17"/>
      <c r="H859" s="17"/>
      <c r="I859" s="164"/>
    </row>
    <row r="860" spans="2:9" x14ac:dyDescent="0.35">
      <c r="B860" s="145"/>
      <c r="C860" s="14"/>
      <c r="D860" s="15"/>
      <c r="E860" s="18"/>
      <c r="F860" s="26"/>
      <c r="G860" s="17"/>
      <c r="H860" s="17"/>
      <c r="I860" s="164"/>
    </row>
    <row r="861" spans="2:9" x14ac:dyDescent="0.35">
      <c r="B861" s="145"/>
      <c r="C861" s="14"/>
      <c r="D861" s="15"/>
      <c r="E861" s="18"/>
      <c r="F861" s="26"/>
      <c r="G861" s="17"/>
      <c r="H861" s="17"/>
      <c r="I861" s="164"/>
    </row>
    <row r="862" spans="2:9" x14ac:dyDescent="0.35">
      <c r="B862" s="145"/>
      <c r="C862" s="14"/>
      <c r="D862" s="15"/>
      <c r="E862" s="18"/>
      <c r="F862" s="26"/>
      <c r="G862" s="17"/>
      <c r="H862" s="17"/>
      <c r="I862" s="164"/>
    </row>
    <row r="863" spans="2:9" x14ac:dyDescent="0.35">
      <c r="B863" s="145"/>
      <c r="C863" s="14"/>
      <c r="D863" s="15"/>
      <c r="E863" s="18"/>
      <c r="F863" s="26"/>
      <c r="G863" s="17"/>
      <c r="H863" s="17"/>
      <c r="I863" s="164"/>
    </row>
    <row r="864" spans="2:9" x14ac:dyDescent="0.35">
      <c r="B864" s="145"/>
      <c r="C864" s="14"/>
      <c r="D864" s="15"/>
      <c r="E864" s="18"/>
      <c r="F864" s="26"/>
      <c r="G864" s="17"/>
      <c r="H864" s="17"/>
      <c r="I864" s="164"/>
    </row>
    <row r="865" spans="2:9" x14ac:dyDescent="0.35">
      <c r="B865" s="145"/>
      <c r="C865" s="14"/>
      <c r="D865" s="15"/>
      <c r="E865" s="18"/>
      <c r="F865" s="26"/>
      <c r="G865" s="17"/>
      <c r="H865" s="17"/>
      <c r="I865" s="164"/>
    </row>
    <row r="866" spans="2:9" x14ac:dyDescent="0.35">
      <c r="B866" s="145"/>
      <c r="C866" s="14"/>
      <c r="D866" s="15"/>
      <c r="E866" s="18"/>
      <c r="F866" s="26"/>
      <c r="G866" s="17"/>
      <c r="H866" s="17"/>
      <c r="I866" s="164"/>
    </row>
    <row r="867" spans="2:9" x14ac:dyDescent="0.35">
      <c r="B867" s="145"/>
      <c r="C867" s="14"/>
      <c r="D867" s="15"/>
      <c r="E867" s="18"/>
      <c r="F867" s="26"/>
      <c r="G867" s="17"/>
      <c r="H867" s="17"/>
      <c r="I867" s="164"/>
    </row>
    <row r="868" spans="2:9" x14ac:dyDescent="0.35">
      <c r="B868" s="145"/>
      <c r="C868" s="14"/>
      <c r="D868" s="15"/>
      <c r="E868" s="18"/>
      <c r="F868" s="26"/>
      <c r="G868" s="17"/>
      <c r="H868" s="17"/>
      <c r="I868" s="164"/>
    </row>
    <row r="869" spans="2:9" x14ac:dyDescent="0.35">
      <c r="B869" s="145"/>
      <c r="C869" s="14"/>
      <c r="D869" s="15"/>
      <c r="E869" s="18"/>
      <c r="F869" s="26"/>
      <c r="G869" s="17"/>
      <c r="H869" s="17"/>
      <c r="I869" s="164"/>
    </row>
    <row r="870" spans="2:9" x14ac:dyDescent="0.35">
      <c r="B870" s="145"/>
      <c r="C870" s="14"/>
      <c r="D870" s="15"/>
      <c r="E870" s="18"/>
      <c r="F870" s="26"/>
      <c r="G870" s="17"/>
      <c r="H870" s="17"/>
      <c r="I870" s="164"/>
    </row>
    <row r="871" spans="2:9" x14ac:dyDescent="0.35">
      <c r="B871" s="145"/>
      <c r="C871" s="14"/>
      <c r="D871" s="15"/>
      <c r="E871" s="18"/>
      <c r="F871" s="26"/>
      <c r="G871" s="17"/>
      <c r="H871" s="17"/>
      <c r="I871" s="164"/>
    </row>
    <row r="872" spans="2:9" x14ac:dyDescent="0.35">
      <c r="B872" s="145"/>
      <c r="C872" s="14"/>
      <c r="D872" s="15"/>
      <c r="E872" s="18"/>
      <c r="F872" s="26"/>
      <c r="G872" s="17"/>
      <c r="H872" s="17"/>
      <c r="I872" s="164"/>
    </row>
    <row r="873" spans="2:9" x14ac:dyDescent="0.35">
      <c r="B873" s="145"/>
      <c r="C873" s="14"/>
      <c r="D873" s="15"/>
      <c r="E873" s="18"/>
      <c r="F873" s="26"/>
      <c r="G873" s="17"/>
      <c r="H873" s="17"/>
      <c r="I873" s="164"/>
    </row>
    <row r="874" spans="2:9" x14ac:dyDescent="0.35">
      <c r="B874" s="145"/>
      <c r="C874" s="14"/>
      <c r="D874" s="15"/>
      <c r="E874" s="18"/>
      <c r="F874" s="26"/>
      <c r="G874" s="17"/>
      <c r="H874" s="17"/>
      <c r="I874" s="164"/>
    </row>
    <row r="875" spans="2:9" x14ac:dyDescent="0.35">
      <c r="B875" s="145"/>
      <c r="C875" s="14"/>
      <c r="D875" s="15"/>
      <c r="E875" s="18"/>
      <c r="F875" s="26"/>
      <c r="G875" s="17"/>
      <c r="H875" s="17"/>
      <c r="I875" s="164"/>
    </row>
    <row r="876" spans="2:9" x14ac:dyDescent="0.35">
      <c r="B876" s="145"/>
      <c r="C876" s="14"/>
      <c r="D876" s="15"/>
      <c r="E876" s="18"/>
      <c r="F876" s="26"/>
      <c r="G876" s="17"/>
      <c r="H876" s="17"/>
      <c r="I876" s="164"/>
    </row>
    <row r="877" spans="2:9" x14ac:dyDescent="0.35">
      <c r="B877" s="145"/>
      <c r="C877" s="14"/>
      <c r="D877" s="15"/>
      <c r="E877" s="18"/>
      <c r="F877" s="26"/>
      <c r="G877" s="17"/>
      <c r="H877" s="17"/>
      <c r="I877" s="164"/>
    </row>
    <row r="878" spans="2:9" x14ac:dyDescent="0.35">
      <c r="B878" s="145"/>
      <c r="C878" s="14"/>
      <c r="D878" s="15"/>
      <c r="E878" s="18"/>
      <c r="F878" s="26"/>
      <c r="G878" s="17"/>
      <c r="H878" s="17"/>
      <c r="I878" s="164"/>
    </row>
    <row r="879" spans="2:9" x14ac:dyDescent="0.35">
      <c r="B879" s="145"/>
      <c r="C879" s="14"/>
      <c r="D879" s="15"/>
      <c r="E879" s="18"/>
      <c r="F879" s="26"/>
      <c r="G879" s="17"/>
      <c r="H879" s="17"/>
      <c r="I879" s="164"/>
    </row>
    <row r="880" spans="2:9" x14ac:dyDescent="0.35">
      <c r="B880" s="145"/>
      <c r="C880" s="14"/>
      <c r="D880" s="15"/>
      <c r="E880" s="18"/>
      <c r="F880" s="26"/>
      <c r="G880" s="17"/>
      <c r="H880" s="17"/>
      <c r="I880" s="164"/>
    </row>
    <row r="881" spans="2:9" x14ac:dyDescent="0.35">
      <c r="B881" s="145"/>
      <c r="C881" s="14"/>
      <c r="D881" s="15"/>
      <c r="E881" s="18"/>
      <c r="F881" s="26"/>
      <c r="G881" s="17"/>
      <c r="H881" s="17"/>
      <c r="I881" s="164"/>
    </row>
    <row r="882" spans="2:9" x14ac:dyDescent="0.35">
      <c r="B882" s="145"/>
      <c r="C882" s="14"/>
      <c r="D882" s="15"/>
      <c r="E882" s="18"/>
      <c r="F882" s="26"/>
      <c r="G882" s="17"/>
      <c r="H882" s="17"/>
      <c r="I882" s="164"/>
    </row>
    <row r="883" spans="2:9" x14ac:dyDescent="0.35">
      <c r="B883" s="145"/>
      <c r="C883" s="14"/>
      <c r="D883" s="15"/>
      <c r="E883" s="18"/>
      <c r="F883" s="26"/>
      <c r="G883" s="17"/>
      <c r="H883" s="17"/>
      <c r="I883" s="164"/>
    </row>
    <row r="884" spans="2:9" x14ac:dyDescent="0.35">
      <c r="B884" s="145"/>
      <c r="C884" s="14"/>
      <c r="D884" s="15"/>
      <c r="E884" s="18"/>
      <c r="F884" s="26"/>
      <c r="G884" s="17"/>
      <c r="H884" s="17"/>
      <c r="I884" s="164"/>
    </row>
    <row r="885" spans="2:9" x14ac:dyDescent="0.35">
      <c r="B885" s="145"/>
      <c r="C885" s="14"/>
      <c r="D885" s="15"/>
      <c r="E885" s="18"/>
      <c r="F885" s="26"/>
      <c r="G885" s="17"/>
      <c r="H885" s="17"/>
      <c r="I885" s="164"/>
    </row>
    <row r="886" spans="2:9" x14ac:dyDescent="0.35">
      <c r="B886" s="145"/>
      <c r="C886" s="14"/>
      <c r="D886" s="15"/>
      <c r="E886" s="18"/>
      <c r="F886" s="26"/>
      <c r="G886" s="17"/>
      <c r="H886" s="17"/>
      <c r="I886" s="164"/>
    </row>
    <row r="887" spans="2:9" x14ac:dyDescent="0.35">
      <c r="B887" s="145"/>
      <c r="C887" s="14"/>
      <c r="D887" s="15"/>
      <c r="E887" s="18"/>
      <c r="F887" s="26"/>
      <c r="G887" s="17"/>
      <c r="H887" s="17"/>
      <c r="I887" s="164"/>
    </row>
    <row r="888" spans="2:9" x14ac:dyDescent="0.35">
      <c r="B888" s="145"/>
      <c r="C888" s="14"/>
      <c r="D888" s="15"/>
      <c r="E888" s="18"/>
      <c r="F888" s="26"/>
      <c r="G888" s="17"/>
      <c r="H888" s="17"/>
      <c r="I888" s="164"/>
    </row>
    <row r="889" spans="2:9" x14ac:dyDescent="0.35">
      <c r="B889" s="145"/>
      <c r="C889" s="14"/>
      <c r="D889" s="15"/>
      <c r="E889" s="18"/>
      <c r="F889" s="26"/>
      <c r="G889" s="17"/>
      <c r="H889" s="17"/>
      <c r="I889" s="164"/>
    </row>
    <row r="890" spans="2:9" x14ac:dyDescent="0.35">
      <c r="B890" s="145"/>
      <c r="C890" s="14"/>
      <c r="D890" s="15"/>
      <c r="E890" s="18"/>
      <c r="F890" s="26"/>
      <c r="G890" s="17"/>
      <c r="H890" s="17"/>
      <c r="I890" s="164"/>
    </row>
    <row r="891" spans="2:9" x14ac:dyDescent="0.35">
      <c r="B891" s="145"/>
      <c r="C891" s="14"/>
      <c r="D891" s="15"/>
      <c r="E891" s="18"/>
      <c r="F891" s="26"/>
      <c r="G891" s="17"/>
      <c r="H891" s="17"/>
      <c r="I891" s="164"/>
    </row>
    <row r="892" spans="2:9" x14ac:dyDescent="0.35">
      <c r="B892" s="145"/>
      <c r="C892" s="14"/>
      <c r="D892" s="15"/>
      <c r="E892" s="18"/>
      <c r="F892" s="26"/>
      <c r="G892" s="17"/>
      <c r="H892" s="17"/>
      <c r="I892" s="164"/>
    </row>
    <row r="893" spans="2:9" x14ac:dyDescent="0.35">
      <c r="B893" s="145"/>
      <c r="C893" s="14"/>
      <c r="D893" s="15"/>
      <c r="E893" s="18"/>
      <c r="F893" s="26"/>
      <c r="G893" s="17"/>
      <c r="H893" s="17"/>
      <c r="I893" s="164"/>
    </row>
    <row r="894" spans="2:9" x14ac:dyDescent="0.35">
      <c r="B894" s="145"/>
      <c r="C894" s="14"/>
      <c r="D894" s="15"/>
      <c r="E894" s="18"/>
      <c r="F894" s="26"/>
      <c r="G894" s="17"/>
      <c r="H894" s="17"/>
      <c r="I894" s="164"/>
    </row>
    <row r="895" spans="2:9" x14ac:dyDescent="0.35">
      <c r="B895" s="145"/>
      <c r="C895" s="14"/>
      <c r="D895" s="15"/>
      <c r="E895" s="18"/>
      <c r="F895" s="26"/>
      <c r="G895" s="17"/>
      <c r="H895" s="17"/>
      <c r="I895" s="164"/>
    </row>
    <row r="896" spans="2:9" x14ac:dyDescent="0.35">
      <c r="B896" s="145"/>
      <c r="C896" s="14"/>
      <c r="D896" s="15"/>
      <c r="E896" s="18"/>
      <c r="F896" s="26"/>
      <c r="G896" s="17"/>
      <c r="H896" s="17"/>
      <c r="I896" s="164"/>
    </row>
    <row r="897" spans="2:9" x14ac:dyDescent="0.35">
      <c r="B897" s="145"/>
      <c r="C897" s="14"/>
      <c r="D897" s="15"/>
      <c r="E897" s="18"/>
      <c r="F897" s="26"/>
      <c r="G897" s="17"/>
      <c r="H897" s="17"/>
      <c r="I897" s="164"/>
    </row>
    <row r="898" spans="2:9" x14ac:dyDescent="0.35">
      <c r="B898" s="145"/>
      <c r="C898" s="14"/>
      <c r="D898" s="15"/>
      <c r="E898" s="18"/>
      <c r="F898" s="26"/>
      <c r="G898" s="17"/>
      <c r="H898" s="17"/>
      <c r="I898" s="164"/>
    </row>
    <row r="899" spans="2:9" x14ac:dyDescent="0.35">
      <c r="B899" s="145"/>
      <c r="C899" s="14"/>
      <c r="D899" s="15"/>
      <c r="E899" s="18"/>
      <c r="F899" s="26"/>
      <c r="G899" s="17"/>
      <c r="H899" s="17"/>
      <c r="I899" s="164"/>
    </row>
    <row r="900" spans="2:9" x14ac:dyDescent="0.35">
      <c r="B900" s="145"/>
      <c r="C900" s="14"/>
      <c r="D900" s="15"/>
      <c r="E900" s="18"/>
      <c r="F900" s="26"/>
      <c r="G900" s="17"/>
      <c r="H900" s="17"/>
      <c r="I900" s="164"/>
    </row>
    <row r="901" spans="2:9" x14ac:dyDescent="0.35">
      <c r="B901" s="145"/>
      <c r="C901" s="14"/>
      <c r="D901" s="15"/>
      <c r="E901" s="18"/>
      <c r="F901" s="26"/>
      <c r="G901" s="17"/>
      <c r="H901" s="17"/>
      <c r="I901" s="164"/>
    </row>
    <row r="902" spans="2:9" x14ac:dyDescent="0.35">
      <c r="B902" s="145"/>
      <c r="C902" s="14"/>
      <c r="D902" s="15"/>
      <c r="E902" s="18"/>
      <c r="F902" s="26"/>
      <c r="G902" s="17"/>
      <c r="H902" s="17"/>
      <c r="I902" s="164"/>
    </row>
    <row r="903" spans="2:9" x14ac:dyDescent="0.35">
      <c r="B903" s="145"/>
      <c r="C903" s="14"/>
      <c r="D903" s="15"/>
      <c r="E903" s="18"/>
      <c r="F903" s="26"/>
      <c r="G903" s="17"/>
      <c r="H903" s="17"/>
      <c r="I903" s="164"/>
    </row>
    <row r="904" spans="2:9" x14ac:dyDescent="0.35">
      <c r="B904" s="145"/>
      <c r="C904" s="14"/>
      <c r="D904" s="15"/>
      <c r="E904" s="18"/>
      <c r="F904" s="26"/>
      <c r="G904" s="17"/>
      <c r="H904" s="17"/>
      <c r="I904" s="164"/>
    </row>
    <row r="905" spans="2:9" x14ac:dyDescent="0.35">
      <c r="B905" s="145"/>
      <c r="C905" s="14"/>
      <c r="D905" s="15"/>
      <c r="E905" s="18"/>
      <c r="F905" s="26"/>
      <c r="G905" s="17"/>
      <c r="H905" s="17"/>
      <c r="I905" s="164"/>
    </row>
    <row r="906" spans="2:9" x14ac:dyDescent="0.35">
      <c r="B906" s="145"/>
      <c r="C906" s="14"/>
      <c r="D906" s="15"/>
      <c r="E906" s="18"/>
      <c r="F906" s="26"/>
      <c r="G906" s="17"/>
      <c r="H906" s="17"/>
      <c r="I906" s="164"/>
    </row>
    <row r="907" spans="2:9" x14ac:dyDescent="0.35">
      <c r="B907" s="145"/>
      <c r="C907" s="14"/>
      <c r="D907" s="15"/>
      <c r="E907" s="18"/>
      <c r="F907" s="26"/>
      <c r="G907" s="17"/>
      <c r="H907" s="17"/>
      <c r="I907" s="164"/>
    </row>
    <row r="908" spans="2:9" x14ac:dyDescent="0.35">
      <c r="B908" s="145"/>
      <c r="C908" s="14"/>
      <c r="D908" s="15"/>
      <c r="E908" s="18"/>
      <c r="F908" s="26"/>
      <c r="G908" s="17"/>
      <c r="H908" s="17"/>
      <c r="I908" s="164"/>
    </row>
    <row r="909" spans="2:9" x14ac:dyDescent="0.35">
      <c r="B909" s="145"/>
      <c r="C909" s="14"/>
      <c r="D909" s="15"/>
      <c r="E909" s="18"/>
      <c r="F909" s="26"/>
      <c r="G909" s="17"/>
      <c r="H909" s="17"/>
      <c r="I909" s="164"/>
    </row>
    <row r="910" spans="2:9" x14ac:dyDescent="0.35">
      <c r="B910" s="145"/>
      <c r="C910" s="14"/>
      <c r="D910" s="15"/>
      <c r="E910" s="18"/>
      <c r="F910" s="26"/>
      <c r="G910" s="17"/>
      <c r="H910" s="17"/>
      <c r="I910" s="164"/>
    </row>
    <row r="911" spans="2:9" x14ac:dyDescent="0.35">
      <c r="B911" s="145"/>
      <c r="C911" s="14"/>
      <c r="D911" s="15"/>
      <c r="E911" s="18"/>
      <c r="F911" s="26"/>
      <c r="G911" s="17"/>
      <c r="H911" s="17"/>
      <c r="I911" s="164"/>
    </row>
    <row r="912" spans="2:9" x14ac:dyDescent="0.35">
      <c r="B912" s="145"/>
      <c r="C912" s="14"/>
      <c r="D912" s="15"/>
      <c r="E912" s="18"/>
      <c r="F912" s="26"/>
      <c r="G912" s="17"/>
      <c r="H912" s="17"/>
      <c r="I912" s="164"/>
    </row>
    <row r="913" spans="2:9" x14ac:dyDescent="0.35">
      <c r="B913" s="145"/>
      <c r="C913" s="14"/>
      <c r="D913" s="15"/>
      <c r="E913" s="18"/>
      <c r="F913" s="26"/>
      <c r="G913" s="17"/>
      <c r="H913" s="17"/>
      <c r="I913" s="164"/>
    </row>
    <row r="914" spans="2:9" x14ac:dyDescent="0.35">
      <c r="B914" s="145"/>
      <c r="C914" s="14"/>
      <c r="D914" s="15"/>
      <c r="E914" s="18"/>
      <c r="F914" s="26"/>
      <c r="G914" s="17"/>
      <c r="H914" s="17"/>
      <c r="I914" s="164"/>
    </row>
    <row r="915" spans="2:9" x14ac:dyDescent="0.35">
      <c r="B915" s="145"/>
      <c r="C915" s="14"/>
      <c r="D915" s="15"/>
      <c r="E915" s="18"/>
      <c r="F915" s="26"/>
      <c r="G915" s="17"/>
      <c r="H915" s="17"/>
      <c r="I915" s="164"/>
    </row>
    <row r="916" spans="2:9" x14ac:dyDescent="0.35">
      <c r="B916" s="145"/>
      <c r="C916" s="14"/>
      <c r="D916" s="15"/>
      <c r="E916" s="18"/>
      <c r="F916" s="26"/>
      <c r="G916" s="17"/>
      <c r="H916" s="17"/>
      <c r="I916" s="164"/>
    </row>
    <row r="917" spans="2:9" x14ac:dyDescent="0.35">
      <c r="B917" s="145"/>
      <c r="C917" s="14"/>
      <c r="D917" s="15"/>
      <c r="E917" s="18"/>
      <c r="F917" s="26"/>
      <c r="G917" s="17"/>
      <c r="H917" s="17"/>
      <c r="I917" s="164"/>
    </row>
    <row r="918" spans="2:9" x14ac:dyDescent="0.35">
      <c r="B918" s="145"/>
      <c r="C918" s="14"/>
      <c r="D918" s="15"/>
      <c r="E918" s="18"/>
      <c r="F918" s="26"/>
      <c r="G918" s="17"/>
      <c r="H918" s="17"/>
      <c r="I918" s="164"/>
    </row>
    <row r="919" spans="2:9" x14ac:dyDescent="0.35">
      <c r="B919" s="145"/>
      <c r="C919" s="14"/>
      <c r="D919" s="15"/>
      <c r="E919" s="18"/>
      <c r="F919" s="26"/>
      <c r="G919" s="17"/>
      <c r="H919" s="17"/>
      <c r="I919" s="164"/>
    </row>
    <row r="920" spans="2:9" x14ac:dyDescent="0.35">
      <c r="B920" s="145"/>
      <c r="C920" s="14"/>
      <c r="D920" s="15"/>
      <c r="E920" s="18"/>
      <c r="F920" s="26"/>
      <c r="G920" s="17"/>
      <c r="H920" s="17"/>
      <c r="I920" s="164"/>
    </row>
    <row r="921" spans="2:9" x14ac:dyDescent="0.35">
      <c r="B921" s="145"/>
      <c r="C921" s="14"/>
      <c r="D921" s="15"/>
      <c r="E921" s="18"/>
      <c r="F921" s="26"/>
      <c r="G921" s="17"/>
      <c r="H921" s="17"/>
      <c r="I921" s="164"/>
    </row>
    <row r="922" spans="2:9" x14ac:dyDescent="0.35">
      <c r="B922" s="145"/>
      <c r="C922" s="14"/>
      <c r="D922" s="15"/>
      <c r="E922" s="18"/>
      <c r="F922" s="26"/>
      <c r="G922" s="17"/>
      <c r="H922" s="17"/>
      <c r="I922" s="164"/>
    </row>
    <row r="923" spans="2:9" x14ac:dyDescent="0.35">
      <c r="B923" s="145"/>
      <c r="C923" s="14"/>
      <c r="D923" s="15"/>
      <c r="E923" s="18"/>
      <c r="F923" s="26"/>
      <c r="G923" s="17"/>
      <c r="H923" s="17"/>
      <c r="I923" s="164"/>
    </row>
    <row r="924" spans="2:9" x14ac:dyDescent="0.35">
      <c r="B924" s="145"/>
      <c r="C924" s="14"/>
      <c r="D924" s="15"/>
      <c r="E924" s="18"/>
      <c r="F924" s="26"/>
      <c r="G924" s="17"/>
      <c r="H924" s="17"/>
      <c r="I924" s="164"/>
    </row>
    <row r="925" spans="2:9" x14ac:dyDescent="0.35">
      <c r="B925" s="145"/>
      <c r="C925" s="14"/>
      <c r="D925" s="15"/>
      <c r="E925" s="18"/>
      <c r="F925" s="26"/>
      <c r="G925" s="17"/>
      <c r="H925" s="17"/>
      <c r="I925" s="164"/>
    </row>
    <row r="926" spans="2:9" x14ac:dyDescent="0.35">
      <c r="B926" s="145"/>
      <c r="C926" s="14"/>
      <c r="D926" s="15"/>
      <c r="E926" s="18"/>
      <c r="F926" s="26"/>
      <c r="G926" s="17"/>
      <c r="H926" s="17"/>
      <c r="I926" s="164"/>
    </row>
    <row r="927" spans="2:9" x14ac:dyDescent="0.35">
      <c r="B927" s="145"/>
      <c r="C927" s="14"/>
      <c r="D927" s="15"/>
      <c r="E927" s="18"/>
      <c r="F927" s="26"/>
      <c r="G927" s="17"/>
      <c r="H927" s="17"/>
      <c r="I927" s="164"/>
    </row>
    <row r="928" spans="2:9" x14ac:dyDescent="0.35">
      <c r="B928" s="145"/>
      <c r="C928" s="14"/>
      <c r="D928" s="15"/>
      <c r="E928" s="18"/>
      <c r="F928" s="26"/>
      <c r="G928" s="17"/>
      <c r="H928" s="17"/>
      <c r="I928" s="164"/>
    </row>
    <row r="929" spans="2:9" x14ac:dyDescent="0.35">
      <c r="B929" s="145"/>
      <c r="C929" s="14"/>
      <c r="D929" s="15"/>
      <c r="E929" s="18"/>
      <c r="F929" s="26"/>
      <c r="G929" s="17"/>
      <c r="H929" s="17"/>
      <c r="I929" s="164"/>
    </row>
    <row r="930" spans="2:9" x14ac:dyDescent="0.35">
      <c r="B930" s="145"/>
      <c r="C930" s="14"/>
      <c r="D930" s="15"/>
      <c r="E930" s="18"/>
      <c r="F930" s="26"/>
      <c r="G930" s="17"/>
      <c r="H930" s="17"/>
      <c r="I930" s="164"/>
    </row>
    <row r="931" spans="2:9" x14ac:dyDescent="0.35">
      <c r="B931" s="145"/>
      <c r="C931" s="14"/>
      <c r="D931" s="15"/>
      <c r="E931" s="18"/>
      <c r="F931" s="26"/>
      <c r="G931" s="17"/>
      <c r="H931" s="17"/>
      <c r="I931" s="164"/>
    </row>
    <row r="932" spans="2:9" x14ac:dyDescent="0.35">
      <c r="B932" s="145"/>
      <c r="C932" s="14"/>
      <c r="D932" s="15"/>
      <c r="E932" s="18"/>
      <c r="F932" s="26"/>
      <c r="G932" s="17"/>
      <c r="H932" s="17"/>
      <c r="I932" s="164"/>
    </row>
    <row r="933" spans="2:9" x14ac:dyDescent="0.35">
      <c r="B933" s="145"/>
      <c r="C933" s="14"/>
      <c r="D933" s="15"/>
      <c r="E933" s="18"/>
      <c r="F933" s="26"/>
      <c r="G933" s="17"/>
      <c r="H933" s="17"/>
      <c r="I933" s="164"/>
    </row>
    <row r="934" spans="2:9" x14ac:dyDescent="0.35">
      <c r="B934" s="145"/>
      <c r="C934" s="14"/>
      <c r="D934" s="15"/>
      <c r="E934" s="18"/>
      <c r="F934" s="26"/>
      <c r="G934" s="17"/>
      <c r="H934" s="17"/>
      <c r="I934" s="164"/>
    </row>
    <row r="935" spans="2:9" x14ac:dyDescent="0.35">
      <c r="B935" s="145"/>
      <c r="C935" s="14"/>
      <c r="D935" s="15"/>
      <c r="E935" s="18"/>
      <c r="F935" s="26"/>
      <c r="G935" s="17"/>
      <c r="H935" s="17"/>
      <c r="I935" s="164"/>
    </row>
    <row r="936" spans="2:9" x14ac:dyDescent="0.35">
      <c r="B936" s="145"/>
      <c r="C936" s="14"/>
      <c r="D936" s="15"/>
      <c r="E936" s="18"/>
      <c r="F936" s="26"/>
      <c r="G936" s="17"/>
      <c r="H936" s="17"/>
      <c r="I936" s="164"/>
    </row>
    <row r="937" spans="2:9" x14ac:dyDescent="0.35">
      <c r="B937" s="145"/>
      <c r="C937" s="14"/>
      <c r="D937" s="15"/>
      <c r="E937" s="18"/>
      <c r="F937" s="26"/>
      <c r="G937" s="17"/>
      <c r="H937" s="17"/>
      <c r="I937" s="164"/>
    </row>
    <row r="938" spans="2:9" x14ac:dyDescent="0.35">
      <c r="B938" s="145"/>
      <c r="C938" s="14"/>
      <c r="D938" s="15"/>
      <c r="E938" s="18"/>
      <c r="F938" s="26"/>
      <c r="G938" s="17"/>
      <c r="H938" s="17"/>
      <c r="I938" s="164"/>
    </row>
    <row r="939" spans="2:9" x14ac:dyDescent="0.35">
      <c r="B939" s="145"/>
      <c r="C939" s="14"/>
      <c r="D939" s="15"/>
      <c r="E939" s="18"/>
      <c r="F939" s="26"/>
      <c r="G939" s="17"/>
      <c r="H939" s="17"/>
      <c r="I939" s="164"/>
    </row>
    <row r="940" spans="2:9" x14ac:dyDescent="0.35">
      <c r="B940" s="145"/>
      <c r="C940" s="14"/>
      <c r="D940" s="15"/>
      <c r="E940" s="18"/>
      <c r="F940" s="26"/>
      <c r="G940" s="17"/>
      <c r="H940" s="17"/>
      <c r="I940" s="164"/>
    </row>
    <row r="941" spans="2:9" x14ac:dyDescent="0.35">
      <c r="B941" s="145"/>
      <c r="C941" s="14"/>
      <c r="D941" s="15"/>
      <c r="E941" s="18"/>
      <c r="F941" s="26"/>
      <c r="G941" s="17"/>
      <c r="H941" s="17"/>
      <c r="I941" s="164"/>
    </row>
    <row r="942" spans="2:9" x14ac:dyDescent="0.35">
      <c r="B942" s="145"/>
      <c r="C942" s="14"/>
      <c r="D942" s="15"/>
      <c r="E942" s="18"/>
      <c r="F942" s="26"/>
      <c r="G942" s="17"/>
      <c r="H942" s="17"/>
      <c r="I942" s="164"/>
    </row>
    <row r="943" spans="2:9" x14ac:dyDescent="0.35">
      <c r="B943" s="145"/>
      <c r="C943" s="14"/>
      <c r="D943" s="15"/>
      <c r="E943" s="18"/>
      <c r="F943" s="26"/>
      <c r="G943" s="17"/>
      <c r="H943" s="17"/>
      <c r="I943" s="164"/>
    </row>
    <row r="944" spans="2:9" x14ac:dyDescent="0.35">
      <c r="B944" s="145"/>
      <c r="C944" s="14"/>
      <c r="D944" s="15"/>
      <c r="E944" s="18"/>
      <c r="F944" s="26"/>
      <c r="G944" s="17"/>
      <c r="H944" s="17"/>
      <c r="I944" s="164"/>
    </row>
    <row r="945" spans="2:9" x14ac:dyDescent="0.35">
      <c r="B945" s="145"/>
      <c r="C945" s="14"/>
      <c r="D945" s="15"/>
      <c r="E945" s="18"/>
      <c r="F945" s="26"/>
      <c r="G945" s="17"/>
      <c r="H945" s="17"/>
      <c r="I945" s="164"/>
    </row>
    <row r="946" spans="2:9" x14ac:dyDescent="0.35">
      <c r="B946" s="145"/>
      <c r="C946" s="14"/>
      <c r="D946" s="15"/>
      <c r="E946" s="18"/>
      <c r="F946" s="26"/>
      <c r="G946" s="17"/>
      <c r="H946" s="17"/>
      <c r="I946" s="164"/>
    </row>
    <row r="947" spans="2:9" x14ac:dyDescent="0.35">
      <c r="B947" s="145"/>
      <c r="C947" s="14"/>
      <c r="D947" s="15"/>
      <c r="E947" s="18"/>
      <c r="F947" s="26"/>
      <c r="G947" s="17"/>
      <c r="H947" s="17"/>
      <c r="I947" s="164"/>
    </row>
    <row r="948" spans="2:9" x14ac:dyDescent="0.35">
      <c r="B948" s="145"/>
      <c r="C948" s="14"/>
      <c r="D948" s="15"/>
      <c r="E948" s="18"/>
      <c r="F948" s="26"/>
      <c r="G948" s="17"/>
      <c r="H948" s="17"/>
      <c r="I948" s="164"/>
    </row>
    <row r="949" spans="2:9" x14ac:dyDescent="0.35">
      <c r="B949" s="145"/>
      <c r="C949" s="14"/>
      <c r="D949" s="15"/>
      <c r="E949" s="18"/>
      <c r="F949" s="26"/>
      <c r="G949" s="17"/>
      <c r="H949" s="17"/>
      <c r="I949" s="164"/>
    </row>
    <row r="950" spans="2:9" x14ac:dyDescent="0.35">
      <c r="B950" s="145"/>
      <c r="C950" s="14"/>
      <c r="D950" s="15"/>
      <c r="E950" s="18"/>
      <c r="F950" s="26"/>
      <c r="G950" s="17"/>
      <c r="H950" s="17"/>
      <c r="I950" s="164"/>
    </row>
    <row r="951" spans="2:9" x14ac:dyDescent="0.35">
      <c r="B951" s="145"/>
      <c r="C951" s="14"/>
      <c r="D951" s="15"/>
      <c r="E951" s="18"/>
      <c r="F951" s="26"/>
      <c r="G951" s="17"/>
      <c r="H951" s="17"/>
      <c r="I951" s="164"/>
    </row>
    <row r="952" spans="2:9" x14ac:dyDescent="0.35">
      <c r="B952" s="145"/>
      <c r="C952" s="14"/>
      <c r="D952" s="15"/>
      <c r="E952" s="18"/>
      <c r="F952" s="26"/>
      <c r="G952" s="17"/>
      <c r="H952" s="17"/>
      <c r="I952" s="164"/>
    </row>
    <row r="953" spans="2:9" x14ac:dyDescent="0.35">
      <c r="B953" s="145"/>
      <c r="C953" s="14"/>
      <c r="D953" s="15"/>
      <c r="E953" s="18"/>
      <c r="F953" s="26"/>
      <c r="G953" s="17"/>
      <c r="H953" s="17"/>
      <c r="I953" s="164"/>
    </row>
    <row r="954" spans="2:9" x14ac:dyDescent="0.35">
      <c r="B954" s="145"/>
      <c r="C954" s="14"/>
      <c r="D954" s="15"/>
      <c r="E954" s="18"/>
      <c r="F954" s="26"/>
      <c r="G954" s="17"/>
      <c r="H954" s="17"/>
      <c r="I954" s="164"/>
    </row>
    <row r="955" spans="2:9" x14ac:dyDescent="0.35">
      <c r="B955" s="145"/>
      <c r="C955" s="14"/>
      <c r="D955" s="15"/>
      <c r="E955" s="18"/>
      <c r="F955" s="26"/>
      <c r="G955" s="17"/>
      <c r="H955" s="17"/>
      <c r="I955" s="164"/>
    </row>
    <row r="956" spans="2:9" x14ac:dyDescent="0.35">
      <c r="B956" s="145"/>
      <c r="C956" s="14"/>
      <c r="D956" s="15"/>
      <c r="E956" s="18"/>
      <c r="F956" s="26"/>
      <c r="G956" s="17"/>
      <c r="H956" s="17"/>
      <c r="I956" s="164"/>
    </row>
    <row r="957" spans="2:9" x14ac:dyDescent="0.35">
      <c r="B957" s="145"/>
      <c r="C957" s="14"/>
      <c r="D957" s="15"/>
      <c r="E957" s="18"/>
      <c r="F957" s="26"/>
      <c r="G957" s="17"/>
      <c r="H957" s="17"/>
      <c r="I957" s="164"/>
    </row>
    <row r="958" spans="2:9" x14ac:dyDescent="0.35">
      <c r="B958" s="145"/>
      <c r="C958" s="14"/>
      <c r="D958" s="15"/>
      <c r="E958" s="18"/>
      <c r="F958" s="26"/>
      <c r="G958" s="17"/>
      <c r="H958" s="17"/>
      <c r="I958" s="164"/>
    </row>
    <row r="959" spans="2:9" x14ac:dyDescent="0.35">
      <c r="B959" s="145"/>
      <c r="C959" s="14"/>
      <c r="D959" s="15"/>
      <c r="E959" s="18"/>
      <c r="F959" s="26"/>
      <c r="G959" s="17"/>
      <c r="H959" s="17"/>
      <c r="I959" s="164"/>
    </row>
    <row r="960" spans="2:9" x14ac:dyDescent="0.35">
      <c r="B960" s="145"/>
      <c r="C960" s="14"/>
      <c r="D960" s="15"/>
      <c r="E960" s="18"/>
      <c r="F960" s="26"/>
      <c r="G960" s="17"/>
      <c r="H960" s="17"/>
      <c r="I960" s="164"/>
    </row>
    <row r="961" spans="2:9" x14ac:dyDescent="0.35">
      <c r="B961" s="145"/>
      <c r="C961" s="14"/>
      <c r="D961" s="15"/>
      <c r="E961" s="18"/>
      <c r="F961" s="26"/>
      <c r="G961" s="17"/>
      <c r="H961" s="17"/>
      <c r="I961" s="164"/>
    </row>
    <row r="962" spans="2:9" x14ac:dyDescent="0.35">
      <c r="B962" s="145"/>
      <c r="C962" s="14"/>
      <c r="D962" s="15"/>
      <c r="E962" s="18"/>
      <c r="F962" s="26"/>
      <c r="G962" s="17"/>
      <c r="H962" s="17"/>
      <c r="I962" s="164"/>
    </row>
    <row r="963" spans="2:9" x14ac:dyDescent="0.35">
      <c r="B963" s="145"/>
      <c r="C963" s="14"/>
      <c r="D963" s="15"/>
      <c r="E963" s="18"/>
      <c r="F963" s="26"/>
      <c r="G963" s="17"/>
      <c r="H963" s="17"/>
      <c r="I963" s="164"/>
    </row>
    <row r="964" spans="2:9" x14ac:dyDescent="0.35">
      <c r="B964" s="145"/>
      <c r="C964" s="14"/>
      <c r="D964" s="15"/>
      <c r="E964" s="18"/>
      <c r="F964" s="26"/>
      <c r="G964" s="17"/>
      <c r="H964" s="17"/>
      <c r="I964" s="164"/>
    </row>
    <row r="965" spans="2:9" x14ac:dyDescent="0.35">
      <c r="B965" s="145"/>
      <c r="C965" s="14"/>
      <c r="D965" s="15"/>
      <c r="E965" s="18"/>
      <c r="F965" s="26"/>
      <c r="G965" s="17"/>
      <c r="H965" s="17"/>
      <c r="I965" s="164"/>
    </row>
    <row r="966" spans="2:9" x14ac:dyDescent="0.35">
      <c r="B966" s="145"/>
      <c r="C966" s="14"/>
      <c r="D966" s="15"/>
      <c r="E966" s="18"/>
      <c r="F966" s="26"/>
      <c r="G966" s="17"/>
      <c r="H966" s="17"/>
      <c r="I966" s="164"/>
    </row>
    <row r="967" spans="2:9" x14ac:dyDescent="0.35">
      <c r="B967" s="145"/>
      <c r="C967" s="14"/>
      <c r="D967" s="15"/>
      <c r="E967" s="18"/>
      <c r="F967" s="26"/>
      <c r="G967" s="17"/>
      <c r="H967" s="17"/>
      <c r="I967" s="164"/>
    </row>
    <row r="968" spans="2:9" x14ac:dyDescent="0.35">
      <c r="B968" s="145"/>
      <c r="C968" s="14"/>
      <c r="D968" s="15"/>
      <c r="E968" s="18"/>
      <c r="F968" s="26"/>
      <c r="G968" s="17"/>
      <c r="H968" s="17"/>
      <c r="I968" s="164"/>
    </row>
    <row r="969" spans="2:9" x14ac:dyDescent="0.35">
      <c r="B969" s="145"/>
      <c r="C969" s="14"/>
      <c r="D969" s="15"/>
      <c r="E969" s="18"/>
      <c r="F969" s="26"/>
      <c r="G969" s="17"/>
      <c r="H969" s="17"/>
      <c r="I969" s="164"/>
    </row>
    <row r="970" spans="2:9" x14ac:dyDescent="0.35">
      <c r="B970" s="145"/>
      <c r="C970" s="14"/>
      <c r="D970" s="15"/>
      <c r="E970" s="18"/>
      <c r="F970" s="26"/>
      <c r="G970" s="17"/>
      <c r="H970" s="17"/>
      <c r="I970" s="164"/>
    </row>
    <row r="971" spans="2:9" x14ac:dyDescent="0.35">
      <c r="B971" s="145"/>
      <c r="C971" s="14"/>
      <c r="D971" s="15"/>
      <c r="E971" s="18"/>
      <c r="F971" s="26"/>
      <c r="G971" s="17"/>
      <c r="H971" s="17"/>
      <c r="I971" s="164"/>
    </row>
    <row r="972" spans="2:9" x14ac:dyDescent="0.35">
      <c r="B972" s="145"/>
      <c r="C972" s="14"/>
      <c r="D972" s="15"/>
      <c r="E972" s="18"/>
      <c r="F972" s="26"/>
      <c r="G972" s="17"/>
      <c r="H972" s="17"/>
      <c r="I972" s="164"/>
    </row>
    <row r="973" spans="2:9" x14ac:dyDescent="0.35">
      <c r="B973" s="145"/>
      <c r="C973" s="14"/>
      <c r="D973" s="15"/>
      <c r="E973" s="18"/>
      <c r="F973" s="26"/>
      <c r="G973" s="17"/>
      <c r="H973" s="17"/>
      <c r="I973" s="164"/>
    </row>
    <row r="974" spans="2:9" x14ac:dyDescent="0.35">
      <c r="B974" s="145"/>
      <c r="C974" s="14"/>
      <c r="D974" s="15"/>
      <c r="E974" s="18"/>
      <c r="F974" s="26"/>
      <c r="G974" s="17"/>
      <c r="H974" s="17"/>
      <c r="I974" s="164"/>
    </row>
    <row r="975" spans="2:9" x14ac:dyDescent="0.35">
      <c r="B975" s="145"/>
      <c r="C975" s="14"/>
      <c r="D975" s="15"/>
      <c r="E975" s="18"/>
      <c r="F975" s="26"/>
      <c r="G975" s="17"/>
      <c r="H975" s="17"/>
      <c r="I975" s="164"/>
    </row>
    <row r="976" spans="2:9" x14ac:dyDescent="0.35">
      <c r="B976" s="145"/>
      <c r="C976" s="14"/>
      <c r="D976" s="15"/>
      <c r="E976" s="18"/>
      <c r="F976" s="26"/>
      <c r="G976" s="17"/>
      <c r="H976" s="17"/>
      <c r="I976" s="164"/>
    </row>
    <row r="977" spans="2:9" x14ac:dyDescent="0.35">
      <c r="B977" s="145"/>
      <c r="C977" s="14"/>
      <c r="D977" s="15"/>
      <c r="E977" s="18"/>
      <c r="F977" s="26"/>
      <c r="G977" s="17"/>
      <c r="H977" s="17"/>
      <c r="I977" s="164"/>
    </row>
    <row r="978" spans="2:9" x14ac:dyDescent="0.35">
      <c r="B978" s="145"/>
      <c r="C978" s="14"/>
      <c r="D978" s="15"/>
      <c r="E978" s="18"/>
      <c r="F978" s="26"/>
      <c r="G978" s="17"/>
      <c r="H978" s="17"/>
      <c r="I978" s="164"/>
    </row>
    <row r="979" spans="2:9" x14ac:dyDescent="0.35">
      <c r="B979" s="145"/>
      <c r="C979" s="14"/>
      <c r="D979" s="15"/>
      <c r="E979" s="18"/>
      <c r="F979" s="26"/>
      <c r="G979" s="17"/>
      <c r="H979" s="17"/>
      <c r="I979" s="164"/>
    </row>
    <row r="980" spans="2:9" x14ac:dyDescent="0.35">
      <c r="B980" s="145"/>
      <c r="C980" s="14"/>
      <c r="D980" s="15"/>
      <c r="E980" s="18"/>
      <c r="F980" s="26"/>
      <c r="G980" s="17"/>
      <c r="H980" s="17"/>
      <c r="I980" s="164"/>
    </row>
    <row r="981" spans="2:9" x14ac:dyDescent="0.35">
      <c r="B981" s="145"/>
      <c r="C981" s="14"/>
      <c r="D981" s="15"/>
      <c r="E981" s="18"/>
      <c r="F981" s="26"/>
      <c r="G981" s="17"/>
      <c r="H981" s="17"/>
      <c r="I981" s="164"/>
    </row>
    <row r="982" spans="2:9" x14ac:dyDescent="0.35">
      <c r="B982" s="145"/>
      <c r="C982" s="14"/>
      <c r="D982" s="15"/>
      <c r="E982" s="18"/>
      <c r="F982" s="26"/>
      <c r="G982" s="17"/>
      <c r="H982" s="17"/>
      <c r="I982" s="164"/>
    </row>
    <row r="983" spans="2:9" x14ac:dyDescent="0.35">
      <c r="B983" s="145"/>
      <c r="C983" s="14"/>
      <c r="D983" s="15"/>
      <c r="E983" s="18"/>
      <c r="F983" s="26"/>
      <c r="G983" s="17"/>
      <c r="H983" s="17"/>
      <c r="I983" s="164"/>
    </row>
    <row r="984" spans="2:9" x14ac:dyDescent="0.35">
      <c r="B984" s="145"/>
      <c r="C984" s="14"/>
      <c r="D984" s="15"/>
      <c r="E984" s="18"/>
      <c r="F984" s="26"/>
      <c r="G984" s="17"/>
      <c r="H984" s="17"/>
      <c r="I984" s="164"/>
    </row>
    <row r="985" spans="2:9" x14ac:dyDescent="0.35">
      <c r="B985" s="145"/>
      <c r="C985" s="14"/>
      <c r="D985" s="15"/>
      <c r="E985" s="18"/>
      <c r="F985" s="26"/>
      <c r="G985" s="17"/>
      <c r="H985" s="17"/>
      <c r="I985" s="164"/>
    </row>
    <row r="986" spans="2:9" x14ac:dyDescent="0.35">
      <c r="B986" s="145"/>
      <c r="C986" s="14"/>
      <c r="D986" s="15"/>
      <c r="E986" s="18"/>
      <c r="F986" s="26"/>
      <c r="G986" s="17"/>
      <c r="H986" s="17"/>
      <c r="I986" s="164"/>
    </row>
    <row r="987" spans="2:9" x14ac:dyDescent="0.35">
      <c r="B987" s="145"/>
      <c r="C987" s="14"/>
      <c r="D987" s="15"/>
      <c r="E987" s="18"/>
      <c r="F987" s="26"/>
      <c r="G987" s="17"/>
      <c r="H987" s="17"/>
      <c r="I987" s="164"/>
    </row>
    <row r="988" spans="2:9" x14ac:dyDescent="0.35">
      <c r="B988" s="145"/>
      <c r="C988" s="14"/>
      <c r="D988" s="15"/>
      <c r="E988" s="18"/>
      <c r="F988" s="26"/>
      <c r="G988" s="17"/>
      <c r="H988" s="17"/>
      <c r="I988" s="164"/>
    </row>
    <row r="989" spans="2:9" x14ac:dyDescent="0.35">
      <c r="B989" s="145"/>
      <c r="C989" s="14"/>
      <c r="D989" s="15"/>
      <c r="E989" s="18"/>
      <c r="F989" s="26"/>
      <c r="G989" s="17"/>
      <c r="H989" s="17"/>
      <c r="I989" s="164"/>
    </row>
    <row r="990" spans="2:9" x14ac:dyDescent="0.35">
      <c r="B990" s="145"/>
      <c r="C990" s="14"/>
      <c r="D990" s="15"/>
      <c r="E990" s="18"/>
      <c r="F990" s="26"/>
      <c r="G990" s="17"/>
      <c r="H990" s="17"/>
      <c r="I990" s="164"/>
    </row>
    <row r="991" spans="2:9" x14ac:dyDescent="0.35">
      <c r="B991" s="145"/>
      <c r="C991" s="14"/>
      <c r="D991" s="15"/>
      <c r="E991" s="18"/>
      <c r="F991" s="26"/>
      <c r="G991" s="17"/>
      <c r="H991" s="17"/>
      <c r="I991" s="164"/>
    </row>
    <row r="992" spans="2:9" x14ac:dyDescent="0.35">
      <c r="B992" s="145"/>
      <c r="C992" s="14"/>
      <c r="D992" s="15"/>
      <c r="E992" s="18"/>
      <c r="F992" s="26"/>
      <c r="G992" s="17"/>
      <c r="H992" s="17"/>
      <c r="I992" s="164"/>
    </row>
    <row r="993" spans="2:9" x14ac:dyDescent="0.35">
      <c r="B993" s="145"/>
      <c r="C993" s="14"/>
      <c r="D993" s="15"/>
      <c r="E993" s="18"/>
      <c r="F993" s="26"/>
      <c r="G993" s="17"/>
      <c r="H993" s="17"/>
      <c r="I993" s="164"/>
    </row>
    <row r="994" spans="2:9" x14ac:dyDescent="0.35">
      <c r="B994" s="145"/>
      <c r="C994" s="14"/>
      <c r="D994" s="15"/>
      <c r="E994" s="18"/>
      <c r="F994" s="26"/>
      <c r="G994" s="17"/>
      <c r="H994" s="17"/>
      <c r="I994" s="164"/>
    </row>
    <row r="995" spans="2:9" x14ac:dyDescent="0.35">
      <c r="B995" s="145"/>
      <c r="C995" s="14"/>
      <c r="D995" s="15"/>
      <c r="E995" s="18"/>
      <c r="F995" s="26"/>
      <c r="G995" s="17"/>
      <c r="H995" s="17"/>
      <c r="I995" s="164"/>
    </row>
    <row r="996" spans="2:9" x14ac:dyDescent="0.35">
      <c r="B996" s="145"/>
      <c r="C996" s="14"/>
      <c r="D996" s="15"/>
      <c r="E996" s="18"/>
      <c r="F996" s="26"/>
      <c r="G996" s="17"/>
      <c r="H996" s="17"/>
      <c r="I996" s="164"/>
    </row>
    <row r="997" spans="2:9" x14ac:dyDescent="0.35">
      <c r="B997" s="145"/>
      <c r="C997" s="14"/>
      <c r="D997" s="15"/>
      <c r="E997" s="18"/>
      <c r="F997" s="26"/>
      <c r="G997" s="17"/>
      <c r="H997" s="17"/>
      <c r="I997" s="164"/>
    </row>
    <row r="998" spans="2:9" x14ac:dyDescent="0.35">
      <c r="B998" s="145"/>
      <c r="C998" s="14"/>
      <c r="D998" s="15"/>
      <c r="E998" s="18"/>
      <c r="F998" s="26"/>
      <c r="G998" s="17"/>
      <c r="H998" s="17"/>
      <c r="I998" s="164"/>
    </row>
    <row r="999" spans="2:9" x14ac:dyDescent="0.35">
      <c r="B999" s="145"/>
      <c r="C999" s="14"/>
      <c r="D999" s="15"/>
      <c r="E999" s="18"/>
      <c r="F999" s="26"/>
      <c r="G999" s="17"/>
      <c r="H999" s="17"/>
      <c r="I999" s="164"/>
    </row>
    <row r="1000" spans="2:9" x14ac:dyDescent="0.35">
      <c r="B1000" s="145"/>
      <c r="C1000" s="14"/>
      <c r="D1000" s="15"/>
      <c r="E1000" s="18"/>
      <c r="F1000" s="26"/>
      <c r="G1000" s="17"/>
      <c r="H1000" s="17"/>
      <c r="I1000" s="164"/>
    </row>
    <row r="1001" spans="2:9" x14ac:dyDescent="0.35">
      <c r="B1001" s="145"/>
      <c r="C1001" s="14"/>
      <c r="D1001" s="15"/>
      <c r="E1001" s="18"/>
      <c r="F1001" s="26"/>
      <c r="G1001" s="17"/>
      <c r="H1001" s="17"/>
      <c r="I1001" s="164"/>
    </row>
    <row r="1002" spans="2:9" x14ac:dyDescent="0.35">
      <c r="B1002" s="145"/>
      <c r="C1002" s="14"/>
      <c r="D1002" s="15"/>
      <c r="E1002" s="18"/>
      <c r="F1002" s="26"/>
      <c r="G1002" s="17"/>
      <c r="H1002" s="17"/>
      <c r="I1002" s="164"/>
    </row>
    <row r="1003" spans="2:9" x14ac:dyDescent="0.35">
      <c r="B1003" s="145"/>
      <c r="C1003" s="14"/>
      <c r="D1003" s="15"/>
      <c r="E1003" s="18"/>
      <c r="F1003" s="26"/>
      <c r="G1003" s="17"/>
      <c r="H1003" s="17"/>
      <c r="I1003" s="164"/>
    </row>
    <row r="1004" spans="2:9" x14ac:dyDescent="0.35">
      <c r="B1004" s="145"/>
      <c r="C1004" s="14"/>
      <c r="D1004" s="15"/>
      <c r="E1004" s="18"/>
      <c r="F1004" s="26"/>
      <c r="G1004" s="17"/>
      <c r="H1004" s="17"/>
      <c r="I1004" s="164"/>
    </row>
    <row r="1005" spans="2:9" x14ac:dyDescent="0.35">
      <c r="B1005" s="145"/>
      <c r="C1005" s="14"/>
      <c r="D1005" s="15"/>
      <c r="E1005" s="18"/>
      <c r="F1005" s="26"/>
      <c r="G1005" s="17"/>
      <c r="H1005" s="17"/>
      <c r="I1005" s="164"/>
    </row>
    <row r="1006" spans="2:9" x14ac:dyDescent="0.35">
      <c r="B1006" s="145"/>
      <c r="C1006" s="14"/>
      <c r="D1006" s="15"/>
      <c r="E1006" s="18"/>
      <c r="F1006" s="26"/>
      <c r="G1006" s="17"/>
      <c r="H1006" s="17"/>
      <c r="I1006" s="164"/>
    </row>
    <row r="1007" spans="2:9" x14ac:dyDescent="0.35">
      <c r="B1007" s="145"/>
      <c r="C1007" s="14"/>
      <c r="D1007" s="15"/>
      <c r="E1007" s="18"/>
      <c r="F1007" s="26"/>
      <c r="G1007" s="17"/>
      <c r="H1007" s="17"/>
      <c r="I1007" s="164"/>
    </row>
    <row r="1008" spans="2:9" x14ac:dyDescent="0.35">
      <c r="B1008" s="145"/>
      <c r="C1008" s="14"/>
      <c r="D1008" s="15"/>
      <c r="E1008" s="18"/>
      <c r="F1008" s="26"/>
      <c r="G1008" s="17"/>
      <c r="H1008" s="17"/>
      <c r="I1008" s="164"/>
    </row>
    <row r="1009" spans="2:9" x14ac:dyDescent="0.35">
      <c r="B1009" s="145"/>
      <c r="C1009" s="14"/>
      <c r="D1009" s="15"/>
      <c r="E1009" s="18"/>
      <c r="F1009" s="26"/>
      <c r="G1009" s="17"/>
      <c r="H1009" s="17"/>
      <c r="I1009" s="164"/>
    </row>
    <row r="1010" spans="2:9" x14ac:dyDescent="0.35">
      <c r="B1010" s="145"/>
      <c r="C1010" s="14"/>
      <c r="D1010" s="15"/>
      <c r="E1010" s="18"/>
      <c r="F1010" s="26"/>
      <c r="G1010" s="17"/>
      <c r="H1010" s="17"/>
      <c r="I1010" s="164"/>
    </row>
    <row r="1011" spans="2:9" x14ac:dyDescent="0.35">
      <c r="B1011" s="145"/>
      <c r="C1011" s="14"/>
      <c r="D1011" s="15"/>
      <c r="E1011" s="18"/>
      <c r="F1011" s="26"/>
      <c r="G1011" s="17"/>
      <c r="H1011" s="17"/>
      <c r="I1011" s="164"/>
    </row>
    <row r="1012" spans="2:9" x14ac:dyDescent="0.35">
      <c r="B1012" s="145"/>
      <c r="C1012" s="14"/>
      <c r="D1012" s="15"/>
      <c r="E1012" s="18"/>
      <c r="F1012" s="26"/>
      <c r="G1012" s="17"/>
      <c r="H1012" s="17"/>
      <c r="I1012" s="164"/>
    </row>
    <row r="1013" spans="2:9" x14ac:dyDescent="0.35">
      <c r="B1013" s="145"/>
      <c r="C1013" s="14"/>
      <c r="D1013" s="15"/>
      <c r="E1013" s="18"/>
      <c r="F1013" s="26"/>
      <c r="G1013" s="17"/>
      <c r="H1013" s="17"/>
      <c r="I1013" s="164"/>
    </row>
    <row r="1014" spans="2:9" x14ac:dyDescent="0.35">
      <c r="B1014" s="145"/>
      <c r="C1014" s="14"/>
      <c r="D1014" s="15"/>
      <c r="E1014" s="18"/>
      <c r="F1014" s="26"/>
      <c r="G1014" s="17"/>
      <c r="H1014" s="17"/>
      <c r="I1014" s="164"/>
    </row>
    <row r="1015" spans="2:9" x14ac:dyDescent="0.35">
      <c r="B1015" s="145"/>
      <c r="C1015" s="14"/>
      <c r="D1015" s="15"/>
      <c r="E1015" s="18"/>
      <c r="F1015" s="26"/>
      <c r="G1015" s="17"/>
      <c r="H1015" s="17"/>
      <c r="I1015" s="164"/>
    </row>
    <row r="1016" spans="2:9" x14ac:dyDescent="0.35">
      <c r="B1016" s="145"/>
      <c r="C1016" s="14"/>
      <c r="D1016" s="15"/>
      <c r="E1016" s="18"/>
      <c r="F1016" s="26"/>
      <c r="G1016" s="17"/>
      <c r="H1016" s="17"/>
      <c r="I1016" s="164"/>
    </row>
    <row r="1017" spans="2:9" x14ac:dyDescent="0.35">
      <c r="B1017" s="145"/>
      <c r="C1017" s="14"/>
      <c r="D1017" s="15"/>
      <c r="E1017" s="18"/>
      <c r="F1017" s="26"/>
      <c r="G1017" s="17"/>
      <c r="H1017" s="17"/>
      <c r="I1017" s="164"/>
    </row>
    <row r="1018" spans="2:9" x14ac:dyDescent="0.35">
      <c r="B1018" s="145"/>
      <c r="C1018" s="14"/>
      <c r="D1018" s="15"/>
      <c r="E1018" s="18"/>
      <c r="F1018" s="26"/>
      <c r="G1018" s="17"/>
      <c r="H1018" s="17"/>
      <c r="I1018" s="164"/>
    </row>
    <row r="1019" spans="2:9" x14ac:dyDescent="0.35">
      <c r="B1019" s="145"/>
      <c r="C1019" s="14"/>
      <c r="D1019" s="15"/>
      <c r="E1019" s="18"/>
      <c r="F1019" s="26"/>
      <c r="G1019" s="17"/>
      <c r="H1019" s="17"/>
      <c r="I1019" s="164"/>
    </row>
    <row r="1020" spans="2:9" x14ac:dyDescent="0.35">
      <c r="B1020" s="145"/>
      <c r="C1020" s="14"/>
      <c r="D1020" s="15"/>
      <c r="E1020" s="18"/>
      <c r="F1020" s="26"/>
      <c r="G1020" s="17"/>
      <c r="H1020" s="17"/>
      <c r="I1020" s="164"/>
    </row>
    <row r="1021" spans="2:9" x14ac:dyDescent="0.35">
      <c r="B1021" s="145"/>
      <c r="C1021" s="14"/>
      <c r="D1021" s="15"/>
      <c r="E1021" s="18"/>
      <c r="F1021" s="26"/>
      <c r="G1021" s="17"/>
      <c r="H1021" s="17"/>
      <c r="I1021" s="164"/>
    </row>
    <row r="1022" spans="2:9" x14ac:dyDescent="0.35">
      <c r="B1022" s="145"/>
      <c r="C1022" s="14"/>
      <c r="D1022" s="15"/>
      <c r="E1022" s="18"/>
      <c r="F1022" s="26"/>
      <c r="G1022" s="17"/>
      <c r="H1022" s="17"/>
      <c r="I1022" s="164"/>
    </row>
    <row r="1023" spans="2:9" x14ac:dyDescent="0.35">
      <c r="B1023" s="145"/>
      <c r="C1023" s="14"/>
      <c r="D1023" s="15"/>
      <c r="E1023" s="18"/>
      <c r="F1023" s="26"/>
      <c r="G1023" s="17"/>
      <c r="H1023" s="17"/>
      <c r="I1023" s="164"/>
    </row>
    <row r="1024" spans="2:9" x14ac:dyDescent="0.35">
      <c r="B1024" s="145"/>
      <c r="C1024" s="14"/>
      <c r="D1024" s="15"/>
      <c r="E1024" s="18"/>
      <c r="F1024" s="26"/>
      <c r="G1024" s="17"/>
      <c r="H1024" s="17"/>
      <c r="I1024" s="164"/>
    </row>
    <row r="1025" spans="2:9" x14ac:dyDescent="0.35">
      <c r="B1025" s="145"/>
      <c r="C1025" s="14"/>
      <c r="D1025" s="15"/>
      <c r="E1025" s="18"/>
      <c r="F1025" s="26"/>
      <c r="G1025" s="17"/>
      <c r="H1025" s="17"/>
      <c r="I1025" s="164"/>
    </row>
    <row r="1026" spans="2:9" x14ac:dyDescent="0.35">
      <c r="B1026" s="145"/>
      <c r="C1026" s="14"/>
      <c r="D1026" s="15"/>
      <c r="E1026" s="18"/>
      <c r="F1026" s="26"/>
      <c r="G1026" s="17"/>
      <c r="H1026" s="17"/>
      <c r="I1026" s="164"/>
    </row>
    <row r="1027" spans="2:9" x14ac:dyDescent="0.35">
      <c r="B1027" s="145"/>
      <c r="C1027" s="14"/>
      <c r="D1027" s="15"/>
      <c r="E1027" s="18"/>
      <c r="F1027" s="26"/>
      <c r="G1027" s="17"/>
      <c r="H1027" s="17"/>
      <c r="I1027" s="164"/>
    </row>
    <row r="1028" spans="2:9" x14ac:dyDescent="0.35">
      <c r="B1028" s="145"/>
      <c r="C1028" s="14"/>
      <c r="D1028" s="15"/>
      <c r="E1028" s="18"/>
      <c r="F1028" s="26"/>
      <c r="G1028" s="17"/>
      <c r="H1028" s="17"/>
      <c r="I1028" s="164"/>
    </row>
    <row r="1029" spans="2:9" x14ac:dyDescent="0.35">
      <c r="B1029" s="145"/>
      <c r="C1029" s="14"/>
      <c r="D1029" s="15"/>
      <c r="E1029" s="18"/>
      <c r="F1029" s="26"/>
      <c r="G1029" s="17"/>
      <c r="H1029" s="17"/>
      <c r="I1029" s="164"/>
    </row>
    <row r="1030" spans="2:9" x14ac:dyDescent="0.35">
      <c r="B1030" s="145"/>
      <c r="C1030" s="14"/>
      <c r="D1030" s="15"/>
      <c r="E1030" s="18"/>
      <c r="F1030" s="26"/>
      <c r="G1030" s="17"/>
      <c r="H1030" s="17"/>
      <c r="I1030" s="164"/>
    </row>
    <row r="1031" spans="2:9" x14ac:dyDescent="0.35">
      <c r="B1031" s="145"/>
      <c r="C1031" s="14"/>
      <c r="D1031" s="15"/>
      <c r="E1031" s="18"/>
      <c r="F1031" s="26"/>
      <c r="G1031" s="17"/>
      <c r="H1031" s="17"/>
      <c r="I1031" s="164"/>
    </row>
    <row r="1032" spans="2:9" x14ac:dyDescent="0.35">
      <c r="B1032" s="145"/>
      <c r="C1032" s="14"/>
      <c r="D1032" s="15"/>
      <c r="E1032" s="18"/>
      <c r="F1032" s="26"/>
      <c r="G1032" s="17"/>
      <c r="H1032" s="17"/>
      <c r="I1032" s="164"/>
    </row>
    <row r="1033" spans="2:9" x14ac:dyDescent="0.35">
      <c r="B1033" s="145"/>
      <c r="C1033" s="14"/>
      <c r="D1033" s="15"/>
      <c r="E1033" s="18"/>
      <c r="F1033" s="26"/>
      <c r="G1033" s="17"/>
      <c r="H1033" s="17"/>
      <c r="I1033" s="164"/>
    </row>
    <row r="1034" spans="2:9" x14ac:dyDescent="0.35">
      <c r="B1034" s="145"/>
      <c r="C1034" s="14"/>
      <c r="D1034" s="15"/>
      <c r="E1034" s="18"/>
      <c r="F1034" s="26"/>
      <c r="G1034" s="17"/>
      <c r="H1034" s="17"/>
      <c r="I1034" s="164"/>
    </row>
    <row r="1035" spans="2:9" x14ac:dyDescent="0.35">
      <c r="B1035" s="145"/>
      <c r="C1035" s="14"/>
      <c r="D1035" s="15"/>
      <c r="E1035" s="18"/>
      <c r="F1035" s="26"/>
      <c r="G1035" s="17"/>
      <c r="H1035" s="17"/>
      <c r="I1035" s="164"/>
    </row>
    <row r="1036" spans="2:9" x14ac:dyDescent="0.35">
      <c r="B1036" s="145"/>
      <c r="C1036" s="14"/>
      <c r="D1036" s="15"/>
      <c r="E1036" s="18"/>
      <c r="F1036" s="26"/>
      <c r="G1036" s="17"/>
      <c r="H1036" s="17"/>
      <c r="I1036" s="164"/>
    </row>
    <row r="1037" spans="2:9" x14ac:dyDescent="0.35">
      <c r="B1037" s="145"/>
      <c r="C1037" s="14"/>
      <c r="D1037" s="15"/>
      <c r="E1037" s="18"/>
      <c r="F1037" s="26"/>
      <c r="G1037" s="17"/>
      <c r="H1037" s="17"/>
      <c r="I1037" s="164"/>
    </row>
    <row r="1038" spans="2:9" x14ac:dyDescent="0.35">
      <c r="B1038" s="145"/>
      <c r="C1038" s="14"/>
      <c r="D1038" s="15"/>
      <c r="E1038" s="18"/>
      <c r="F1038" s="26"/>
      <c r="G1038" s="17"/>
      <c r="H1038" s="17"/>
      <c r="I1038" s="164"/>
    </row>
    <row r="1039" spans="2:9" x14ac:dyDescent="0.35">
      <c r="B1039" s="145"/>
      <c r="C1039" s="14"/>
      <c r="D1039" s="15"/>
      <c r="E1039" s="18"/>
      <c r="F1039" s="26"/>
      <c r="G1039" s="17"/>
      <c r="H1039" s="17"/>
      <c r="I1039" s="164"/>
    </row>
    <row r="1040" spans="2:9" x14ac:dyDescent="0.35">
      <c r="B1040" s="145"/>
      <c r="C1040" s="14"/>
      <c r="D1040" s="15"/>
      <c r="E1040" s="18"/>
      <c r="F1040" s="26"/>
      <c r="G1040" s="17"/>
      <c r="H1040" s="17"/>
      <c r="I1040" s="164"/>
    </row>
    <row r="1041" spans="2:9" x14ac:dyDescent="0.35">
      <c r="B1041" s="145"/>
      <c r="C1041" s="14"/>
      <c r="D1041" s="15"/>
      <c r="E1041" s="18"/>
      <c r="F1041" s="26"/>
      <c r="G1041" s="17"/>
      <c r="H1041" s="17"/>
      <c r="I1041" s="164"/>
    </row>
    <row r="1042" spans="2:9" x14ac:dyDescent="0.35">
      <c r="B1042" s="145"/>
      <c r="C1042" s="14"/>
      <c r="D1042" s="15"/>
      <c r="E1042" s="18"/>
      <c r="F1042" s="26"/>
      <c r="G1042" s="17"/>
      <c r="H1042" s="17"/>
      <c r="I1042" s="164"/>
    </row>
    <row r="1043" spans="2:9" x14ac:dyDescent="0.35">
      <c r="B1043" s="145"/>
      <c r="C1043" s="14"/>
      <c r="D1043" s="15"/>
      <c r="E1043" s="18"/>
      <c r="F1043" s="26"/>
      <c r="G1043" s="17"/>
      <c r="H1043" s="17"/>
      <c r="I1043" s="164"/>
    </row>
    <row r="1044" spans="2:9" x14ac:dyDescent="0.35">
      <c r="B1044" s="145"/>
      <c r="C1044" s="14"/>
      <c r="D1044" s="15"/>
      <c r="E1044" s="18"/>
      <c r="F1044" s="26"/>
      <c r="G1044" s="17"/>
      <c r="H1044" s="17"/>
      <c r="I1044" s="164"/>
    </row>
    <row r="1045" spans="2:9" x14ac:dyDescent="0.35">
      <c r="B1045" s="145"/>
      <c r="C1045" s="14"/>
      <c r="D1045" s="15"/>
      <c r="E1045" s="18"/>
      <c r="F1045" s="26"/>
      <c r="G1045" s="17"/>
      <c r="H1045" s="17"/>
      <c r="I1045" s="164"/>
    </row>
    <row r="1046" spans="2:9" x14ac:dyDescent="0.35">
      <c r="B1046" s="145"/>
      <c r="C1046" s="14"/>
      <c r="D1046" s="15"/>
      <c r="E1046" s="18"/>
      <c r="F1046" s="26"/>
      <c r="G1046" s="17"/>
      <c r="H1046" s="17"/>
      <c r="I1046" s="164"/>
    </row>
    <row r="1047" spans="2:9" x14ac:dyDescent="0.35">
      <c r="B1047" s="145"/>
      <c r="C1047" s="14"/>
      <c r="D1047" s="15"/>
      <c r="E1047" s="18"/>
      <c r="F1047" s="26"/>
      <c r="G1047" s="17"/>
      <c r="H1047" s="17"/>
      <c r="I1047" s="164"/>
    </row>
    <row r="1048" spans="2:9" x14ac:dyDescent="0.35">
      <c r="B1048" s="145"/>
      <c r="C1048" s="14"/>
      <c r="D1048" s="15"/>
      <c r="E1048" s="18"/>
      <c r="F1048" s="26"/>
      <c r="G1048" s="17"/>
      <c r="H1048" s="17"/>
      <c r="I1048" s="164"/>
    </row>
    <row r="1049" spans="2:9" x14ac:dyDescent="0.35">
      <c r="B1049" s="145"/>
      <c r="C1049" s="14"/>
      <c r="D1049" s="15"/>
      <c r="E1049" s="18"/>
      <c r="F1049" s="26"/>
      <c r="G1049" s="17"/>
      <c r="H1049" s="17"/>
      <c r="I1049" s="164"/>
    </row>
    <row r="1050" spans="2:9" x14ac:dyDescent="0.35">
      <c r="B1050" s="145"/>
      <c r="C1050" s="14"/>
      <c r="D1050" s="15"/>
      <c r="E1050" s="18"/>
      <c r="F1050" s="26"/>
      <c r="G1050" s="17"/>
      <c r="H1050" s="17"/>
      <c r="I1050" s="164"/>
    </row>
    <row r="1051" spans="2:9" x14ac:dyDescent="0.35">
      <c r="B1051" s="145"/>
      <c r="C1051" s="14"/>
      <c r="D1051" s="15"/>
      <c r="E1051" s="18"/>
      <c r="F1051" s="26"/>
      <c r="G1051" s="17"/>
      <c r="H1051" s="17"/>
      <c r="I1051" s="164"/>
    </row>
    <row r="1052" spans="2:9" x14ac:dyDescent="0.35">
      <c r="B1052" s="145"/>
      <c r="C1052" s="14"/>
      <c r="D1052" s="15"/>
      <c r="E1052" s="18"/>
      <c r="F1052" s="26"/>
      <c r="G1052" s="17"/>
      <c r="H1052" s="17"/>
      <c r="I1052" s="164"/>
    </row>
    <row r="1053" spans="2:9" x14ac:dyDescent="0.35">
      <c r="B1053" s="145"/>
      <c r="C1053" s="14"/>
      <c r="D1053" s="15"/>
      <c r="E1053" s="18"/>
      <c r="F1053" s="26"/>
      <c r="G1053" s="17"/>
      <c r="H1053" s="17"/>
      <c r="I1053" s="164"/>
    </row>
    <row r="1054" spans="2:9" x14ac:dyDescent="0.35">
      <c r="B1054" s="145"/>
      <c r="C1054" s="14"/>
      <c r="D1054" s="15"/>
      <c r="E1054" s="18"/>
      <c r="F1054" s="26"/>
      <c r="G1054" s="17"/>
      <c r="H1054" s="17"/>
      <c r="I1054" s="164"/>
    </row>
    <row r="1055" spans="2:9" x14ac:dyDescent="0.35">
      <c r="B1055" s="145"/>
      <c r="C1055" s="14"/>
      <c r="D1055" s="15"/>
      <c r="E1055" s="18"/>
      <c r="F1055" s="26"/>
      <c r="G1055" s="17"/>
      <c r="H1055" s="17"/>
      <c r="I1055" s="164"/>
    </row>
    <row r="1056" spans="2:9" x14ac:dyDescent="0.35">
      <c r="B1056" s="145"/>
      <c r="C1056" s="14"/>
      <c r="D1056" s="15"/>
      <c r="E1056" s="18"/>
      <c r="F1056" s="26"/>
      <c r="G1056" s="17"/>
      <c r="H1056" s="17"/>
      <c r="I1056" s="164"/>
    </row>
    <row r="1057" spans="2:9" x14ac:dyDescent="0.35">
      <c r="B1057" s="145"/>
      <c r="C1057" s="14"/>
      <c r="D1057" s="15"/>
      <c r="E1057" s="18"/>
      <c r="F1057" s="26"/>
      <c r="G1057" s="17"/>
      <c r="H1057" s="17"/>
      <c r="I1057" s="164"/>
    </row>
    <row r="1058" spans="2:9" x14ac:dyDescent="0.35">
      <c r="B1058" s="145"/>
      <c r="C1058" s="14"/>
      <c r="D1058" s="15"/>
      <c r="E1058" s="18"/>
      <c r="F1058" s="26"/>
      <c r="G1058" s="17"/>
      <c r="H1058" s="17"/>
      <c r="I1058" s="164"/>
    </row>
    <row r="1059" spans="2:9" x14ac:dyDescent="0.35">
      <c r="B1059" s="145"/>
      <c r="C1059" s="14"/>
      <c r="D1059" s="15"/>
      <c r="E1059" s="18"/>
      <c r="F1059" s="26"/>
      <c r="G1059" s="17"/>
      <c r="H1059" s="17"/>
      <c r="I1059" s="164"/>
    </row>
    <row r="1060" spans="2:9" x14ac:dyDescent="0.35">
      <c r="B1060" s="145"/>
      <c r="C1060" s="14"/>
      <c r="D1060" s="15"/>
      <c r="E1060" s="18"/>
      <c r="F1060" s="26"/>
      <c r="G1060" s="17"/>
      <c r="H1060" s="17"/>
      <c r="I1060" s="164"/>
    </row>
    <row r="1061" spans="2:9" x14ac:dyDescent="0.35">
      <c r="B1061" s="145"/>
      <c r="C1061" s="14"/>
      <c r="D1061" s="15"/>
      <c r="E1061" s="18"/>
      <c r="F1061" s="26"/>
      <c r="G1061" s="17"/>
      <c r="H1061" s="17"/>
      <c r="I1061" s="164"/>
    </row>
    <row r="1062" spans="2:9" x14ac:dyDescent="0.35">
      <c r="B1062" s="145"/>
      <c r="C1062" s="14"/>
      <c r="D1062" s="15"/>
      <c r="E1062" s="18"/>
      <c r="F1062" s="26"/>
      <c r="G1062" s="17"/>
      <c r="H1062" s="17"/>
      <c r="I1062" s="164"/>
    </row>
    <row r="1063" spans="2:9" x14ac:dyDescent="0.35">
      <c r="B1063" s="145"/>
      <c r="C1063" s="14"/>
      <c r="D1063" s="15"/>
      <c r="E1063" s="18"/>
      <c r="F1063" s="26"/>
      <c r="G1063" s="17"/>
      <c r="H1063" s="17"/>
      <c r="I1063" s="164"/>
    </row>
    <row r="1064" spans="2:9" x14ac:dyDescent="0.35">
      <c r="B1064" s="145"/>
      <c r="C1064" s="14"/>
      <c r="D1064" s="15"/>
      <c r="E1064" s="18"/>
      <c r="F1064" s="26"/>
      <c r="G1064" s="17"/>
      <c r="H1064" s="17"/>
      <c r="I1064" s="164"/>
    </row>
    <row r="1065" spans="2:9" x14ac:dyDescent="0.35">
      <c r="B1065" s="145"/>
      <c r="C1065" s="14"/>
      <c r="D1065" s="15"/>
      <c r="E1065" s="18"/>
      <c r="F1065" s="26"/>
      <c r="G1065" s="17"/>
      <c r="H1065" s="17"/>
      <c r="I1065" s="164"/>
    </row>
    <row r="1066" spans="2:9" x14ac:dyDescent="0.35">
      <c r="B1066" s="145"/>
      <c r="C1066" s="14"/>
      <c r="D1066" s="15"/>
      <c r="E1066" s="18"/>
      <c r="F1066" s="26"/>
      <c r="G1066" s="17"/>
      <c r="H1066" s="17"/>
      <c r="I1066" s="164"/>
    </row>
    <row r="1067" spans="2:9" x14ac:dyDescent="0.35">
      <c r="B1067" s="145"/>
      <c r="C1067" s="14"/>
      <c r="D1067" s="15"/>
      <c r="E1067" s="18"/>
      <c r="F1067" s="26"/>
      <c r="G1067" s="17"/>
      <c r="H1067" s="17"/>
      <c r="I1067" s="164"/>
    </row>
    <row r="1068" spans="2:9" x14ac:dyDescent="0.35">
      <c r="B1068" s="145"/>
      <c r="C1068" s="14"/>
      <c r="D1068" s="15"/>
      <c r="E1068" s="18"/>
      <c r="F1068" s="26"/>
      <c r="G1068" s="17"/>
      <c r="H1068" s="17"/>
      <c r="I1068" s="164"/>
    </row>
    <row r="1069" spans="2:9" x14ac:dyDescent="0.35">
      <c r="B1069" s="145"/>
      <c r="C1069" s="14"/>
      <c r="D1069" s="15"/>
      <c r="E1069" s="18"/>
      <c r="F1069" s="26"/>
      <c r="G1069" s="17"/>
      <c r="H1069" s="17"/>
      <c r="I1069" s="164"/>
    </row>
    <row r="1070" spans="2:9" x14ac:dyDescent="0.35">
      <c r="B1070" s="145"/>
      <c r="C1070" s="14"/>
      <c r="D1070" s="15"/>
      <c r="E1070" s="18"/>
      <c r="F1070" s="26"/>
      <c r="G1070" s="17"/>
      <c r="H1070" s="17"/>
      <c r="I1070" s="164"/>
    </row>
    <row r="1071" spans="2:9" x14ac:dyDescent="0.35">
      <c r="B1071" s="145"/>
      <c r="C1071" s="14"/>
      <c r="D1071" s="15"/>
      <c r="E1071" s="18"/>
      <c r="F1071" s="26"/>
      <c r="G1071" s="17"/>
      <c r="H1071" s="17"/>
      <c r="I1071" s="164"/>
    </row>
    <row r="1072" spans="2:9" x14ac:dyDescent="0.35">
      <c r="B1072" s="145"/>
      <c r="C1072" s="14"/>
      <c r="D1072" s="15"/>
      <c r="E1072" s="18"/>
      <c r="F1072" s="26"/>
      <c r="G1072" s="17"/>
      <c r="H1072" s="17"/>
      <c r="I1072" s="164"/>
    </row>
    <row r="1073" spans="2:9" x14ac:dyDescent="0.35">
      <c r="B1073" s="145"/>
      <c r="C1073" s="14"/>
      <c r="D1073" s="15"/>
      <c r="E1073" s="18"/>
      <c r="F1073" s="26"/>
      <c r="G1073" s="17"/>
      <c r="H1073" s="17"/>
      <c r="I1073" s="164"/>
    </row>
    <row r="1074" spans="2:9" x14ac:dyDescent="0.35">
      <c r="B1074" s="145"/>
      <c r="C1074" s="14"/>
      <c r="D1074" s="15"/>
      <c r="E1074" s="18"/>
      <c r="F1074" s="26"/>
      <c r="G1074" s="17"/>
      <c r="H1074" s="17"/>
      <c r="I1074" s="164"/>
    </row>
    <row r="1075" spans="2:9" x14ac:dyDescent="0.35">
      <c r="B1075" s="145"/>
      <c r="C1075" s="14"/>
      <c r="D1075" s="15"/>
      <c r="E1075" s="18"/>
      <c r="F1075" s="26"/>
      <c r="G1075" s="17"/>
      <c r="H1075" s="17"/>
      <c r="I1075" s="164"/>
    </row>
    <row r="1076" spans="2:9" x14ac:dyDescent="0.35">
      <c r="B1076" s="145"/>
      <c r="C1076" s="14"/>
      <c r="D1076" s="15"/>
      <c r="E1076" s="18"/>
      <c r="F1076" s="26"/>
      <c r="G1076" s="17"/>
      <c r="H1076" s="17"/>
      <c r="I1076" s="164"/>
    </row>
    <row r="1077" spans="2:9" x14ac:dyDescent="0.35">
      <c r="B1077" s="145"/>
      <c r="C1077" s="14"/>
      <c r="D1077" s="15"/>
      <c r="E1077" s="18"/>
      <c r="F1077" s="26"/>
      <c r="G1077" s="17"/>
      <c r="H1077" s="17"/>
      <c r="I1077" s="164"/>
    </row>
    <row r="1078" spans="2:9" x14ac:dyDescent="0.35">
      <c r="B1078" s="145"/>
      <c r="C1078" s="14"/>
      <c r="D1078" s="15"/>
      <c r="E1078" s="18"/>
      <c r="F1078" s="26"/>
      <c r="G1078" s="17"/>
      <c r="H1078" s="17"/>
      <c r="I1078" s="164"/>
    </row>
    <row r="1079" spans="2:9" x14ac:dyDescent="0.35">
      <c r="B1079" s="145"/>
      <c r="C1079" s="14"/>
      <c r="D1079" s="15"/>
      <c r="E1079" s="18"/>
      <c r="F1079" s="26"/>
      <c r="G1079" s="17"/>
      <c r="H1079" s="17"/>
      <c r="I1079" s="164"/>
    </row>
    <row r="1080" spans="2:9" x14ac:dyDescent="0.35">
      <c r="B1080" s="145"/>
      <c r="C1080" s="14"/>
      <c r="D1080" s="15"/>
      <c r="E1080" s="18"/>
      <c r="F1080" s="26"/>
      <c r="G1080" s="17"/>
      <c r="H1080" s="17"/>
      <c r="I1080" s="164"/>
    </row>
    <row r="1081" spans="2:9" x14ac:dyDescent="0.35">
      <c r="B1081" s="145"/>
      <c r="C1081" s="14"/>
      <c r="D1081" s="15"/>
      <c r="E1081" s="18"/>
      <c r="F1081" s="26"/>
      <c r="G1081" s="17"/>
      <c r="H1081" s="17"/>
      <c r="I1081" s="164"/>
    </row>
    <row r="1082" spans="2:9" x14ac:dyDescent="0.35">
      <c r="B1082" s="145"/>
      <c r="C1082" s="14"/>
      <c r="D1082" s="15"/>
      <c r="E1082" s="18"/>
      <c r="F1082" s="26"/>
      <c r="G1082" s="17"/>
      <c r="H1082" s="17"/>
      <c r="I1082" s="164"/>
    </row>
    <row r="1083" spans="2:9" x14ac:dyDescent="0.35">
      <c r="B1083" s="145"/>
      <c r="C1083" s="14"/>
      <c r="D1083" s="15"/>
      <c r="E1083" s="18"/>
      <c r="F1083" s="26"/>
      <c r="G1083" s="17"/>
      <c r="H1083" s="17"/>
      <c r="I1083" s="164"/>
    </row>
    <row r="1084" spans="2:9" x14ac:dyDescent="0.35">
      <c r="B1084" s="145"/>
      <c r="C1084" s="14"/>
      <c r="D1084" s="15"/>
      <c r="E1084" s="18"/>
      <c r="F1084" s="26"/>
      <c r="G1084" s="17"/>
      <c r="H1084" s="17"/>
      <c r="I1084" s="164"/>
    </row>
    <row r="1085" spans="2:9" x14ac:dyDescent="0.35">
      <c r="B1085" s="145"/>
      <c r="C1085" s="14"/>
      <c r="D1085" s="15"/>
      <c r="E1085" s="18"/>
      <c r="F1085" s="26"/>
      <c r="G1085" s="17"/>
      <c r="H1085" s="17"/>
      <c r="I1085" s="164"/>
    </row>
    <row r="1086" spans="2:9" x14ac:dyDescent="0.35">
      <c r="B1086" s="145"/>
      <c r="C1086" s="14"/>
      <c r="D1086" s="15"/>
      <c r="E1086" s="18"/>
      <c r="F1086" s="26"/>
      <c r="G1086" s="17"/>
      <c r="H1086" s="17"/>
      <c r="I1086" s="164"/>
    </row>
    <row r="1087" spans="2:9" x14ac:dyDescent="0.35">
      <c r="B1087" s="145"/>
      <c r="C1087" s="14"/>
      <c r="D1087" s="15"/>
      <c r="E1087" s="18"/>
      <c r="F1087" s="26"/>
      <c r="G1087" s="17"/>
      <c r="H1087" s="17"/>
      <c r="I1087" s="164"/>
    </row>
    <row r="1088" spans="2:9" x14ac:dyDescent="0.35">
      <c r="B1088" s="145"/>
      <c r="C1088" s="14"/>
      <c r="D1088" s="15"/>
      <c r="E1088" s="18"/>
      <c r="F1088" s="26"/>
      <c r="G1088" s="17"/>
      <c r="H1088" s="17"/>
      <c r="I1088" s="164"/>
    </row>
    <row r="1089" spans="2:9" x14ac:dyDescent="0.35">
      <c r="B1089" s="145"/>
      <c r="C1089" s="14"/>
      <c r="D1089" s="15"/>
      <c r="E1089" s="18"/>
      <c r="F1089" s="26"/>
      <c r="G1089" s="17"/>
      <c r="H1089" s="17"/>
      <c r="I1089" s="164"/>
    </row>
    <row r="1090" spans="2:9" x14ac:dyDescent="0.35">
      <c r="B1090" s="145"/>
      <c r="C1090" s="14"/>
      <c r="D1090" s="15"/>
      <c r="E1090" s="18"/>
      <c r="F1090" s="26"/>
      <c r="G1090" s="17"/>
      <c r="H1090" s="17"/>
      <c r="I1090" s="164"/>
    </row>
    <row r="1091" spans="2:9" x14ac:dyDescent="0.35">
      <c r="B1091" s="145"/>
      <c r="C1091" s="14"/>
      <c r="D1091" s="15"/>
      <c r="E1091" s="18"/>
      <c r="F1091" s="26"/>
      <c r="G1091" s="17"/>
      <c r="H1091" s="17"/>
      <c r="I1091" s="164"/>
    </row>
    <row r="1092" spans="2:9" x14ac:dyDescent="0.35">
      <c r="B1092" s="145"/>
      <c r="C1092" s="14"/>
      <c r="D1092" s="15"/>
      <c r="E1092" s="18"/>
      <c r="F1092" s="26"/>
      <c r="G1092" s="17"/>
      <c r="H1092" s="17"/>
      <c r="I1092" s="164"/>
    </row>
    <row r="1093" spans="2:9" x14ac:dyDescent="0.35">
      <c r="B1093" s="145"/>
      <c r="C1093" s="14"/>
      <c r="D1093" s="15"/>
      <c r="E1093" s="18"/>
      <c r="F1093" s="26"/>
      <c r="G1093" s="17"/>
      <c r="H1093" s="17"/>
      <c r="I1093" s="164"/>
    </row>
    <row r="1094" spans="2:9" x14ac:dyDescent="0.35">
      <c r="B1094" s="145"/>
      <c r="C1094" s="14"/>
      <c r="D1094" s="15"/>
      <c r="E1094" s="18"/>
      <c r="F1094" s="26"/>
      <c r="G1094" s="17"/>
      <c r="H1094" s="17"/>
      <c r="I1094" s="164"/>
    </row>
    <row r="1095" spans="2:9" x14ac:dyDescent="0.35">
      <c r="B1095" s="145"/>
      <c r="C1095" s="14"/>
      <c r="D1095" s="15"/>
      <c r="E1095" s="18"/>
      <c r="F1095" s="26"/>
      <c r="G1095" s="17"/>
      <c r="H1095" s="17"/>
      <c r="I1095" s="164"/>
    </row>
    <row r="1096" spans="2:9" x14ac:dyDescent="0.35">
      <c r="B1096" s="145"/>
      <c r="C1096" s="14"/>
      <c r="D1096" s="15"/>
      <c r="E1096" s="18"/>
      <c r="F1096" s="26"/>
      <c r="G1096" s="17"/>
      <c r="H1096" s="17"/>
      <c r="I1096" s="164"/>
    </row>
    <row r="1097" spans="2:9" x14ac:dyDescent="0.35">
      <c r="B1097" s="145"/>
      <c r="C1097" s="14"/>
      <c r="D1097" s="15"/>
      <c r="E1097" s="18"/>
      <c r="F1097" s="26"/>
      <c r="G1097" s="17"/>
      <c r="H1097" s="17"/>
      <c r="I1097" s="164"/>
    </row>
    <row r="1098" spans="2:9" x14ac:dyDescent="0.35">
      <c r="B1098" s="145"/>
      <c r="C1098" s="14"/>
      <c r="D1098" s="15"/>
      <c r="E1098" s="18"/>
      <c r="F1098" s="26"/>
      <c r="G1098" s="17"/>
      <c r="H1098" s="17"/>
      <c r="I1098" s="164"/>
    </row>
    <row r="1099" spans="2:9" x14ac:dyDescent="0.35">
      <c r="B1099" s="145"/>
      <c r="C1099" s="14"/>
      <c r="D1099" s="15"/>
      <c r="E1099" s="18"/>
      <c r="F1099" s="26"/>
      <c r="G1099" s="17"/>
      <c r="H1099" s="17"/>
      <c r="I1099" s="164"/>
    </row>
    <row r="1100" spans="2:9" x14ac:dyDescent="0.35">
      <c r="B1100" s="145"/>
      <c r="C1100" s="14"/>
      <c r="D1100" s="15"/>
      <c r="E1100" s="18"/>
      <c r="F1100" s="26"/>
      <c r="G1100" s="17"/>
      <c r="H1100" s="17"/>
      <c r="I1100" s="164"/>
    </row>
    <row r="1101" spans="2:9" x14ac:dyDescent="0.35">
      <c r="B1101" s="145"/>
      <c r="C1101" s="14"/>
      <c r="D1101" s="15"/>
      <c r="E1101" s="18"/>
      <c r="F1101" s="26"/>
      <c r="G1101" s="17"/>
      <c r="H1101" s="17"/>
      <c r="I1101" s="164"/>
    </row>
    <row r="1102" spans="2:9" x14ac:dyDescent="0.35">
      <c r="B1102" s="145"/>
      <c r="C1102" s="14"/>
      <c r="D1102" s="15"/>
      <c r="E1102" s="18"/>
      <c r="F1102" s="26"/>
      <c r="G1102" s="17"/>
      <c r="H1102" s="17"/>
      <c r="I1102" s="164"/>
    </row>
    <row r="1103" spans="2:9" x14ac:dyDescent="0.35">
      <c r="B1103" s="145"/>
      <c r="C1103" s="14"/>
      <c r="D1103" s="15"/>
      <c r="E1103" s="18"/>
      <c r="F1103" s="26"/>
      <c r="G1103" s="17"/>
      <c r="H1103" s="17"/>
      <c r="I1103" s="164"/>
    </row>
    <row r="1104" spans="2:9" x14ac:dyDescent="0.35">
      <c r="B1104" s="145"/>
      <c r="C1104" s="14"/>
      <c r="D1104" s="15"/>
      <c r="E1104" s="18"/>
      <c r="F1104" s="26"/>
      <c r="G1104" s="17"/>
      <c r="H1104" s="17"/>
      <c r="I1104" s="164"/>
    </row>
    <row r="1105" spans="2:9" x14ac:dyDescent="0.35">
      <c r="B1105" s="145"/>
      <c r="C1105" s="14"/>
      <c r="D1105" s="15"/>
      <c r="E1105" s="18"/>
      <c r="F1105" s="26"/>
      <c r="G1105" s="17"/>
      <c r="H1105" s="17"/>
      <c r="I1105" s="164"/>
    </row>
    <row r="1106" spans="2:9" x14ac:dyDescent="0.35">
      <c r="B1106" s="145"/>
      <c r="C1106" s="14"/>
      <c r="D1106" s="15"/>
      <c r="E1106" s="18"/>
      <c r="F1106" s="26"/>
      <c r="G1106" s="17"/>
      <c r="H1106" s="17"/>
      <c r="I1106" s="164"/>
    </row>
    <row r="1107" spans="2:9" x14ac:dyDescent="0.35">
      <c r="B1107" s="145"/>
      <c r="C1107" s="14"/>
      <c r="D1107" s="15"/>
      <c r="E1107" s="18"/>
      <c r="F1107" s="26"/>
      <c r="G1107" s="17"/>
      <c r="H1107" s="17"/>
      <c r="I1107" s="164"/>
    </row>
    <row r="1108" spans="2:9" x14ac:dyDescent="0.35">
      <c r="B1108" s="145"/>
      <c r="C1108" s="14"/>
      <c r="D1108" s="15"/>
      <c r="E1108" s="18"/>
      <c r="F1108" s="26"/>
      <c r="G1108" s="17"/>
      <c r="H1108" s="17"/>
      <c r="I1108" s="164"/>
    </row>
    <row r="1109" spans="2:9" x14ac:dyDescent="0.35">
      <c r="B1109" s="145"/>
      <c r="C1109" s="14"/>
      <c r="D1109" s="15"/>
      <c r="E1109" s="18"/>
      <c r="F1109" s="26"/>
      <c r="G1109" s="17"/>
      <c r="H1109" s="17"/>
      <c r="I1109" s="164"/>
    </row>
    <row r="1110" spans="2:9" x14ac:dyDescent="0.35">
      <c r="B1110" s="145"/>
      <c r="C1110" s="14"/>
      <c r="D1110" s="15"/>
      <c r="E1110" s="18"/>
      <c r="F1110" s="26"/>
      <c r="G1110" s="17"/>
      <c r="H1110" s="17"/>
      <c r="I1110" s="164"/>
    </row>
    <row r="1111" spans="2:9" x14ac:dyDescent="0.35">
      <c r="B1111" s="145"/>
      <c r="C1111" s="14"/>
      <c r="D1111" s="15"/>
      <c r="E1111" s="18"/>
      <c r="F1111" s="26"/>
      <c r="G1111" s="17"/>
      <c r="H1111" s="17"/>
      <c r="I1111" s="164"/>
    </row>
    <row r="1112" spans="2:9" x14ac:dyDescent="0.35">
      <c r="B1112" s="145"/>
      <c r="C1112" s="14"/>
      <c r="D1112" s="15"/>
      <c r="E1112" s="18"/>
      <c r="F1112" s="26"/>
      <c r="G1112" s="17"/>
      <c r="H1112" s="17"/>
      <c r="I1112" s="164"/>
    </row>
    <row r="1113" spans="2:9" x14ac:dyDescent="0.35">
      <c r="B1113" s="166"/>
      <c r="C1113" s="167"/>
      <c r="D1113" s="168"/>
      <c r="E1113" s="169"/>
      <c r="F1113" s="170"/>
      <c r="G1113" s="171"/>
      <c r="H1113" s="171"/>
      <c r="I1113" s="172"/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53"/>
  <sheetViews>
    <sheetView zoomScaleNormal="100" workbookViewId="0">
      <pane xSplit="7" ySplit="2" topLeftCell="H223" activePane="bottomRight" state="frozen"/>
      <selection pane="topRight" activeCell="G1" sqref="G1"/>
      <selection pane="bottomLeft" activeCell="A3" sqref="A3"/>
      <selection pane="bottomRight" activeCell="A247" sqref="A247"/>
    </sheetView>
  </sheetViews>
  <sheetFormatPr baseColWidth="10" defaultColWidth="8.7265625" defaultRowHeight="14.5" x14ac:dyDescent="0.35"/>
  <cols>
    <col min="1" max="1" width="10.7265625" style="9" bestFit="1" customWidth="1"/>
    <col min="2" max="2" width="4.81640625" style="7" customWidth="1"/>
    <col min="3" max="3" width="9.453125" style="9" customWidth="1"/>
    <col min="4" max="4" width="7.54296875" style="9" customWidth="1"/>
    <col min="5" max="5" width="12.26953125" style="3" bestFit="1" customWidth="1"/>
    <col min="6" max="6" width="12.26953125" style="3" customWidth="1"/>
    <col min="7" max="7" width="12.26953125" style="84" customWidth="1"/>
    <col min="8" max="8" width="6" customWidth="1"/>
    <col min="9" max="10" width="10.81640625" customWidth="1"/>
    <col min="12" max="12" width="13" style="5" customWidth="1"/>
    <col min="13" max="13" width="8.81640625" style="5" bestFit="1" customWidth="1"/>
    <col min="15" max="17" width="10.7265625" style="3" customWidth="1"/>
    <col min="18" max="18" width="10.81640625" customWidth="1"/>
    <col min="20" max="20" width="10.81640625" customWidth="1"/>
    <col min="21" max="21" width="10.81640625" style="38" customWidth="1"/>
    <col min="23" max="23" width="13" style="5" customWidth="1"/>
    <col min="24" max="24" width="13.54296875" style="3" bestFit="1" customWidth="1"/>
    <col min="25" max="25" width="10.81640625" customWidth="1"/>
    <col min="26" max="26" width="9.81640625" customWidth="1"/>
    <col min="27" max="27" width="11.54296875" bestFit="1" customWidth="1"/>
    <col min="28" max="29" width="12.26953125" customWidth="1"/>
    <col min="30" max="31" width="10.7265625" style="3" customWidth="1"/>
    <col min="32" max="32" width="8.1796875" style="3" customWidth="1"/>
    <col min="33" max="33" width="12.81640625" customWidth="1"/>
    <col min="34" max="34" width="10.1796875" style="5" customWidth="1"/>
    <col min="35" max="35" width="11" customWidth="1"/>
    <col min="36" max="36" width="13.26953125" customWidth="1"/>
    <col min="37" max="37" width="12.7265625" customWidth="1"/>
    <col min="38" max="38" width="12.7265625" style="37" customWidth="1"/>
    <col min="39" max="39" width="12.81640625" customWidth="1"/>
    <col min="40" max="40" width="6.7265625" customWidth="1"/>
    <col min="41" max="42" width="8.7265625" customWidth="1"/>
    <col min="43" max="43" width="12.81640625" customWidth="1"/>
    <col min="44" max="44" width="10.54296875" customWidth="1"/>
    <col min="45" max="46" width="11.54296875" customWidth="1"/>
    <col min="47" max="47" width="10.54296875" customWidth="1"/>
    <col min="48" max="48" width="11.1796875" customWidth="1"/>
    <col min="49" max="49" width="9.7265625" style="38" customWidth="1"/>
    <col min="50" max="50" width="10" customWidth="1"/>
    <col min="51" max="51" width="14.453125" customWidth="1"/>
    <col min="52" max="52" width="14.1796875" style="60" customWidth="1"/>
    <col min="53" max="53" width="10" customWidth="1"/>
    <col min="54" max="54" width="10" style="60" customWidth="1"/>
    <col min="55" max="57" width="9.26953125" customWidth="1"/>
    <col min="58" max="58" width="9.54296875" customWidth="1"/>
    <col min="59" max="59" width="8" customWidth="1"/>
    <col min="60" max="60" width="9.81640625" customWidth="1"/>
    <col min="61" max="61" width="9.1796875" customWidth="1"/>
    <col min="62" max="62" width="8.1796875" customWidth="1"/>
    <col min="63" max="63" width="12.453125" customWidth="1"/>
    <col min="64" max="64" width="6" customWidth="1"/>
    <col min="65" max="65" width="9.54296875" customWidth="1"/>
    <col min="66" max="66" width="9.453125" customWidth="1"/>
    <col min="67" max="67" width="12.453125" style="60" customWidth="1"/>
    <col min="68" max="68" width="9.7265625" style="60" customWidth="1"/>
    <col min="69" max="69" width="11.54296875" style="60" customWidth="1"/>
    <col min="70" max="70" width="10.54296875" customWidth="1"/>
    <col min="71" max="71" width="11.7265625" bestFit="1" customWidth="1"/>
    <col min="72" max="72" width="9.1796875" customWidth="1"/>
    <col min="73" max="73" width="9" customWidth="1"/>
    <col min="74" max="74" width="14" customWidth="1"/>
    <col min="75" max="75" width="16.453125" customWidth="1"/>
    <col min="76" max="78" width="8.7265625" customWidth="1"/>
    <col min="79" max="79" width="14.7265625" customWidth="1"/>
    <col min="80" max="80" width="11.54296875" customWidth="1"/>
    <col min="81" max="81" width="10.81640625" customWidth="1"/>
    <col min="82" max="82" width="15.453125" customWidth="1"/>
    <col min="83" max="83" width="14.1796875" customWidth="1"/>
    <col min="84" max="84" width="12.1796875" customWidth="1"/>
    <col min="85" max="85" width="8.7265625" customWidth="1"/>
    <col min="86" max="86" width="11.1796875" style="69" customWidth="1"/>
    <col min="87" max="87" width="9" customWidth="1"/>
    <col min="89" max="92" width="8.7265625" customWidth="1"/>
    <col min="93" max="93" width="12.453125" customWidth="1"/>
  </cols>
  <sheetData>
    <row r="1" spans="1:96" x14ac:dyDescent="0.3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SUBTOTAL(9,I2:I323)</f>
        <v>47855848.153846152</v>
      </c>
      <c r="J1" s="41">
        <f>SUBTOTAL(9,J2:J323)</f>
        <v>47263334.153846152</v>
      </c>
      <c r="K1" s="44"/>
      <c r="L1" s="35"/>
      <c r="M1" s="3"/>
      <c r="N1" s="3"/>
      <c r="O1" s="41">
        <f>SUBTOTAL(9,O2:O323)</f>
        <v>554214</v>
      </c>
      <c r="P1" s="41"/>
      <c r="Q1" s="41"/>
      <c r="R1" s="45">
        <f>SUBTOTAL(9,R2:R323)/J1</f>
        <v>2.2494371568017767E-2</v>
      </c>
      <c r="S1" s="41">
        <f>SUBTOTAL(9,S2:S323)</f>
        <v>14008.659999999998</v>
      </c>
      <c r="T1" s="35">
        <f>SUBTOTAL(9,T2:T323)/I1</f>
        <v>0.88617173628739976</v>
      </c>
      <c r="U1" s="36">
        <f>+T1</f>
        <v>0.88617173628739976</v>
      </c>
      <c r="V1" s="41">
        <f>SUMPRODUCT(Tabla_master_rend[MG_suero],Tabla_master_rend[L_suero Total])</f>
        <v>62427.91720500002</v>
      </c>
      <c r="W1" s="41">
        <f>SUMPRODUCT(Tabla_master_rend[MP_suero],Tabla_master_rend[L_suero Total])</f>
        <v>372620.08822999982</v>
      </c>
      <c r="X1" s="41">
        <f>SUBTOTAL(9,X2:X323)</f>
        <v>33659758.250011571</v>
      </c>
      <c r="Y1" s="41">
        <f>SUBTOTAL(9,Y2:Y323)</f>
        <v>11266351</v>
      </c>
      <c r="Z1" s="45">
        <f>+X1/Y1</f>
        <v>2.9876362142464381</v>
      </c>
      <c r="AA1" s="41">
        <f>SUBTOTAL(9,AA2:AA323)</f>
        <v>8748741.7999884337</v>
      </c>
      <c r="AB1" s="3"/>
      <c r="AC1" s="34"/>
      <c r="AD1" s="41">
        <f>SUBTOTAL(9,AD2:AD323)</f>
        <v>850930</v>
      </c>
      <c r="AE1" s="41">
        <f>SUBTOTAL(9,AE2:AE323)</f>
        <v>0</v>
      </c>
      <c r="AF1" s="41"/>
      <c r="AG1" s="41"/>
      <c r="AH1" s="35">
        <f>+G1/15224</f>
        <v>8.4005517603783497E-2</v>
      </c>
      <c r="AI1" s="41">
        <f>SUBTOTAL(9,AI2:AI323)</f>
        <v>5384399.0900000026</v>
      </c>
      <c r="AJ1" s="4">
        <f>+I1/AI1</f>
        <v>8.8878716740601273</v>
      </c>
      <c r="AK1" s="4">
        <f>+I1/(AI1-BR1)</f>
        <v>9.1812136675621119</v>
      </c>
      <c r="AL1" s="34"/>
      <c r="AM1" s="41">
        <f>SUBTOTAL(9,AM2:AM323)</f>
        <v>3535676.0347106927</v>
      </c>
      <c r="AN1" s="3"/>
      <c r="AO1" s="3"/>
      <c r="AP1" s="3"/>
      <c r="AQ1" s="4"/>
      <c r="AR1" s="41">
        <f>SUBTOTAL(9,AR2:AR323)</f>
        <v>425263.60000000009</v>
      </c>
      <c r="AS1" s="36"/>
      <c r="AT1" s="3"/>
      <c r="AU1" s="41">
        <f>SUBTOTAL(9,AU2:AU323)</f>
        <v>3189477</v>
      </c>
      <c r="AV1" s="41">
        <f>SUBTOTAL(9,AV2:AV323)</f>
        <v>9391.8399999999965</v>
      </c>
      <c r="AW1" s="41">
        <f>SUBTOTAL(9,AW2:AW323)</f>
        <v>21347.099999999995</v>
      </c>
      <c r="AX1" s="41">
        <f>SUBTOTAL(9,AX2:AX323)</f>
        <v>8546.8999999999905</v>
      </c>
      <c r="AY1" s="41">
        <f>SUBTOTAL(9,AY2:AY323)</f>
        <v>39285.840000000004</v>
      </c>
      <c r="AZ1" s="67">
        <f>+(AV1+AW1+AX1)/(AI1)</f>
        <v>7.2962347967412576E-3</v>
      </c>
      <c r="BA1" s="42">
        <f>SUBTOTAL(9,BA2:BA323)</f>
        <v>59701</v>
      </c>
      <c r="BB1" s="67">
        <f>+BA1/(BA1+BK1)</f>
        <v>1.1169267554808121E-2</v>
      </c>
      <c r="BC1" s="41">
        <f t="shared" ref="BC1:BN1" si="0">SUBTOTAL(9,BC2:BC323)</f>
        <v>742777</v>
      </c>
      <c r="BD1" s="41">
        <f t="shared" si="0"/>
        <v>722503</v>
      </c>
      <c r="BE1" s="41">
        <f t="shared" si="0"/>
        <v>5225397</v>
      </c>
      <c r="BF1" s="41">
        <f t="shared" si="0"/>
        <v>41843</v>
      </c>
      <c r="BG1" s="41">
        <f t="shared" si="0"/>
        <v>44643.100000000013</v>
      </c>
      <c r="BH1" s="41">
        <f t="shared" si="0"/>
        <v>6265.5999999999985</v>
      </c>
      <c r="BI1" s="41">
        <f t="shared" si="0"/>
        <v>51996.199999999968</v>
      </c>
      <c r="BJ1" s="41">
        <f t="shared" si="0"/>
        <v>20660</v>
      </c>
      <c r="BK1" s="41">
        <f t="shared" si="0"/>
        <v>5285412.2500000009</v>
      </c>
      <c r="BL1" s="41">
        <f t="shared" si="0"/>
        <v>249.42999999999992</v>
      </c>
      <c r="BM1" s="41">
        <f t="shared" si="0"/>
        <v>68017.520999999993</v>
      </c>
      <c r="BN1" s="41">
        <f t="shared" si="0"/>
        <v>4779.0600000000004</v>
      </c>
      <c r="BO1" s="67">
        <f>+BM1/BK1</f>
        <v>1.2868915002798501E-2</v>
      </c>
      <c r="BP1" s="67">
        <f>+BO1*(1-BZ1)</f>
        <v>8.3733743614116448E-3</v>
      </c>
      <c r="BQ1" s="67">
        <f>+BR1/AI1</f>
        <v>3.1950241452106017E-2</v>
      </c>
      <c r="BR1" s="41">
        <f>SUBTOTAL(9,BR2:BR323)</f>
        <v>172032.851</v>
      </c>
      <c r="BS1" s="41">
        <f>SUBTOTAL(9,BS2:BS323)</f>
        <v>2713819.669999999</v>
      </c>
      <c r="BT1" s="41">
        <f>SUBTOTAL(9,BT2:BT591)</f>
        <v>-24776.579999999965</v>
      </c>
      <c r="BU1" s="60">
        <f>+BT1/BK1</f>
        <v>-4.6877289467817688E-3</v>
      </c>
      <c r="BV1" s="3"/>
      <c r="BW1" s="2" t="s">
        <v>49</v>
      </c>
      <c r="BX1" s="41">
        <f>SUBTOTAL(9,BX2:BX323)</f>
        <v>264394.73999999993</v>
      </c>
      <c r="BY1" s="41">
        <f>SUBTOTAL(9,BY2:BY323)</f>
        <v>92361.889000000068</v>
      </c>
      <c r="BZ1" s="46">
        <f>+BY1/BX1</f>
        <v>0.3493333074629249</v>
      </c>
      <c r="CA1" s="47">
        <v>6.4999999999999997E-3</v>
      </c>
      <c r="CB1" s="47">
        <v>0.01</v>
      </c>
      <c r="CC1" s="47">
        <v>1.0500000000000001E-2</v>
      </c>
      <c r="CD1" s="41">
        <f>SUBTOTAL(9,CD2:CD323)</f>
        <v>109814.81944054992</v>
      </c>
      <c r="CE1" s="46">
        <f>+CD1/AI1</f>
        <v>2.0394999999999976E-2</v>
      </c>
      <c r="CF1" s="46">
        <f>+BR1/AI1</f>
        <v>3.1950241452106017E-2</v>
      </c>
      <c r="CG1" s="41">
        <f>SUBTOTAL(9,CG2:CG323)</f>
        <v>-62218.031559449963</v>
      </c>
      <c r="CH1" s="78"/>
      <c r="CI1" s="41">
        <f>SUBTOTAL(9,CI2:CI323)</f>
        <v>-80883.441027285095</v>
      </c>
      <c r="CK1" s="46"/>
    </row>
    <row r="2" spans="1:96" s="2" customFormat="1" ht="30" customHeight="1" x14ac:dyDescent="0.3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3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3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3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3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3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3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3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3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3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3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3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3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3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3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3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3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3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3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3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3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3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3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3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3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3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3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3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3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3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3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3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3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3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3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3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3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3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3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3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3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3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3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3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3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3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3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3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3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3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3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3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3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3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3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3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3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3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3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3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3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3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3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3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3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3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3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3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3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3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3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3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3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3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3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3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3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3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3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3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3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3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3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3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3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3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3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3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3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3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3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3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3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3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3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3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3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3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3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3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3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3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3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3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3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3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3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3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3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3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3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3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3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3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3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3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3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3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3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3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3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3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3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3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3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3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3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3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3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3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3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3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3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3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3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3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3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3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3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3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3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3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3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3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3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3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3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3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3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3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3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3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3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3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3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3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3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3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3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3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3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3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3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3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3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3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3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3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3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3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3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3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3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3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3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3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3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3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3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3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3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3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3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3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3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3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3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3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3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3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3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3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3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3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3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3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3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3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5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3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5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3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5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3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5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3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5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3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5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3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5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3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5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3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5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3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5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3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5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3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5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3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5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3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3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3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3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3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3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3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3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3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3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88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3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88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3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3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3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-247.46676922946466</v>
      </c>
      <c r="CI225" s="81">
        <f t="shared" ref="CI225:CI229" si="72">+CG225*$CM$2</f>
        <v>153.33164843410754</v>
      </c>
    </row>
    <row r="226" spans="1:87" x14ac:dyDescent="0.3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-1170.8911253785652</v>
      </c>
      <c r="CI226" s="81">
        <f t="shared" si="72"/>
        <v>-183.26509132410757</v>
      </c>
    </row>
    <row r="227" spans="1:87" x14ac:dyDescent="0.3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-940.43416237912402</v>
      </c>
      <c r="CI227" s="81">
        <f t="shared" si="72"/>
        <v>234.43202561999993</v>
      </c>
    </row>
    <row r="228" spans="1:87" x14ac:dyDescent="0.3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-1004.0028966747525</v>
      </c>
      <c r="CI228" s="81">
        <f t="shared" si="72"/>
        <v>-182.69380285000011</v>
      </c>
    </row>
    <row r="229" spans="1:87" x14ac:dyDescent="0.3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-736.56428676318637</v>
      </c>
      <c r="CI229" s="81">
        <f t="shared" si="72"/>
        <v>-42.441172345000034</v>
      </c>
    </row>
    <row r="230" spans="1:87" x14ac:dyDescent="0.3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89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38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-1010.3731342390655</v>
      </c>
      <c r="CI230" s="81">
        <f t="shared" ref="CI230:CI231" si="78">+CG230*$CM$2</f>
        <v>-221.90887205500002</v>
      </c>
    </row>
    <row r="231" spans="1:87" x14ac:dyDescent="0.3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89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38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-395.66748284076448</v>
      </c>
      <c r="CI231" s="81">
        <f t="shared" si="78"/>
        <v>174.05110710000008</v>
      </c>
    </row>
    <row r="232" spans="1:87" x14ac:dyDescent="0.35">
      <c r="A232" s="9">
        <v>46196</v>
      </c>
      <c r="B232" s="7">
        <v>6</v>
      </c>
      <c r="C232" s="7" t="str">
        <f>+UPPER(TEXT(Tabla_master_rend[[#This Row],[Fecha]],"MMM"))</f>
        <v>JUN</v>
      </c>
      <c r="D232" s="7" t="str">
        <f>+UPPER(TEXT(Tabla_master_rend[[#This Row],[Fecha]],"ddd"))</f>
        <v>MA</v>
      </c>
      <c r="E232" s="139">
        <v>180626326</v>
      </c>
      <c r="F232" s="3" t="s">
        <v>244</v>
      </c>
      <c r="G232" t="s">
        <v>40</v>
      </c>
      <c r="H232">
        <v>10</v>
      </c>
      <c r="I232" s="8">
        <f>+Tabla_master_rend[[#This Row],[L_Leche_ent]]+Tabla_master_rend[[#This Row],[L_desn_ext]]+Tabla_master_rend[[#This Row],[L_cabra]]+Tabla_master_rend[[#This Row],[L_oveja]]</f>
        <v>170232</v>
      </c>
      <c r="J232" s="8">
        <v>170232</v>
      </c>
      <c r="K232" s="66">
        <v>3.9600000000000003E-2</v>
      </c>
      <c r="L232" s="66">
        <v>3.2399999999999998E-2</v>
      </c>
      <c r="M232" s="5">
        <f t="shared" ref="M232:M233" si="79">0.93*K232+0.74*L232+0.048</f>
        <v>0.10880400000000001</v>
      </c>
      <c r="N232" s="3" t="s">
        <v>188</v>
      </c>
      <c r="O232">
        <v>0</v>
      </c>
      <c r="P232" s="8">
        <v>0</v>
      </c>
      <c r="Q232" s="8">
        <v>0</v>
      </c>
      <c r="R232" s="8">
        <v>1903</v>
      </c>
      <c r="S232" s="8">
        <v>0</v>
      </c>
      <c r="T232" s="8">
        <v>143000</v>
      </c>
      <c r="U232" s="38">
        <f>+Tabla_master_rend[[#This Row],[L_suero Total]]/Tabla_master_rend[[#This Row],[Litros_Leche_Total]]</f>
        <v>0.8400300766013441</v>
      </c>
      <c r="V232" s="66">
        <v>2.3999999999999998E-3</v>
      </c>
      <c r="W232" s="66">
        <v>9.4000000000000004E-3</v>
      </c>
      <c r="X232" s="8">
        <v>93621</v>
      </c>
      <c r="Y232" s="57">
        <v>25024</v>
      </c>
      <c r="Z232" s="58">
        <f>IF(Tabla_master_rend[[#This Row],[L_suero para con]]=0,0,+Tabla_master_rend[[#This Row],[L_suero para con]]/Tabla_master_rend[[#This Row],[L_suero_con]])</f>
        <v>3.7412484015345266</v>
      </c>
      <c r="AA232" s="8">
        <f>+Tabla_master_rend[[#This Row],[L_suero Total]]-Tabla_master_rend[[#This Row],[L_suero para con]]</f>
        <v>49379</v>
      </c>
      <c r="AD232" s="8">
        <v>20427</v>
      </c>
      <c r="AE232" s="8">
        <v>0</v>
      </c>
      <c r="AF232" s="8">
        <v>0</v>
      </c>
      <c r="AG232" s="140"/>
      <c r="AH232" s="140"/>
      <c r="AI232" s="7">
        <f>+Tabla_master_rend[[#This Row],[Kg_Finos]]+Tabla_master_rend[[#This Row],[Kg_Llenadora]]+Tabla_master_rend[[#This Row],[Kg_Desmoldeo]]+Tabla_master_rend[[#This Row],[L_Agua]]+Tabla_master_rend[[#This Row],[Kg_SalidaSecadero]]</f>
        <v>19248.830000000002</v>
      </c>
      <c r="AJ232" s="59">
        <f>+Tabla_master_rend[[#This Row],[Litros_Leche_Total]]/Tabla_master_rend[[#This Row],[Kg_Queso_Blan]]</f>
        <v>8.8437582959587662</v>
      </c>
      <c r="AK232" s="59">
        <f>+Tabla_master_rend[[#This Row],[Litros_Leche_Total]]/(Tabla_master_rend[[#This Row],[Kg_Queso_Blan]]-Tabla_master_rend[[#This Row],[Merma_TOT]])</f>
        <v>9.0430991069094979</v>
      </c>
      <c r="AL232" s="59">
        <f>VLOOKUP(G232,REND_TARGET[#All],8,FALSE)</f>
        <v>8.9338729999999984</v>
      </c>
      <c r="AM232" s="7">
        <f>(I232*1.03*Tabla_master_rend[[#This Row],[%MG_Leche]])+(I232*1.03*Tabla_master_rend[[#This Row],[%MP_Leche]])</f>
        <v>12624.405119999999</v>
      </c>
      <c r="AN232" s="137">
        <v>0.30049999999999999</v>
      </c>
      <c r="AO232" s="137">
        <v>0.2364</v>
      </c>
      <c r="AP232" s="64">
        <v>0.5796</v>
      </c>
      <c r="AQ232" s="38">
        <f>+Tabla_master_rend[[#This Row],[Kg_Queso_Blan]]*Tabla_master_rend[[#This Row],[ES_QUESO]]/(Tabla_master_rend[[#This Row],[Kg_Solidos_leche]])</f>
        <v>0.88373446209558926</v>
      </c>
      <c r="AR232" s="7">
        <f t="shared" ref="AR232:AR233" si="80">R232*0.4</f>
        <v>761.2</v>
      </c>
      <c r="AS2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0.94268685466150937</v>
      </c>
      <c r="AT232" s="62">
        <f>+Tabla_master_rend[[#This Row],[Kg_Queso_Blan]]*Tabla_master_rend[[#This Row],[%PT_QUESO]]/(Tabla_master_rend[[#This Row],[Litros_Leche_Total]]*1.03*Tabla_master_rend[[#This Row],[%MP_Leche]])</f>
        <v>0.80099235809906177</v>
      </c>
      <c r="AU232" s="7">
        <f t="shared" ref="AU232:AU233" si="81">AR232*$CO$3</f>
        <v>5709</v>
      </c>
      <c r="AV232" s="8">
        <v>33.729999999999997</v>
      </c>
      <c r="AW232" s="8">
        <v>14.1</v>
      </c>
      <c r="AX232" s="8">
        <f>8+1</f>
        <v>9</v>
      </c>
      <c r="AY232" s="8">
        <f>SUM(Tabla_master_rend[[#This Row],[Kg_Finos]:[Kg_Desmoldeo]])</f>
        <v>56.83</v>
      </c>
      <c r="AZ232" s="60">
        <f>+(Tabla_master_rend[[#This Row],[Kg_Finos]]+Tabla_master_rend[[#This Row],[Kg_Llenadora]]+Tabla_master_rend[[#This Row],[Kg_Desmoldeo]])/(Tabla_master_rend[[#This Row],[Kg_Queso_Blan]])</f>
        <v>2.9523872360034346E-3</v>
      </c>
      <c r="BA232" s="8">
        <v>180</v>
      </c>
      <c r="BB232" s="60">
        <f>+Tabla_master_rend[[#This Row],[L_Agua]]/(Tabla_master_rend[[#This Row],[L_Agua]]+Tabla_master_rend[[#This Row],[Kg_SalidaSecadero]])</f>
        <v>9.3789078782826173E-3</v>
      </c>
      <c r="BC232" s="8">
        <v>2604</v>
      </c>
      <c r="BD232" s="8">
        <v>2551</v>
      </c>
      <c r="BE232" s="8">
        <v>18843</v>
      </c>
      <c r="BF232" s="8">
        <v>206</v>
      </c>
      <c r="BG232" s="8">
        <v>54</v>
      </c>
      <c r="BH232" s="8">
        <v>35</v>
      </c>
      <c r="BI232" s="8">
        <v>133</v>
      </c>
      <c r="BJ232" s="8">
        <v>127</v>
      </c>
      <c r="BK232" s="8">
        <v>19012</v>
      </c>
      <c r="BL232" s="8">
        <v>0</v>
      </c>
      <c r="BM232" s="8">
        <v>157.28</v>
      </c>
      <c r="BN232" s="8">
        <v>30.2</v>
      </c>
      <c r="BO232" s="68">
        <f>+SUM(Tabla_master_rend[[#This Row],[B_altas]:[B_lab]])/Tabla_master_rend[[#This Row],[Kg_SalidaSecadero]]</f>
        <v>2.9192089206816749E-2</v>
      </c>
      <c r="BP232" s="68">
        <f>+(Tabla_master_rend[[#This Row],[Kg_mer_env_real]]+Tabla_master_rend[[#This Row],[kg_mer_lab_real]])/Tabla_master_rend[[#This Row],[Kg_SalidaSecadero]]</f>
        <v>9.8611403324216276E-3</v>
      </c>
      <c r="BQ232" s="64">
        <f>+Tabla_master_rend[[#This Row],[Merma_TOT]]/Tabla_master_rend[[#This Row],[Kg_Queso_Blan]]</f>
        <v>2.2043417703829272E-2</v>
      </c>
      <c r="BR2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424.31000000000006</v>
      </c>
      <c r="BS232" s="138">
        <v>18597.900000000001</v>
      </c>
      <c r="BT232" s="63">
        <f>IF(+Tabla_master_rend[[#This Row],[Kg_Env_Total]]=0,0,Tabla_master_rend[[#This Row],[Kg_Env_Total]]-Tabla_master_rend[[#This Row],[Kg_SalidaSecadero]])</f>
        <v>-414.09999999999854</v>
      </c>
      <c r="BU232" s="60">
        <f>+Tabla_master_rend[[#This Row],[Diferencia_Env_vs_Sec_kg]]/Tabla_master_rend[[#This Row],[Kg_SalidaSecadero]]</f>
        <v>-2.17809804334104E-2</v>
      </c>
      <c r="BV23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2" s="65">
        <f>+(Tabla_master_rend[[#This Row],[Coste_Leche_€]]-Tabla_master_rend[[#This Row],[Kg_MG_Nata]]*$CO$3)/Tabla_master_rend[[#This Row],[Kg_Queso_Blan]]</f>
        <v>-0.29658945504739764</v>
      </c>
      <c r="BX232" s="8">
        <f>SUM(Tabla_master_rend[[#This Row],[Kg_Finos]:[Kg_Desmoldeo]])+Tabla_master_rend[[#This Row],[L_Agua]]+SUM(Tabla_master_rend[[#This Row],[B_altas]:[B_lab]])</f>
        <v>791.82999999999993</v>
      </c>
      <c r="BY232" s="8">
        <f>+BX232-Tabla_master_rend[[#This Row],[Merma_TOT]]</f>
        <v>367.51999999999987</v>
      </c>
      <c r="BZ232" s="62">
        <f t="shared" ref="BZ232:BZ233" si="82">+BY232/BX232</f>
        <v>0.46414003005695653</v>
      </c>
      <c r="CA232" s="8">
        <f>+Tabla_master_rend[[#This Row],[Kg_Queso_Blan]]*$CA$1</f>
        <v>125.117395</v>
      </c>
      <c r="CB232" s="8">
        <f>+Tabla_master_rend[[#This Row],[Kg_Queso_Blan]]*($CB$1-$CA$1)</f>
        <v>67.370905000000022</v>
      </c>
      <c r="CC232" s="8">
        <f>+(Tabla_master_rend[[#This Row],[Kg_Queso_Blan]]-CA232-CB232)*$CC$1</f>
        <v>200.09158785000002</v>
      </c>
      <c r="CD232" s="8">
        <f t="shared" ref="CD232:CD233" si="83">+CA232+CB232+CC232</f>
        <v>392.57988785000009</v>
      </c>
      <c r="CE232" s="80">
        <f>+CD232/Tabla_master_rend[[#This Row],[Kg_Queso_Blan]]</f>
        <v>2.0395000000000003E-2</v>
      </c>
      <c r="CF232" s="62">
        <f>+Tabla_master_rend[[#This Row],[Merma_TOT]]/Tabla_master_rend[[#This Row],[Kg_Queso_Blan]]</f>
        <v>2.2043417703829272E-2</v>
      </c>
      <c r="CG232" s="8">
        <f>CD232-Tabla_master_rend[[#This Row],[Merma_TOT]]</f>
        <v>-31.730112149999968</v>
      </c>
      <c r="CH232" s="81" cm="1">
        <f t="array" ref="CH232">-BR232 * IFERROR(INDEX('Precio Leche_EBITDA_Ventas'!$BD$87:$BD$110,MATCH(1,('Precio Leche_EBITDA_Ventas'!$AZ$87:$AZ$110=YEAR(A232))*('Precio Leche_EBITDA_Ventas'!$BB$87:$BB$110=C232),0)),1.3)</f>
        <v>-945.08933598381452</v>
      </c>
      <c r="CI232" s="81">
        <f t="shared" ref="CI232:CI233" si="84">+CG232*$CM$2</f>
        <v>-41.249145794999961</v>
      </c>
    </row>
    <row r="233" spans="1:87" x14ac:dyDescent="0.35">
      <c r="A233" s="9">
        <v>46198</v>
      </c>
      <c r="B233" s="7">
        <v>6</v>
      </c>
      <c r="C233" s="7" t="str">
        <f>+UPPER(TEXT(Tabla_master_rend[[#This Row],[Fecha]],"MMM"))</f>
        <v>JUN</v>
      </c>
      <c r="D233" s="7" t="str">
        <f>+UPPER(TEXT(Tabla_master_rend[[#This Row],[Fecha]],"ddd"))</f>
        <v>JU</v>
      </c>
      <c r="E233" s="139">
        <v>180626326</v>
      </c>
      <c r="F233" s="3" t="s">
        <v>244</v>
      </c>
      <c r="G233" t="s">
        <v>301</v>
      </c>
      <c r="H233">
        <v>12</v>
      </c>
      <c r="I233" s="8">
        <f>+Tabla_master_rend[[#This Row],[L_Leche_ent]]+Tabla_master_rend[[#This Row],[L_desn_ext]]+Tabla_master_rend[[#This Row],[L_cabra]]+Tabla_master_rend[[#This Row],[L_oveja]]</f>
        <v>188526</v>
      </c>
      <c r="J233" s="8">
        <v>188526</v>
      </c>
      <c r="K233" s="66">
        <v>3.7499999999999999E-2</v>
      </c>
      <c r="L233" s="66">
        <v>3.3599999999999998E-2</v>
      </c>
      <c r="M233" s="5">
        <f t="shared" si="79"/>
        <v>0.107739</v>
      </c>
      <c r="N233" s="3" t="s">
        <v>43</v>
      </c>
      <c r="O233">
        <v>0</v>
      </c>
      <c r="P233" s="8">
        <v>0</v>
      </c>
      <c r="Q233" s="8">
        <v>0</v>
      </c>
      <c r="R233" s="8">
        <v>2143</v>
      </c>
      <c r="S233" s="8">
        <v>0</v>
      </c>
      <c r="T233" s="8">
        <v>170740</v>
      </c>
      <c r="U233" s="38">
        <f>+Tabla_master_rend[[#This Row],[L_suero Total]]/Tabla_master_rend[[#This Row],[Litros_Leche_Total]]</f>
        <v>0.90565757508248201</v>
      </c>
      <c r="V233" s="66">
        <v>2E-3</v>
      </c>
      <c r="W233" s="66">
        <v>8.0999999999999996E-3</v>
      </c>
      <c r="X233" s="8">
        <v>171231</v>
      </c>
      <c r="Y233" s="57">
        <v>48891</v>
      </c>
      <c r="Z233" s="58">
        <f>IF(Tabla_master_rend[[#This Row],[L_suero para con]]=0,0,+Tabla_master_rend[[#This Row],[L_suero para con]]/Tabla_master_rend[[#This Row],[L_suero_con]])</f>
        <v>3.5023010370006751</v>
      </c>
      <c r="AA233" s="8">
        <f>+Tabla_master_rend[[#This Row],[L_suero Total]]-Tabla_master_rend[[#This Row],[L_suero para con]]</f>
        <v>-491</v>
      </c>
      <c r="AD233" s="8">
        <v>0</v>
      </c>
      <c r="AE233" s="8">
        <v>0</v>
      </c>
      <c r="AF233" s="8">
        <v>0</v>
      </c>
      <c r="AG233" s="66">
        <v>0</v>
      </c>
      <c r="AH233" s="66">
        <v>0</v>
      </c>
      <c r="AI233" s="7">
        <f>+Tabla_master_rend[[#This Row],[Kg_Finos]]+Tabla_master_rend[[#This Row],[Kg_Llenadora]]+Tabla_master_rend[[#This Row],[Kg_Desmoldeo]]+Tabla_master_rend[[#This Row],[L_Agua]]+Tabla_master_rend[[#This Row],[Kg_SalidaSecadero]]</f>
        <v>21539.24</v>
      </c>
      <c r="AJ233" s="59">
        <f>+Tabla_master_rend[[#This Row],[Litros_Leche_Total]]/Tabla_master_rend[[#This Row],[Kg_Queso_Blan]]</f>
        <v>8.7526765104061237</v>
      </c>
      <c r="AK233" s="59">
        <f>+Tabla_master_rend[[#This Row],[Litros_Leche_Total]]/(Tabla_master_rend[[#This Row],[Kg_Queso_Blan]]-Tabla_master_rend[[#This Row],[Merma_TOT]])</f>
        <v>8.8559793573747445</v>
      </c>
      <c r="AL233" s="59">
        <f>VLOOKUP(G233,REND_TARGET[#All],8,FALSE)</f>
        <v>9.3549429999999987</v>
      </c>
      <c r="AM233" s="7">
        <f>(I233*1.03*Tabla_master_rend[[#This Row],[%MG_Leche]])+(I233*1.03*Tabla_master_rend[[#This Row],[%MP_Leche]])</f>
        <v>13806.324558</v>
      </c>
      <c r="AN233" s="137">
        <v>0.2954</v>
      </c>
      <c r="AO233" s="137">
        <v>0.2462</v>
      </c>
      <c r="AP233" s="64">
        <v>0.58499999999999996</v>
      </c>
      <c r="AQ233" s="38">
        <f>+Tabla_master_rend[[#This Row],[Kg_Queso_Blan]]*Tabla_master_rend[[#This Row],[ES_QUESO]]/(Tabla_master_rend[[#This Row],[Kg_Solidos_leche]])</f>
        <v>0.91265820581472101</v>
      </c>
      <c r="AR233" s="7">
        <f t="shared" si="80"/>
        <v>857.2</v>
      </c>
      <c r="AS2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0.99149590601823379</v>
      </c>
      <c r="AT233" s="62">
        <f>+Tabla_master_rend[[#This Row],[Kg_Queso_Blan]]*Tabla_master_rend[[#This Row],[%PT_QUESO]]/(Tabla_master_rend[[#This Row],[Litros_Leche_Total]]*1.03*Tabla_master_rend[[#This Row],[%MP_Leche]])</f>
        <v>0.81277562140362469</v>
      </c>
      <c r="AU233" s="7">
        <f t="shared" si="81"/>
        <v>6429</v>
      </c>
      <c r="AV233" s="8">
        <v>28.24</v>
      </c>
      <c r="AW233" s="8">
        <v>31</v>
      </c>
      <c r="AX233" s="8">
        <v>5</v>
      </c>
      <c r="AY233" s="8">
        <f>SUM(Tabla_master_rend[[#This Row],[Kg_Finos]:[Kg_Desmoldeo]])</f>
        <v>64.239999999999995</v>
      </c>
      <c r="AZ233" s="60">
        <f>+(Tabla_master_rend[[#This Row],[Kg_Finos]]+Tabla_master_rend[[#This Row],[Kg_Llenadora]]+Tabla_master_rend[[#This Row],[Kg_Desmoldeo]])/(Tabla_master_rend[[#This Row],[Kg_Queso_Blan]])</f>
        <v>2.9824636338143776E-3</v>
      </c>
      <c r="BA233" s="8">
        <v>140</v>
      </c>
      <c r="BB233" s="60">
        <f>+Tabla_master_rend[[#This Row],[L_Agua]]/(Tabla_master_rend[[#This Row],[L_Agua]]+Tabla_master_rend[[#This Row],[Kg_SalidaSecadero]])</f>
        <v>6.5192083818393478E-3</v>
      </c>
      <c r="BC233" s="8">
        <v>2876</v>
      </c>
      <c r="BD233" s="8">
        <v>2863</v>
      </c>
      <c r="BE233" s="8">
        <v>21391</v>
      </c>
      <c r="BF233" s="8">
        <v>0</v>
      </c>
      <c r="BG233" s="8">
        <v>0</v>
      </c>
      <c r="BH233" s="8">
        <v>7</v>
      </c>
      <c r="BI233" s="8">
        <v>0</v>
      </c>
      <c r="BJ233" s="8">
        <v>77</v>
      </c>
      <c r="BK233" s="8">
        <v>21335</v>
      </c>
      <c r="BL233" s="8">
        <v>0</v>
      </c>
      <c r="BM233" s="8">
        <v>35.15</v>
      </c>
      <c r="BN233" s="8">
        <v>11.86</v>
      </c>
      <c r="BO233" s="68">
        <f>+SUM(Tabla_master_rend[[#This Row],[B_altas]:[B_lab]])/Tabla_master_rend[[#This Row],[Kg_SalidaSecadero]]</f>
        <v>3.9371924068432153E-3</v>
      </c>
      <c r="BP233" s="68">
        <f>+(Tabla_master_rend[[#This Row],[Kg_mer_env_real]]+Tabla_master_rend[[#This Row],[kg_mer_lab_real]])/Tabla_master_rend[[#This Row],[Kg_SalidaSecadero]]</f>
        <v>2.2034216076868992E-3</v>
      </c>
      <c r="BQ233" s="64">
        <f>+Tabla_master_rend[[#This Row],[Merma_TOT]]/Tabla_master_rend[[#This Row],[Kg_Queso_Blan]]</f>
        <v>1.1664756973783661E-2</v>
      </c>
      <c r="BR2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251.25</v>
      </c>
      <c r="BS233" s="138">
        <v>21012.799999999996</v>
      </c>
      <c r="BT233" s="63">
        <f>IF(+Tabla_master_rend[[#This Row],[Kg_Env_Total]]=0,0,Tabla_master_rend[[#This Row],[Kg_Env_Total]]-Tabla_master_rend[[#This Row],[Kg_SalidaSecadero]])</f>
        <v>-322.20000000000437</v>
      </c>
      <c r="BU233" s="60">
        <f>+Tabla_master_rend[[#This Row],[Diferencia_Env_vs_Sec_kg]]/Tabla_master_rend[[#This Row],[Kg_SalidaSecadero]]</f>
        <v>-1.5101945160534537E-2</v>
      </c>
      <c r="BV23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3" s="65">
        <f>+(Tabla_master_rend[[#This Row],[Coste_Leche_€]]-Tabla_master_rend[[#This Row],[Kg_MG_Nata]]*$CO$3)/Tabla_master_rend[[#This Row],[Kg_Queso_Blan]]</f>
        <v>-0.29847849784857772</v>
      </c>
      <c r="BX233" s="8">
        <f>SUM(Tabla_master_rend[[#This Row],[Kg_Finos]:[Kg_Desmoldeo]])+Tabla_master_rend[[#This Row],[L_Agua]]+SUM(Tabla_master_rend[[#This Row],[B_altas]:[B_lab]])</f>
        <v>288.24</v>
      </c>
      <c r="BY233" s="8">
        <f>+BX233-Tabla_master_rend[[#This Row],[Merma_TOT]]</f>
        <v>36.990000000000009</v>
      </c>
      <c r="BZ233" s="62">
        <f t="shared" si="82"/>
        <v>0.128330557868443</v>
      </c>
      <c r="CA233" s="8">
        <f>+Tabla_master_rend[[#This Row],[Kg_Queso_Blan]]*$CA$1</f>
        <v>140.00506000000001</v>
      </c>
      <c r="CB233" s="8">
        <f>+Tabla_master_rend[[#This Row],[Kg_Queso_Blan]]*($CB$1-$CA$1)</f>
        <v>75.387340000000023</v>
      </c>
      <c r="CC233" s="8">
        <f>+(Tabla_master_rend[[#This Row],[Kg_Queso_Blan]]-CA233-CB233)*$CC$1</f>
        <v>223.90039980000003</v>
      </c>
      <c r="CD233" s="8">
        <f t="shared" si="83"/>
        <v>439.29279980000007</v>
      </c>
      <c r="CE233" s="80">
        <f>+CD233/Tabla_master_rend[[#This Row],[Kg_Queso_Blan]]</f>
        <v>2.0395E-2</v>
      </c>
      <c r="CF233" s="62">
        <f>+Tabla_master_rend[[#This Row],[Merma_TOT]]/Tabla_master_rend[[#This Row],[Kg_Queso_Blan]]</f>
        <v>1.1664756973783661E-2</v>
      </c>
      <c r="CG233" s="8">
        <f>CD233-Tabla_master_rend[[#This Row],[Merma_TOT]]</f>
        <v>188.04279980000007</v>
      </c>
      <c r="CH233" s="81" cm="1">
        <f t="array" ref="CH233">-BR233 * IFERROR(INDEX('Precio Leche_EBITDA_Ventas'!$BD$87:$BD$110,MATCH(1,('Precio Leche_EBITDA_Ventas'!$AZ$87:$AZ$110=YEAR(A233))*('Precio Leche_EBITDA_Ventas'!$BB$87:$BB$110=C233),0)),1.3)</f>
        <v>-559.62314266911778</v>
      </c>
      <c r="CI233" s="81">
        <f t="shared" si="84"/>
        <v>244.45563974000009</v>
      </c>
    </row>
    <row r="234" spans="1:87" x14ac:dyDescent="0.35">
      <c r="A234" s="9">
        <v>46204</v>
      </c>
      <c r="B234" s="7">
        <v>7</v>
      </c>
      <c r="C234" s="7" t="str">
        <f>+UPPER(TEXT(Tabla_master_rend[[#This Row],[Fecha]],"MMM"))</f>
        <v>JUL</v>
      </c>
      <c r="D234" s="7" t="str">
        <f>+UPPER(TEXT(Tabla_master_rend[[#This Row],[Fecha]],"ddd"))</f>
        <v>MI</v>
      </c>
      <c r="E234" s="139" t="s">
        <v>609</v>
      </c>
      <c r="F234" s="3" t="s">
        <v>244</v>
      </c>
      <c r="G234" t="s">
        <v>301</v>
      </c>
      <c r="H234">
        <v>1</v>
      </c>
      <c r="I234" s="8">
        <f>+Tabla_master_rend[[#This Row],[L_Leche_ent]]+Tabla_master_rend[[#This Row],[L_desn_ext]]+Tabla_master_rend[[#This Row],[L_cabra]]+Tabla_master_rend[[#This Row],[L_oveja]]</f>
        <v>16742</v>
      </c>
      <c r="J234" s="8">
        <v>16742</v>
      </c>
      <c r="K234" s="66">
        <v>3.9600000000000003E-2</v>
      </c>
      <c r="L234" s="66">
        <v>3.0599999999999999E-2</v>
      </c>
      <c r="M234" s="5">
        <f t="shared" ref="M234:M239" si="85">0.93*K234+0.74*L234+0.048</f>
        <v>0.10747200000000001</v>
      </c>
      <c r="N234" s="3" t="s">
        <v>43</v>
      </c>
      <c r="O234" s="8">
        <v>0</v>
      </c>
      <c r="P234" s="8">
        <v>0</v>
      </c>
      <c r="Q234" s="8">
        <v>0</v>
      </c>
      <c r="R234" s="8">
        <v>406</v>
      </c>
      <c r="S234">
        <v>0</v>
      </c>
      <c r="T234" s="8">
        <v>13800</v>
      </c>
      <c r="U234" s="38">
        <f>+Tabla_master_rend[[#This Row],[L_suero Total]]/Tabla_master_rend[[#This Row],[Litros_Leche_Total]]</f>
        <v>0.82427428025325533</v>
      </c>
      <c r="V234" s="66">
        <v>1.2999999999999999E-3</v>
      </c>
      <c r="W234" s="66">
        <v>8.3000000000000001E-3</v>
      </c>
      <c r="X234" s="8">
        <f>138400/(13800+191530)*13800</f>
        <v>9301.7094433351194</v>
      </c>
      <c r="Y234" s="57">
        <f>39800/(9302+129098)*9302</f>
        <v>2674.9971098265896</v>
      </c>
      <c r="Z234" s="58">
        <f>IF(Tabla_master_rend[[#This Row],[L_suero para con]]=0,0,+Tabla_master_rend[[#This Row],[L_suero para con]]/Tabla_master_rend[[#This Row],[L_suero_con]])</f>
        <v>3.4772783152420361</v>
      </c>
      <c r="AA234" s="8">
        <f>+Tabla_master_rend[[#This Row],[L_suero Total]]-Tabla_master_rend[[#This Row],[L_suero para con]]</f>
        <v>4498.2905566648806</v>
      </c>
      <c r="AD234" s="8">
        <v>0</v>
      </c>
      <c r="AE234" s="8">
        <v>0</v>
      </c>
      <c r="AF234" s="8">
        <v>0</v>
      </c>
      <c r="AG234" s="66">
        <v>0</v>
      </c>
      <c r="AH234" s="66">
        <v>0</v>
      </c>
      <c r="AI234" s="7">
        <f>+Tabla_master_rend[[#This Row],[Kg_Finos]]+Tabla_master_rend[[#This Row],[Kg_Llenadora]]+Tabla_master_rend[[#This Row],[Kg_Desmoldeo]]+Tabla_master_rend[[#This Row],[L_Agua]]+Tabla_master_rend[[#This Row],[Kg_SalidaSecadero]]</f>
        <v>1770.617113914187</v>
      </c>
      <c r="AJ234" s="59">
        <f>+Tabla_master_rend[[#This Row],[Litros_Leche_Total]]/Tabla_master_rend[[#This Row],[Kg_Queso_Blan]]</f>
        <v>9.4554603976404366</v>
      </c>
      <c r="AK234" s="59">
        <f>+Tabla_master_rend[[#This Row],[Litros_Leche_Total]]/(Tabla_master_rend[[#This Row],[Kg_Queso_Blan]]-Tabla_master_rend[[#This Row],[Merma_TOT]])</f>
        <v>9.5436796351717259</v>
      </c>
      <c r="AL234" s="59">
        <f>VLOOKUP(G234,REND_TARGET[#All],8,FALSE)</f>
        <v>9.3549429999999987</v>
      </c>
      <c r="AM234" s="7">
        <f>(I234*1.03*Tabla_master_rend[[#This Row],[%MG_Leche]])+(I234*1.03*Tabla_master_rend[[#This Row],[%MP_Leche]])</f>
        <v>1210.5470520000001</v>
      </c>
      <c r="AN234" s="137">
        <v>0.28270000000000001</v>
      </c>
      <c r="AO234" s="137">
        <v>0.2324</v>
      </c>
      <c r="AP234" s="64">
        <v>0.56569999999999998</v>
      </c>
      <c r="AQ234" s="38">
        <f>+Tabla_master_rend[[#This Row],[Kg_Queso_Blan]]*Tabla_master_rend[[#This Row],[ES_QUESO]]/(Tabla_master_rend[[#This Row],[Kg_Solidos_leche]])</f>
        <v>0.82742599693783359</v>
      </c>
      <c r="AR234" s="7">
        <f t="shared" ref="AR234:AR239" si="86">R234*0.4</f>
        <v>162.4</v>
      </c>
      <c r="AS2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0.97083023232128263</v>
      </c>
      <c r="AT234" s="62">
        <f>+Tabla_master_rend[[#This Row],[Kg_Queso_Blan]]*Tabla_master_rend[[#This Row],[%PT_QUESO]]/(Tabla_master_rend[[#This Row],[Litros_Leche_Total]]*1.03*Tabla_master_rend[[#This Row],[%MP_Leche]])</f>
        <v>0.77982075989619837</v>
      </c>
      <c r="AU234" s="7">
        <f t="shared" ref="AU234:AU239" si="87">AR234*$CO$3</f>
        <v>1218</v>
      </c>
      <c r="AV234" s="8">
        <f>38.94/(13800+191530)*13800</f>
        <v>2.6171139141869184</v>
      </c>
      <c r="AW234" s="8">
        <v>0</v>
      </c>
      <c r="AX234" s="8">
        <v>0</v>
      </c>
      <c r="AY234" s="8">
        <f>SUM(Tabla_master_rend[[#This Row],[Kg_Finos]:[Kg_Desmoldeo]])</f>
        <v>2.6171139141869184</v>
      </c>
      <c r="AZ234" s="60">
        <f>+(Tabla_master_rend[[#This Row],[Kg_Finos]]+Tabla_master_rend[[#This Row],[Kg_Llenadora]]+Tabla_master_rend[[#This Row],[Kg_Desmoldeo]])/(Tabla_master_rend[[#This Row],[Kg_Queso_Blan]])</f>
        <v>1.4780800962673609E-3</v>
      </c>
      <c r="BA234" s="7">
        <v>11</v>
      </c>
      <c r="BB234" s="60">
        <f>+Tabla_master_rend[[#This Row],[L_Agua]]/(Tabla_master_rend[[#This Row],[L_Agua]]+Tabla_master_rend[[#This Row],[Kg_SalidaSecadero]])</f>
        <v>6.2217194570135742E-3</v>
      </c>
      <c r="BC234" s="8">
        <v>243</v>
      </c>
      <c r="BD234" s="8">
        <v>241</v>
      </c>
      <c r="BE234" s="8">
        <v>1755</v>
      </c>
      <c r="BF234" s="8">
        <v>0</v>
      </c>
      <c r="BG234" s="8">
        <v>0</v>
      </c>
      <c r="BH234" s="8">
        <v>0</v>
      </c>
      <c r="BI234" s="8">
        <v>0</v>
      </c>
      <c r="BJ234" s="8">
        <v>13</v>
      </c>
      <c r="BK234" s="8">
        <v>1757</v>
      </c>
      <c r="BL234" s="8">
        <v>0</v>
      </c>
      <c r="BM234" s="8">
        <v>0</v>
      </c>
      <c r="BN234" s="8">
        <v>2.75</v>
      </c>
      <c r="BO234" s="68">
        <f>+SUM(Tabla_master_rend[[#This Row],[B_altas]:[B_lab]])/Tabla_master_rend[[#This Row],[Kg_SalidaSecadero]]</f>
        <v>7.3989755264655659E-3</v>
      </c>
      <c r="BP234" s="68">
        <f>+(Tabla_master_rend[[#This Row],[Kg_mer_env_real]]+Tabla_master_rend[[#This Row],[kg_mer_lab_real]])/Tabla_master_rend[[#This Row],[Kg_SalidaSecadero]]</f>
        <v>1.5651678998292544E-3</v>
      </c>
      <c r="BQ234" s="64">
        <f>+Tabla_master_rend[[#This Row],[Merma_TOT]]/Tabla_master_rend[[#This Row],[Kg_Queso_Blan]]</f>
        <v>9.2437341679168662E-3</v>
      </c>
      <c r="BR2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16.36711391418692</v>
      </c>
      <c r="BS234" s="138">
        <v>1732.4</v>
      </c>
      <c r="BT234" s="63">
        <f>IF(+Tabla_master_rend[[#This Row],[Kg_Env_Total]]=0,0,Tabla_master_rend[[#This Row],[Kg_Env_Total]]-Tabla_master_rend[[#This Row],[Kg_SalidaSecadero]])</f>
        <v>-24.599999999999909</v>
      </c>
      <c r="BU234" s="60">
        <f>+Tabla_master_rend[[#This Row],[Diferencia_Env_vs_Sec_kg]]/Tabla_master_rend[[#This Row],[Kg_SalidaSecadero]]</f>
        <v>-1.4001138303927097E-2</v>
      </c>
      <c r="BV23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4" s="65">
        <f>+(Tabla_master_rend[[#This Row],[Coste_Leche_€]]-Tabla_master_rend[[#This Row],[Kg_MG_Nata]]*$CO$3)/Tabla_master_rend[[#This Row],[Kg_Queso_Blan]]</f>
        <v>-0.68789575703775241</v>
      </c>
      <c r="BX234" s="8">
        <f>SUM(Tabla_master_rend[[#This Row],[Kg_Finos]:[Kg_Desmoldeo]])+Tabla_master_rend[[#This Row],[L_Agua]]+SUM(Tabla_master_rend[[#This Row],[B_altas]:[B_lab]])</f>
        <v>26.617113914186916</v>
      </c>
      <c r="BY234" s="8">
        <f>+BX234-Tabla_master_rend[[#This Row],[Merma_TOT]]</f>
        <v>10.249999999999996</v>
      </c>
      <c r="BZ234" s="62">
        <f t="shared" ref="BZ234:BZ239" si="88">+BY234/BX234</f>
        <v>0.38509058619374764</v>
      </c>
      <c r="CA234" s="8">
        <f>+Tabla_master_rend[[#This Row],[Kg_Queso_Blan]]*$CA$1</f>
        <v>11.509011240442215</v>
      </c>
      <c r="CB234" s="8">
        <f>+Tabla_master_rend[[#This Row],[Kg_Queso_Blan]]*($CB$1-$CA$1)</f>
        <v>6.1971598986996552</v>
      </c>
      <c r="CC234" s="8">
        <f>+(Tabla_master_rend[[#This Row],[Kg_Queso_Blan]]-CA234-CB234)*$CC$1</f>
        <v>18.405564899137975</v>
      </c>
      <c r="CD234" s="8">
        <f t="shared" ref="CD234:CD239" si="89">+CA234+CB234+CC234</f>
        <v>36.111736038279844</v>
      </c>
      <c r="CE234" s="80">
        <f>+CD234/Tabla_master_rend[[#This Row],[Kg_Queso_Blan]]</f>
        <v>2.0395E-2</v>
      </c>
      <c r="CF234" s="62">
        <f>+Tabla_master_rend[[#This Row],[Merma_TOT]]/Tabla_master_rend[[#This Row],[Kg_Queso_Blan]]</f>
        <v>9.2437341679168662E-3</v>
      </c>
      <c r="CG234" s="8">
        <f>CD234-Tabla_master_rend[[#This Row],[Merma_TOT]]</f>
        <v>19.744622124092924</v>
      </c>
      <c r="CH234" s="81" cm="1">
        <f t="array" ref="CH234">-BR234 * IFERROR(INDEX('Precio Leche_EBITDA_Ventas'!$BD$87:$BD$110,MATCH(1,('Precio Leche_EBITDA_Ventas'!$AZ$87:$AZ$110=YEAR(A234))*('Precio Leche_EBITDA_Ventas'!$BB$87:$BB$110=C234),0)),1.3)</f>
        <v>0</v>
      </c>
      <c r="CI234" s="81">
        <f t="shared" ref="CI234:CI239" si="90">+CG234*$CM$2</f>
        <v>25.668008761320802</v>
      </c>
    </row>
    <row r="235" spans="1:87" x14ac:dyDescent="0.35">
      <c r="A235" s="9">
        <v>46204</v>
      </c>
      <c r="B235" s="7">
        <v>7</v>
      </c>
      <c r="C235" s="7" t="str">
        <f>+UPPER(TEXT(Tabla_master_rend[[#This Row],[Fecha]],"MMM"))</f>
        <v>JUL</v>
      </c>
      <c r="D235" s="7" t="str">
        <f>+UPPER(TEXT(Tabla_master_rend[[#This Row],[Fecha]],"ddd"))</f>
        <v>MI</v>
      </c>
      <c r="E235" s="139" t="s">
        <v>610</v>
      </c>
      <c r="F235" s="3" t="s">
        <v>244</v>
      </c>
      <c r="G235" s="84" t="s">
        <v>299</v>
      </c>
      <c r="H235">
        <v>14</v>
      </c>
      <c r="I235" s="8">
        <f>+Tabla_master_rend[[#This Row],[L_Leche_ent]]+Tabla_master_rend[[#This Row],[L_desn_ext]]+Tabla_master_rend[[#This Row],[L_cabra]]+Tabla_master_rend[[#This Row],[L_oveja]]</f>
        <v>225505</v>
      </c>
      <c r="J235" s="8">
        <v>225505</v>
      </c>
      <c r="K235" s="66">
        <v>3.7199999999999997E-2</v>
      </c>
      <c r="L235" s="66">
        <v>3.1399999999999997E-2</v>
      </c>
      <c r="M235" s="5">
        <f t="shared" si="85"/>
        <v>0.105832</v>
      </c>
      <c r="N235" s="3" t="s">
        <v>43</v>
      </c>
      <c r="O235" s="8">
        <v>0</v>
      </c>
      <c r="P235" s="8">
        <v>0</v>
      </c>
      <c r="Q235" s="8">
        <v>0</v>
      </c>
      <c r="R235" s="8">
        <v>8473</v>
      </c>
      <c r="S235">
        <v>0</v>
      </c>
      <c r="T235" s="8">
        <v>191530</v>
      </c>
      <c r="U235" s="38">
        <f>+Tabla_master_rend[[#This Row],[L_suero Total]]/Tabla_master_rend[[#This Row],[Litros_Leche_Total]]</f>
        <v>0.84933815214740249</v>
      </c>
      <c r="V235" s="66">
        <v>1.2999999999999999E-3</v>
      </c>
      <c r="W235" s="66">
        <v>8.3000000000000001E-3</v>
      </c>
      <c r="X235" s="8">
        <f>138400/(13800+191530)*191530</f>
        <v>129098.29055666488</v>
      </c>
      <c r="Y235" s="57">
        <f>39800/(9302+129098)*129098</f>
        <v>37125.002890173411</v>
      </c>
      <c r="Z235" s="58">
        <f>IF(Tabla_master_rend[[#This Row],[L_suero para con]]=0,0,+Tabla_master_rend[[#This Row],[L_suero para con]]/Tabla_master_rend[[#This Row],[L_suero_con]])</f>
        <v>3.4773947611149092</v>
      </c>
      <c r="AA235" s="8">
        <f>+Tabla_master_rend[[#This Row],[L_suero Total]]-Tabla_master_rend[[#This Row],[L_suero para con]]</f>
        <v>62431.709443335116</v>
      </c>
      <c r="AD235" s="8">
        <v>25246</v>
      </c>
      <c r="AE235" s="8">
        <v>0</v>
      </c>
      <c r="AF235" s="8">
        <v>0</v>
      </c>
      <c r="AG235" s="140"/>
      <c r="AH235" s="140"/>
      <c r="AI235" s="7">
        <f>+Tabla_master_rend[[#This Row],[Kg_Finos]]+Tabla_master_rend[[#This Row],[Kg_Llenadora]]+Tabla_master_rend[[#This Row],[Kg_Desmoldeo]]+Tabla_master_rend[[#This Row],[L_Agua]]+Tabla_master_rend[[#This Row],[Kg_SalidaSecadero]]</f>
        <v>22801.022886085811</v>
      </c>
      <c r="AJ235" s="59">
        <f>+Tabla_master_rend[[#This Row],[Litros_Leche_Total]]/Tabla_master_rend[[#This Row],[Kg_Queso_Blan]]</f>
        <v>9.8901264704932643</v>
      </c>
      <c r="AK235" s="59">
        <f>+Tabla_master_rend[[#This Row],[Litros_Leche_Total]]/(Tabla_master_rend[[#This Row],[Kg_Queso_Blan]]-Tabla_master_rend[[#This Row],[Merma_TOT]])</f>
        <v>10.043169081798574</v>
      </c>
      <c r="AL235" s="59">
        <f>VLOOKUP(G235,REND_TARGET[#All],8,FALSE)</f>
        <v>9.8078500000000002</v>
      </c>
      <c r="AM235" s="7">
        <f>(I235*1.03*Tabla_master_rend[[#This Row],[%MG_Leche]])+(I235*1.03*Tabla_master_rend[[#This Row],[%MP_Leche]])</f>
        <v>15933.732289999998</v>
      </c>
      <c r="AN235" s="137">
        <v>0.2238</v>
      </c>
      <c r="AO235" s="137">
        <v>0.25650000000000001</v>
      </c>
      <c r="AP235" s="64">
        <v>0.53559999999999997</v>
      </c>
      <c r="AQ235" s="38">
        <f>+Tabla_master_rend[[#This Row],[Kg_Queso_Blan]]*Tabla_master_rend[[#This Row],[ES_QUESO]]/(Tabla_master_rend[[#This Row],[Kg_Solidos_leche]])</f>
        <v>0.76643862439260058</v>
      </c>
      <c r="AR235" s="7">
        <f t="shared" si="86"/>
        <v>3389.2000000000003</v>
      </c>
      <c r="AS2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0.98282720630215237</v>
      </c>
      <c r="AT235" s="62">
        <f>+Tabla_master_rend[[#This Row],[Kg_Queso_Blan]]*Tabla_master_rend[[#This Row],[%PT_QUESO]]/(Tabla_master_rend[[#This Row],[Litros_Leche_Total]]*1.03*Tabla_master_rend[[#This Row],[%MP_Leche]])</f>
        <v>0.80189711585731338</v>
      </c>
      <c r="AU235" s="7">
        <f t="shared" si="87"/>
        <v>25419.000000000004</v>
      </c>
      <c r="AV235" s="8">
        <f>38.94/(13800+191530)*191530</f>
        <v>36.322886085813082</v>
      </c>
      <c r="AW235" s="8">
        <v>49.7</v>
      </c>
      <c r="AX235" s="8">
        <v>0</v>
      </c>
      <c r="AY235" s="8">
        <f>SUM(Tabla_master_rend[[#This Row],[Kg_Finos]:[Kg_Desmoldeo]])</f>
        <v>86.022886085813084</v>
      </c>
      <c r="AZ235" s="60">
        <f>+(Tabla_master_rend[[#This Row],[Kg_Finos]]+Tabla_master_rend[[#This Row],[Kg_Llenadora]]+Tabla_master_rend[[#This Row],[Kg_Desmoldeo]])/(Tabla_master_rend[[#This Row],[Kg_Queso_Blan]])</f>
        <v>3.7727643411255922E-3</v>
      </c>
      <c r="BA235" s="7">
        <v>130</v>
      </c>
      <c r="BB235" s="60">
        <f>+Tabla_master_rend[[#This Row],[L_Agua]]/(Tabla_master_rend[[#This Row],[L_Agua]]+Tabla_master_rend[[#This Row],[Kg_SalidaSecadero]])</f>
        <v>5.7230904688531804E-3</v>
      </c>
      <c r="BC235" s="8">
        <v>3091</v>
      </c>
      <c r="BD235" s="8">
        <v>3034</v>
      </c>
      <c r="BE235" s="8">
        <v>22358</v>
      </c>
      <c r="BF235" s="8">
        <v>0</v>
      </c>
      <c r="BG235" s="8">
        <v>198</v>
      </c>
      <c r="BH235" s="8">
        <v>0</v>
      </c>
      <c r="BI235" s="8">
        <v>70</v>
      </c>
      <c r="BJ235" s="8">
        <v>89</v>
      </c>
      <c r="BK235" s="8">
        <v>22585</v>
      </c>
      <c r="BL235" s="8">
        <v>0</v>
      </c>
      <c r="BM235" s="8">
        <v>107.82</v>
      </c>
      <c r="BN235" s="8">
        <v>23.61</v>
      </c>
      <c r="BO235" s="68">
        <f>+SUM(Tabla_master_rend[[#This Row],[B_altas]:[B_lab]])/Tabla_master_rend[[#This Row],[Kg_SalidaSecadero]]</f>
        <v>1.5806951516493247E-2</v>
      </c>
      <c r="BP235" s="68">
        <f>+(Tabla_master_rend[[#This Row],[Kg_mer_env_real]]+Tabla_master_rend[[#This Row],[kg_mer_lab_real]])/Tabla_master_rend[[#This Row],[Kg_SalidaSecadero]]</f>
        <v>5.8193491255257917E-3</v>
      </c>
      <c r="BQ235" s="64">
        <f>+Tabla_master_rend[[#This Row],[Merma_TOT]]/Tabla_master_rend[[#This Row],[Kg_Queso_Blan]]</f>
        <v>1.5238478020117428E-2</v>
      </c>
      <c r="BR2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347.45288608581308</v>
      </c>
      <c r="BS235" s="138">
        <v>22421.35999999999</v>
      </c>
      <c r="BT235" s="63">
        <f>IF(+Tabla_master_rend[[#This Row],[Kg_Env_Total]]=0,0,Tabla_master_rend[[#This Row],[Kg_Env_Total]]-Tabla_master_rend[[#This Row],[Kg_SalidaSecadero]])</f>
        <v>-163.64000000001033</v>
      </c>
      <c r="BU235" s="60">
        <f>+Tabla_master_rend[[#This Row],[Diferencia_Env_vs_Sec_kg]]/Tabla_master_rend[[#This Row],[Kg_SalidaSecadero]]</f>
        <v>-7.2455169360199391E-3</v>
      </c>
      <c r="BV23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5" s="65">
        <f>+(Tabla_master_rend[[#This Row],[Coste_Leche_€]]-Tabla_master_rend[[#This Row],[Kg_MG_Nata]]*$CO$3)/Tabla_master_rend[[#This Row],[Kg_Queso_Blan]]</f>
        <v>-1.1148184064808688</v>
      </c>
      <c r="BX235" s="8">
        <f>SUM(Tabla_master_rend[[#This Row],[Kg_Finos]:[Kg_Desmoldeo]])+Tabla_master_rend[[#This Row],[L_Agua]]+SUM(Tabla_master_rend[[#This Row],[B_altas]:[B_lab]])</f>
        <v>573.02288608581307</v>
      </c>
      <c r="BY235" s="8">
        <f>+BX235-Tabla_master_rend[[#This Row],[Merma_TOT]]</f>
        <v>225.57</v>
      </c>
      <c r="BZ235" s="62">
        <f t="shared" si="88"/>
        <v>0.39364919879695653</v>
      </c>
      <c r="CA235" s="8">
        <f>+Tabla_master_rend[[#This Row],[Kg_Queso_Blan]]*$CA$1</f>
        <v>148.20664875955777</v>
      </c>
      <c r="CB235" s="8">
        <f>+Tabla_master_rend[[#This Row],[Kg_Queso_Blan]]*($CB$1-$CA$1)</f>
        <v>79.803580101300355</v>
      </c>
      <c r="CC235" s="8">
        <f>+(Tabla_master_rend[[#This Row],[Kg_Queso_Blan]]-CA235-CB235)*$CC$1</f>
        <v>237.01663290086202</v>
      </c>
      <c r="CD235" s="8">
        <f t="shared" si="89"/>
        <v>465.02686176172017</v>
      </c>
      <c r="CE235" s="80">
        <f>+CD235/Tabla_master_rend[[#This Row],[Kg_Queso_Blan]]</f>
        <v>2.0395000000000003E-2</v>
      </c>
      <c r="CF235" s="62">
        <f>+Tabla_master_rend[[#This Row],[Merma_TOT]]/Tabla_master_rend[[#This Row],[Kg_Queso_Blan]]</f>
        <v>1.5238478020117428E-2</v>
      </c>
      <c r="CG235" s="8">
        <f>CD235-Tabla_master_rend[[#This Row],[Merma_TOT]]</f>
        <v>117.57397567590709</v>
      </c>
      <c r="CH235" s="81" cm="1">
        <f t="array" ref="CH235">-BR235 * IFERROR(INDEX('Precio Leche_EBITDA_Ventas'!$BD$87:$BD$110,MATCH(1,('Precio Leche_EBITDA_Ventas'!$AZ$87:$AZ$110=YEAR(A235))*('Precio Leche_EBITDA_Ventas'!$BB$87:$BB$110=C235),0)),1.3)</f>
        <v>0</v>
      </c>
      <c r="CI235" s="81">
        <f t="shared" si="90"/>
        <v>152.84616837867924</v>
      </c>
    </row>
    <row r="236" spans="1:87" x14ac:dyDescent="0.35">
      <c r="A236" s="9">
        <v>46212</v>
      </c>
      <c r="B236" s="7">
        <v>7</v>
      </c>
      <c r="C236" s="7" t="str">
        <f>+UPPER(TEXT(Tabla_master_rend[[#This Row],[Fecha]],"MMM"))</f>
        <v>JUL</v>
      </c>
      <c r="D236" s="7" t="str">
        <f>+UPPER(TEXT(Tabla_master_rend[[#This Row],[Fecha]],"ddd"))</f>
        <v>JU</v>
      </c>
      <c r="E236" s="139" t="s">
        <v>613</v>
      </c>
      <c r="F236" s="3" t="s">
        <v>244</v>
      </c>
      <c r="G236" t="s">
        <v>301</v>
      </c>
      <c r="H236">
        <v>11</v>
      </c>
      <c r="I236" s="8">
        <f>+Tabla_master_rend[[#This Row],[L_Leche_ent]]+Tabla_master_rend[[#This Row],[L_desn_ext]]+Tabla_master_rend[[#This Row],[L_cabra]]+Tabla_master_rend[[#This Row],[L_oveja]]</f>
        <v>182556</v>
      </c>
      <c r="J236" s="8">
        <v>182556</v>
      </c>
      <c r="K236" s="66">
        <v>3.9399999999999998E-2</v>
      </c>
      <c r="L236" s="66">
        <v>3.1800000000000002E-2</v>
      </c>
      <c r="M236" s="5">
        <f t="shared" si="85"/>
        <v>0.10817400000000001</v>
      </c>
      <c r="N236" s="3" t="s">
        <v>43</v>
      </c>
      <c r="O236" s="8">
        <v>0</v>
      </c>
      <c r="P236" s="8">
        <v>0</v>
      </c>
      <c r="Q236" s="8">
        <v>0</v>
      </c>
      <c r="R236" s="8">
        <v>4008</v>
      </c>
      <c r="S236">
        <v>0</v>
      </c>
      <c r="T236" s="8">
        <v>153730</v>
      </c>
      <c r="U236" s="38">
        <f>+Tabla_master_rend[[#This Row],[L_suero Total]]/Tabla_master_rend[[#This Row],[Litros_Leche_Total]]</f>
        <v>0.84209776726045704</v>
      </c>
      <c r="V236" s="66">
        <v>1.2999999999999999E-3</v>
      </c>
      <c r="W236" s="66">
        <v>8.2000000000000007E-3</v>
      </c>
      <c r="X236" s="8">
        <f>209155/(153730+52200)*153730</f>
        <v>156137.51347545284</v>
      </c>
      <c r="Y236" s="57">
        <f>65337/(156138+53017)*156138</f>
        <v>48775.255222203632</v>
      </c>
      <c r="Z236" s="58">
        <f>IF(Tabla_master_rend[[#This Row],[L_suero para con]]=0,0,+Tabla_master_rend[[#This Row],[L_suero para con]]/Tabla_master_rend[[#This Row],[L_suero_con]])</f>
        <v>3.2011624083593806</v>
      </c>
      <c r="AA236" s="8">
        <f>+Tabla_master_rend[[#This Row],[L_suero Total]]-Tabla_master_rend[[#This Row],[L_suero para con]]</f>
        <v>-2407.5134754528408</v>
      </c>
      <c r="AD236" s="8">
        <v>0</v>
      </c>
      <c r="AE236" s="8">
        <v>0</v>
      </c>
      <c r="AF236" s="8">
        <v>0</v>
      </c>
      <c r="AG236" s="66">
        <v>0</v>
      </c>
      <c r="AH236" s="66">
        <v>0</v>
      </c>
      <c r="AI236" s="7">
        <f>+Tabla_master_rend[[#This Row],[Kg_Finos]]+Tabla_master_rend[[#This Row],[Kg_Llenadora]]+Tabla_master_rend[[#This Row],[Kg_Desmoldeo]]+Tabla_master_rend[[#This Row],[L_Agua]]+Tabla_master_rend[[#This Row],[Kg_SalidaSecadero]]</f>
        <v>19683.688436020482</v>
      </c>
      <c r="AJ236" s="59">
        <f>+Tabla_master_rend[[#This Row],[Litros_Leche_Total]]/Tabla_master_rend[[#This Row],[Kg_Queso_Blan]]</f>
        <v>9.2744812840020732</v>
      </c>
      <c r="AK236" s="59">
        <f>+Tabla_master_rend[[#This Row],[Litros_Leche_Total]]/(Tabla_master_rend[[#This Row],[Kg_Queso_Blan]]-Tabla_master_rend[[#This Row],[Merma_TOT]])</f>
        <v>9.4380377385023095</v>
      </c>
      <c r="AL236" s="59">
        <f>VLOOKUP(G236,REND_TARGET[#All],8,FALSE)</f>
        <v>9.3549429999999987</v>
      </c>
      <c r="AM236" s="7">
        <f>(I236*1.03*Tabla_master_rend[[#This Row],[%MG_Leche]])+(I236*1.03*Tabla_master_rend[[#This Row],[%MP_Leche]])</f>
        <v>13387.926815999999</v>
      </c>
      <c r="AN236" s="137">
        <v>0.2863</v>
      </c>
      <c r="AO236" s="137">
        <v>0.23799999999999999</v>
      </c>
      <c r="AP236" s="64">
        <v>0.57509999999999994</v>
      </c>
      <c r="AQ236" s="38">
        <f>+Tabla_master_rend[[#This Row],[Kg_Queso_Blan]]*Tabla_master_rend[[#This Row],[ES_QUESO]]/(Tabla_master_rend[[#This Row],[Kg_Solidos_leche]])</f>
        <v>0.84554459963335515</v>
      </c>
      <c r="AR236" s="7">
        <f t="shared" si="86"/>
        <v>1603.2</v>
      </c>
      <c r="AS2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0.97707391817045841</v>
      </c>
      <c r="AT236" s="62">
        <f>+Tabla_master_rend[[#This Row],[Kg_Queso_Blan]]*Tabla_master_rend[[#This Row],[%PT_QUESO]]/(Tabla_master_rend[[#This Row],[Litros_Leche_Total]]*1.03*Tabla_master_rend[[#This Row],[%MP_Leche]])</f>
        <v>0.78347110360609884</v>
      </c>
      <c r="AU236" s="7">
        <f t="shared" si="87"/>
        <v>12024</v>
      </c>
      <c r="AV236" s="8">
        <f>42.3/(182556+65836)*182556</f>
        <v>31.088436020483748</v>
      </c>
      <c r="AW236" s="8">
        <v>48.7</v>
      </c>
      <c r="AX236" s="8">
        <v>7.9</v>
      </c>
      <c r="AY236" s="8">
        <f>SUM(Tabla_master_rend[[#This Row],[Kg_Finos]:[Kg_Desmoldeo]])</f>
        <v>87.688436020483749</v>
      </c>
      <c r="AZ236" s="60">
        <f>+(Tabla_master_rend[[#This Row],[Kg_Finos]]+Tabla_master_rend[[#This Row],[Kg_Llenadora]]+Tabla_master_rend[[#This Row],[Kg_Desmoldeo]])/(Tabla_master_rend[[#This Row],[Kg_Queso_Blan]])</f>
        <v>4.4548782767774809E-3</v>
      </c>
      <c r="BA236" s="8">
        <v>140</v>
      </c>
      <c r="BB236" s="60">
        <f>+Tabla_master_rend[[#This Row],[L_Agua]]/(Tabla_master_rend[[#This Row],[L_Agua]]+Tabla_master_rend[[#This Row],[Kg_SalidaSecadero]])</f>
        <v>7.1443151663604819E-3</v>
      </c>
      <c r="BC236" s="8">
        <v>2612</v>
      </c>
      <c r="BD236" s="8">
        <v>2589</v>
      </c>
      <c r="BE236" s="8">
        <v>19448</v>
      </c>
      <c r="BF236" s="8">
        <v>202</v>
      </c>
      <c r="BG236" s="8">
        <v>42</v>
      </c>
      <c r="BH236" s="8">
        <v>42</v>
      </c>
      <c r="BI236" s="8">
        <v>0</v>
      </c>
      <c r="BJ236" s="8">
        <v>64</v>
      </c>
      <c r="BK236" s="8">
        <v>19456</v>
      </c>
      <c r="BL236" s="8">
        <v>0</v>
      </c>
      <c r="BM236" s="8">
        <v>92.92</v>
      </c>
      <c r="BN236" s="8">
        <v>20.5</v>
      </c>
      <c r="BO236" s="68">
        <f>+SUM(Tabla_master_rend[[#This Row],[B_altas]:[B_lab]])/Tabla_master_rend[[#This Row],[Kg_SalidaSecadero]]</f>
        <v>1.7989309210526317E-2</v>
      </c>
      <c r="BP236" s="68">
        <f>+(Tabla_master_rend[[#This Row],[Kg_mer_env_real]]+Tabla_master_rend[[#This Row],[kg_mer_lab_real]])/Tabla_master_rend[[#This Row],[Kg_SalidaSecadero]]</f>
        <v>5.8295641447368421E-3</v>
      </c>
      <c r="BQ236" s="64">
        <f>+Tabla_master_rend[[#This Row],[Merma_TOT]]/Tabla_master_rend[[#This Row],[Kg_Queso_Blan]]</f>
        <v>1.732949782908913E-2</v>
      </c>
      <c r="BR2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341.10843602048374</v>
      </c>
      <c r="BS236" s="138">
        <v>19144.57</v>
      </c>
      <c r="BT236" s="63">
        <f>IF(+Tabla_master_rend[[#This Row],[Kg_Env_Total]]=0,0,Tabla_master_rend[[#This Row],[Kg_Env_Total]]-Tabla_master_rend[[#This Row],[Kg_SalidaSecadero]])</f>
        <v>-311.43000000000029</v>
      </c>
      <c r="BU236" s="60">
        <f>+Tabla_master_rend[[#This Row],[Diferencia_Env_vs_Sec_kg]]/Tabla_master_rend[[#This Row],[Kg_SalidaSecadero]]</f>
        <v>-1.600688733552633E-2</v>
      </c>
      <c r="BV23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6" s="65">
        <f>+(Tabla_master_rend[[#This Row],[Coste_Leche_€]]-Tabla_master_rend[[#This Row],[Kg_MG_Nata]]*$CO$3)/Tabla_master_rend[[#This Row],[Kg_Queso_Blan]]</f>
        <v>-0.61086112184119357</v>
      </c>
      <c r="BX236" s="8">
        <f>SUM(Tabla_master_rend[[#This Row],[Kg_Finos]:[Kg_Desmoldeo]])+Tabla_master_rend[[#This Row],[L_Agua]]+SUM(Tabla_master_rend[[#This Row],[B_altas]:[B_lab]])</f>
        <v>577.68843602048378</v>
      </c>
      <c r="BY236" s="8">
        <f>+BX236-Tabla_master_rend[[#This Row],[Merma_TOT]]</f>
        <v>236.58000000000004</v>
      </c>
      <c r="BZ236" s="62">
        <f t="shared" si="88"/>
        <v>0.409528710025297</v>
      </c>
      <c r="CA236" s="8">
        <f>+Tabla_master_rend[[#This Row],[Kg_Queso_Blan]]*$CA$1</f>
        <v>127.94397483413313</v>
      </c>
      <c r="CB236" s="8">
        <f>+Tabla_master_rend[[#This Row],[Kg_Queso_Blan]]*($CB$1-$CA$1)</f>
        <v>68.892909526071691</v>
      </c>
      <c r="CC236" s="8">
        <f>+(Tabla_master_rend[[#This Row],[Kg_Queso_Blan]]-CA236-CB236)*$CC$1</f>
        <v>204.61194129243293</v>
      </c>
      <c r="CD236" s="8">
        <f t="shared" si="89"/>
        <v>401.44882565263777</v>
      </c>
      <c r="CE236" s="80">
        <f>+CD236/Tabla_master_rend[[#This Row],[Kg_Queso_Blan]]</f>
        <v>2.0395E-2</v>
      </c>
      <c r="CF236" s="62">
        <f>+Tabla_master_rend[[#This Row],[Merma_TOT]]/Tabla_master_rend[[#This Row],[Kg_Queso_Blan]]</f>
        <v>1.732949782908913E-2</v>
      </c>
      <c r="CG236" s="8">
        <f>CD236-Tabla_master_rend[[#This Row],[Merma_TOT]]</f>
        <v>60.340389632154029</v>
      </c>
      <c r="CH236" s="81" cm="1">
        <f t="array" ref="CH236">-BR236 * IFERROR(INDEX('Precio Leche_EBITDA_Ventas'!$BD$87:$BD$110,MATCH(1,('Precio Leche_EBITDA_Ventas'!$AZ$87:$AZ$110=YEAR(A236))*('Precio Leche_EBITDA_Ventas'!$BB$87:$BB$110=C236),0)),1.3)</f>
        <v>0</v>
      </c>
      <c r="CI236" s="81">
        <f t="shared" si="90"/>
        <v>78.44250652180024</v>
      </c>
    </row>
    <row r="237" spans="1:87" x14ac:dyDescent="0.35">
      <c r="A237" s="9">
        <v>46212</v>
      </c>
      <c r="B237" s="7">
        <v>7</v>
      </c>
      <c r="C237" s="7" t="str">
        <f>+UPPER(TEXT(Tabla_master_rend[[#This Row],[Fecha]],"MMM"))</f>
        <v>JUL</v>
      </c>
      <c r="D237" s="7" t="str">
        <f>+UPPER(TEXT(Tabla_master_rend[[#This Row],[Fecha]],"ddd"))</f>
        <v>JU</v>
      </c>
      <c r="E237" s="139" t="s">
        <v>614</v>
      </c>
      <c r="F237" s="3" t="s">
        <v>244</v>
      </c>
      <c r="G237" s="84" t="s">
        <v>299</v>
      </c>
      <c r="H237">
        <v>4</v>
      </c>
      <c r="I237" s="8">
        <f>+Tabla_master_rend[[#This Row],[L_Leche_ent]]+Tabla_master_rend[[#This Row],[L_desn_ext]]+Tabla_master_rend[[#This Row],[L_cabra]]+Tabla_master_rend[[#This Row],[L_oveja]]</f>
        <v>65836</v>
      </c>
      <c r="J237" s="8">
        <v>65836</v>
      </c>
      <c r="K237" s="66">
        <v>3.39E-2</v>
      </c>
      <c r="L237" s="66">
        <v>3.1899999999999998E-2</v>
      </c>
      <c r="M237" s="5">
        <f t="shared" si="85"/>
        <v>0.103133</v>
      </c>
      <c r="N237" s="3" t="s">
        <v>43</v>
      </c>
      <c r="O237" s="8">
        <v>0</v>
      </c>
      <c r="P237" s="8">
        <v>0</v>
      </c>
      <c r="Q237" s="8">
        <v>0</v>
      </c>
      <c r="R237" s="8">
        <v>1815</v>
      </c>
      <c r="S237">
        <v>0</v>
      </c>
      <c r="T237" s="8">
        <v>52200</v>
      </c>
      <c r="U237" s="38">
        <f>+Tabla_master_rend[[#This Row],[L_suero Total]]/Tabla_master_rend[[#This Row],[Litros_Leche_Total]]</f>
        <v>0.79287927577617112</v>
      </c>
      <c r="V237" s="66">
        <v>1.2999999999999999E-3</v>
      </c>
      <c r="W237" s="66">
        <v>8.2000000000000007E-3</v>
      </c>
      <c r="X237" s="8">
        <f>209155/(153730+52200)*52200</f>
        <v>53017.486524547181</v>
      </c>
      <c r="Y237" s="57">
        <f>65337/(156138+53017)*53017</f>
        <v>16561.744777796372</v>
      </c>
      <c r="Z237" s="58">
        <f>IF(Tabla_master_rend[[#This Row],[L_suero para con]]=0,0,+Tabla_master_rend[[#This Row],[L_suero para con]]/Tabla_master_rend[[#This Row],[L_suero_con]])</f>
        <v>3.2012017595890909</v>
      </c>
      <c r="AA237" s="8">
        <f>+Tabla_master_rend[[#This Row],[L_suero Total]]-Tabla_master_rend[[#This Row],[L_suero para con]]</f>
        <v>-817.48652454718103</v>
      </c>
      <c r="AD237" s="8">
        <v>0</v>
      </c>
      <c r="AE237" s="8">
        <v>0</v>
      </c>
      <c r="AF237" s="8">
        <v>0</v>
      </c>
      <c r="AG237" s="66">
        <v>0</v>
      </c>
      <c r="AH237" s="66">
        <v>0</v>
      </c>
      <c r="AI237" s="7">
        <f>+Tabla_master_rend[[#This Row],[Kg_Finos]]+Tabla_master_rend[[#This Row],[Kg_Llenadora]]+Tabla_master_rend[[#This Row],[Kg_Desmoldeo]]+Tabla_master_rend[[#This Row],[L_Agua]]+Tabla_master_rend[[#This Row],[Kg_SalidaSecadero]]</f>
        <v>6822.2115639795165</v>
      </c>
      <c r="AJ237" s="59">
        <f>+Tabla_master_rend[[#This Row],[Litros_Leche_Total]]/Tabla_master_rend[[#This Row],[Kg_Queso_Blan]]</f>
        <v>9.6502430894413216</v>
      </c>
      <c r="AK237" s="59">
        <f>+Tabla_master_rend[[#This Row],[Litros_Leche_Total]]/(Tabla_master_rend[[#This Row],[Kg_Queso_Blan]]-Tabla_master_rend[[#This Row],[Merma_TOT]])</f>
        <v>9.859275155483207</v>
      </c>
      <c r="AL237" s="59">
        <f>VLOOKUP(G237,REND_TARGET[#All],8,FALSE)</f>
        <v>9.8078500000000002</v>
      </c>
      <c r="AM237" s="7">
        <f>(I237*1.03*Tabla_master_rend[[#This Row],[%MG_Leche]])+(I237*1.03*Tabla_master_rend[[#This Row],[%MP_Leche]])</f>
        <v>4461.9690639999999</v>
      </c>
      <c r="AN237" s="137">
        <v>0.22500000000000001</v>
      </c>
      <c r="AO237" s="137">
        <v>0.25269999999999998</v>
      </c>
      <c r="AP237" s="64">
        <v>0.53480000000000005</v>
      </c>
      <c r="AQ237" s="38">
        <f>+Tabla_master_rend[[#This Row],[Kg_Queso_Blan]]*Tabla_master_rend[[#This Row],[ES_QUESO]]/(Tabla_master_rend[[#This Row],[Kg_Solidos_leche]])</f>
        <v>0.81769252365579503</v>
      </c>
      <c r="AR237" s="7">
        <f t="shared" si="86"/>
        <v>726</v>
      </c>
      <c r="AS2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0.98355747248372216</v>
      </c>
      <c r="AT237" s="62">
        <f>+Tabla_master_rend[[#This Row],[Kg_Queso_Blan]]*Tabla_master_rend[[#This Row],[%PT_QUESO]]/(Tabla_master_rend[[#This Row],[Litros_Leche_Total]]*1.03*Tabla_master_rend[[#This Row],[%MP_Leche]])</f>
        <v>0.79696469121498059</v>
      </c>
      <c r="AU237" s="7">
        <f t="shared" si="87"/>
        <v>5445</v>
      </c>
      <c r="AV237" s="8">
        <f>42.3/(182556+65836)*65836</f>
        <v>11.211563979516248</v>
      </c>
      <c r="AW237" s="8">
        <v>3</v>
      </c>
      <c r="AX237" s="8">
        <v>0</v>
      </c>
      <c r="AY237" s="8">
        <f>SUM(Tabla_master_rend[[#This Row],[Kg_Finos]:[Kg_Desmoldeo]])</f>
        <v>14.211563979516248</v>
      </c>
      <c r="AZ237" s="60">
        <f>+(Tabla_master_rend[[#This Row],[Kg_Finos]]+Tabla_master_rend[[#This Row],[Kg_Llenadora]]+Tabla_master_rend[[#This Row],[Kg_Desmoldeo]])/(Tabla_master_rend[[#This Row],[Kg_Queso_Blan]])</f>
        <v>2.0831315250543756E-3</v>
      </c>
      <c r="BA237" s="8">
        <v>70</v>
      </c>
      <c r="BB237" s="60">
        <f>+Tabla_master_rend[[#This Row],[L_Agua]]/(Tabla_master_rend[[#This Row],[L_Agua]]+Tabla_master_rend[[#This Row],[Kg_SalidaSecadero]])</f>
        <v>1.0282021151586369E-2</v>
      </c>
      <c r="BC237" s="8">
        <v>924</v>
      </c>
      <c r="BD237" s="8">
        <v>896</v>
      </c>
      <c r="BE237" s="8">
        <v>6626</v>
      </c>
      <c r="BF237" s="8">
        <v>0</v>
      </c>
      <c r="BG237" s="8">
        <v>136</v>
      </c>
      <c r="BH237" s="8">
        <v>0</v>
      </c>
      <c r="BI237" s="8">
        <v>14</v>
      </c>
      <c r="BJ237" s="8">
        <v>32</v>
      </c>
      <c r="BK237" s="8">
        <v>6738</v>
      </c>
      <c r="BL237" s="8">
        <v>0</v>
      </c>
      <c r="BM237" s="8">
        <v>52.65</v>
      </c>
      <c r="BN237" s="8">
        <v>7.78</v>
      </c>
      <c r="BO237" s="68">
        <f>+SUM(Tabla_master_rend[[#This Row],[B_altas]:[B_lab]])/Tabla_master_rend[[#This Row],[Kg_SalidaSecadero]]</f>
        <v>2.7010982487384982E-2</v>
      </c>
      <c r="BP237" s="68">
        <f>+(Tabla_master_rend[[#This Row],[Kg_mer_env_real]]+Tabla_master_rend[[#This Row],[kg_mer_lab_real]])/Tabla_master_rend[[#This Row],[Kg_SalidaSecadero]]</f>
        <v>8.9685366577619465E-3</v>
      </c>
      <c r="BQ237" s="64">
        <f>+Tabla_master_rend[[#This Row],[Merma_TOT]]/Tabla_master_rend[[#This Row],[Kg_Queso_Blan]]</f>
        <v>2.1201565302255782E-2</v>
      </c>
      <c r="BR2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144.64156397951626</v>
      </c>
      <c r="BS237" s="138">
        <v>6644.07</v>
      </c>
      <c r="BT237" s="63">
        <f>IF(+Tabla_master_rend[[#This Row],[Kg_Env_Total]]=0,0,Tabla_master_rend[[#This Row],[Kg_Env_Total]]-Tabla_master_rend[[#This Row],[Kg_SalidaSecadero]])</f>
        <v>-93.930000000000291</v>
      </c>
      <c r="BU237" s="60">
        <f>+Tabla_master_rend[[#This Row],[Diferencia_Env_vs_Sec_kg]]/Tabla_master_rend[[#This Row],[Kg_SalidaSecadero]]</f>
        <v>-1.3940338379341093E-2</v>
      </c>
      <c r="BV23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7" s="65">
        <f>+(Tabla_master_rend[[#This Row],[Coste_Leche_€]]-Tabla_master_rend[[#This Row],[Kg_MG_Nata]]*$CO$3)/Tabla_master_rend[[#This Row],[Kg_Queso_Blan]]</f>
        <v>-0.79812828273297276</v>
      </c>
      <c r="BX237" s="8">
        <f>SUM(Tabla_master_rend[[#This Row],[Kg_Finos]:[Kg_Desmoldeo]])+Tabla_master_rend[[#This Row],[L_Agua]]+SUM(Tabla_master_rend[[#This Row],[B_altas]:[B_lab]])</f>
        <v>266.21156397951626</v>
      </c>
      <c r="BY237" s="8">
        <f>+BX237-Tabla_master_rend[[#This Row],[Merma_TOT]]</f>
        <v>121.57</v>
      </c>
      <c r="BZ237" s="62">
        <f t="shared" si="88"/>
        <v>0.45666686368798853</v>
      </c>
      <c r="CA237" s="8">
        <f>+Tabla_master_rend[[#This Row],[Kg_Queso_Blan]]*$CA$1</f>
        <v>44.344375165866857</v>
      </c>
      <c r="CB237" s="8">
        <f>+Tabla_master_rend[[#This Row],[Kg_Queso_Blan]]*($CB$1-$CA$1)</f>
        <v>23.877740473928313</v>
      </c>
      <c r="CC237" s="8">
        <f>+(Tabla_master_rend[[#This Row],[Kg_Queso_Blan]]-CA237-CB237)*$CC$1</f>
        <v>70.916889207567081</v>
      </c>
      <c r="CD237" s="8">
        <f t="shared" si="89"/>
        <v>139.13900484736223</v>
      </c>
      <c r="CE237" s="80">
        <f>+CD237/Tabla_master_rend[[#This Row],[Kg_Queso_Blan]]</f>
        <v>2.0395E-2</v>
      </c>
      <c r="CF237" s="62">
        <f>+Tabla_master_rend[[#This Row],[Merma_TOT]]/Tabla_master_rend[[#This Row],[Kg_Queso_Blan]]</f>
        <v>2.1201565302255782E-2</v>
      </c>
      <c r="CG237" s="8">
        <f>CD237-Tabla_master_rend[[#This Row],[Merma_TOT]]</f>
        <v>-5.5025591321540333</v>
      </c>
      <c r="CH237" s="81" cm="1">
        <f t="array" ref="CH237">-BR237 * IFERROR(INDEX('Precio Leche_EBITDA_Ventas'!$BD$87:$BD$110,MATCH(1,('Precio Leche_EBITDA_Ventas'!$AZ$87:$AZ$110=YEAR(A237))*('Precio Leche_EBITDA_Ventas'!$BB$87:$BB$110=C237),0)),1.3)</f>
        <v>0</v>
      </c>
      <c r="CI237" s="81">
        <f t="shared" si="90"/>
        <v>-7.1533268718002434</v>
      </c>
    </row>
    <row r="238" spans="1:87" x14ac:dyDescent="0.35">
      <c r="A238" s="9">
        <v>46219</v>
      </c>
      <c r="B238" s="7">
        <v>7</v>
      </c>
      <c r="C238" s="7" t="str">
        <f>+UPPER(TEXT(Tabla_master_rend[[#This Row],[Fecha]],"MMM"))</f>
        <v>JUL</v>
      </c>
      <c r="D238" s="7" t="str">
        <f>+UPPER(TEXT(Tabla_master_rend[[#This Row],[Fecha]],"ddd"))</f>
        <v>JU</v>
      </c>
      <c r="E238" s="122" t="s">
        <v>615</v>
      </c>
      <c r="F238" s="3" t="s">
        <v>244</v>
      </c>
      <c r="G238" t="s">
        <v>301</v>
      </c>
      <c r="H238">
        <v>9</v>
      </c>
      <c r="I238" s="8">
        <f>+Tabla_master_rend[[#This Row],[L_Leche_ent]]+Tabla_master_rend[[#This Row],[L_desn_ext]]+Tabla_master_rend[[#This Row],[L_cabra]]+Tabla_master_rend[[#This Row],[L_oveja]]</f>
        <v>149514</v>
      </c>
      <c r="J238" s="8">
        <v>149514</v>
      </c>
      <c r="K238" s="66">
        <v>3.5299999999999998E-2</v>
      </c>
      <c r="L238" s="66">
        <v>3.1E-2</v>
      </c>
      <c r="M238" s="5">
        <f t="shared" si="85"/>
        <v>0.103769</v>
      </c>
      <c r="N238" s="3" t="s">
        <v>43</v>
      </c>
      <c r="O238" s="8">
        <v>0</v>
      </c>
      <c r="P238" s="8">
        <v>0</v>
      </c>
      <c r="Q238" s="8">
        <v>0</v>
      </c>
      <c r="R238" s="8">
        <v>2157</v>
      </c>
      <c r="S238">
        <v>0</v>
      </c>
      <c r="T238" s="8">
        <v>125600</v>
      </c>
      <c r="U238" s="38">
        <f>+Tabla_master_rend[[#This Row],[L_suero Total]]/Tabla_master_rend[[#This Row],[Litros_Leche_Total]]</f>
        <v>0.84005511189587601</v>
      </c>
      <c r="V238" s="66">
        <v>2.7000000000000001E-3</v>
      </c>
      <c r="W238" s="66">
        <v>8.6E-3</v>
      </c>
      <c r="X238" s="57">
        <v>73146</v>
      </c>
      <c r="Y238" s="57">
        <v>18334</v>
      </c>
      <c r="Z238" s="58">
        <f>IF(Tabla_master_rend[[#This Row],[L_suero para con]]=0,0,+Tabla_master_rend[[#This Row],[L_suero para con]]/Tabla_master_rend[[#This Row],[L_suero_con]])</f>
        <v>3.9896367404821644</v>
      </c>
      <c r="AA238" s="8">
        <f>+Tabla_master_rend[[#This Row],[L_suero Total]]-Tabla_master_rend[[#This Row],[L_suero para con]]</f>
        <v>52454</v>
      </c>
      <c r="AD238" s="8">
        <v>20572</v>
      </c>
      <c r="AE238" s="8">
        <v>0</v>
      </c>
      <c r="AF238" s="8">
        <v>0</v>
      </c>
      <c r="AG238" s="140"/>
      <c r="AH238" s="140"/>
      <c r="AI238" s="7">
        <f>+Tabla_master_rend[[#This Row],[Kg_Finos]]+Tabla_master_rend[[#This Row],[Kg_Llenadora]]+Tabla_master_rend[[#This Row],[Kg_Desmoldeo]]+Tabla_master_rend[[#This Row],[L_Agua]]+Tabla_master_rend[[#This Row],[Kg_SalidaSecadero]]</f>
        <v>15759.9</v>
      </c>
      <c r="AJ238" s="59">
        <f>+Tabla_master_rend[[#This Row],[Litros_Leche_Total]]/Tabla_master_rend[[#This Row],[Kg_Queso_Blan]]</f>
        <v>9.4869891306416925</v>
      </c>
      <c r="AK238" s="59">
        <f>+Tabla_master_rend[[#This Row],[Litros_Leche_Total]]/(Tabla_master_rend[[#This Row],[Kg_Queso_Blan]]-Tabla_master_rend[[#This Row],[Merma_TOT]])</f>
        <v>9.6187967786803092</v>
      </c>
      <c r="AL238" s="59">
        <f>VLOOKUP(G238,REND_TARGET[#All],8,FALSE)</f>
        <v>9.3549429999999987</v>
      </c>
      <c r="AM238" s="7">
        <f>(I238*1.03*Tabla_master_rend[[#This Row],[%MG_Leche]])+(I238*1.03*Tabla_master_rend[[#This Row],[%MP_Leche]])</f>
        <v>10210.161545999999</v>
      </c>
      <c r="AN238" s="137">
        <v>0.29110000000000003</v>
      </c>
      <c r="AO238" s="137">
        <v>0.23769999999999999</v>
      </c>
      <c r="AP238" s="64">
        <v>0.57799999999999996</v>
      </c>
      <c r="AQ238" s="38">
        <f>+Tabla_master_rend[[#This Row],[Kg_Queso_Blan]]*Tabla_master_rend[[#This Row],[ES_QUESO]]/(Tabla_master_rend[[#This Row],[Kg_Solidos_leche]])</f>
        <v>0.89217219129786318</v>
      </c>
      <c r="AR238" s="7">
        <f t="shared" si="86"/>
        <v>862.80000000000007</v>
      </c>
      <c r="AS23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1.0026355575513053</v>
      </c>
      <c r="AT238" s="62">
        <f>+Tabla_master_rend[[#This Row],[Kg_Queso_Blan]]*Tabla_master_rend[[#This Row],[%PT_QUESO]]/(Tabla_master_rend[[#This Row],[Litros_Leche_Total]]*1.03*Tabla_master_rend[[#This Row],[%MP_Leche]])</f>
        <v>0.78469676138411593</v>
      </c>
      <c r="AU238" s="7">
        <f t="shared" si="87"/>
        <v>6471.0000000000009</v>
      </c>
      <c r="AV238" s="8">
        <v>15.8</v>
      </c>
      <c r="AW238" s="8">
        <v>28.8</v>
      </c>
      <c r="AX238" s="8">
        <v>4.3</v>
      </c>
      <c r="AY238" s="8">
        <f>SUM(Tabla_master_rend[[#This Row],[Kg_Finos]:[Kg_Desmoldeo]])</f>
        <v>48.9</v>
      </c>
      <c r="AZ238" s="60">
        <f>+(Tabla_master_rend[[#This Row],[Kg_Finos]]+Tabla_master_rend[[#This Row],[Kg_Llenadora]]+Tabla_master_rend[[#This Row],[Kg_Desmoldeo]])/(Tabla_master_rend[[#This Row],[Kg_Queso_Blan]])</f>
        <v>3.1028115660632362E-3</v>
      </c>
      <c r="BA238" s="7">
        <v>100</v>
      </c>
      <c r="BB238" s="60">
        <f>+Tabla_master_rend[[#This Row],[L_Agua]]/(Tabla_master_rend[[#This Row],[L_Agua]]+Tabla_master_rend[[#This Row],[Kg_SalidaSecadero]])</f>
        <v>6.3649672204188152E-3</v>
      </c>
      <c r="BC238" s="8">
        <v>2100</v>
      </c>
      <c r="BD238" s="8">
        <v>2083</v>
      </c>
      <c r="BE238" s="8">
        <v>15608</v>
      </c>
      <c r="BF238" s="8">
        <v>81</v>
      </c>
      <c r="BG238" s="8">
        <v>45</v>
      </c>
      <c r="BH238" s="8">
        <v>0</v>
      </c>
      <c r="BI238" s="8">
        <v>5</v>
      </c>
      <c r="BJ238" s="8">
        <v>53</v>
      </c>
      <c r="BK238" s="8">
        <v>15611</v>
      </c>
      <c r="BL238" s="8">
        <v>0</v>
      </c>
      <c r="BM238" s="8">
        <v>48.6</v>
      </c>
      <c r="BN238" s="8">
        <v>18.46</v>
      </c>
      <c r="BO238" s="68">
        <f>+SUM(Tabla_master_rend[[#This Row],[B_altas]:[B_lab]])/Tabla_master_rend[[#This Row],[Kg_SalidaSecadero]]</f>
        <v>1.1786560758439563E-2</v>
      </c>
      <c r="BP238" s="68">
        <f>+(Tabla_master_rend[[#This Row],[Kg_mer_env_real]]+Tabla_master_rend[[#This Row],[kg_mer_lab_real]])/Tabla_master_rend[[#This Row],[Kg_SalidaSecadero]]</f>
        <v>4.2956889372878096E-3</v>
      </c>
      <c r="BQ238" s="64">
        <f>+Tabla_master_rend[[#This Row],[Merma_TOT]]/Tabla_master_rend[[#This Row],[Kg_Queso_Blan]]</f>
        <v>1.370313263409032E-2</v>
      </c>
      <c r="BR2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215.96000000000004</v>
      </c>
      <c r="BS238" s="138">
        <v>15278.83</v>
      </c>
      <c r="BT238" s="63">
        <f>IF(+Tabla_master_rend[[#This Row],[Kg_Env_Total]]=0,0,Tabla_master_rend[[#This Row],[Kg_Env_Total]]-Tabla_master_rend[[#This Row],[Kg_SalidaSecadero]])</f>
        <v>-332.17000000000007</v>
      </c>
      <c r="BU238" s="60">
        <f>+Tabla_master_rend[[#This Row],[Diferencia_Env_vs_Sec_kg]]/Tabla_master_rend[[#This Row],[Kg_SalidaSecadero]]</f>
        <v>-2.1277945038754728E-2</v>
      </c>
      <c r="BV238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8" s="65">
        <f>+(Tabla_master_rend[[#This Row],[Coste_Leche_€]]-Tabla_master_rend[[#This Row],[Kg_MG_Nata]]*$CO$3)/Tabla_master_rend[[#This Row],[Kg_Queso_Blan]]</f>
        <v>-0.41059905202444186</v>
      </c>
      <c r="BX238" s="8">
        <f>SUM(Tabla_master_rend[[#This Row],[Kg_Finos]:[Kg_Desmoldeo]])+Tabla_master_rend[[#This Row],[L_Agua]]+SUM(Tabla_master_rend[[#This Row],[B_altas]:[B_lab]])</f>
        <v>332.9</v>
      </c>
      <c r="BY238" s="8">
        <f>+BX238-Tabla_master_rend[[#This Row],[Merma_TOT]]</f>
        <v>116.93999999999994</v>
      </c>
      <c r="BZ238" s="62">
        <f t="shared" si="88"/>
        <v>0.35127665965755467</v>
      </c>
      <c r="CA238" s="8">
        <f>+Tabla_master_rend[[#This Row],[Kg_Queso_Blan]]*$CA$1</f>
        <v>102.43934999999999</v>
      </c>
      <c r="CB238" s="8">
        <f>+Tabla_master_rend[[#This Row],[Kg_Queso_Blan]]*($CB$1-$CA$1)</f>
        <v>55.159650000000006</v>
      </c>
      <c r="CC238" s="8">
        <f>+(Tabla_master_rend[[#This Row],[Kg_Queso_Blan]]-CA238-CB238)*$CC$1</f>
        <v>163.8241605</v>
      </c>
      <c r="CD238" s="8">
        <f t="shared" si="89"/>
        <v>321.42316049999999</v>
      </c>
      <c r="CE238" s="80">
        <f>+CD238/Tabla_master_rend[[#This Row],[Kg_Queso_Blan]]</f>
        <v>2.0395E-2</v>
      </c>
      <c r="CF238" s="62">
        <f>+Tabla_master_rend[[#This Row],[Merma_TOT]]/Tabla_master_rend[[#This Row],[Kg_Queso_Blan]]</f>
        <v>1.370313263409032E-2</v>
      </c>
      <c r="CG238" s="8">
        <f>CD238-Tabla_master_rend[[#This Row],[Merma_TOT]]</f>
        <v>105.46316049999996</v>
      </c>
      <c r="CH238" s="81" cm="1">
        <f t="array" ref="CH238">-BR238 * IFERROR(INDEX('Precio Leche_EBITDA_Ventas'!$BD$87:$BD$110,MATCH(1,('Precio Leche_EBITDA_Ventas'!$AZ$87:$AZ$110=YEAR(A238))*('Precio Leche_EBITDA_Ventas'!$BB$87:$BB$110=C238),0)),1.3)</f>
        <v>0</v>
      </c>
      <c r="CI238" s="81">
        <f t="shared" si="90"/>
        <v>137.10210864999996</v>
      </c>
    </row>
    <row r="239" spans="1:87" x14ac:dyDescent="0.35">
      <c r="A239" s="9">
        <v>46226</v>
      </c>
      <c r="B239" s="7">
        <v>7</v>
      </c>
      <c r="C239" s="7" t="str">
        <f>+UPPER(TEXT(Tabla_master_rend[[#This Row],[Fecha]],"MMM"))</f>
        <v>JUL</v>
      </c>
      <c r="D239" s="7" t="str">
        <f>+UPPER(TEXT(Tabla_master_rend[[#This Row],[Fecha]],"ddd"))</f>
        <v>JU</v>
      </c>
      <c r="E239" s="122">
        <v>230726326</v>
      </c>
      <c r="F239" s="3" t="s">
        <v>244</v>
      </c>
      <c r="G239" t="s">
        <v>301</v>
      </c>
      <c r="H239">
        <v>11</v>
      </c>
      <c r="I239" s="8">
        <f>+Tabla_master_rend[[#This Row],[L_Leche_ent]]+Tabla_master_rend[[#This Row],[L_desn_ext]]+Tabla_master_rend[[#This Row],[L_cabra]]+Tabla_master_rend[[#This Row],[L_oveja]]</f>
        <v>185514</v>
      </c>
      <c r="J239" s="8">
        <v>185514</v>
      </c>
      <c r="K239" s="66">
        <v>3.5999999999999997E-2</v>
      </c>
      <c r="L239" s="66">
        <v>3.1099999999999999E-2</v>
      </c>
      <c r="M239" s="5">
        <f t="shared" si="85"/>
        <v>0.104494</v>
      </c>
      <c r="N239" s="3" t="s">
        <v>43</v>
      </c>
      <c r="O239" s="8">
        <v>0</v>
      </c>
      <c r="P239" s="8">
        <v>0</v>
      </c>
      <c r="Q239" s="8">
        <v>0</v>
      </c>
      <c r="R239" s="8">
        <v>2786</v>
      </c>
      <c r="S239">
        <v>0</v>
      </c>
      <c r="T239" s="8">
        <v>158250</v>
      </c>
      <c r="U239" s="38">
        <f>+Tabla_master_rend[[#This Row],[L_suero Total]]/Tabla_master_rend[[#This Row],[Litros_Leche_Total]]</f>
        <v>0.85303535043177336</v>
      </c>
      <c r="V239" s="66">
        <v>2.0999999999999999E-3</v>
      </c>
      <c r="W239" s="66">
        <v>8.3999999999999995E-3</v>
      </c>
      <c r="X239" s="57">
        <v>105066</v>
      </c>
      <c r="Y239" s="57">
        <v>27964</v>
      </c>
      <c r="Z239" s="58">
        <f>IF(Tabla_master_rend[[#This Row],[L_suero para con]]=0,0,+Tabla_master_rend[[#This Row],[L_suero para con]]/Tabla_master_rend[[#This Row],[L_suero_con]])</f>
        <v>3.7571878129023029</v>
      </c>
      <c r="AA239" s="8">
        <f>+Tabla_master_rend[[#This Row],[L_suero Total]]-Tabla_master_rend[[#This Row],[L_suero para con]]</f>
        <v>53184</v>
      </c>
      <c r="AD239" s="8">
        <v>20628</v>
      </c>
      <c r="AE239" s="8">
        <v>0</v>
      </c>
      <c r="AF239" s="8">
        <v>0</v>
      </c>
      <c r="AG239" s="140"/>
      <c r="AH239" s="140"/>
      <c r="AI239" s="7">
        <f>+Tabla_master_rend[[#This Row],[Kg_Finos]]+Tabla_master_rend[[#This Row],[Kg_Llenadora]]+Tabla_master_rend[[#This Row],[Kg_Desmoldeo]]+Tabla_master_rend[[#This Row],[L_Agua]]+Tabla_master_rend[[#This Row],[Kg_SalidaSecadero]]</f>
        <v>20092.78</v>
      </c>
      <c r="AJ239" s="59">
        <f>+Tabla_master_rend[[#This Row],[Litros_Leche_Total]]/Tabla_master_rend[[#This Row],[Kg_Queso_Blan]]</f>
        <v>9.2328687219986492</v>
      </c>
      <c r="AK239" s="59">
        <f>+Tabla_master_rend[[#This Row],[Litros_Leche_Total]]/(Tabla_master_rend[[#This Row],[Kg_Queso_Blan]]-Tabla_master_rend[[#This Row],[Merma_TOT]])</f>
        <v>9.3732426496334114</v>
      </c>
      <c r="AL239" s="59">
        <f>VLOOKUP(G239,REND_TARGET[#All],8,FALSE)</f>
        <v>9.3549429999999987</v>
      </c>
      <c r="AM239" s="7">
        <f>(I239*1.03*Tabla_master_rend[[#This Row],[%MG_Leche]])+(I239*1.03*Tabla_master_rend[[#This Row],[%MP_Leche]])</f>
        <v>12821.429082000001</v>
      </c>
      <c r="AN239" s="137">
        <v>0.29060000000000002</v>
      </c>
      <c r="AO239" s="137">
        <v>0.2356</v>
      </c>
      <c r="AP239" s="64">
        <v>0.57499999999999996</v>
      </c>
      <c r="AQ239" s="38">
        <f>+Tabla_master_rend[[#This Row],[Kg_Queso_Blan]]*Tabla_master_rend[[#This Row],[ES_QUESO]]/(Tabla_master_rend[[#This Row],[Kg_Solidos_leche]])</f>
        <v>0.9010967830582739</v>
      </c>
      <c r="AR239" s="7">
        <f t="shared" si="86"/>
        <v>1114.4000000000001</v>
      </c>
      <c r="AS2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1.0108306837951349</v>
      </c>
      <c r="AT239" s="62">
        <f>+Tabla_master_rend[[#This Row],[Kg_Queso_Blan]]*Tabla_master_rend[[#This Row],[%PT_QUESO]]/(Tabla_master_rend[[#This Row],[Litros_Leche_Total]]*1.03*Tabla_master_rend[[#This Row],[%MP_Leche]])</f>
        <v>0.79660130183924605</v>
      </c>
      <c r="AU239" s="7">
        <f t="shared" si="87"/>
        <v>8358</v>
      </c>
      <c r="AV239" s="8">
        <v>25.78</v>
      </c>
      <c r="AW239" s="8">
        <v>32.200000000000003</v>
      </c>
      <c r="AX239" s="8">
        <v>6.8</v>
      </c>
      <c r="AY239" s="8">
        <f>SUM(Tabla_master_rend[[#This Row],[Kg_Finos]:[Kg_Desmoldeo]])</f>
        <v>64.78</v>
      </c>
      <c r="AZ239" s="60">
        <f>+(Tabla_master_rend[[#This Row],[Kg_Finos]]+Tabla_master_rend[[#This Row],[Kg_Llenadora]]+Tabla_master_rend[[#This Row],[Kg_Desmoldeo]])/(Tabla_master_rend[[#This Row],[Kg_Queso_Blan]])</f>
        <v>3.2240436614545129E-3</v>
      </c>
      <c r="BA239" s="7">
        <v>150</v>
      </c>
      <c r="BB239" s="60">
        <f>+Tabla_master_rend[[#This Row],[L_Agua]]/(Tabla_master_rend[[#This Row],[L_Agua]]+Tabla_master_rend[[#This Row],[Kg_SalidaSecadero]])</f>
        <v>7.4895146794487716E-3</v>
      </c>
      <c r="BC239" s="8">
        <v>2660</v>
      </c>
      <c r="BD239" s="8">
        <v>2637</v>
      </c>
      <c r="BE239" s="8">
        <v>19877</v>
      </c>
      <c r="BF239" s="8">
        <v>439</v>
      </c>
      <c r="BG239" s="8">
        <v>68</v>
      </c>
      <c r="BH239" s="8">
        <v>0</v>
      </c>
      <c r="BI239" s="8">
        <v>19</v>
      </c>
      <c r="BJ239" s="8">
        <v>64</v>
      </c>
      <c r="BK239" s="8">
        <v>19878</v>
      </c>
      <c r="BL239" s="8">
        <v>0</v>
      </c>
      <c r="BM239" s="8">
        <v>67.290000000000006</v>
      </c>
      <c r="BN239" s="8">
        <v>18.84</v>
      </c>
      <c r="BO239" s="68">
        <f>+SUM(Tabla_master_rend[[#This Row],[B_altas]:[B_lab]])/Tabla_master_rend[[#This Row],[Kg_SalidaSecadero]]</f>
        <v>2.9681054432035416E-2</v>
      </c>
      <c r="BP239" s="68">
        <f>+(Tabla_master_rend[[#This Row],[Kg_mer_env_real]]+Tabla_master_rend[[#This Row],[kg_mer_lab_real]])/Tabla_master_rend[[#This Row],[Kg_SalidaSecadero]]</f>
        <v>4.332930878357984E-3</v>
      </c>
      <c r="BQ239" s="64">
        <f>+Tabla_master_rend[[#This Row],[Merma_TOT]]/Tabla_master_rend[[#This Row],[Kg_Queso_Blan]]</f>
        <v>1.4976026214391437E-2</v>
      </c>
      <c r="BR2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300.90999999999997</v>
      </c>
      <c r="BS239" s="138">
        <v>19608.310000000001</v>
      </c>
      <c r="BT239" s="63">
        <f>IF(+Tabla_master_rend[[#This Row],[Kg_Env_Total]]=0,0,Tabla_master_rend[[#This Row],[Kg_Env_Total]]-Tabla_master_rend[[#This Row],[Kg_SalidaSecadero]])</f>
        <v>-269.68999999999869</v>
      </c>
      <c r="BU239" s="60">
        <f>+Tabla_master_rend[[#This Row],[Diferencia_Env_vs_Sec_kg]]/Tabla_master_rend[[#This Row],[Kg_SalidaSecadero]]</f>
        <v>-1.3567260287755241E-2</v>
      </c>
      <c r="BV239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9" s="65">
        <f>+(Tabla_master_rend[[#This Row],[Coste_Leche_€]]-Tabla_master_rend[[#This Row],[Kg_MG_Nata]]*$CO$3)/Tabla_master_rend[[#This Row],[Kg_Queso_Blan]]</f>
        <v>-0.41597031371467763</v>
      </c>
      <c r="BX239" s="8">
        <f>SUM(Tabla_master_rend[[#This Row],[Kg_Finos]:[Kg_Desmoldeo]])+Tabla_master_rend[[#This Row],[L_Agua]]+SUM(Tabla_master_rend[[#This Row],[B_altas]:[B_lab]])</f>
        <v>804.78</v>
      </c>
      <c r="BY239" s="8">
        <f>+BX239-Tabla_master_rend[[#This Row],[Merma_TOT]]</f>
        <v>503.87</v>
      </c>
      <c r="BZ239" s="62">
        <f t="shared" si="88"/>
        <v>0.62609657297646559</v>
      </c>
      <c r="CA239" s="8">
        <f>+Tabla_master_rend[[#This Row],[Kg_Queso_Blan]]*$CA$1</f>
        <v>130.60306999999997</v>
      </c>
      <c r="CB239" s="8">
        <f>+Tabla_master_rend[[#This Row],[Kg_Queso_Blan]]*($CB$1-$CA$1)</f>
        <v>70.324730000000002</v>
      </c>
      <c r="CC239" s="8">
        <f>+(Tabla_master_rend[[#This Row],[Kg_Queso_Blan]]-CA239-CB239)*$CC$1</f>
        <v>208.86444809999998</v>
      </c>
      <c r="CD239" s="8">
        <f t="shared" si="89"/>
        <v>409.79224809999994</v>
      </c>
      <c r="CE239" s="80">
        <f>+CD239/Tabla_master_rend[[#This Row],[Kg_Queso_Blan]]</f>
        <v>2.0394999999999996E-2</v>
      </c>
      <c r="CF239" s="62">
        <f>+Tabla_master_rend[[#This Row],[Merma_TOT]]/Tabla_master_rend[[#This Row],[Kg_Queso_Blan]]</f>
        <v>1.4976026214391437E-2</v>
      </c>
      <c r="CG239" s="8">
        <f>CD239-Tabla_master_rend[[#This Row],[Merma_TOT]]</f>
        <v>108.88224809999997</v>
      </c>
      <c r="CH239" s="81" cm="1">
        <f t="array" ref="CH239">-BR239 * IFERROR(INDEX('Precio Leche_EBITDA_Ventas'!$BD$87:$BD$110,MATCH(1,('Precio Leche_EBITDA_Ventas'!$AZ$87:$AZ$110=YEAR(A239))*('Precio Leche_EBITDA_Ventas'!$BB$87:$BB$110=C239),0)),1.3)</f>
        <v>0</v>
      </c>
      <c r="CI239" s="81">
        <f t="shared" si="90"/>
        <v>141.54692252999996</v>
      </c>
    </row>
    <row r="240" spans="1:87" x14ac:dyDescent="0.35">
      <c r="A240" s="9">
        <v>46231</v>
      </c>
      <c r="B240" s="7">
        <v>7</v>
      </c>
      <c r="C240" s="7" t="str">
        <f>+UPPER(TEXT(Tabla_master_rend[[#This Row],[Fecha]],"MMM"))</f>
        <v>JUL</v>
      </c>
      <c r="D240" s="7" t="str">
        <f>+UPPER(TEXT(Tabla_master_rend[[#This Row],[Fecha]],"ddd"))</f>
        <v>MA</v>
      </c>
      <c r="E240" s="122">
        <v>280726326</v>
      </c>
      <c r="F240" s="3" t="s">
        <v>244</v>
      </c>
      <c r="G240" t="s">
        <v>301</v>
      </c>
      <c r="H240">
        <v>9</v>
      </c>
      <c r="I240" s="8">
        <f>+Tabla_master_rend[[#This Row],[L_Leche_ent]]+Tabla_master_rend[[#This Row],[L_desn_ext]]+Tabla_master_rend[[#This Row],[L_cabra]]+Tabla_master_rend[[#This Row],[L_oveja]]</f>
        <v>148400</v>
      </c>
      <c r="J240" s="8">
        <v>148400</v>
      </c>
      <c r="K240" s="66">
        <v>3.5999999999999997E-2</v>
      </c>
      <c r="L240" s="66">
        <v>3.2099999999999997E-2</v>
      </c>
      <c r="M240" s="5">
        <f t="shared" ref="M240:M245" si="91">0.93*K240+0.74*L240+0.048</f>
        <v>0.10523399999999999</v>
      </c>
      <c r="N240" s="3" t="s">
        <v>188</v>
      </c>
      <c r="O240" s="8">
        <v>0</v>
      </c>
      <c r="P240" s="8">
        <v>0</v>
      </c>
      <c r="Q240" s="8">
        <v>0</v>
      </c>
      <c r="R240" s="8">
        <v>1839</v>
      </c>
      <c r="S240">
        <v>0</v>
      </c>
      <c r="T240" s="8">
        <v>125690</v>
      </c>
      <c r="U240" s="38">
        <f>+Tabla_master_rend[[#This Row],[L_suero Total]]/Tabla_master_rend[[#This Row],[Litros_Leche_Total]]</f>
        <v>0.84696765498652293</v>
      </c>
      <c r="V240" s="66">
        <v>2.5000000000000001E-3</v>
      </c>
      <c r="W240" s="66">
        <v>8.6999999999999994E-3</v>
      </c>
      <c r="X240" s="8">
        <v>0</v>
      </c>
      <c r="Y240" s="57">
        <v>0</v>
      </c>
      <c r="Z240" s="58">
        <f>IF(Tabla_master_rend[[#This Row],[L_suero para con]]=0,0,+Tabla_master_rend[[#This Row],[L_suero para con]]/Tabla_master_rend[[#This Row],[L_suero_con]])</f>
        <v>0</v>
      </c>
      <c r="AA240" s="8">
        <f>+Tabla_master_rend[[#This Row],[L_suero Total]]-Tabla_master_rend[[#This Row],[L_suero para con]]</f>
        <v>125690</v>
      </c>
      <c r="AD240" s="8">
        <v>18325</v>
      </c>
      <c r="AE240" s="8">
        <v>0</v>
      </c>
      <c r="AF240" s="8">
        <v>0</v>
      </c>
      <c r="AG240" s="140"/>
      <c r="AH240" s="140"/>
      <c r="AI240" s="7">
        <f>+Tabla_master_rend[[#This Row],[Kg_Finos]]+Tabla_master_rend[[#This Row],[Kg_Llenadora]]+Tabla_master_rend[[#This Row],[Kg_Desmoldeo]]+Tabla_master_rend[[#This Row],[L_Agua]]+Tabla_master_rend[[#This Row],[Kg_SalidaSecadero]]</f>
        <v>16307.07</v>
      </c>
      <c r="AJ240" s="59">
        <f>+Tabla_master_rend[[#This Row],[Litros_Leche_Total]]/Tabla_master_rend[[#This Row],[Kg_Queso_Blan]]</f>
        <v>9.1003472726860188</v>
      </c>
      <c r="AK240" s="59">
        <f>+Tabla_master_rend[[#This Row],[Litros_Leche_Total]]/(Tabla_master_rend[[#This Row],[Kg_Queso_Blan]]-Tabla_master_rend[[#This Row],[Merma_TOT]])</f>
        <v>9.3052362018834955</v>
      </c>
      <c r="AL240" s="59">
        <f>VLOOKUP(G240,REND_TARGET[#All],8,FALSE)</f>
        <v>9.3549429999999987</v>
      </c>
      <c r="AM240" s="7">
        <f>(I240*1.03*Tabla_master_rend[[#This Row],[%MG_Leche]])+(I240*1.03*Tabla_master_rend[[#This Row],[%MP_Leche]])</f>
        <v>10409.2212</v>
      </c>
      <c r="AN240" s="137">
        <v>0.28870000000000001</v>
      </c>
      <c r="AO240" s="137">
        <v>0.23799999999999999</v>
      </c>
      <c r="AP240" s="64">
        <v>0.57530000000000003</v>
      </c>
      <c r="AQ240" s="38">
        <f>+Tabla_master_rend[[#This Row],[Kg_Queso_Blan]]*Tabla_master_rend[[#This Row],[ES_QUESO]]/(Tabla_master_rend[[#This Row],[Kg_Solidos_leche]])</f>
        <v>0.90126409946980479</v>
      </c>
      <c r="AR240" s="7">
        <f t="shared" ref="AR240:AR245" si="92">R240*0.4</f>
        <v>735.6</v>
      </c>
      <c r="AS2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0.98923779374820109</v>
      </c>
      <c r="AT240" s="62">
        <f>+Tabla_master_rend[[#This Row],[Kg_Queso_Blan]]*Tabla_master_rend[[#This Row],[%PT_QUESO]]/(Tabla_master_rend[[#This Row],[Litros_Leche_Total]]*1.03*Tabla_master_rend[[#This Row],[%MP_Leche]])</f>
        <v>0.79100045710333444</v>
      </c>
      <c r="AU240" s="7">
        <f t="shared" ref="AU240:AU245" si="93">AR240*$CO$3</f>
        <v>5517</v>
      </c>
      <c r="AV240" s="8">
        <v>20.97</v>
      </c>
      <c r="AW240" s="8">
        <v>31.3</v>
      </c>
      <c r="AX240" s="8">
        <v>22.8</v>
      </c>
      <c r="AY240" s="8">
        <f>SUM(Tabla_master_rend[[#This Row],[Kg_Finos]:[Kg_Desmoldeo]])</f>
        <v>75.069999999999993</v>
      </c>
      <c r="AZ240" s="60">
        <f>+(Tabla_master_rend[[#This Row],[Kg_Finos]]+Tabla_master_rend[[#This Row],[Kg_Llenadora]]+Tabla_master_rend[[#This Row],[Kg_Desmoldeo]])/(Tabla_master_rend[[#This Row],[Kg_Queso_Blan]])</f>
        <v>4.6035247288446048E-3</v>
      </c>
      <c r="BA240" s="8">
        <v>175</v>
      </c>
      <c r="BB240" s="60">
        <f>+Tabla_master_rend[[#This Row],[L_Agua]]/(Tabla_master_rend[[#This Row],[L_Agua]]+Tabla_master_rend[[#This Row],[Kg_SalidaSecadero]])</f>
        <v>1.0781172991621488E-2</v>
      </c>
      <c r="BC240" s="8">
        <v>2159</v>
      </c>
      <c r="BD240" s="8">
        <v>2141</v>
      </c>
      <c r="BE240" s="8">
        <v>16116</v>
      </c>
      <c r="BF240" s="8">
        <v>317</v>
      </c>
      <c r="BG240" s="8">
        <v>32</v>
      </c>
      <c r="BH240" s="8">
        <v>0</v>
      </c>
      <c r="BI240" s="8">
        <v>26</v>
      </c>
      <c r="BJ240" s="8">
        <v>58</v>
      </c>
      <c r="BK240" s="8">
        <v>16057</v>
      </c>
      <c r="BL240" s="8">
        <v>0</v>
      </c>
      <c r="BM240" s="8">
        <v>89.69</v>
      </c>
      <c r="BN240" s="8">
        <v>19.3</v>
      </c>
      <c r="BO240" s="68">
        <f>+SUM(Tabla_master_rend[[#This Row],[B_altas]:[B_lab]])/Tabla_master_rend[[#This Row],[Kg_SalidaSecadero]]</f>
        <v>2.6966432085694714E-2</v>
      </c>
      <c r="BP240" s="68">
        <f>+(Tabla_master_rend[[#This Row],[Kg_mer_env_real]]+Tabla_master_rend[[#This Row],[kg_mer_lab_real]])/Tabla_master_rend[[#This Row],[Kg_SalidaSecadero]]</f>
        <v>6.7876938406925321E-3</v>
      </c>
      <c r="BQ240" s="64">
        <f>+Tabla_master_rend[[#This Row],[Merma_TOT]]/Tabla_master_rend[[#This Row],[Kg_Queso_Blan]]</f>
        <v>2.201867042945177E-2</v>
      </c>
      <c r="BR2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359.06000000000006</v>
      </c>
      <c r="BS240" s="138">
        <v>15802.76</v>
      </c>
      <c r="BT240" s="63">
        <f>IF(+Tabla_master_rend[[#This Row],[Kg_Env_Total]]=0,0,Tabla_master_rend[[#This Row],[Kg_Env_Total]]-Tabla_master_rend[[#This Row],[Kg_SalidaSecadero]])</f>
        <v>-254.23999999999978</v>
      </c>
      <c r="BU240" s="60">
        <f>+Tabla_master_rend[[#This Row],[Diferencia_Env_vs_Sec_kg]]/Tabla_master_rend[[#This Row],[Kg_SalidaSecadero]]</f>
        <v>-1.5833592825558934E-2</v>
      </c>
      <c r="BV240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0" s="65">
        <f>+(Tabla_master_rend[[#This Row],[Coste_Leche_€]]-Tabla_master_rend[[#This Row],[Kg_MG_Nata]]*$CO$3)/Tabla_master_rend[[#This Row],[Kg_Queso_Blan]]</f>
        <v>-0.33831951417391354</v>
      </c>
      <c r="BX240" s="8">
        <f>SUM(Tabla_master_rend[[#This Row],[Kg_Finos]:[Kg_Desmoldeo]])+Tabla_master_rend[[#This Row],[L_Agua]]+SUM(Tabla_master_rend[[#This Row],[B_altas]:[B_lab]])</f>
        <v>683.06999999999994</v>
      </c>
      <c r="BY240" s="8">
        <f>+BX240-Tabla_master_rend[[#This Row],[Merma_TOT]]</f>
        <v>324.00999999999988</v>
      </c>
      <c r="BZ240" s="62">
        <f t="shared" ref="BZ240:BZ245" si="94">+BY240/BX240</f>
        <v>0.47434377150218854</v>
      </c>
      <c r="CA240" s="8">
        <f>+Tabla_master_rend[[#This Row],[Kg_Queso_Blan]]*$CA$1</f>
        <v>105.995955</v>
      </c>
      <c r="CB240" s="8">
        <f>+Tabla_master_rend[[#This Row],[Kg_Queso_Blan]]*($CB$1-$CA$1)</f>
        <v>57.074745000000007</v>
      </c>
      <c r="CC240" s="8">
        <f>+(Tabla_master_rend[[#This Row],[Kg_Queso_Blan]]-CA240-CB240)*$CC$1</f>
        <v>169.51199265</v>
      </c>
      <c r="CD240" s="8">
        <f t="shared" ref="CD240:CD245" si="95">+CA240+CB240+CC240</f>
        <v>332.58269265000001</v>
      </c>
      <c r="CE240" s="80">
        <f>+CD240/Tabla_master_rend[[#This Row],[Kg_Queso_Blan]]</f>
        <v>2.0395E-2</v>
      </c>
      <c r="CF240" s="62">
        <f>+Tabla_master_rend[[#This Row],[Merma_TOT]]/Tabla_master_rend[[#This Row],[Kg_Queso_Blan]]</f>
        <v>2.201867042945177E-2</v>
      </c>
      <c r="CG240" s="8">
        <f>CD240-Tabla_master_rend[[#This Row],[Merma_TOT]]</f>
        <v>-26.477307350000046</v>
      </c>
      <c r="CH240" s="81" cm="1">
        <f t="array" ref="CH240">-BR240 * IFERROR(INDEX('Precio Leche_EBITDA_Ventas'!$BD$87:$BD$110,MATCH(1,('Precio Leche_EBITDA_Ventas'!$AZ$87:$AZ$110=YEAR(A240))*('Precio Leche_EBITDA_Ventas'!$BB$87:$BB$110=C240),0)),1.3)</f>
        <v>0</v>
      </c>
      <c r="CI240" s="81">
        <f t="shared" ref="CI240:CI245" si="96">+CG240*$CM$2</f>
        <v>-34.420499555000063</v>
      </c>
    </row>
    <row r="241" spans="1:87" x14ac:dyDescent="0.35">
      <c r="A241" s="9">
        <v>46233</v>
      </c>
      <c r="B241" s="7">
        <v>7</v>
      </c>
      <c r="C241" s="7" t="str">
        <f>+UPPER(TEXT(Tabla_master_rend[[#This Row],[Fecha]],"MMM"))</f>
        <v>JUL</v>
      </c>
      <c r="D241" s="7" t="str">
        <f>+UPPER(TEXT(Tabla_master_rend[[#This Row],[Fecha]],"ddd"))</f>
        <v>JU</v>
      </c>
      <c r="E241" s="122">
        <v>300726326</v>
      </c>
      <c r="F241" s="3" t="s">
        <v>244</v>
      </c>
      <c r="G241" t="s">
        <v>301</v>
      </c>
      <c r="H241">
        <v>8</v>
      </c>
      <c r="I241" s="8">
        <f>+Tabla_master_rend[[#This Row],[L_Leche_ent]]+Tabla_master_rend[[#This Row],[L_desn_ext]]+Tabla_master_rend[[#This Row],[L_cabra]]+Tabla_master_rend[[#This Row],[L_oveja]]</f>
        <v>120279</v>
      </c>
      <c r="J241" s="8">
        <v>120279</v>
      </c>
      <c r="K241" s="66">
        <v>3.49E-2</v>
      </c>
      <c r="L241" s="66">
        <v>3.2199999999999999E-2</v>
      </c>
      <c r="M241" s="5">
        <f t="shared" si="91"/>
        <v>0.104285</v>
      </c>
      <c r="N241" s="3" t="s">
        <v>43</v>
      </c>
      <c r="O241" s="8">
        <v>0</v>
      </c>
      <c r="P241" s="8">
        <v>0</v>
      </c>
      <c r="Q241" s="8">
        <v>0</v>
      </c>
      <c r="R241" s="8">
        <v>1371</v>
      </c>
      <c r="S241">
        <v>0</v>
      </c>
      <c r="T241" s="8">
        <v>106650</v>
      </c>
      <c r="U241" s="38">
        <f>+Tabla_master_rend[[#This Row],[L_suero Total]]/Tabla_master_rend[[#This Row],[Litros_Leche_Total]]</f>
        <v>0.88668844935524904</v>
      </c>
      <c r="V241" s="66">
        <v>0</v>
      </c>
      <c r="W241" s="66">
        <v>8.6E-3</v>
      </c>
      <c r="X241" s="8">
        <v>105734</v>
      </c>
      <c r="Y241" s="57">
        <v>28901</v>
      </c>
      <c r="Z241" s="58">
        <f>IF(Tabla_master_rend[[#This Row],[L_suero para con]]=0,0,+Tabla_master_rend[[#This Row],[L_suero para con]]/Tabla_master_rend[[#This Row],[L_suero_con]])</f>
        <v>3.6584893256288709</v>
      </c>
      <c r="AA241" s="8">
        <f>+Tabla_master_rend[[#This Row],[L_suero Total]]-Tabla_master_rend[[#This Row],[L_suero para con]]</f>
        <v>916</v>
      </c>
      <c r="AD241" s="8">
        <v>0</v>
      </c>
      <c r="AE241" s="8">
        <v>0</v>
      </c>
      <c r="AF241" s="8">
        <v>0</v>
      </c>
      <c r="AG241" s="66">
        <v>0</v>
      </c>
      <c r="AH241" s="66">
        <v>0</v>
      </c>
      <c r="AI241" s="7">
        <f>+Tabla_master_rend[[#This Row],[Kg_Finos]]+Tabla_master_rend[[#This Row],[Kg_Llenadora]]+Tabla_master_rend[[#This Row],[Kg_Desmoldeo]]+Tabla_master_rend[[#This Row],[L_Agua]]+Tabla_master_rend[[#This Row],[Kg_SalidaSecadero]]</f>
        <v>13334.9</v>
      </c>
      <c r="AJ241" s="59">
        <f>+Tabla_master_rend[[#This Row],[Litros_Leche_Total]]/Tabla_master_rend[[#This Row],[Kg_Queso_Blan]]</f>
        <v>9.0198651658430133</v>
      </c>
      <c r="AK241" s="59">
        <f>+Tabla_master_rend[[#This Row],[Litros_Leche_Total]]/(Tabla_master_rend[[#This Row],[Kg_Queso_Blan]]-Tabla_master_rend[[#This Row],[Merma_TOT]])</f>
        <v>9.222392781508443</v>
      </c>
      <c r="AL241" s="59">
        <f>VLOOKUP(G241,REND_TARGET[#All],8,FALSE)</f>
        <v>9.3549429999999987</v>
      </c>
      <c r="AM241" s="7">
        <f>(I241*1.03*Tabla_master_rend[[#This Row],[%MG_Leche]])+(I241*1.03*Tabla_master_rend[[#This Row],[%MP_Leche]])</f>
        <v>8312.8425270000007</v>
      </c>
      <c r="AN241" s="137">
        <v>0.28699999999999998</v>
      </c>
      <c r="AO241" s="137">
        <v>0.23980000000000001</v>
      </c>
      <c r="AP241" s="64">
        <v>0.57540000000000002</v>
      </c>
      <c r="AQ241" s="38">
        <f>+Tabla_master_rend[[#This Row],[Kg_Queso_Blan]]*Tabla_master_rend[[#This Row],[ES_QUESO]]/(Tabla_master_rend[[#This Row],[Kg_Solidos_leche]])</f>
        <v>0.923017780630214</v>
      </c>
      <c r="AR241" s="7">
        <f t="shared" si="92"/>
        <v>548.4</v>
      </c>
      <c r="AS241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1.0119914555082314</v>
      </c>
      <c r="AT241" s="62">
        <f>+Tabla_master_rend[[#This Row],[Kg_Queso_Blan]]*Tabla_master_rend[[#This Row],[%PT_QUESO]]/(Tabla_master_rend[[#This Row],[Litros_Leche_Total]]*1.03*Tabla_master_rend[[#This Row],[%MP_Leche]])</f>
        <v>0.8015969145230275</v>
      </c>
      <c r="AU241" s="7">
        <f t="shared" si="93"/>
        <v>4113</v>
      </c>
      <c r="AV241" s="8">
        <v>18.399999999999999</v>
      </c>
      <c r="AW241" s="8">
        <v>23.5</v>
      </c>
      <c r="AX241" s="8">
        <v>12</v>
      </c>
      <c r="AY241" s="8">
        <f>SUM(Tabla_master_rend[[#This Row],[Kg_Finos]:[Kg_Desmoldeo]])</f>
        <v>53.9</v>
      </c>
      <c r="AZ241" s="60">
        <f>+(Tabla_master_rend[[#This Row],[Kg_Finos]]+Tabla_master_rend[[#This Row],[Kg_Llenadora]]+Tabla_master_rend[[#This Row],[Kg_Desmoldeo]])/(Tabla_master_rend[[#This Row],[Kg_Queso_Blan]])</f>
        <v>4.0420250620552085E-3</v>
      </c>
      <c r="BA241" s="8">
        <v>150</v>
      </c>
      <c r="BB241" s="60">
        <f>+Tabla_master_rend[[#This Row],[L_Agua]]/(Tabla_master_rend[[#This Row],[L_Agua]]+Tabla_master_rend[[#This Row],[Kg_SalidaSecadero]])</f>
        <v>1.12943302462164E-2</v>
      </c>
      <c r="BC241" s="8">
        <v>1789</v>
      </c>
      <c r="BD241" s="8">
        <v>1770</v>
      </c>
      <c r="BE241" s="8">
        <v>13160</v>
      </c>
      <c r="BF241" s="8">
        <v>88</v>
      </c>
      <c r="BG241" s="8">
        <v>52</v>
      </c>
      <c r="BH241" s="8">
        <v>13</v>
      </c>
      <c r="BI241" s="8">
        <v>7</v>
      </c>
      <c r="BJ241" s="8">
        <v>49</v>
      </c>
      <c r="BK241" s="8">
        <v>13131</v>
      </c>
      <c r="BL241" s="8">
        <v>0</v>
      </c>
      <c r="BM241" s="8">
        <v>78.56</v>
      </c>
      <c r="BN241" s="8">
        <v>10.38</v>
      </c>
      <c r="BO241" s="68">
        <f>+SUM(Tabla_master_rend[[#This Row],[B_altas]:[B_lab]])/Tabla_master_rend[[#This Row],[Kg_SalidaSecadero]]</f>
        <v>1.5916533394257863E-2</v>
      </c>
      <c r="BP241" s="68">
        <f>+(Tabla_master_rend[[#This Row],[Kg_mer_env_real]]+Tabla_master_rend[[#This Row],[kg_mer_lab_real]])/Tabla_master_rend[[#This Row],[Kg_SalidaSecadero]]</f>
        <v>6.7732845937095425E-3</v>
      </c>
      <c r="BQ241" s="64">
        <f>+Tabla_master_rend[[#This Row],[Merma_TOT]]/Tabla_master_rend[[#This Row],[Kg_Queso_Blan]]</f>
        <v>2.1960419650691041E-2</v>
      </c>
      <c r="BR2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292.83999999999997</v>
      </c>
      <c r="BS241" s="138">
        <v>12926.450000000004</v>
      </c>
      <c r="BT241" s="63">
        <f>IF(+Tabla_master_rend[[#This Row],[Kg_Env_Total]]=0,0,Tabla_master_rend[[#This Row],[Kg_Env_Total]]-Tabla_master_rend[[#This Row],[Kg_SalidaSecadero]])</f>
        <v>-204.54999999999563</v>
      </c>
      <c r="BU241" s="60">
        <f>+Tabla_master_rend[[#This Row],[Diferencia_Env_vs_Sec_kg]]/Tabla_master_rend[[#This Row],[Kg_SalidaSecadero]]</f>
        <v>-1.5577640697585533E-2</v>
      </c>
      <c r="BV241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1" s="65">
        <f>+(Tabla_master_rend[[#This Row],[Coste_Leche_€]]-Tabla_master_rend[[#This Row],[Kg_MG_Nata]]*$CO$3)/Tabla_master_rend[[#This Row],[Kg_Queso_Blan]]</f>
        <v>-0.30843875844588264</v>
      </c>
      <c r="BX241" s="8">
        <f>SUM(Tabla_master_rend[[#This Row],[Kg_Finos]:[Kg_Desmoldeo]])+Tabla_master_rend[[#This Row],[L_Agua]]+SUM(Tabla_master_rend[[#This Row],[B_altas]:[B_lab]])</f>
        <v>412.9</v>
      </c>
      <c r="BY241" s="8">
        <f>+BX241-Tabla_master_rend[[#This Row],[Merma_TOT]]</f>
        <v>120.06</v>
      </c>
      <c r="BZ241" s="62">
        <f t="shared" si="94"/>
        <v>0.29077258416081375</v>
      </c>
      <c r="CA241" s="8">
        <f>+Tabla_master_rend[[#This Row],[Kg_Queso_Blan]]*$CA$1</f>
        <v>86.676849999999988</v>
      </c>
      <c r="CB241" s="8">
        <f>+Tabla_master_rend[[#This Row],[Kg_Queso_Blan]]*($CB$1-$CA$1)</f>
        <v>46.672150000000002</v>
      </c>
      <c r="CC241" s="8">
        <f>+(Tabla_master_rend[[#This Row],[Kg_Queso_Blan]]-CA241-CB241)*$CC$1</f>
        <v>138.6162855</v>
      </c>
      <c r="CD241" s="8">
        <f t="shared" si="95"/>
        <v>271.96528549999999</v>
      </c>
      <c r="CE241" s="80">
        <f>+CD241/Tabla_master_rend[[#This Row],[Kg_Queso_Blan]]</f>
        <v>2.0395E-2</v>
      </c>
      <c r="CF241" s="62">
        <f>+Tabla_master_rend[[#This Row],[Merma_TOT]]/Tabla_master_rend[[#This Row],[Kg_Queso_Blan]]</f>
        <v>2.1960419650691041E-2</v>
      </c>
      <c r="CG241" s="8">
        <f>CD241-Tabla_master_rend[[#This Row],[Merma_TOT]]</f>
        <v>-20.874714499999982</v>
      </c>
      <c r="CH241" s="81" cm="1">
        <f t="array" ref="CH241">-BR241 * IFERROR(INDEX('Precio Leche_EBITDA_Ventas'!$BD$87:$BD$110,MATCH(1,('Precio Leche_EBITDA_Ventas'!$AZ$87:$AZ$110=YEAR(A241))*('Precio Leche_EBITDA_Ventas'!$BB$87:$BB$110=C241),0)),1.3)</f>
        <v>0</v>
      </c>
      <c r="CI241" s="81">
        <f t="shared" si="96"/>
        <v>-27.137128849999979</v>
      </c>
    </row>
    <row r="242" spans="1:87" x14ac:dyDescent="0.35">
      <c r="A242" s="9">
        <v>46240</v>
      </c>
      <c r="B242" s="7">
        <v>8</v>
      </c>
      <c r="C242" s="7" t="str">
        <f>+UPPER(TEXT(Tabla_master_rend[[#This Row],[Fecha]],"MMM"))</f>
        <v>AGO</v>
      </c>
      <c r="D242" s="7" t="str">
        <f>+UPPER(TEXT(Tabla_master_rend[[#This Row],[Fecha]],"ddd"))</f>
        <v>JU</v>
      </c>
      <c r="E242" s="139" t="s">
        <v>621</v>
      </c>
      <c r="F242" s="122" t="s">
        <v>244</v>
      </c>
      <c r="G242" t="s">
        <v>301</v>
      </c>
      <c r="H242">
        <v>9</v>
      </c>
      <c r="I242" s="8">
        <f>+Tabla_master_rend[[#This Row],[L_Leche_ent]]+Tabla_master_rend[[#This Row],[L_desn_ext]]+Tabla_master_rend[[#This Row],[L_cabra]]+Tabla_master_rend[[#This Row],[L_oveja]]</f>
        <v>132835</v>
      </c>
      <c r="J242" s="8">
        <v>132835</v>
      </c>
      <c r="K242" s="66">
        <v>3.6200000000000003E-2</v>
      </c>
      <c r="L242" s="66">
        <v>3.2399999999999998E-2</v>
      </c>
      <c r="M242" s="5">
        <f t="shared" si="91"/>
        <v>0.105642</v>
      </c>
      <c r="N242" s="3" t="s">
        <v>43</v>
      </c>
      <c r="O242" s="8">
        <v>0</v>
      </c>
      <c r="P242" s="8">
        <v>0</v>
      </c>
      <c r="Q242" s="8">
        <v>0</v>
      </c>
      <c r="R242" s="8">
        <v>1534</v>
      </c>
      <c r="S242">
        <v>0</v>
      </c>
      <c r="T242" s="8">
        <v>117560</v>
      </c>
      <c r="U242" s="38">
        <f>+Tabla_master_rend[[#This Row],[L_suero Total]]/Tabla_master_rend[[#This Row],[Litros_Leche_Total]]</f>
        <v>0.88500771633982012</v>
      </c>
      <c r="V242" s="66">
        <v>0</v>
      </c>
      <c r="W242" s="66">
        <v>9.7000000000000003E-3</v>
      </c>
      <c r="X242" s="8">
        <v>116803</v>
      </c>
      <c r="Y242" s="57">
        <v>33001</v>
      </c>
      <c r="Z242" s="58">
        <f>IF(Tabla_master_rend[[#This Row],[L_suero para con]]=0,0,+Tabla_master_rend[[#This Row],[L_suero para con]]/Tabla_master_rend[[#This Row],[L_suero_con]])</f>
        <v>3.5393775946183448</v>
      </c>
      <c r="AA242" s="8">
        <f>+Tabla_master_rend[[#This Row],[L_suero Total]]-Tabla_master_rend[[#This Row],[L_suero para con]]</f>
        <v>757</v>
      </c>
      <c r="AD242" s="8">
        <v>0</v>
      </c>
      <c r="AE242" s="8">
        <v>0</v>
      </c>
      <c r="AF242" s="8">
        <v>0</v>
      </c>
      <c r="AG242" s="66">
        <v>0</v>
      </c>
      <c r="AH242" s="66">
        <v>0</v>
      </c>
      <c r="AI242" s="7">
        <f>+Tabla_master_rend[[#This Row],[Kg_Finos]]+Tabla_master_rend[[#This Row],[Kg_Llenadora]]+Tabla_master_rend[[#This Row],[Kg_Desmoldeo]]+Tabla_master_rend[[#This Row],[L_Agua]]+Tabla_master_rend[[#This Row],[Kg_SalidaSecadero]]</f>
        <v>14860.96</v>
      </c>
      <c r="AJ242" s="59">
        <f>+Tabla_master_rend[[#This Row],[Litros_Leche_Total]]/Tabla_master_rend[[#This Row],[Kg_Queso_Blan]]</f>
        <v>8.9385207954264061</v>
      </c>
      <c r="AK242" s="59">
        <f>+Tabla_master_rend[[#This Row],[Litros_Leche_Total]]/(Tabla_master_rend[[#This Row],[Kg_Queso_Blan]]-Tabla_master_rend[[#This Row],[Merma_TOT]])</f>
        <v>9.0828468316191238</v>
      </c>
      <c r="AL242" s="59">
        <f>VLOOKUP(G242,REND_TARGET[#All],8,FALSE)</f>
        <v>9.3549429999999987</v>
      </c>
      <c r="AM242" s="7">
        <f>(I242*1.03*Tabla_master_rend[[#This Row],[%MG_Leche]])+(I242*1.03*Tabla_master_rend[[#This Row],[%MP_Leche]])</f>
        <v>9385.8554300000014</v>
      </c>
      <c r="AN242" s="137">
        <v>0.29530000000000001</v>
      </c>
      <c r="AO242" s="137">
        <v>0.24099999999999999</v>
      </c>
      <c r="AP242" s="64">
        <v>0.58079999999999998</v>
      </c>
      <c r="AQ242" s="38">
        <f>+Tabla_master_rend[[#This Row],[Kg_Queso_Blan]]*Tabla_master_rend[[#This Row],[ES_QUESO]]/(Tabla_master_rend[[#This Row],[Kg_Solidos_leche]])</f>
        <v>0.91960137596110381</v>
      </c>
      <c r="AR242" s="7">
        <f t="shared" si="92"/>
        <v>613.6</v>
      </c>
      <c r="AS24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1.0099246540069131</v>
      </c>
      <c r="AT242" s="62">
        <f>+Tabla_master_rend[[#This Row],[Kg_Queso_Blan]]*Tabla_master_rend[[#This Row],[%PT_QUESO]]/(Tabla_master_rend[[#This Row],[Litros_Leche_Total]]*1.03*Tabla_master_rend[[#This Row],[%MP_Leche]])</f>
        <v>0.80792147634884959</v>
      </c>
      <c r="AU242" s="7">
        <f t="shared" si="93"/>
        <v>4602</v>
      </c>
      <c r="AV242" s="8">
        <v>19.559999999999999</v>
      </c>
      <c r="AW242" s="8">
        <v>23.9</v>
      </c>
      <c r="AX242" s="8">
        <f>6+2.5</f>
        <v>8.5</v>
      </c>
      <c r="AY242" s="8">
        <f>SUM(Tabla_master_rend[[#This Row],[Kg_Finos]:[Kg_Desmoldeo]])</f>
        <v>51.959999999999994</v>
      </c>
      <c r="AZ242" s="60">
        <f>+(Tabla_master_rend[[#This Row],[Kg_Finos]]+Tabla_master_rend[[#This Row],[Kg_Llenadora]]+Tabla_master_rend[[#This Row],[Kg_Desmoldeo]])/(Tabla_master_rend[[#This Row],[Kg_Queso_Blan]])</f>
        <v>3.496409384050559E-3</v>
      </c>
      <c r="BA242" s="7">
        <v>100</v>
      </c>
      <c r="BB242" s="60">
        <f>+Tabla_master_rend[[#This Row],[L_Agua]]/(Tabla_master_rend[[#This Row],[L_Agua]]+Tabla_master_rend[[#This Row],[Kg_SalidaSecadero]])</f>
        <v>6.7526504152880008E-3</v>
      </c>
      <c r="BC242" s="8">
        <v>1977</v>
      </c>
      <c r="BD242" s="8">
        <v>1961</v>
      </c>
      <c r="BE242" s="8">
        <v>14708</v>
      </c>
      <c r="BF242" s="8">
        <v>159</v>
      </c>
      <c r="BG242" s="8">
        <v>13</v>
      </c>
      <c r="BH242" s="8">
        <v>12</v>
      </c>
      <c r="BI242" s="8">
        <v>24</v>
      </c>
      <c r="BJ242" s="8">
        <v>52</v>
      </c>
      <c r="BK242" s="8">
        <v>14709</v>
      </c>
      <c r="BL242" s="8">
        <v>0</v>
      </c>
      <c r="BM242" s="8">
        <v>67.83</v>
      </c>
      <c r="BN242" s="8">
        <v>16.350000000000001</v>
      </c>
      <c r="BO242" s="68">
        <f>+SUM(Tabla_master_rend[[#This Row],[B_altas]:[B_lab]])/Tabla_master_rend[[#This Row],[Kg_SalidaSecadero]]</f>
        <v>1.7676252634441499E-2</v>
      </c>
      <c r="BP242" s="68">
        <f>+(Tabla_master_rend[[#This Row],[Kg_mer_env_real]]+Tabla_master_rend[[#This Row],[kg_mer_lab_real]])/Tabla_master_rend[[#This Row],[Kg_SalidaSecadero]]</f>
        <v>5.7230267183357129E-3</v>
      </c>
      <c r="BQ242" s="64">
        <f>+Tabla_master_rend[[#This Row],[Merma_TOT]]/Tabla_master_rend[[#This Row],[Kg_Queso_Blan]]</f>
        <v>1.5889955965159724E-2</v>
      </c>
      <c r="BR2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236.14000000000001</v>
      </c>
      <c r="BS242" s="138">
        <v>14387.86</v>
      </c>
      <c r="BT242" s="63">
        <f>IF(+Tabla_master_rend[[#This Row],[Kg_Env_Total]]=0,0,Tabla_master_rend[[#This Row],[Kg_Env_Total]]-Tabla_master_rend[[#This Row],[Kg_SalidaSecadero]])</f>
        <v>-321.13999999999942</v>
      </c>
      <c r="BU242" s="60">
        <f>+Tabla_master_rend[[#This Row],[Diferencia_Env_vs_Sec_kg]]/Tabla_master_rend[[#This Row],[Kg_SalidaSecadero]]</f>
        <v>-2.1832891427017432E-2</v>
      </c>
      <c r="BV242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2" s="65">
        <f>+(Tabla_master_rend[[#This Row],[Coste_Leche_€]]-Tabla_master_rend[[#This Row],[Kg_MG_Nata]]*$CO$3)/Tabla_master_rend[[#This Row],[Kg_Queso_Blan]]</f>
        <v>-0.30967043851810383</v>
      </c>
      <c r="BX242" s="8">
        <f>SUM(Tabla_master_rend[[#This Row],[Kg_Finos]:[Kg_Desmoldeo]])+Tabla_master_rend[[#This Row],[L_Agua]]+SUM(Tabla_master_rend[[#This Row],[B_altas]:[B_lab]])</f>
        <v>411.96</v>
      </c>
      <c r="BY242" s="8">
        <f>+BX242-Tabla_master_rend[[#This Row],[Merma_TOT]]</f>
        <v>175.81999999999996</v>
      </c>
      <c r="BZ242" s="62">
        <f t="shared" si="94"/>
        <v>0.42678900864161562</v>
      </c>
      <c r="CA242" s="8">
        <f>+Tabla_master_rend[[#This Row],[Kg_Queso_Blan]]*$CA$1</f>
        <v>96.596239999999995</v>
      </c>
      <c r="CB242" s="8">
        <f>+Tabla_master_rend[[#This Row],[Kg_Queso_Blan]]*($CB$1-$CA$1)</f>
        <v>52.013360000000006</v>
      </c>
      <c r="CC242" s="8">
        <f>+(Tabla_master_rend[[#This Row],[Kg_Queso_Blan]]-CA242-CB242)*$CC$1</f>
        <v>154.47967919999999</v>
      </c>
      <c r="CD242" s="8">
        <f t="shared" si="95"/>
        <v>303.08927919999996</v>
      </c>
      <c r="CE242" s="80">
        <f>+CD242/Tabla_master_rend[[#This Row],[Kg_Queso_Blan]]</f>
        <v>2.0395E-2</v>
      </c>
      <c r="CF242" s="62">
        <f>+Tabla_master_rend[[#This Row],[Merma_TOT]]/Tabla_master_rend[[#This Row],[Kg_Queso_Blan]]</f>
        <v>1.5889955965159724E-2</v>
      </c>
      <c r="CG242" s="8">
        <f>CD242-Tabla_master_rend[[#This Row],[Merma_TOT]]</f>
        <v>66.94927919999995</v>
      </c>
      <c r="CH242" s="81" cm="1">
        <f t="array" ref="CH242">-BR242 * IFERROR(INDEX('Precio Leche_EBITDA_Ventas'!$BD$87:$BD$110,MATCH(1,('Precio Leche_EBITDA_Ventas'!$AZ$87:$AZ$110=YEAR(A242))*('Precio Leche_EBITDA_Ventas'!$BB$87:$BB$110=C242),0)),1.3)</f>
        <v>-826.49</v>
      </c>
      <c r="CI242" s="81">
        <f t="shared" si="96"/>
        <v>87.034062959999943</v>
      </c>
    </row>
    <row r="243" spans="1:87" x14ac:dyDescent="0.35">
      <c r="A243" s="9">
        <v>46247</v>
      </c>
      <c r="B243" s="7">
        <v>8</v>
      </c>
      <c r="C243" s="7" t="str">
        <f>+UPPER(TEXT(Tabla_master_rend[[#This Row],[Fecha]],"MMM"))</f>
        <v>AGO</v>
      </c>
      <c r="D243" s="7" t="str">
        <f>+UPPER(TEXT(Tabla_master_rend[[#This Row],[Fecha]],"ddd"))</f>
        <v>JU</v>
      </c>
      <c r="E243" s="139">
        <v>130826316</v>
      </c>
      <c r="F243" s="122" t="s">
        <v>244</v>
      </c>
      <c r="G243" s="84" t="s">
        <v>299</v>
      </c>
      <c r="H243">
        <v>11</v>
      </c>
      <c r="I243" s="8">
        <f>+Tabla_master_rend[[#This Row],[L_Leche_ent]]+Tabla_master_rend[[#This Row],[L_desn_ext]]+Tabla_master_rend[[#This Row],[L_cabra]]+Tabla_master_rend[[#This Row],[L_oveja]]</f>
        <v>178990</v>
      </c>
      <c r="J243" s="8">
        <v>178990</v>
      </c>
      <c r="K243" s="66">
        <v>3.61E-2</v>
      </c>
      <c r="L243" s="66">
        <v>3.2300000000000002E-2</v>
      </c>
      <c r="M243" s="5">
        <f t="shared" si="91"/>
        <v>0.105475</v>
      </c>
      <c r="N243" s="3" t="s">
        <v>43</v>
      </c>
      <c r="O243" s="8">
        <v>0</v>
      </c>
      <c r="P243" s="8">
        <v>0</v>
      </c>
      <c r="Q243" s="8">
        <v>0</v>
      </c>
      <c r="R243" s="8">
        <v>6245</v>
      </c>
      <c r="S243">
        <v>0</v>
      </c>
      <c r="T243" s="8">
        <v>156390</v>
      </c>
      <c r="U243" s="38">
        <f>+Tabla_master_rend[[#This Row],[L_suero Total]]/Tabla_master_rend[[#This Row],[Litros_Leche_Total]]</f>
        <v>0.87373596290295552</v>
      </c>
      <c r="V243" s="66">
        <v>1.5E-3</v>
      </c>
      <c r="W243" s="66">
        <v>8.0999999999999996E-3</v>
      </c>
      <c r="X243" s="8">
        <v>78384</v>
      </c>
      <c r="Y243" s="57">
        <v>20358</v>
      </c>
      <c r="Z243" s="58">
        <f>IF(Tabla_master_rend[[#This Row],[L_suero para con]]=0,0,+Tabla_master_rend[[#This Row],[L_suero para con]]/Tabla_master_rend[[#This Row],[L_suero_con]])</f>
        <v>3.8502799882110228</v>
      </c>
      <c r="AA243" s="8">
        <f>+Tabla_master_rend[[#This Row],[L_suero Total]]-Tabla_master_rend[[#This Row],[L_suero para con]]</f>
        <v>78006</v>
      </c>
      <c r="AD243" s="8">
        <v>27354</v>
      </c>
      <c r="AE243" s="8">
        <v>0</v>
      </c>
      <c r="AF243" s="8">
        <v>0</v>
      </c>
      <c r="AG243" s="140"/>
      <c r="AH243" s="140"/>
      <c r="AI243" s="7">
        <f>+Tabla_master_rend[[#This Row],[Kg_Finos]]+Tabla_master_rend[[#This Row],[Kg_Llenadora]]+Tabla_master_rend[[#This Row],[Kg_Desmoldeo]]+Tabla_master_rend[[#This Row],[L_Agua]]+Tabla_master_rend[[#This Row],[Kg_SalidaSecadero]]</f>
        <v>18769.53</v>
      </c>
      <c r="AJ243" s="59">
        <f>+Tabla_master_rend[[#This Row],[Litros_Leche_Total]]/Tabla_master_rend[[#This Row],[Kg_Queso_Blan]]</f>
        <v>9.5362004269686036</v>
      </c>
      <c r="AK243" s="59">
        <f>+Tabla_master_rend[[#This Row],[Litros_Leche_Total]]/(Tabla_master_rend[[#This Row],[Kg_Queso_Blan]]-Tabla_master_rend[[#This Row],[Merma_TOT]])</f>
        <v>9.7040532137119975</v>
      </c>
      <c r="AL243" s="59">
        <f>VLOOKUP(G243,REND_TARGET[#All],8,FALSE)</f>
        <v>9.8078500000000002</v>
      </c>
      <c r="AM243" s="7">
        <f>(I243*1.03*Tabla_master_rend[[#This Row],[%MG_Leche]])+(I243*1.03*Tabla_master_rend[[#This Row],[%MP_Leche]])</f>
        <v>12610.20348</v>
      </c>
      <c r="AN243" s="137">
        <v>0.22520000000000001</v>
      </c>
      <c r="AO243" s="137">
        <v>0.25390000000000001</v>
      </c>
      <c r="AP243" s="64">
        <v>0.53280000000000005</v>
      </c>
      <c r="AQ243" s="38">
        <f>+Tabla_master_rend[[#This Row],[Kg_Queso_Blan]]*Tabla_master_rend[[#This Row],[ES_QUESO]]/(Tabla_master_rend[[#This Row],[Kg_Solidos_leche]])</f>
        <v>0.79304077843476639</v>
      </c>
      <c r="AR243" s="7">
        <f t="shared" si="92"/>
        <v>2498</v>
      </c>
      <c r="AS243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1.0104446225461658</v>
      </c>
      <c r="AT243" s="62">
        <f>+Tabla_master_rend[[#This Row],[Kg_Queso_Blan]]*Tabla_master_rend[[#This Row],[%PT_QUESO]]/(Tabla_master_rend[[#This Row],[Litros_Leche_Total]]*1.03*Tabla_master_rend[[#This Row],[%MP_Leche]])</f>
        <v>0.80029035629804113</v>
      </c>
      <c r="AU243" s="7">
        <f t="shared" si="93"/>
        <v>18735</v>
      </c>
      <c r="AV243" s="8">
        <v>27.63</v>
      </c>
      <c r="AW243" s="8">
        <v>44.9</v>
      </c>
      <c r="AX243" s="8">
        <v>3</v>
      </c>
      <c r="AY243" s="8">
        <f>SUM(Tabla_master_rend[[#This Row],[Kg_Finos]:[Kg_Desmoldeo]])</f>
        <v>75.53</v>
      </c>
      <c r="AZ243" s="60">
        <f>+(Tabla_master_rend[[#This Row],[Kg_Finos]]+Tabla_master_rend[[#This Row],[Kg_Llenadora]]+Tabla_master_rend[[#This Row],[Kg_Desmoldeo]])/(Tabla_master_rend[[#This Row],[Kg_Queso_Blan]])</f>
        <v>4.0240751899488164E-3</v>
      </c>
      <c r="BA243" s="7">
        <v>125</v>
      </c>
      <c r="BB243" s="60">
        <f>+Tabla_master_rend[[#This Row],[L_Agua]]/(Tabla_master_rend[[#This Row],[L_Agua]]+Tabla_master_rend[[#This Row],[Kg_SalidaSecadero]])</f>
        <v>6.6866374237723337E-3</v>
      </c>
      <c r="BC243" s="8">
        <v>2526</v>
      </c>
      <c r="BD243" s="8">
        <v>2474</v>
      </c>
      <c r="BE243" s="8">
        <v>18369</v>
      </c>
      <c r="BF243" s="8">
        <v>253</v>
      </c>
      <c r="BG243" s="8">
        <v>180</v>
      </c>
      <c r="BH243" s="8">
        <v>21</v>
      </c>
      <c r="BI243" s="8">
        <v>63</v>
      </c>
      <c r="BJ243" s="8">
        <v>61</v>
      </c>
      <c r="BK243" s="8">
        <v>18569</v>
      </c>
      <c r="BL243" s="8">
        <v>0</v>
      </c>
      <c r="BM243" s="8">
        <v>105.57</v>
      </c>
      <c r="BN243" s="8">
        <v>18.559999999999999</v>
      </c>
      <c r="BO243" s="68">
        <f>+SUM(Tabla_master_rend[[#This Row],[B_altas]:[B_lab]])/Tabla_master_rend[[#This Row],[Kg_SalidaSecadero]]</f>
        <v>3.1127147396197964E-2</v>
      </c>
      <c r="BP243" s="68">
        <f>+(Tabla_master_rend[[#This Row],[Kg_mer_env_real]]+Tabla_master_rend[[#This Row],[kg_mer_lab_real]])/Tabla_master_rend[[#This Row],[Kg_SalidaSecadero]]</f>
        <v>6.684797242716355E-3</v>
      </c>
      <c r="BQ243" s="64">
        <f>+Tabla_master_rend[[#This Row],[Merma_TOT]]/Tabla_master_rend[[#This Row],[Kg_Queso_Blan]]</f>
        <v>1.7297183253922713E-2</v>
      </c>
      <c r="BR2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324.65999999999997</v>
      </c>
      <c r="BS243" s="138">
        <v>18110.669999999998</v>
      </c>
      <c r="BT243" s="63">
        <f>IF(+Tabla_master_rend[[#This Row],[Kg_Env_Total]]=0,0,Tabla_master_rend[[#This Row],[Kg_Env_Total]]-Tabla_master_rend[[#This Row],[Kg_SalidaSecadero]])</f>
        <v>-458.33000000000175</v>
      </c>
      <c r="BU243" s="60">
        <f>+Tabla_master_rend[[#This Row],[Diferencia_Env_vs_Sec_kg]]/Tabla_master_rend[[#This Row],[Kg_SalidaSecadero]]</f>
        <v>-2.4682535408476588E-2</v>
      </c>
      <c r="BV243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3" s="65">
        <f>+(Tabla_master_rend[[#This Row],[Coste_Leche_€]]-Tabla_master_rend[[#This Row],[Kg_MG_Nata]]*$CO$3)/Tabla_master_rend[[#This Row],[Kg_Queso_Blan]]</f>
        <v>-0.99816031621463086</v>
      </c>
      <c r="BX243" s="8">
        <f>SUM(Tabla_master_rend[[#This Row],[Kg_Finos]:[Kg_Desmoldeo]])+Tabla_master_rend[[#This Row],[L_Agua]]+SUM(Tabla_master_rend[[#This Row],[B_altas]:[B_lab]])</f>
        <v>778.53</v>
      </c>
      <c r="BY243" s="8">
        <f>+BX243-Tabla_master_rend[[#This Row],[Merma_TOT]]</f>
        <v>453.87</v>
      </c>
      <c r="BZ243" s="62">
        <f t="shared" si="94"/>
        <v>0.58298331470848908</v>
      </c>
      <c r="CA243" s="8">
        <f>+Tabla_master_rend[[#This Row],[Kg_Queso_Blan]]*$CA$1</f>
        <v>122.00194499999999</v>
      </c>
      <c r="CB243" s="8">
        <f>+Tabla_master_rend[[#This Row],[Kg_Queso_Blan]]*($CB$1-$CA$1)</f>
        <v>65.693355000000011</v>
      </c>
      <c r="CC243" s="8">
        <f>+(Tabla_master_rend[[#This Row],[Kg_Queso_Blan]]-CA243-CB243)*$CC$1</f>
        <v>195.10926435000002</v>
      </c>
      <c r="CD243" s="8">
        <f t="shared" si="95"/>
        <v>382.80456435000002</v>
      </c>
      <c r="CE243" s="80">
        <f>+CD243/Tabla_master_rend[[#This Row],[Kg_Queso_Blan]]</f>
        <v>2.0395000000000003E-2</v>
      </c>
      <c r="CF243" s="62">
        <f>+Tabla_master_rend[[#This Row],[Merma_TOT]]/Tabla_master_rend[[#This Row],[Kg_Queso_Blan]]</f>
        <v>1.7297183253922713E-2</v>
      </c>
      <c r="CG243" s="8">
        <f>CD243-Tabla_master_rend[[#This Row],[Merma_TOT]]</f>
        <v>58.144564350000053</v>
      </c>
      <c r="CH243" s="81" cm="1">
        <f t="array" ref="CH243">-BR243 * IFERROR(INDEX('Precio Leche_EBITDA_Ventas'!$BD$87:$BD$110,MATCH(1,('Precio Leche_EBITDA_Ventas'!$AZ$87:$AZ$110=YEAR(A243))*('Precio Leche_EBITDA_Ventas'!$BB$87:$BB$110=C243),0)),1.3)</f>
        <v>-1136.31</v>
      </c>
      <c r="CI243" s="81">
        <f t="shared" si="96"/>
        <v>75.587933655000072</v>
      </c>
    </row>
    <row r="244" spans="1:87" x14ac:dyDescent="0.35">
      <c r="A244" s="9">
        <v>46254</v>
      </c>
      <c r="B244" s="7">
        <v>8</v>
      </c>
      <c r="C244" s="7" t="str">
        <f>+UPPER(TEXT(Tabla_master_rend[[#This Row],[Fecha]],"MMM"))</f>
        <v>AGO</v>
      </c>
      <c r="D244" s="7" t="str">
        <f>+UPPER(TEXT(Tabla_master_rend[[#This Row],[Fecha]],"ddd"))</f>
        <v>JU</v>
      </c>
      <c r="E244" s="139">
        <v>200826916</v>
      </c>
      <c r="F244" s="122" t="s">
        <v>244</v>
      </c>
      <c r="G244" t="s">
        <v>445</v>
      </c>
      <c r="H244">
        <v>4</v>
      </c>
      <c r="I244" s="8">
        <f>+Tabla_master_rend[[#This Row],[L_Leche_ent]]+Tabla_master_rend[[#This Row],[L_desn_ext]]+Tabla_master_rend[[#This Row],[L_cabra]]+Tabla_master_rend[[#This Row],[L_oveja]]</f>
        <v>64195</v>
      </c>
      <c r="J244" s="8">
        <v>64195</v>
      </c>
      <c r="K244" s="66">
        <v>3.5000000000000003E-2</v>
      </c>
      <c r="L244" s="66">
        <v>3.2300000000000002E-2</v>
      </c>
      <c r="M244" s="5">
        <f t="shared" si="91"/>
        <v>0.104452</v>
      </c>
      <c r="N244" s="3" t="s">
        <v>43</v>
      </c>
      <c r="O244" s="8">
        <v>0</v>
      </c>
      <c r="P244" s="8">
        <v>0</v>
      </c>
      <c r="Q244" s="8">
        <v>0</v>
      </c>
      <c r="R244" s="8">
        <v>1954</v>
      </c>
      <c r="S244">
        <v>0</v>
      </c>
      <c r="T244" s="8">
        <v>55200</v>
      </c>
      <c r="U244" s="38">
        <f>+Tabla_master_rend[[#This Row],[L_suero Total]]/Tabla_master_rend[[#This Row],[Litros_Leche_Total]]</f>
        <v>0.85988005296362646</v>
      </c>
      <c r="V244" s="66">
        <v>1.6000000000000001E-3</v>
      </c>
      <c r="W244" s="66">
        <v>8.0999999999999996E-3</v>
      </c>
      <c r="X244" s="8">
        <f>114148/2</f>
        <v>57074</v>
      </c>
      <c r="Y244" s="57">
        <f>31314/2</f>
        <v>15657</v>
      </c>
      <c r="Z244" s="58">
        <f>IF(Tabla_master_rend[[#This Row],[L_suero para con]]=0,0,+Tabla_master_rend[[#This Row],[L_suero para con]]/Tabla_master_rend[[#This Row],[L_suero_con]])</f>
        <v>3.6452704860445806</v>
      </c>
      <c r="AA244" s="8">
        <f>+Tabla_master_rend[[#This Row],[L_suero Total]]-Tabla_master_rend[[#This Row],[L_suero para con]]</f>
        <v>-1874</v>
      </c>
      <c r="AD244" s="8">
        <f>59589/2</f>
        <v>29794.5</v>
      </c>
      <c r="AE244" s="8">
        <v>0</v>
      </c>
      <c r="AF244" s="8">
        <v>0</v>
      </c>
      <c r="AG244" s="140"/>
      <c r="AH244" s="140"/>
      <c r="AI244" s="7">
        <f>+Tabla_master_rend[[#This Row],[Kg_Finos]]+Tabla_master_rend[[#This Row],[Kg_Llenadora]]+Tabla_master_rend[[#This Row],[Kg_Desmoldeo]]+Tabla_master_rend[[#This Row],[L_Agua]]+Tabla_master_rend[[#This Row],[Kg_SalidaSecadero]]</f>
        <v>6700.62</v>
      </c>
      <c r="AJ244" s="59">
        <f>+Tabla_master_rend[[#This Row],[Litros_Leche_Total]]/Tabla_master_rend[[#This Row],[Kg_Queso_Blan]]</f>
        <v>9.5804567338544793</v>
      </c>
      <c r="AK244" s="59">
        <f>+Tabla_master_rend[[#This Row],[Litros_Leche_Total]]/(Tabla_master_rend[[#This Row],[Kg_Queso_Blan]]-Tabla_master_rend[[#This Row],[Merma_TOT]])</f>
        <v>9.7436699158214921</v>
      </c>
      <c r="AL244" s="59">
        <f>VLOOKUP(G244,REND_TARGET[#All],8,FALSE)</f>
        <v>9.8078500000000002</v>
      </c>
      <c r="AM244" s="7">
        <f>(I244*1.03*Tabla_master_rend[[#This Row],[%MG_Leche]])+(I244*1.03*Tabla_master_rend[[#This Row],[%MP_Leche]])</f>
        <v>4449.9332050000012</v>
      </c>
      <c r="AN244" s="137">
        <v>0.22869999999999999</v>
      </c>
      <c r="AO244" s="137">
        <v>0.2576</v>
      </c>
      <c r="AP244" s="64">
        <v>0.54179999999999995</v>
      </c>
      <c r="AQ244" s="38">
        <f>+Tabla_master_rend[[#This Row],[Kg_Queso_Blan]]*Tabla_master_rend[[#This Row],[ES_QUESO]]/(Tabla_master_rend[[#This Row],[Kg_Solidos_leche]])</f>
        <v>0.81583155268956409</v>
      </c>
      <c r="AR244" s="7">
        <f t="shared" si="92"/>
        <v>781.6</v>
      </c>
      <c r="AS2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0.99991446138828677</v>
      </c>
      <c r="AT244" s="62">
        <f>+Tabla_master_rend[[#This Row],[Kg_Queso_Blan]]*Tabla_master_rend[[#This Row],[%PT_QUESO]]/(Tabla_master_rend[[#This Row],[Litros_Leche_Total]]*1.03*Tabla_master_rend[[#This Row],[%MP_Leche]])</f>
        <v>0.80820195704557674</v>
      </c>
      <c r="AU244" s="7">
        <f t="shared" si="93"/>
        <v>5862</v>
      </c>
      <c r="AV244" s="8">
        <f>19.04/2</f>
        <v>9.52</v>
      </c>
      <c r="AW244" s="8">
        <v>15.1</v>
      </c>
      <c r="AX244" s="8">
        <v>4</v>
      </c>
      <c r="AY244" s="8">
        <f>SUM(Tabla_master_rend[[#This Row],[Kg_Finos]:[Kg_Desmoldeo]])</f>
        <v>28.619999999999997</v>
      </c>
      <c r="AZ244" s="60">
        <f>+(Tabla_master_rend[[#This Row],[Kg_Finos]]+Tabla_master_rend[[#This Row],[Kg_Llenadora]]+Tabla_master_rend[[#This Row],[Kg_Desmoldeo]])/(Tabla_master_rend[[#This Row],[Kg_Queso_Blan]])</f>
        <v>4.2712465413648282E-3</v>
      </c>
      <c r="BA244" s="7">
        <v>40</v>
      </c>
      <c r="BB244" s="60">
        <f>+Tabla_master_rend[[#This Row],[L_Agua]]/(Tabla_master_rend[[#This Row],[L_Agua]]+Tabla_master_rend[[#This Row],[Kg_SalidaSecadero]])</f>
        <v>5.9952038369304557E-3</v>
      </c>
      <c r="BC244" s="8">
        <v>886</v>
      </c>
      <c r="BD244" s="8">
        <v>860</v>
      </c>
      <c r="BE244" s="8">
        <v>6513</v>
      </c>
      <c r="BF244" s="8">
        <v>128</v>
      </c>
      <c r="BG244" s="8">
        <v>102</v>
      </c>
      <c r="BH244" s="8">
        <v>0</v>
      </c>
      <c r="BI244" s="8">
        <v>24</v>
      </c>
      <c r="BJ244" s="8">
        <v>33</v>
      </c>
      <c r="BK244" s="8">
        <v>6632</v>
      </c>
      <c r="BL244" s="8">
        <v>0</v>
      </c>
      <c r="BM244" s="8">
        <v>30.69</v>
      </c>
      <c r="BN244" s="8">
        <v>12.93</v>
      </c>
      <c r="BO244" s="68">
        <f>+SUM(Tabla_master_rend[[#This Row],[B_altas]:[B_lab]])/Tabla_master_rend[[#This Row],[Kg_SalidaSecadero]]</f>
        <v>4.3275030156815442E-2</v>
      </c>
      <c r="BP244" s="68">
        <f>+(Tabla_master_rend[[#This Row],[Kg_mer_env_real]]+Tabla_master_rend[[#This Row],[kg_mer_lab_real]])/Tabla_master_rend[[#This Row],[Kg_SalidaSecadero]]</f>
        <v>6.5772014475271416E-3</v>
      </c>
      <c r="BQ244" s="64">
        <f>+Tabla_master_rend[[#This Row],[Merma_TOT]]/Tabla_master_rend[[#This Row],[Kg_Queso_Blan]]</f>
        <v>1.6750688742235793E-2</v>
      </c>
      <c r="BR2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112.24</v>
      </c>
      <c r="BS244" s="138">
        <v>6442.29</v>
      </c>
      <c r="BT244" s="63">
        <f>IF(+Tabla_master_rend[[#This Row],[Kg_Env_Total]]=0,0,Tabla_master_rend[[#This Row],[Kg_Env_Total]]-Tabla_master_rend[[#This Row],[Kg_SalidaSecadero]])</f>
        <v>-189.71000000000004</v>
      </c>
      <c r="BU244" s="60">
        <f>+Tabla_master_rend[[#This Row],[Diferencia_Env_vs_Sec_kg]]/Tabla_master_rend[[#This Row],[Kg_SalidaSecadero]]</f>
        <v>-2.8605247285886617E-2</v>
      </c>
      <c r="BV244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4" s="65">
        <f>+(Tabla_master_rend[[#This Row],[Coste_Leche_€]]-Tabla_master_rend[[#This Row],[Kg_MG_Nata]]*$CO$3)/Tabla_master_rend[[#This Row],[Kg_Queso_Blan]]</f>
        <v>-0.87484441738227214</v>
      </c>
      <c r="BX244" s="8">
        <f>SUM(Tabla_master_rend[[#This Row],[Kg_Finos]:[Kg_Desmoldeo]])+Tabla_master_rend[[#This Row],[L_Agua]]+SUM(Tabla_master_rend[[#This Row],[B_altas]:[B_lab]])</f>
        <v>355.62</v>
      </c>
      <c r="BY244" s="8">
        <f>+BX244-Tabla_master_rend[[#This Row],[Merma_TOT]]</f>
        <v>243.38</v>
      </c>
      <c r="BZ244" s="62">
        <f t="shared" si="94"/>
        <v>0.68438220572521224</v>
      </c>
      <c r="CA244" s="8">
        <f>+Tabla_master_rend[[#This Row],[Kg_Queso_Blan]]*$CA$1</f>
        <v>43.554029999999997</v>
      </c>
      <c r="CB244" s="8">
        <f>+Tabla_master_rend[[#This Row],[Kg_Queso_Blan]]*($CB$1-$CA$1)</f>
        <v>23.452170000000002</v>
      </c>
      <c r="CC244" s="8">
        <f>+(Tabla_master_rend[[#This Row],[Kg_Queso_Blan]]-CA244-CB244)*$CC$1</f>
        <v>69.652944900000008</v>
      </c>
      <c r="CD244" s="8">
        <f t="shared" si="95"/>
        <v>136.6591449</v>
      </c>
      <c r="CE244" s="80">
        <f>+CD244/Tabla_master_rend[[#This Row],[Kg_Queso_Blan]]</f>
        <v>2.0395E-2</v>
      </c>
      <c r="CF244" s="62">
        <f>+Tabla_master_rend[[#This Row],[Merma_TOT]]/Tabla_master_rend[[#This Row],[Kg_Queso_Blan]]</f>
        <v>1.6750688742235793E-2</v>
      </c>
      <c r="CG244" s="8">
        <f>CD244-Tabla_master_rend[[#This Row],[Merma_TOT]]</f>
        <v>24.419144900000006</v>
      </c>
      <c r="CH244" s="81" cm="1">
        <f t="array" ref="CH244">-BR244 * IFERROR(INDEX('Precio Leche_EBITDA_Ventas'!$BD$87:$BD$110,MATCH(1,('Precio Leche_EBITDA_Ventas'!$AZ$87:$AZ$110=YEAR(A244))*('Precio Leche_EBITDA_Ventas'!$BB$87:$BB$110=C244),0)),1.3)</f>
        <v>-392.84</v>
      </c>
      <c r="CI244" s="81">
        <f t="shared" si="96"/>
        <v>31.744888370000009</v>
      </c>
    </row>
    <row r="245" spans="1:87" x14ac:dyDescent="0.35">
      <c r="A245" s="9">
        <v>46254</v>
      </c>
      <c r="B245" s="7">
        <v>8</v>
      </c>
      <c r="C245" s="7" t="str">
        <f>+UPPER(TEXT(Tabla_master_rend[[#This Row],[Fecha]],"MMM"))</f>
        <v>AGO</v>
      </c>
      <c r="D245" s="7" t="str">
        <f>+UPPER(TEXT(Tabla_master_rend[[#This Row],[Fecha]],"ddd"))</f>
        <v>JU</v>
      </c>
      <c r="E245" s="139">
        <v>200826316</v>
      </c>
      <c r="F245" s="122" t="s">
        <v>244</v>
      </c>
      <c r="G245" s="84" t="s">
        <v>299</v>
      </c>
      <c r="H245">
        <v>4</v>
      </c>
      <c r="I245" s="8">
        <f>+Tabla_master_rend[[#This Row],[L_Leche_ent]]+Tabla_master_rend[[#This Row],[L_desn_ext]]+Tabla_master_rend[[#This Row],[L_cabra]]+Tabla_master_rend[[#This Row],[L_oveja]]</f>
        <v>64193</v>
      </c>
      <c r="J245" s="8">
        <v>64193</v>
      </c>
      <c r="K245" s="66">
        <v>3.49E-2</v>
      </c>
      <c r="L245" s="66">
        <v>3.2300000000000002E-2</v>
      </c>
      <c r="M245" s="5">
        <f t="shared" si="91"/>
        <v>0.10435900000000001</v>
      </c>
      <c r="N245" s="3" t="s">
        <v>43</v>
      </c>
      <c r="O245" s="8">
        <v>0</v>
      </c>
      <c r="P245" s="8">
        <v>0</v>
      </c>
      <c r="Q245" s="8">
        <v>0</v>
      </c>
      <c r="R245" s="8">
        <v>1953</v>
      </c>
      <c r="S245">
        <v>0</v>
      </c>
      <c r="T245" s="8">
        <v>55200</v>
      </c>
      <c r="U245" s="38">
        <f>+Tabla_master_rend[[#This Row],[L_suero Total]]/Tabla_master_rend[[#This Row],[Litros_Leche_Total]]</f>
        <v>0.85990684342529555</v>
      </c>
      <c r="V245" s="66">
        <v>1.6000000000000001E-3</v>
      </c>
      <c r="W245" s="66">
        <v>8.0999999999999996E-3</v>
      </c>
      <c r="X245" s="8">
        <f>114148/2</f>
        <v>57074</v>
      </c>
      <c r="Y245" s="57">
        <f>31314/2</f>
        <v>15657</v>
      </c>
      <c r="Z245" s="58">
        <f>IF(Tabla_master_rend[[#This Row],[L_suero para con]]=0,0,+Tabla_master_rend[[#This Row],[L_suero para con]]/Tabla_master_rend[[#This Row],[L_suero_con]])</f>
        <v>3.6452704860445806</v>
      </c>
      <c r="AA245" s="8">
        <f>+Tabla_master_rend[[#This Row],[L_suero Total]]-Tabla_master_rend[[#This Row],[L_suero para con]]</f>
        <v>-1874</v>
      </c>
      <c r="AD245" s="8">
        <f>59589/2</f>
        <v>29794.5</v>
      </c>
      <c r="AE245" s="8">
        <v>0</v>
      </c>
      <c r="AF245" s="8">
        <v>0</v>
      </c>
      <c r="AG245" s="140"/>
      <c r="AH245" s="140"/>
      <c r="AI245" s="7">
        <f>+Tabla_master_rend[[#This Row],[Kg_Finos]]+Tabla_master_rend[[#This Row],[Kg_Llenadora]]+Tabla_master_rend[[#This Row],[Kg_Desmoldeo]]+Tabla_master_rend[[#This Row],[L_Agua]]+Tabla_master_rend[[#This Row],[Kg_SalidaSecadero]]</f>
        <v>6518.52</v>
      </c>
      <c r="AJ245" s="59">
        <f>+Tabla_master_rend[[#This Row],[Litros_Leche_Total]]/Tabla_master_rend[[#This Row],[Kg_Queso_Blan]]</f>
        <v>9.847787534593742</v>
      </c>
      <c r="AK245" s="59">
        <f>+Tabla_master_rend[[#This Row],[Litros_Leche_Total]]/(Tabla_master_rend[[#This Row],[Kg_Queso_Blan]]-Tabla_master_rend[[#This Row],[Merma_TOT]])</f>
        <v>10.129120926805175</v>
      </c>
      <c r="AL245" s="59">
        <f>VLOOKUP(G245,REND_TARGET[#All],8,FALSE)</f>
        <v>9.8078500000000002</v>
      </c>
      <c r="AM245" s="7">
        <f>(I245*1.03*Tabla_master_rend[[#This Row],[%MG_Leche]])+(I245*1.03*Tabla_master_rend[[#This Row],[%MP_Leche]])</f>
        <v>4443.1826880000008</v>
      </c>
      <c r="AN245" s="137">
        <v>0.23150000000000001</v>
      </c>
      <c r="AO245" s="137">
        <v>0.2631</v>
      </c>
      <c r="AP245" s="64">
        <v>0.54720000000000002</v>
      </c>
      <c r="AQ245" s="38">
        <f>+Tabla_master_rend[[#This Row],[Kg_Queso_Blan]]*Tabla_master_rend[[#This Row],[ES_QUESO]]/(Tabla_master_rend[[#This Row],[Kg_Solidos_leche]])</f>
        <v>0.80278809008539231</v>
      </c>
      <c r="AR245" s="7">
        <f t="shared" si="92"/>
        <v>781.2</v>
      </c>
      <c r="AS2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0.99249922093961362</v>
      </c>
      <c r="AT245" s="62">
        <f>+Tabla_master_rend[[#This Row],[Kg_Queso_Blan]]*Tabla_master_rend[[#This Row],[%PT_QUESO]]/(Tabla_master_rend[[#This Row],[Litros_Leche_Total]]*1.03*Tabla_master_rend[[#This Row],[%MP_Leche]])</f>
        <v>0.80304971240577216</v>
      </c>
      <c r="AU245" s="7">
        <f t="shared" si="93"/>
        <v>5859</v>
      </c>
      <c r="AV245" s="8">
        <f>19.04/2</f>
        <v>9.52</v>
      </c>
      <c r="AW245" s="8">
        <v>15.1</v>
      </c>
      <c r="AX245" s="8">
        <v>3.9</v>
      </c>
      <c r="AY245" s="8">
        <f>SUM(Tabla_master_rend[[#This Row],[Kg_Finos]:[Kg_Desmoldeo]])</f>
        <v>28.519999999999996</v>
      </c>
      <c r="AZ245" s="60">
        <f>+(Tabla_master_rend[[#This Row],[Kg_Finos]]+Tabla_master_rend[[#This Row],[Kg_Llenadora]]+Tabla_master_rend[[#This Row],[Kg_Desmoldeo]])/(Tabla_master_rend[[#This Row],[Kg_Queso_Blan]])</f>
        <v>4.3752262783576627E-3</v>
      </c>
      <c r="BA245" s="7">
        <v>40</v>
      </c>
      <c r="BB245" s="60">
        <f>+Tabla_master_rend[[#This Row],[L_Agua]]/(Tabla_master_rend[[#This Row],[L_Agua]]+Tabla_master_rend[[#This Row],[Kg_SalidaSecadero]])</f>
        <v>6.1633281972265025E-3</v>
      </c>
      <c r="BC245" s="8">
        <v>871</v>
      </c>
      <c r="BD245" s="8">
        <v>834</v>
      </c>
      <c r="BE245" s="8">
        <v>6249</v>
      </c>
      <c r="BF245" s="8">
        <v>33</v>
      </c>
      <c r="BG245" s="8">
        <v>91</v>
      </c>
      <c r="BH245" s="8">
        <v>7</v>
      </c>
      <c r="BI245" s="8">
        <v>104</v>
      </c>
      <c r="BJ245" s="8">
        <v>39</v>
      </c>
      <c r="BK245" s="8">
        <v>6450</v>
      </c>
      <c r="BL245" s="8">
        <v>0</v>
      </c>
      <c r="BM245" s="8">
        <v>106.48</v>
      </c>
      <c r="BN245" s="8">
        <v>6.05</v>
      </c>
      <c r="BO245" s="68">
        <f>+SUM(Tabla_master_rend[[#This Row],[B_altas]:[B_lab]])/Tabla_master_rend[[#This Row],[Kg_SalidaSecadero]]</f>
        <v>4.2480620155038756E-2</v>
      </c>
      <c r="BP245" s="68">
        <f>+(Tabla_master_rend[[#This Row],[Kg_mer_env_real]]+Tabla_master_rend[[#This Row],[kg_mer_lab_real]])/Tabla_master_rend[[#This Row],[Kg_SalidaSecadero]]</f>
        <v>1.7446511627906978E-2</v>
      </c>
      <c r="BQ245" s="64">
        <f>+Tabla_master_rend[[#This Row],[Merma_TOT]]/Tabla_master_rend[[#This Row],[Kg_Queso_Blan]]</f>
        <v>2.7774709596656909E-2</v>
      </c>
      <c r="BR2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181.05</v>
      </c>
      <c r="BS245" s="138">
        <v>6327.8300000000008</v>
      </c>
      <c r="BT245" s="63">
        <f>IF(+Tabla_master_rend[[#This Row],[Kg_Env_Total]]=0,0,Tabla_master_rend[[#This Row],[Kg_Env_Total]]-Tabla_master_rend[[#This Row],[Kg_SalidaSecadero]])</f>
        <v>-122.16999999999916</v>
      </c>
      <c r="BU245" s="60">
        <f>+Tabla_master_rend[[#This Row],[Diferencia_Env_vs_Sec_kg]]/Tabla_master_rend[[#This Row],[Kg_SalidaSecadero]]</f>
        <v>-1.8941085271317701E-2</v>
      </c>
      <c r="BV245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5" s="65">
        <f>+(Tabla_master_rend[[#This Row],[Coste_Leche_€]]-Tabla_master_rend[[#This Row],[Kg_MG_Nata]]*$CO$3)/Tabla_master_rend[[#This Row],[Kg_Queso_Blan]]</f>
        <v>-0.89882365935825914</v>
      </c>
      <c r="BX245" s="8">
        <f>SUM(Tabla_master_rend[[#This Row],[Kg_Finos]:[Kg_Desmoldeo]])+Tabla_master_rend[[#This Row],[L_Agua]]+SUM(Tabla_master_rend[[#This Row],[B_altas]:[B_lab]])</f>
        <v>342.52</v>
      </c>
      <c r="BY245" s="8">
        <f>+BX245-Tabla_master_rend[[#This Row],[Merma_TOT]]</f>
        <v>161.46999999999997</v>
      </c>
      <c r="BZ245" s="62">
        <f t="shared" si="94"/>
        <v>0.47141772743197469</v>
      </c>
      <c r="CA245" s="8">
        <f>+Tabla_master_rend[[#This Row],[Kg_Queso_Blan]]*$CA$1</f>
        <v>42.370380000000004</v>
      </c>
      <c r="CB245" s="8">
        <f>+Tabla_master_rend[[#This Row],[Kg_Queso_Blan]]*($CB$1-$CA$1)</f>
        <v>22.814820000000005</v>
      </c>
      <c r="CC245" s="8">
        <f>+(Tabla_master_rend[[#This Row],[Kg_Queso_Blan]]-CA245-CB245)*$CC$1</f>
        <v>67.760015400000015</v>
      </c>
      <c r="CD245" s="8">
        <f t="shared" si="95"/>
        <v>132.94521540000002</v>
      </c>
      <c r="CE245" s="80">
        <f>+CD245/Tabla_master_rend[[#This Row],[Kg_Queso_Blan]]</f>
        <v>2.0395000000000003E-2</v>
      </c>
      <c r="CF245" s="62">
        <f>+Tabla_master_rend[[#This Row],[Merma_TOT]]/Tabla_master_rend[[#This Row],[Kg_Queso_Blan]]</f>
        <v>2.7774709596656909E-2</v>
      </c>
      <c r="CG245" s="8">
        <f>CD245-Tabla_master_rend[[#This Row],[Merma_TOT]]</f>
        <v>-48.104784599999988</v>
      </c>
      <c r="CH245" s="81" cm="1">
        <f t="array" ref="CH245">-BR245 * IFERROR(INDEX('Precio Leche_EBITDA_Ventas'!$BD$87:$BD$110,MATCH(1,('Precio Leche_EBITDA_Ventas'!$AZ$87:$AZ$110=YEAR(A245))*('Precio Leche_EBITDA_Ventas'!$BB$87:$BB$110=C245),0)),1.3)</f>
        <v>-633.67500000000007</v>
      </c>
      <c r="CI245" s="81">
        <f t="shared" si="96"/>
        <v>-62.536219979999984</v>
      </c>
    </row>
    <row r="246" spans="1:87" x14ac:dyDescent="0.35">
      <c r="A246" s="9">
        <v>46261</v>
      </c>
      <c r="B246" s="7">
        <v>8</v>
      </c>
      <c r="C246" s="7" t="str">
        <f>+UPPER(TEXT(Tabla_master_rend[[#This Row],[Fecha]],"MMM"))</f>
        <v>AGO</v>
      </c>
      <c r="D246" s="7" t="str">
        <f>+UPPER(TEXT(Tabla_master_rend[[#This Row],[Fecha]],"ddd"))</f>
        <v>JU</v>
      </c>
      <c r="E246" s="139">
        <v>270826346</v>
      </c>
      <c r="F246" s="122" t="s">
        <v>244</v>
      </c>
      <c r="G246" t="s">
        <v>40</v>
      </c>
      <c r="H246">
        <v>10</v>
      </c>
      <c r="I246" s="8">
        <f>+Tabla_master_rend[[#This Row],[L_Leche_ent]]+Tabla_master_rend[[#This Row],[L_desn_ext]]+Tabla_master_rend[[#This Row],[L_cabra]]+Tabla_master_rend[[#This Row],[L_oveja]]</f>
        <v>155417</v>
      </c>
      <c r="J246" s="8">
        <v>155417</v>
      </c>
      <c r="K246" s="66">
        <v>3.5499999999999997E-2</v>
      </c>
      <c r="L246" s="66">
        <v>3.3000000000000002E-2</v>
      </c>
      <c r="M246" s="5">
        <f>0.93*K246+0.74*L246+0.048</f>
        <v>0.105435</v>
      </c>
      <c r="N246" s="3" t="s">
        <v>188</v>
      </c>
      <c r="O246" s="8">
        <v>0</v>
      </c>
      <c r="P246" s="8">
        <v>0</v>
      </c>
      <c r="Q246" s="8">
        <v>0</v>
      </c>
      <c r="R246" s="8">
        <v>550</v>
      </c>
      <c r="S246">
        <v>0</v>
      </c>
      <c r="T246" s="8">
        <v>134610</v>
      </c>
      <c r="U246" s="38">
        <f>+Tabla_master_rend[[#This Row],[L_suero Total]]/Tabla_master_rend[[#This Row],[Litros_Leche_Total]]</f>
        <v>0.86612146676361013</v>
      </c>
      <c r="V246" s="66">
        <v>0</v>
      </c>
      <c r="W246" s="66">
        <v>9.4999999999999998E-3</v>
      </c>
      <c r="X246" s="8">
        <v>67461</v>
      </c>
      <c r="Y246" s="57">
        <v>16329</v>
      </c>
      <c r="Z246" s="58">
        <f>IF(Tabla_master_rend[[#This Row],[L_suero para con]]=0,0,+Tabla_master_rend[[#This Row],[L_suero para con]]/Tabla_master_rend[[#This Row],[L_suero_con]])</f>
        <v>4.1313613815910344</v>
      </c>
      <c r="AA246" s="8">
        <f>+Tabla_master_rend[[#This Row],[L_suero Total]]-Tabla_master_rend[[#This Row],[L_suero para con]]</f>
        <v>67149</v>
      </c>
      <c r="AD246" s="8">
        <v>25696</v>
      </c>
      <c r="AE246" s="8">
        <v>0</v>
      </c>
      <c r="AF246" s="8">
        <v>0</v>
      </c>
      <c r="AG246" s="140"/>
      <c r="AH246" s="140"/>
      <c r="AI246" s="7">
        <f>+Tabla_master_rend[[#This Row],[Kg_Finos]]+Tabla_master_rend[[#This Row],[Kg_Llenadora]]+Tabla_master_rend[[#This Row],[Kg_Desmoldeo]]+Tabla_master_rend[[#This Row],[L_Agua]]+Tabla_master_rend[[#This Row],[Kg_SalidaSecadero]]</f>
        <v>18101.36</v>
      </c>
      <c r="AJ246" s="59">
        <f>+Tabla_master_rend[[#This Row],[Litros_Leche_Total]]/Tabla_master_rend[[#This Row],[Kg_Queso_Blan]]</f>
        <v>8.5859294550243739</v>
      </c>
      <c r="AK246" s="59">
        <f>+Tabla_master_rend[[#This Row],[Litros_Leche_Total]]/(Tabla_master_rend[[#This Row],[Kg_Queso_Blan]]-Tabla_master_rend[[#This Row],[Merma_TOT]])</f>
        <v>8.7748905234773211</v>
      </c>
      <c r="AL246" s="59">
        <f>VLOOKUP(G246,REND_TARGET[#All],8,FALSE)</f>
        <v>8.9338729999999984</v>
      </c>
      <c r="AM246" s="7">
        <f>(I246*1.03*Tabla_master_rend[[#This Row],[%MG_Leche]])+(I246*1.03*Tabla_master_rend[[#This Row],[%MP_Leche]])</f>
        <v>10965.446435</v>
      </c>
      <c r="AN246" s="137">
        <v>0.30640000000000001</v>
      </c>
      <c r="AO246" s="137">
        <v>0.23519999999999999</v>
      </c>
      <c r="AP246" s="64">
        <v>0.5857</v>
      </c>
      <c r="AQ246" s="38">
        <f>+Tabla_master_rend[[#This Row],[Kg_Queso_Blan]]*Tabla_master_rend[[#This Row],[ES_QUESO]]/(Tabla_master_rend[[#This Row],[Kg_Solidos_leche]])</f>
        <v>0.96685224945882475</v>
      </c>
      <c r="AR246" s="7">
        <f>R246*0.4</f>
        <v>220</v>
      </c>
      <c r="AS24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1.0146818059966525</v>
      </c>
      <c r="AT246" s="62">
        <f>+Tabla_master_rend[[#This Row],[Kg_Queso_Blan]]*Tabla_master_rend[[#This Row],[%PT_QUESO]]/(Tabla_master_rend[[#This Row],[Litros_Leche_Total]]*1.03*Tabla_master_rend[[#This Row],[%MP_Leche]])</f>
        <v>0.80593281085471491</v>
      </c>
      <c r="AU246" s="7">
        <f>AR246*$CO$3</f>
        <v>1650</v>
      </c>
      <c r="AV246" s="8">
        <v>39.86</v>
      </c>
      <c r="AW246" s="8">
        <v>15.3</v>
      </c>
      <c r="AX246" s="8">
        <v>11.2</v>
      </c>
      <c r="AY246" s="8">
        <f>SUM(Tabla_master_rend[[#This Row],[Kg_Finos]:[Kg_Desmoldeo]])</f>
        <v>66.36</v>
      </c>
      <c r="AZ246" s="60">
        <f>+(Tabla_master_rend[[#This Row],[Kg_Finos]]+Tabla_master_rend[[#This Row],[Kg_Llenadora]]+Tabla_master_rend[[#This Row],[Kg_Desmoldeo]])/(Tabla_master_rend[[#This Row],[Kg_Queso_Blan]])</f>
        <v>3.6660228844683494E-3</v>
      </c>
      <c r="BA246" s="7">
        <v>100</v>
      </c>
      <c r="BB246" s="60">
        <f>+Tabla_master_rend[[#This Row],[L_Agua]]/(Tabla_master_rend[[#This Row],[L_Agua]]+Tabla_master_rend[[#This Row],[Kg_SalidaSecadero]])</f>
        <v>5.5447740504574435E-3</v>
      </c>
      <c r="BC246" s="8">
        <v>2458</v>
      </c>
      <c r="BD246" s="8">
        <v>2385</v>
      </c>
      <c r="BE246" s="8">
        <v>17554</v>
      </c>
      <c r="BF246" s="8">
        <v>237</v>
      </c>
      <c r="BG246" s="8">
        <v>102</v>
      </c>
      <c r="BH246" s="8">
        <v>6</v>
      </c>
      <c r="BI246" s="8">
        <v>245</v>
      </c>
      <c r="BJ246" s="8">
        <v>128</v>
      </c>
      <c r="BK246" s="8">
        <v>17935</v>
      </c>
      <c r="BL246" s="8">
        <v>0</v>
      </c>
      <c r="BM246" s="8">
        <v>192.72</v>
      </c>
      <c r="BN246" s="8">
        <v>30.72</v>
      </c>
      <c r="BO246" s="68">
        <f>+SUM(Tabla_master_rend[[#This Row],[B_altas]:[B_lab]])/Tabla_master_rend[[#This Row],[Kg_SalidaSecadero]]</f>
        <v>4.0033454139949819E-2</v>
      </c>
      <c r="BP246" s="68">
        <f>+(Tabla_master_rend[[#This Row],[Kg_mer_env_real]]+Tabla_master_rend[[#This Row],[kg_mer_lab_real]])/Tabla_master_rend[[#This Row],[Kg_SalidaSecadero]]</f>
        <v>1.2458321717312518E-2</v>
      </c>
      <c r="BQ246" s="64">
        <f>+Tabla_master_rend[[#This Row],[Merma_TOT]]/Tabla_master_rend[[#This Row],[Kg_Queso_Blan]]</f>
        <v>2.1534293555843319E-2</v>
      </c>
      <c r="BR2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389.8</v>
      </c>
      <c r="BS246" s="138">
        <v>17242.150000000001</v>
      </c>
      <c r="BT246" s="63">
        <f>IF(+Tabla_master_rend[[#This Row],[Kg_Env_Total]]=0,0,Tabla_master_rend[[#This Row],[Kg_Env_Total]]-Tabla_master_rend[[#This Row],[Kg_SalidaSecadero]])</f>
        <v>-692.84999999999854</v>
      </c>
      <c r="BU246" s="60">
        <f>+Tabla_master_rend[[#This Row],[Diferencia_Env_vs_Sec_kg]]/Tabla_master_rend[[#This Row],[Kg_SalidaSecadero]]</f>
        <v>-3.8631168107053165E-2</v>
      </c>
      <c r="BV246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6" s="65">
        <f>+(Tabla_master_rend[[#This Row],[Coste_Leche_€]]-Tabla_master_rend[[#This Row],[Kg_MG_Nata]]*$CO$3)/Tabla_master_rend[[#This Row],[Kg_Queso_Blan]]</f>
        <v>-9.1153371901337793E-2</v>
      </c>
      <c r="BX246" s="8">
        <f>SUM(Tabla_master_rend[[#This Row],[Kg_Finos]:[Kg_Desmoldeo]])+Tabla_master_rend[[#This Row],[L_Agua]]+SUM(Tabla_master_rend[[#This Row],[B_altas]:[B_lab]])</f>
        <v>884.36</v>
      </c>
      <c r="BY246" s="8">
        <f>+BX246-Tabla_master_rend[[#This Row],[Merma_TOT]]</f>
        <v>494.56</v>
      </c>
      <c r="BZ246" s="62">
        <f>+BY246/BX246</f>
        <v>0.55922927314668236</v>
      </c>
      <c r="CA246" s="8">
        <f>+Tabla_master_rend[[#This Row],[Kg_Queso_Blan]]*$CA$1</f>
        <v>117.65884</v>
      </c>
      <c r="CB246" s="8">
        <f>+Tabla_master_rend[[#This Row],[Kg_Queso_Blan]]*($CB$1-$CA$1)</f>
        <v>63.354760000000013</v>
      </c>
      <c r="CC246" s="8">
        <f>+(Tabla_master_rend[[#This Row],[Kg_Queso_Blan]]-CA246-CB246)*$CC$1</f>
        <v>188.16363720000004</v>
      </c>
      <c r="CD246" s="8">
        <f>+CA246+CB246+CC246</f>
        <v>369.17723720000004</v>
      </c>
      <c r="CE246" s="80">
        <f>+CD246/Tabla_master_rend[[#This Row],[Kg_Queso_Blan]]</f>
        <v>2.0395E-2</v>
      </c>
      <c r="CF246" s="62">
        <f>+Tabla_master_rend[[#This Row],[Merma_TOT]]/Tabla_master_rend[[#This Row],[Kg_Queso_Blan]]</f>
        <v>2.1534293555843319E-2</v>
      </c>
      <c r="CG246" s="8">
        <f>CD246-Tabla_master_rend[[#This Row],[Merma_TOT]]</f>
        <v>-20.622762799999975</v>
      </c>
      <c r="CH246" s="81" cm="1">
        <f t="array" ref="CH246">-BR246 * IFERROR(INDEX('Precio Leche_EBITDA_Ventas'!$BD$87:$BD$110,MATCH(1,('Precio Leche_EBITDA_Ventas'!$AZ$87:$AZ$110=YEAR(A246))*('Precio Leche_EBITDA_Ventas'!$BB$87:$BB$110=C246),0)),1.3)</f>
        <v>-1364.3</v>
      </c>
      <c r="CI246" s="81">
        <f>+CG246*$CM$2</f>
        <v>-26.809591639999969</v>
      </c>
    </row>
    <row r="247" spans="1:87" x14ac:dyDescent="0.35">
      <c r="A247" s="9">
        <v>46288</v>
      </c>
      <c r="B247" s="7">
        <v>9</v>
      </c>
      <c r="C247" s="7" t="str">
        <f>+UPPER(TEXT(Tabla_master_rend[[#This Row],[Fecha]],"MMM"))</f>
        <v>SEP</v>
      </c>
      <c r="D247" s="7" t="str">
        <f>+UPPER(TEXT(Tabla_master_rend[[#This Row],[Fecha]],"ddd"))</f>
        <v>MI</v>
      </c>
      <c r="E247" s="122">
        <v>230926316</v>
      </c>
      <c r="F247" s="122" t="s">
        <v>244</v>
      </c>
      <c r="G247" s="84" t="s">
        <v>299</v>
      </c>
      <c r="H247">
        <v>10</v>
      </c>
      <c r="I247" s="8">
        <f>+Tabla_master_rend[[#This Row],[L_Leche_ent]]+Tabla_master_rend[[#This Row],[L_desn_ext]]+Tabla_master_rend[[#This Row],[L_cabra]]+Tabla_master_rend[[#This Row],[L_oveja]]</f>
        <v>152718</v>
      </c>
      <c r="J247" s="8">
        <v>152718</v>
      </c>
      <c r="K247" s="66">
        <v>3.4500000000000003E-2</v>
      </c>
      <c r="L247" s="66">
        <v>3.3399999999999999E-2</v>
      </c>
      <c r="M247" s="5">
        <f>0.93*K247+0.74*L247+0.048</f>
        <v>0.10480100000000001</v>
      </c>
      <c r="N247" s="3" t="s">
        <v>43</v>
      </c>
      <c r="O247" s="8">
        <v>0</v>
      </c>
      <c r="P247" s="8">
        <v>0</v>
      </c>
      <c r="Q247" s="8">
        <v>0</v>
      </c>
      <c r="R247" s="8">
        <v>4212</v>
      </c>
      <c r="S247">
        <v>0</v>
      </c>
      <c r="T247" s="8">
        <v>138530</v>
      </c>
      <c r="U247" s="38">
        <f>+Tabla_master_rend[[#This Row],[L_suero Total]]/Tabla_master_rend[[#This Row],[Litros_Leche_Total]]</f>
        <v>0.90709674039733368</v>
      </c>
      <c r="V247" s="66">
        <v>1.4E-3</v>
      </c>
      <c r="W247" s="66">
        <v>7.9000000000000008E-3</v>
      </c>
      <c r="X247" s="8">
        <v>52269</v>
      </c>
      <c r="Y247" s="57">
        <v>12625</v>
      </c>
      <c r="Z247" s="58">
        <f>IF(Tabla_master_rend[[#This Row],[L_suero para con]]=0,0,+Tabla_master_rend[[#This Row],[L_suero para con]]/Tabla_master_rend[[#This Row],[L_suero_con]])</f>
        <v>4.1401188118811882</v>
      </c>
      <c r="AA247" s="8">
        <f>+Tabla_master_rend[[#This Row],[L_suero Total]]-Tabla_master_rend[[#This Row],[L_suero para con]]</f>
        <v>86261</v>
      </c>
      <c r="AD247" s="8">
        <v>30857</v>
      </c>
      <c r="AE247" s="8">
        <v>0</v>
      </c>
      <c r="AF247" s="8">
        <v>0</v>
      </c>
      <c r="AG247" s="140"/>
      <c r="AH247" s="140"/>
      <c r="AI247" s="7">
        <f>+Tabla_master_rend[[#This Row],[Kg_Finos]]+Tabla_master_rend[[#This Row],[Kg_Llenadora]]+Tabla_master_rend[[#This Row],[Kg_Desmoldeo]]+Tabla_master_rend[[#This Row],[L_Agua]]+Tabla_master_rend[[#This Row],[Kg_SalidaSecadero]]</f>
        <v>16440.3</v>
      </c>
      <c r="AJ247" s="59">
        <f>+Tabla_master_rend[[#This Row],[Litros_Leche_Total]]/Tabla_master_rend[[#This Row],[Kg_Queso_Blan]]</f>
        <v>9.2892465465958658</v>
      </c>
      <c r="AK247" s="59">
        <f>+Tabla_master_rend[[#This Row],[Litros_Leche_Total]]/(Tabla_master_rend[[#This Row],[Kg_Queso_Blan]]-Tabla_master_rend[[#This Row],[Merma_TOT]])</f>
        <v>9.4571774117139995</v>
      </c>
      <c r="AL247" s="59">
        <f>VLOOKUP(G247,REND_TARGET[#All],8,FALSE)</f>
        <v>9.8078500000000002</v>
      </c>
      <c r="AM247" s="7">
        <f>(I247*1.03*Tabla_master_rend[[#This Row],[%MG_Leche]])+(I247*1.03*Tabla_master_rend[[#This Row],[%MP_Leche]])</f>
        <v>10680.638766</v>
      </c>
      <c r="AN247" s="137">
        <v>0.22620000000000001</v>
      </c>
      <c r="AO247" s="137">
        <v>0.25419999999999998</v>
      </c>
      <c r="AP247" s="64">
        <v>0.53280000000000005</v>
      </c>
      <c r="AQ247" s="38">
        <f>+Tabla_master_rend[[#This Row],[Kg_Queso_Blan]]*Tabla_master_rend[[#This Row],[ES_QUESO]]/(Tabla_master_rend[[#This Row],[Kg_Solidos_leche]])</f>
        <v>0.82011872434858835</v>
      </c>
      <c r="AR247" s="7">
        <f>R247*0.4</f>
        <v>1684.8000000000002</v>
      </c>
      <c r="AS2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0.99571789565641267</v>
      </c>
      <c r="AT247" s="62">
        <f>+Tabla_master_rend[[#This Row],[Kg_Queso_Blan]]*Tabla_master_rend[[#This Row],[%PT_QUESO]]/(Tabla_master_rend[[#This Row],[Litros_Leche_Total]]*1.03*Tabla_master_rend[[#This Row],[%MP_Leche]])</f>
        <v>0.79544721388456285</v>
      </c>
      <c r="AU247" s="7">
        <f>AR247*$CO$3</f>
        <v>12636.000000000002</v>
      </c>
      <c r="AV247" s="8">
        <v>25.2</v>
      </c>
      <c r="AW247" s="8">
        <v>27.2</v>
      </c>
      <c r="AX247" s="8">
        <v>6.9</v>
      </c>
      <c r="AY247" s="8">
        <f>SUM(Tabla_master_rend[[#This Row],[Kg_Finos]:[Kg_Desmoldeo]])</f>
        <v>59.3</v>
      </c>
      <c r="AZ247" s="60">
        <f>+(Tabla_master_rend[[#This Row],[Kg_Finos]]+Tabla_master_rend[[#This Row],[Kg_Llenadora]]+Tabla_master_rend[[#This Row],[Kg_Desmoldeo]])/(Tabla_master_rend[[#This Row],[Kg_Queso_Blan]])</f>
        <v>3.6069901400826018E-3</v>
      </c>
      <c r="BA247" s="7">
        <v>60</v>
      </c>
      <c r="BB247" s="60">
        <f>+Tabla_master_rend[[#This Row],[L_Agua]]/(Tabla_master_rend[[#This Row],[L_Agua]]+Tabla_master_rend[[#This Row],[Kg_SalidaSecadero]])</f>
        <v>3.6627800500579938E-3</v>
      </c>
      <c r="BC247" s="8">
        <v>2202</v>
      </c>
      <c r="BD247" s="8">
        <v>2164</v>
      </c>
      <c r="BE247" s="8">
        <v>16129</v>
      </c>
      <c r="BF247" s="8">
        <v>180</v>
      </c>
      <c r="BG247" s="8">
        <v>60</v>
      </c>
      <c r="BH247" s="8">
        <v>7</v>
      </c>
      <c r="BI247" s="8">
        <v>119</v>
      </c>
      <c r="BJ247" s="8">
        <v>66</v>
      </c>
      <c r="BK247" s="8">
        <v>16321</v>
      </c>
      <c r="BL247" s="8">
        <v>0</v>
      </c>
      <c r="BM247" s="8">
        <v>149.30000000000001</v>
      </c>
      <c r="BN247" s="8">
        <v>23.33</v>
      </c>
      <c r="BO247" s="68">
        <f>+SUM(Tabla_master_rend[[#This Row],[B_altas]:[B_lab]])/Tabla_master_rend[[#This Row],[Kg_SalidaSecadero]]</f>
        <v>2.6468966362355247E-2</v>
      </c>
      <c r="BP247" s="68">
        <f>+(Tabla_master_rend[[#This Row],[Kg_mer_env_real]]+Tabla_master_rend[[#This Row],[kg_mer_lab_real]])/Tabla_master_rend[[#This Row],[Kg_SalidaSecadero]]</f>
        <v>1.0577170516512469E-2</v>
      </c>
      <c r="BQ247" s="64">
        <f>+Tabla_master_rend[[#This Row],[Merma_TOT]]/Tabla_master_rend[[#This Row],[Kg_Queso_Blan]]</f>
        <v>1.7756975237678146E-2</v>
      </c>
      <c r="BR2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291.93</v>
      </c>
      <c r="BS247" s="138"/>
      <c r="BT247" s="63">
        <f>IF(+Tabla_master_rend[[#This Row],[Kg_Env_Total]]=0,0,Tabla_master_rend[[#This Row],[Kg_Env_Total]]-Tabla_master_rend[[#This Row],[Kg_SalidaSecadero]])</f>
        <v>0</v>
      </c>
      <c r="BU247" s="60">
        <f>+Tabla_master_rend[[#This Row],[Diferencia_Env_vs_Sec_kg]]/Tabla_master_rend[[#This Row],[Kg_SalidaSecadero]]</f>
        <v>0</v>
      </c>
      <c r="BV247" s="186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7" s="37">
        <f>+(Tabla_master_rend[[#This Row],[Coste_Leche_€]]-Tabla_master_rend[[#This Row],[Kg_MG_Nata]]*$CO$3)/Tabla_master_rend[[#This Row],[Kg_Queso_Blan]]</f>
        <v>-0.76859911315486962</v>
      </c>
      <c r="BX247" s="8">
        <f>SUM(Tabla_master_rend[[#This Row],[Kg_Finos]:[Kg_Desmoldeo]])+Tabla_master_rend[[#This Row],[L_Agua]]+SUM(Tabla_master_rend[[#This Row],[B_altas]:[B_lab]])</f>
        <v>551.29999999999995</v>
      </c>
      <c r="BY247" s="8">
        <f>+BX247-Tabla_master_rend[[#This Row],[Merma_TOT]]</f>
        <v>259.36999999999995</v>
      </c>
      <c r="BZ247" s="62">
        <f>+BY247/BX247</f>
        <v>0.47046979865771804</v>
      </c>
      <c r="CA247" s="8">
        <f>+Tabla_master_rend[[#This Row],[Kg_Queso_Blan]]*$CA$1</f>
        <v>106.86194999999999</v>
      </c>
      <c r="CB247" s="8">
        <f>+Tabla_master_rend[[#This Row],[Kg_Queso_Blan]]*($CB$1-$CA$1)</f>
        <v>57.541050000000006</v>
      </c>
      <c r="CC247" s="8">
        <f>+(Tabla_master_rend[[#This Row],[Kg_Queso_Blan]]-CA247-CB247)*$CC$1</f>
        <v>170.8969185</v>
      </c>
      <c r="CD247" s="8">
        <f>+CA247+CB247+CC247</f>
        <v>335.29991849999999</v>
      </c>
      <c r="CE247" s="80">
        <f>+CD247/Tabla_master_rend[[#This Row],[Kg_Queso_Blan]]</f>
        <v>2.0395E-2</v>
      </c>
      <c r="CF247" s="62">
        <f>+Tabla_master_rend[[#This Row],[Merma_TOT]]/Tabla_master_rend[[#This Row],[Kg_Queso_Blan]]</f>
        <v>1.7756975237678146E-2</v>
      </c>
      <c r="CG247" s="8">
        <f>CD247-Tabla_master_rend[[#This Row],[Merma_TOT]]</f>
        <v>43.369918499999983</v>
      </c>
      <c r="CH247" s="81" cm="1">
        <f t="array" ref="CH247">-BR247 * IFERROR(INDEX('Precio Leche_EBITDA_Ventas'!$BD$87:$BD$110,MATCH(1,('Precio Leche_EBITDA_Ventas'!$AZ$87:$AZ$110=YEAR(A247))*('Precio Leche_EBITDA_Ventas'!$BB$87:$BB$110=C247),0)),1.3)</f>
        <v>0</v>
      </c>
      <c r="CI247" s="81">
        <f>+CG247*$CM$2</f>
        <v>56.380894049999981</v>
      </c>
    </row>
    <row r="248" spans="1:87" x14ac:dyDescent="0.35">
      <c r="G248" s="84" t="s">
        <v>563</v>
      </c>
      <c r="AA248" s="8"/>
      <c r="AJ248">
        <v>7.1</v>
      </c>
      <c r="AK248">
        <v>7.35</v>
      </c>
    </row>
    <row r="249" spans="1:87" x14ac:dyDescent="0.35">
      <c r="AA249" s="8"/>
    </row>
    <row r="250" spans="1:87" x14ac:dyDescent="0.35">
      <c r="AA250" s="8"/>
    </row>
    <row r="251" spans="1:87" x14ac:dyDescent="0.35">
      <c r="AA251" s="8"/>
    </row>
    <row r="252" spans="1:87" x14ac:dyDescent="0.35">
      <c r="AA252" s="8"/>
    </row>
    <row r="253" spans="1:87" x14ac:dyDescent="0.35">
      <c r="AA253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23" sqref="A23"/>
    </sheetView>
  </sheetViews>
  <sheetFormatPr baseColWidth="10" defaultRowHeight="14.5" x14ac:dyDescent="0.35"/>
  <cols>
    <col min="1" max="1" width="10.7265625" style="9" bestFit="1" customWidth="1"/>
    <col min="2" max="2" width="6.453125" style="7" customWidth="1"/>
    <col min="3" max="3" width="11.453125" style="9" customWidth="1"/>
    <col min="4" max="4" width="7.54296875" style="9" customWidth="1"/>
    <col min="5" max="5" width="13.7265625" bestFit="1" customWidth="1"/>
    <col min="9" max="9" width="14.26953125" customWidth="1"/>
    <col min="11" max="11" width="12.7265625" customWidth="1"/>
    <col min="17" max="17" width="16.7265625" customWidth="1"/>
  </cols>
  <sheetData>
    <row r="1" spans="1:17" s="2" customFormat="1" ht="29" x14ac:dyDescent="0.3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3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3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3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3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3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3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3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3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3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3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3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3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9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3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9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3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9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35">
      <c r="A16" s="9">
        <v>46205</v>
      </c>
      <c r="B16" s="7">
        <v>7</v>
      </c>
      <c r="C16" s="7" t="str">
        <f t="shared" ref="C16:C21" si="10">+UPPER(TEXT(A16,"MMM"))</f>
        <v>JUL</v>
      </c>
      <c r="D16" s="7" t="str">
        <f t="shared" ref="D16:D21" si="11">+UPPER(TEXT(A16,"ddd"))</f>
        <v>JU</v>
      </c>
      <c r="E16" s="9" t="s">
        <v>611</v>
      </c>
      <c r="F16" s="9" t="s">
        <v>551</v>
      </c>
      <c r="G16" s="37">
        <v>13</v>
      </c>
      <c r="H16" s="37">
        <v>9</v>
      </c>
      <c r="I16" s="37">
        <v>25</v>
      </c>
      <c r="J16" s="8">
        <v>4403.28</v>
      </c>
      <c r="K16" s="8">
        <v>695</v>
      </c>
      <c r="L16" s="8">
        <v>420</v>
      </c>
      <c r="M16" s="8">
        <v>24810</v>
      </c>
      <c r="N16" s="8">
        <v>8</v>
      </c>
      <c r="O16" s="8">
        <f>+Tabla_REQ[[#This Row],[Litr_Suero_conc]]/Tabla_REQ[[#This Row],[Cant_Floc]]</f>
        <v>3101.25</v>
      </c>
      <c r="P16" s="8">
        <f>+(Tabla_REQ[[#This Row],[Litr_Suero_conc]]*1.06+(Tabla_REQ[[#This Row],[Nata_Propia]]+Tabla_REQ[[#This Row],[Nata_Ext]])*0.97)</f>
        <v>27380.15</v>
      </c>
      <c r="Q16" s="150">
        <f>+Tabla_REQ[[#This Row],[Kg_mezcla]]/Tabla_REQ[[#This Row],[KG_RQ]]</f>
        <v>6.2181260333206163</v>
      </c>
    </row>
    <row r="17" spans="1:17" x14ac:dyDescent="0.35">
      <c r="A17" s="9">
        <v>46220</v>
      </c>
      <c r="B17" s="7">
        <v>7</v>
      </c>
      <c r="C17" s="7" t="str">
        <f t="shared" si="10"/>
        <v>JUL</v>
      </c>
      <c r="D17" s="7" t="str">
        <f t="shared" si="11"/>
        <v>VI</v>
      </c>
      <c r="E17" s="9" t="s">
        <v>616</v>
      </c>
      <c r="F17" s="9" t="s">
        <v>551</v>
      </c>
      <c r="G17" s="37">
        <v>13</v>
      </c>
      <c r="H17" s="37">
        <v>9</v>
      </c>
      <c r="I17" s="37">
        <v>25</v>
      </c>
      <c r="J17" s="8">
        <v>3307.4399999999996</v>
      </c>
      <c r="K17">
        <v>450</v>
      </c>
      <c r="L17">
        <v>300</v>
      </c>
      <c r="M17" s="8">
        <v>18480</v>
      </c>
      <c r="N17" s="8">
        <v>6</v>
      </c>
      <c r="O17" s="8">
        <f>+Tabla_REQ[[#This Row],[Litr_Suero_conc]]/Tabla_REQ[[#This Row],[Cant_Floc]]</f>
        <v>3080</v>
      </c>
      <c r="P17" s="8">
        <f>+(Tabla_REQ[[#This Row],[Litr_Suero_conc]]*1.06+(Tabla_REQ[[#This Row],[Nata_Propia]]+Tabla_REQ[[#This Row],[Nata_Ext]])*0.97)</f>
        <v>20316.3</v>
      </c>
      <c r="Q17" s="150">
        <f>+Tabla_REQ[[#This Row],[Kg_mezcla]]/Tabla_REQ[[#This Row],[KG_RQ]]</f>
        <v>6.1426057615557657</v>
      </c>
    </row>
    <row r="18" spans="1:17" x14ac:dyDescent="0.35">
      <c r="A18" s="9">
        <v>46227</v>
      </c>
      <c r="B18" s="7">
        <v>7</v>
      </c>
      <c r="C18" s="7" t="str">
        <f t="shared" si="10"/>
        <v>JUL</v>
      </c>
      <c r="D18" s="7" t="str">
        <f t="shared" si="11"/>
        <v>VI</v>
      </c>
      <c r="E18" s="147" t="s">
        <v>618</v>
      </c>
      <c r="F18" s="9" t="s">
        <v>551</v>
      </c>
      <c r="G18" s="37">
        <v>13</v>
      </c>
      <c r="H18" s="37">
        <v>9</v>
      </c>
      <c r="I18" s="37">
        <v>25</v>
      </c>
      <c r="J18" s="8">
        <v>3260.23</v>
      </c>
      <c r="K18">
        <v>530</v>
      </c>
      <c r="L18">
        <v>260</v>
      </c>
      <c r="M18" s="8">
        <v>18000</v>
      </c>
      <c r="N18" s="8">
        <v>6</v>
      </c>
      <c r="O18" s="8">
        <f>+Tabla_REQ[[#This Row],[Litr_Suero_conc]]/Tabla_REQ[[#This Row],[Cant_Floc]]</f>
        <v>3000</v>
      </c>
      <c r="P18" s="8">
        <f>+(Tabla_REQ[[#This Row],[Litr_Suero_conc]]*1.06+(Tabla_REQ[[#This Row],[Nata_Propia]]+Tabla_REQ[[#This Row],[Nata_Ext]])*0.97)</f>
        <v>19846.3</v>
      </c>
      <c r="Q18" s="150">
        <f>+Tabla_REQ[[#This Row],[Kg_mezcla]]/Tabla_REQ[[#This Row],[KG_RQ]]</f>
        <v>6.0873926072700391</v>
      </c>
    </row>
    <row r="19" spans="1:17" x14ac:dyDescent="0.35">
      <c r="A19" s="9">
        <v>46232</v>
      </c>
      <c r="B19" s="7">
        <v>7</v>
      </c>
      <c r="C19" s="7" t="str">
        <f t="shared" si="10"/>
        <v>JUL</v>
      </c>
      <c r="D19" s="7" t="str">
        <f t="shared" si="11"/>
        <v>MI</v>
      </c>
      <c r="E19" s="71">
        <v>290726301</v>
      </c>
      <c r="F19" s="9" t="s">
        <v>551</v>
      </c>
      <c r="G19" s="37">
        <v>13</v>
      </c>
      <c r="H19" s="37">
        <v>9</v>
      </c>
      <c r="I19" s="37">
        <v>25</v>
      </c>
      <c r="J19" s="8">
        <v>2347.7800000000002</v>
      </c>
      <c r="K19">
        <v>480</v>
      </c>
      <c r="L19">
        <v>0</v>
      </c>
      <c r="M19" s="8">
        <v>13596</v>
      </c>
      <c r="N19" s="8">
        <v>4</v>
      </c>
      <c r="O19" s="8">
        <f>+Tabla_REQ[[#This Row],[Litr_Suero_conc]]/Tabla_REQ[[#This Row],[Cant_Floc]]</f>
        <v>3399</v>
      </c>
      <c r="P19" s="8">
        <f>+(Tabla_REQ[[#This Row],[Litr_Suero_conc]]*1.06+(Tabla_REQ[[#This Row],[Nata_Propia]]+Tabla_REQ[[#This Row],[Nata_Ext]])*0.97)</f>
        <v>14877.36</v>
      </c>
      <c r="Q19" s="150">
        <f>+Tabla_REQ[[#This Row],[Kg_mezcla]]/Tabla_REQ[[#This Row],[KG_RQ]]</f>
        <v>6.3367777219330597</v>
      </c>
    </row>
    <row r="20" spans="1:17" x14ac:dyDescent="0.35">
      <c r="A20" s="9">
        <v>46248</v>
      </c>
      <c r="B20" s="7">
        <v>8</v>
      </c>
      <c r="C20" s="7" t="str">
        <f t="shared" si="10"/>
        <v>AGO</v>
      </c>
      <c r="D20" s="7" t="str">
        <f t="shared" si="11"/>
        <v>VI</v>
      </c>
      <c r="E20" s="147" t="s">
        <v>622</v>
      </c>
      <c r="F20" s="9" t="s">
        <v>551</v>
      </c>
      <c r="G20" s="37">
        <v>13</v>
      </c>
      <c r="H20" s="37">
        <v>9</v>
      </c>
      <c r="I20" s="37">
        <v>25</v>
      </c>
      <c r="J20" s="8">
        <v>4574.55</v>
      </c>
      <c r="K20">
        <v>980</v>
      </c>
      <c r="L20" s="8">
        <v>120</v>
      </c>
      <c r="M20" s="8">
        <v>26129</v>
      </c>
      <c r="N20" s="8">
        <v>8</v>
      </c>
      <c r="O20" s="8">
        <f>+Tabla_REQ[[#This Row],[Litr_Suero_conc]]/Tabla_REQ[[#This Row],[Cant_Floc]]</f>
        <v>3266.125</v>
      </c>
      <c r="P20" s="8">
        <f>+(Tabla_REQ[[#This Row],[Litr_Suero_conc]]*1.06+(Tabla_REQ[[#This Row],[Nata_Propia]]+Tabla_REQ[[#This Row],[Nata_Ext]])*0.97)</f>
        <v>28763.74</v>
      </c>
      <c r="Q20" s="150">
        <f>+Tabla_REQ[[#This Row],[Kg_mezcla]]/Tabla_REQ[[#This Row],[KG_RQ]]</f>
        <v>6.2877747538009201</v>
      </c>
    </row>
    <row r="21" spans="1:17" x14ac:dyDescent="0.35">
      <c r="A21" s="9">
        <v>46262</v>
      </c>
      <c r="B21" s="7">
        <v>8</v>
      </c>
      <c r="C21" s="7" t="str">
        <f t="shared" si="10"/>
        <v>AGO</v>
      </c>
      <c r="D21" s="7" t="str">
        <f t="shared" si="11"/>
        <v>VI</v>
      </c>
      <c r="E21" s="147" t="s">
        <v>624</v>
      </c>
      <c r="F21" s="9" t="s">
        <v>551</v>
      </c>
      <c r="G21" s="37">
        <v>13</v>
      </c>
      <c r="H21" s="37">
        <v>9</v>
      </c>
      <c r="I21" s="37">
        <v>25</v>
      </c>
      <c r="J21" s="8">
        <v>5736.57</v>
      </c>
      <c r="K21">
        <v>550</v>
      </c>
      <c r="L21" s="8">
        <v>660</v>
      </c>
      <c r="M21" s="8">
        <v>31589</v>
      </c>
      <c r="N21" s="8">
        <v>10</v>
      </c>
      <c r="O21" s="8">
        <f>+Tabla_REQ[[#This Row],[Litr_Suero_conc]]/Tabla_REQ[[#This Row],[Cant_Floc]]</f>
        <v>3158.9</v>
      </c>
      <c r="P21" s="8">
        <f>+(Tabla_REQ[[#This Row],[Litr_Suero_conc]]*1.06+(Tabla_REQ[[#This Row],[Nata_Propia]]+Tabla_REQ[[#This Row],[Nata_Ext]])*0.97)</f>
        <v>34658.04</v>
      </c>
      <c r="Q21" s="150">
        <f>+Tabla_REQ[[#This Row],[Kg_mezcla]]/Tabla_REQ[[#This Row],[KG_RQ]]</f>
        <v>6.0415962848880085</v>
      </c>
    </row>
    <row r="22" spans="1:17" x14ac:dyDescent="0.35">
      <c r="A22" s="9">
        <v>46275</v>
      </c>
      <c r="B22" s="7">
        <v>9</v>
      </c>
      <c r="C22" s="7" t="str">
        <f>+UPPER(TEXT(A22,"MMM"))</f>
        <v>SEP</v>
      </c>
      <c r="D22" s="7" t="str">
        <f>+UPPER(TEXT(A22,"ddd"))</f>
        <v>JU</v>
      </c>
      <c r="E22" s="9" t="s">
        <v>626</v>
      </c>
      <c r="F22" s="9" t="s">
        <v>551</v>
      </c>
      <c r="G22" s="37">
        <v>13</v>
      </c>
      <c r="H22" s="37">
        <v>9</v>
      </c>
      <c r="I22" s="37">
        <v>25</v>
      </c>
      <c r="J22" s="8">
        <v>1366.19</v>
      </c>
      <c r="K22">
        <v>0</v>
      </c>
      <c r="L22" s="8">
        <v>430</v>
      </c>
      <c r="M22" s="8">
        <v>12850</v>
      </c>
      <c r="N22" s="8">
        <v>4</v>
      </c>
      <c r="O22" s="8">
        <f>+Tabla_REQ[[#This Row],[Litr_Suero_conc]]/Tabla_REQ[[#This Row],[Cant_Floc]]</f>
        <v>3212.5</v>
      </c>
      <c r="P22" s="8">
        <f>+(Tabla_REQ[[#This Row],[Litr_Suero_conc]]*1.06+(Tabla_REQ[[#This Row],[Nata_Propia]]+Tabla_REQ[[#This Row],[Nata_Ext]])*0.97)</f>
        <v>14038.1</v>
      </c>
      <c r="Q22" s="150">
        <f>+Tabla_REQ[[#This Row],[Kg_mezcla]]/Tabla_REQ[[#This Row],[KG_RQ]]</f>
        <v>10.275364334389799</v>
      </c>
    </row>
    <row r="23" spans="1:17" x14ac:dyDescent="0.35">
      <c r="A23" s="9">
        <v>46289</v>
      </c>
      <c r="B23" s="7">
        <v>9</v>
      </c>
      <c r="C23" s="7" t="str">
        <f>+UPPER(TEXT(A23,"MMM"))</f>
        <v>SEP</v>
      </c>
      <c r="D23" s="7" t="str">
        <f>+UPPER(TEXT(A23,"ddd"))</f>
        <v>JU</v>
      </c>
      <c r="E23" s="147" t="s">
        <v>628</v>
      </c>
      <c r="F23" s="9" t="s">
        <v>551</v>
      </c>
      <c r="G23" s="37">
        <v>13</v>
      </c>
      <c r="H23" s="37">
        <v>9</v>
      </c>
      <c r="I23" s="37">
        <v>25</v>
      </c>
      <c r="J23" s="8">
        <f>1156.54+4691.67</f>
        <v>5848.21</v>
      </c>
      <c r="K23">
        <v>1670</v>
      </c>
      <c r="L23" s="8">
        <v>0</v>
      </c>
      <c r="M23" s="8">
        <v>34670</v>
      </c>
      <c r="N23" s="8">
        <v>10</v>
      </c>
      <c r="O23" s="8">
        <f>+Tabla_REQ[[#This Row],[Litr_Suero_conc]]/Tabla_REQ[[#This Row],[Cant_Floc]]</f>
        <v>3467</v>
      </c>
      <c r="P23" s="8">
        <f>+(Tabla_REQ[[#This Row],[Litr_Suero_conc]]*1.06+(Tabla_REQ[[#This Row],[Nata_Propia]]+Tabla_REQ[[#This Row],[Nata_Ext]])*0.97)</f>
        <v>38370.100000000006</v>
      </c>
      <c r="Q23" s="150">
        <f>+Tabla_REQ[[#This Row],[Kg_mezcla]]/Tabla_REQ[[#This Row],[KG_RQ]]</f>
        <v>6.5609990065336241</v>
      </c>
    </row>
    <row r="24" spans="1:17" x14ac:dyDescent="0.35">
      <c r="C24" s="7"/>
      <c r="D24" s="7"/>
    </row>
    <row r="25" spans="1:17" x14ac:dyDescent="0.35">
      <c r="C25" s="7"/>
      <c r="D25" s="7"/>
    </row>
    <row r="26" spans="1:17" x14ac:dyDescent="0.35">
      <c r="C26" s="7"/>
      <c r="D26" s="7"/>
    </row>
    <row r="27" spans="1:17" x14ac:dyDescent="0.35">
      <c r="C27" s="7"/>
      <c r="D27" s="7"/>
    </row>
    <row r="28" spans="1:17" x14ac:dyDescent="0.35">
      <c r="C28" s="7"/>
      <c r="D28" s="7"/>
    </row>
    <row r="29" spans="1:17" x14ac:dyDescent="0.35">
      <c r="C29" s="7"/>
      <c r="D29" s="7"/>
    </row>
    <row r="30" spans="1:17" x14ac:dyDescent="0.35">
      <c r="C30" s="7"/>
      <c r="D30" s="7"/>
    </row>
    <row r="31" spans="1:17" x14ac:dyDescent="0.35">
      <c r="C31" s="7"/>
      <c r="D31" s="7"/>
    </row>
    <row r="32" spans="1:17" x14ac:dyDescent="0.35">
      <c r="C32" s="7"/>
      <c r="D32" s="7"/>
    </row>
    <row r="33" spans="3:4" x14ac:dyDescent="0.35">
      <c r="C33" s="7"/>
      <c r="D33" s="7"/>
    </row>
    <row r="34" spans="3:4" x14ac:dyDescent="0.35">
      <c r="C34" s="7"/>
      <c r="D34" s="7"/>
    </row>
    <row r="35" spans="3:4" x14ac:dyDescent="0.35">
      <c r="C35" s="7"/>
      <c r="D35" s="7"/>
    </row>
    <row r="36" spans="3:4" x14ac:dyDescent="0.35">
      <c r="C36" s="7"/>
      <c r="D36" s="7"/>
    </row>
    <row r="37" spans="3:4" x14ac:dyDescent="0.35">
      <c r="C37" s="7"/>
      <c r="D37" s="7"/>
    </row>
    <row r="38" spans="3:4" x14ac:dyDescent="0.35">
      <c r="C38" s="7"/>
      <c r="D38" s="7"/>
    </row>
    <row r="39" spans="3:4" x14ac:dyDescent="0.35">
      <c r="C39" s="7"/>
      <c r="D39" s="7"/>
    </row>
    <row r="40" spans="3:4" x14ac:dyDescent="0.35">
      <c r="C40" s="7"/>
      <c r="D40" s="7"/>
    </row>
    <row r="41" spans="3:4" x14ac:dyDescent="0.35">
      <c r="C41" s="7"/>
      <c r="D41" s="7"/>
    </row>
    <row r="42" spans="3:4" x14ac:dyDescent="0.35">
      <c r="C42" s="7"/>
      <c r="D42" s="7"/>
    </row>
    <row r="43" spans="3:4" x14ac:dyDescent="0.35">
      <c r="C43" s="7"/>
      <c r="D43" s="7"/>
    </row>
    <row r="44" spans="3:4" x14ac:dyDescent="0.35">
      <c r="C44" s="7"/>
      <c r="D44" s="7"/>
    </row>
    <row r="45" spans="3:4" x14ac:dyDescent="0.35">
      <c r="C45" s="7"/>
      <c r="D45" s="7"/>
    </row>
    <row r="46" spans="3:4" x14ac:dyDescent="0.35">
      <c r="C46" s="7"/>
      <c r="D46" s="7"/>
    </row>
    <row r="47" spans="3:4" x14ac:dyDescent="0.35">
      <c r="C47" s="7"/>
      <c r="D47" s="7"/>
    </row>
    <row r="48" spans="3:4" x14ac:dyDescent="0.35">
      <c r="C48" s="7"/>
      <c r="D48" s="7"/>
    </row>
    <row r="49" spans="3:4" x14ac:dyDescent="0.35">
      <c r="C49" s="7"/>
      <c r="D49" s="7"/>
    </row>
    <row r="50" spans="3:4" x14ac:dyDescent="0.35">
      <c r="C50" s="7"/>
      <c r="D50" s="7"/>
    </row>
    <row r="51" spans="3:4" x14ac:dyDescent="0.35">
      <c r="C51" s="7"/>
      <c r="D51" s="7"/>
    </row>
    <row r="52" spans="3:4" x14ac:dyDescent="0.35">
      <c r="C52" s="7"/>
      <c r="D52" s="7"/>
    </row>
    <row r="53" spans="3:4" x14ac:dyDescent="0.35">
      <c r="C53" s="7"/>
      <c r="D53" s="7"/>
    </row>
    <row r="54" spans="3:4" x14ac:dyDescent="0.35">
      <c r="C54" s="7"/>
      <c r="D54" s="7"/>
    </row>
    <row r="55" spans="3:4" x14ac:dyDescent="0.35">
      <c r="C55" s="7"/>
      <c r="D55" s="7"/>
    </row>
    <row r="56" spans="3:4" x14ac:dyDescent="0.35">
      <c r="C56" s="7"/>
      <c r="D56" s="7"/>
    </row>
    <row r="57" spans="3:4" x14ac:dyDescent="0.35">
      <c r="C57" s="7"/>
      <c r="D57" s="7"/>
    </row>
    <row r="58" spans="3:4" x14ac:dyDescent="0.35">
      <c r="C58" s="7"/>
      <c r="D58" s="7"/>
    </row>
    <row r="59" spans="3:4" x14ac:dyDescent="0.35">
      <c r="C59" s="7"/>
      <c r="D59" s="7"/>
    </row>
    <row r="60" spans="3:4" x14ac:dyDescent="0.35">
      <c r="C60" s="7"/>
      <c r="D60" s="7"/>
    </row>
    <row r="61" spans="3:4" x14ac:dyDescent="0.35">
      <c r="C61" s="7"/>
      <c r="D61" s="7"/>
    </row>
    <row r="62" spans="3:4" x14ac:dyDescent="0.35">
      <c r="C62" s="7"/>
      <c r="D62" s="7"/>
    </row>
    <row r="63" spans="3:4" x14ac:dyDescent="0.35">
      <c r="C63" s="7"/>
      <c r="D63" s="7"/>
    </row>
    <row r="64" spans="3:4" x14ac:dyDescent="0.35">
      <c r="C64" s="7"/>
      <c r="D64" s="7"/>
    </row>
    <row r="65" spans="3:4" x14ac:dyDescent="0.35">
      <c r="C65" s="7"/>
      <c r="D65" s="7"/>
    </row>
    <row r="66" spans="3:4" x14ac:dyDescent="0.35">
      <c r="C66" s="7"/>
      <c r="D66" s="7"/>
    </row>
    <row r="67" spans="3:4" x14ac:dyDescent="0.35">
      <c r="C67" s="7"/>
      <c r="D67" s="7"/>
    </row>
    <row r="68" spans="3:4" x14ac:dyDescent="0.35">
      <c r="C68" s="7"/>
      <c r="D68" s="7"/>
    </row>
    <row r="69" spans="3:4" x14ac:dyDescent="0.35">
      <c r="C69" s="7"/>
      <c r="D69" s="7"/>
    </row>
    <row r="70" spans="3:4" x14ac:dyDescent="0.35">
      <c r="C70" s="7"/>
      <c r="D70" s="7"/>
    </row>
    <row r="71" spans="3:4" x14ac:dyDescent="0.35">
      <c r="C71" s="7"/>
      <c r="D71" s="7"/>
    </row>
    <row r="72" spans="3:4" x14ac:dyDescent="0.35">
      <c r="C72" s="7"/>
      <c r="D72" s="7"/>
    </row>
    <row r="73" spans="3:4" x14ac:dyDescent="0.35">
      <c r="C73" s="7"/>
      <c r="D73" s="7"/>
    </row>
    <row r="74" spans="3:4" x14ac:dyDescent="0.35">
      <c r="C74" s="7"/>
      <c r="D74" s="7"/>
    </row>
    <row r="75" spans="3:4" x14ac:dyDescent="0.35">
      <c r="C75" s="7"/>
      <c r="D75" s="7"/>
    </row>
    <row r="76" spans="3:4" x14ac:dyDescent="0.35">
      <c r="C76" s="7"/>
      <c r="D76" s="7"/>
    </row>
    <row r="77" spans="3:4" x14ac:dyDescent="0.35">
      <c r="C77" s="7"/>
      <c r="D77" s="7"/>
    </row>
    <row r="78" spans="3:4" x14ac:dyDescent="0.35">
      <c r="C78" s="7"/>
      <c r="D78" s="7"/>
    </row>
    <row r="79" spans="3:4" x14ac:dyDescent="0.35">
      <c r="C79" s="7"/>
      <c r="D79" s="7"/>
    </row>
    <row r="80" spans="3:4" x14ac:dyDescent="0.35">
      <c r="C80" s="7"/>
      <c r="D80" s="7"/>
    </row>
    <row r="81" spans="3:4" x14ac:dyDescent="0.35">
      <c r="C81" s="7"/>
      <c r="D81" s="7"/>
    </row>
    <row r="82" spans="3:4" x14ac:dyDescent="0.35">
      <c r="C82" s="7"/>
      <c r="D82" s="7"/>
    </row>
    <row r="83" spans="3:4" x14ac:dyDescent="0.35">
      <c r="C83" s="7"/>
      <c r="D83" s="7"/>
    </row>
    <row r="84" spans="3:4" x14ac:dyDescent="0.35">
      <c r="C84" s="7"/>
      <c r="D84" s="7"/>
    </row>
    <row r="85" spans="3:4" x14ac:dyDescent="0.35">
      <c r="C85" s="7"/>
      <c r="D85" s="7"/>
    </row>
    <row r="86" spans="3:4" x14ac:dyDescent="0.35">
      <c r="C86" s="7"/>
      <c r="D86" s="7"/>
    </row>
    <row r="87" spans="3:4" x14ac:dyDescent="0.35">
      <c r="C87" s="7"/>
      <c r="D87" s="7"/>
    </row>
    <row r="88" spans="3:4" x14ac:dyDescent="0.35">
      <c r="C88" s="7"/>
      <c r="D88" s="7"/>
    </row>
    <row r="89" spans="3:4" x14ac:dyDescent="0.35">
      <c r="C89" s="7"/>
      <c r="D89" s="7"/>
    </row>
    <row r="90" spans="3:4" x14ac:dyDescent="0.35">
      <c r="C90" s="7"/>
      <c r="D90" s="7"/>
    </row>
    <row r="91" spans="3:4" x14ac:dyDescent="0.35">
      <c r="C91" s="7"/>
      <c r="D91" s="7"/>
    </row>
    <row r="92" spans="3:4" x14ac:dyDescent="0.35">
      <c r="C92" s="7"/>
      <c r="D92" s="7"/>
    </row>
    <row r="93" spans="3:4" x14ac:dyDescent="0.35">
      <c r="C93" s="7"/>
      <c r="D93" s="7"/>
    </row>
    <row r="94" spans="3:4" x14ac:dyDescent="0.35">
      <c r="C94" s="7"/>
      <c r="D94" s="7"/>
    </row>
    <row r="95" spans="3:4" x14ac:dyDescent="0.35">
      <c r="C95" s="7"/>
      <c r="D95" s="7"/>
    </row>
    <row r="96" spans="3:4" x14ac:dyDescent="0.35">
      <c r="C96" s="7"/>
      <c r="D96" s="7"/>
    </row>
    <row r="97" spans="3:4" x14ac:dyDescent="0.35">
      <c r="C97" s="7"/>
      <c r="D97" s="7"/>
    </row>
    <row r="98" spans="3:4" x14ac:dyDescent="0.35">
      <c r="C98" s="7"/>
      <c r="D98" s="7"/>
    </row>
    <row r="99" spans="3:4" x14ac:dyDescent="0.35">
      <c r="C99" s="7"/>
      <c r="D99" s="7"/>
    </row>
    <row r="100" spans="3:4" x14ac:dyDescent="0.35">
      <c r="C100" s="7"/>
      <c r="D100" s="7"/>
    </row>
    <row r="101" spans="3:4" x14ac:dyDescent="0.35">
      <c r="C101" s="7"/>
      <c r="D101" s="7"/>
    </row>
    <row r="102" spans="3:4" x14ac:dyDescent="0.35">
      <c r="C102" s="7"/>
      <c r="D102" s="7"/>
    </row>
    <row r="103" spans="3:4" x14ac:dyDescent="0.35">
      <c r="C103" s="7"/>
      <c r="D103" s="7"/>
    </row>
    <row r="104" spans="3:4" x14ac:dyDescent="0.35">
      <c r="C104" s="7"/>
      <c r="D104" s="7"/>
    </row>
    <row r="105" spans="3:4" x14ac:dyDescent="0.35">
      <c r="C105" s="7"/>
      <c r="D105" s="7"/>
    </row>
    <row r="106" spans="3:4" x14ac:dyDescent="0.35">
      <c r="C106" s="7"/>
      <c r="D106" s="7"/>
    </row>
    <row r="107" spans="3:4" x14ac:dyDescent="0.35">
      <c r="C107" s="7"/>
      <c r="D107" s="7"/>
    </row>
    <row r="108" spans="3:4" x14ac:dyDescent="0.35">
      <c r="C108" s="7"/>
      <c r="D108" s="7"/>
    </row>
    <row r="109" spans="3:4" x14ac:dyDescent="0.35">
      <c r="C109" s="7"/>
      <c r="D109" s="7"/>
    </row>
    <row r="110" spans="3:4" x14ac:dyDescent="0.35">
      <c r="C110" s="7"/>
      <c r="D110" s="7"/>
    </row>
    <row r="111" spans="3:4" x14ac:dyDescent="0.35">
      <c r="C111" s="7"/>
      <c r="D111" s="7"/>
    </row>
    <row r="112" spans="3:4" x14ac:dyDescent="0.35">
      <c r="C112" s="7"/>
      <c r="D112" s="7"/>
    </row>
    <row r="113" spans="3:4" x14ac:dyDescent="0.35">
      <c r="C113" s="7"/>
      <c r="D113" s="7"/>
    </row>
    <row r="114" spans="3:4" x14ac:dyDescent="0.35">
      <c r="C114" s="7"/>
      <c r="D114" s="7"/>
    </row>
    <row r="115" spans="3:4" x14ac:dyDescent="0.35">
      <c r="C115" s="7"/>
      <c r="D115" s="7"/>
    </row>
    <row r="116" spans="3:4" x14ac:dyDescent="0.35">
      <c r="C116" s="7"/>
      <c r="D116" s="7"/>
    </row>
    <row r="117" spans="3:4" x14ac:dyDescent="0.35">
      <c r="C117" s="7"/>
      <c r="D117" s="7"/>
    </row>
    <row r="118" spans="3:4" x14ac:dyDescent="0.35">
      <c r="C118" s="7"/>
      <c r="D118" s="7"/>
    </row>
    <row r="119" spans="3:4" x14ac:dyDescent="0.35">
      <c r="C119" s="7"/>
      <c r="D119" s="7"/>
    </row>
    <row r="120" spans="3:4" x14ac:dyDescent="0.35">
      <c r="C120" s="7"/>
      <c r="D120" s="7"/>
    </row>
    <row r="121" spans="3:4" x14ac:dyDescent="0.35">
      <c r="C121" s="7"/>
      <c r="D121" s="7"/>
    </row>
    <row r="122" spans="3:4" x14ac:dyDescent="0.35">
      <c r="C122" s="7"/>
      <c r="D122" s="7"/>
    </row>
    <row r="123" spans="3:4" x14ac:dyDescent="0.35">
      <c r="C123" s="7"/>
      <c r="D123" s="7"/>
    </row>
    <row r="124" spans="3:4" x14ac:dyDescent="0.35">
      <c r="C124" s="7"/>
      <c r="D124" s="7"/>
    </row>
    <row r="125" spans="3:4" x14ac:dyDescent="0.35">
      <c r="C125" s="7"/>
      <c r="D125" s="7"/>
    </row>
    <row r="126" spans="3:4" x14ac:dyDescent="0.35">
      <c r="C126" s="7"/>
      <c r="D126" s="7"/>
    </row>
    <row r="127" spans="3:4" x14ac:dyDescent="0.35">
      <c r="C127" s="7"/>
      <c r="D127" s="7"/>
    </row>
    <row r="128" spans="3:4" x14ac:dyDescent="0.35">
      <c r="C128" s="7"/>
      <c r="D128" s="7"/>
    </row>
    <row r="129" spans="3:4" x14ac:dyDescent="0.35">
      <c r="C129" s="7"/>
      <c r="D129" s="7"/>
    </row>
    <row r="130" spans="3:4" x14ac:dyDescent="0.35">
      <c r="C130" s="7"/>
      <c r="D130" s="7"/>
    </row>
    <row r="131" spans="3:4" x14ac:dyDescent="0.35">
      <c r="C131" s="7"/>
      <c r="D131" s="7"/>
    </row>
    <row r="132" spans="3:4" x14ac:dyDescent="0.35">
      <c r="C132" s="7"/>
      <c r="D132" s="7"/>
    </row>
    <row r="133" spans="3:4" x14ac:dyDescent="0.35">
      <c r="C133" s="7"/>
      <c r="D133" s="7"/>
    </row>
    <row r="134" spans="3:4" x14ac:dyDescent="0.35">
      <c r="C134" s="7"/>
      <c r="D134" s="7"/>
    </row>
    <row r="135" spans="3:4" x14ac:dyDescent="0.35">
      <c r="C135" s="7"/>
      <c r="D135" s="7"/>
    </row>
    <row r="136" spans="3:4" x14ac:dyDescent="0.35">
      <c r="C136" s="7"/>
      <c r="D136" s="7"/>
    </row>
    <row r="137" spans="3:4" x14ac:dyDescent="0.35">
      <c r="C137" s="7"/>
      <c r="D137" s="7"/>
    </row>
    <row r="138" spans="3:4" x14ac:dyDescent="0.35">
      <c r="C138" s="7"/>
      <c r="D138" s="7"/>
    </row>
    <row r="139" spans="3:4" x14ac:dyDescent="0.35">
      <c r="C139" s="7"/>
      <c r="D139" s="7"/>
    </row>
    <row r="140" spans="3:4" x14ac:dyDescent="0.35">
      <c r="C140" s="7"/>
      <c r="D140" s="7"/>
    </row>
    <row r="141" spans="3:4" x14ac:dyDescent="0.35">
      <c r="C141" s="7"/>
      <c r="D141" s="7"/>
    </row>
    <row r="142" spans="3:4" x14ac:dyDescent="0.35">
      <c r="C142" s="7"/>
      <c r="D142" s="7"/>
    </row>
    <row r="143" spans="3:4" x14ac:dyDescent="0.35">
      <c r="C143" s="7"/>
      <c r="D143" s="7"/>
    </row>
    <row r="144" spans="3:4" x14ac:dyDescent="0.35">
      <c r="C144" s="7"/>
      <c r="D144" s="7"/>
    </row>
    <row r="145" spans="3:4" x14ac:dyDescent="0.35">
      <c r="C145" s="7"/>
      <c r="D145" s="7"/>
    </row>
    <row r="146" spans="3:4" x14ac:dyDescent="0.35">
      <c r="C146" s="7"/>
      <c r="D146" s="7"/>
    </row>
    <row r="147" spans="3:4" x14ac:dyDescent="0.35">
      <c r="C147" s="7"/>
      <c r="D147" s="7"/>
    </row>
    <row r="148" spans="3:4" x14ac:dyDescent="0.35">
      <c r="C148" s="7"/>
      <c r="D148" s="7"/>
    </row>
    <row r="149" spans="3:4" x14ac:dyDescent="0.35">
      <c r="C149" s="7"/>
      <c r="D149" s="7"/>
    </row>
    <row r="150" spans="3:4" x14ac:dyDescent="0.35">
      <c r="C150" s="7"/>
      <c r="D150" s="7"/>
    </row>
    <row r="151" spans="3:4" x14ac:dyDescent="0.35">
      <c r="C151" s="7"/>
      <c r="D151" s="7"/>
    </row>
    <row r="152" spans="3:4" x14ac:dyDescent="0.35">
      <c r="C152" s="7"/>
      <c r="D152" s="7"/>
    </row>
    <row r="153" spans="3:4" x14ac:dyDescent="0.35">
      <c r="C153" s="7"/>
      <c r="D153" s="7"/>
    </row>
    <row r="154" spans="3:4" x14ac:dyDescent="0.35">
      <c r="C154" s="7"/>
      <c r="D154" s="7"/>
    </row>
    <row r="155" spans="3:4" x14ac:dyDescent="0.35">
      <c r="C155" s="7"/>
      <c r="D155" s="7"/>
    </row>
    <row r="156" spans="3:4" x14ac:dyDescent="0.35">
      <c r="C156" s="7"/>
      <c r="D156" s="7"/>
    </row>
    <row r="157" spans="3:4" x14ac:dyDescent="0.35">
      <c r="C157" s="7"/>
      <c r="D157" s="7"/>
    </row>
    <row r="158" spans="3:4" x14ac:dyDescent="0.35">
      <c r="C158" s="7"/>
      <c r="D158" s="7"/>
    </row>
    <row r="159" spans="3:4" x14ac:dyDescent="0.35">
      <c r="C159" s="7"/>
      <c r="D159" s="7"/>
    </row>
    <row r="160" spans="3:4" x14ac:dyDescent="0.35">
      <c r="C160" s="7"/>
      <c r="D160" s="7"/>
    </row>
    <row r="161" spans="3:4" x14ac:dyDescent="0.35">
      <c r="C161" s="7"/>
      <c r="D161" s="7"/>
    </row>
    <row r="162" spans="3:4" x14ac:dyDescent="0.35">
      <c r="C162" s="7"/>
      <c r="D162" s="7"/>
    </row>
    <row r="163" spans="3:4" x14ac:dyDescent="0.35">
      <c r="C163" s="7"/>
      <c r="D163" s="7"/>
    </row>
    <row r="164" spans="3:4" x14ac:dyDescent="0.35">
      <c r="C164" s="7"/>
      <c r="D164" s="7"/>
    </row>
    <row r="165" spans="3:4" x14ac:dyDescent="0.35">
      <c r="C165" s="7"/>
      <c r="D165" s="7"/>
    </row>
    <row r="166" spans="3:4" x14ac:dyDescent="0.35">
      <c r="C166" s="7"/>
      <c r="D166" s="7"/>
    </row>
    <row r="167" spans="3:4" x14ac:dyDescent="0.35">
      <c r="C167" s="7"/>
      <c r="D167" s="7"/>
    </row>
    <row r="168" spans="3:4" x14ac:dyDescent="0.35">
      <c r="C168" s="7"/>
      <c r="D168" s="7"/>
    </row>
    <row r="169" spans="3:4" x14ac:dyDescent="0.35">
      <c r="C169" s="7"/>
      <c r="D169" s="7"/>
    </row>
    <row r="170" spans="3:4" x14ac:dyDescent="0.35">
      <c r="C170" s="7"/>
      <c r="D170" s="7"/>
    </row>
    <row r="171" spans="3:4" x14ac:dyDescent="0.35">
      <c r="C171" s="7"/>
      <c r="D171" s="7"/>
    </row>
    <row r="172" spans="3:4" x14ac:dyDescent="0.35">
      <c r="C172" s="7"/>
      <c r="D172" s="7"/>
    </row>
    <row r="173" spans="3:4" x14ac:dyDescent="0.35">
      <c r="C173" s="7"/>
      <c r="D173" s="7"/>
    </row>
    <row r="174" spans="3:4" x14ac:dyDescent="0.35">
      <c r="C174" s="7"/>
      <c r="D174" s="7"/>
    </row>
    <row r="175" spans="3:4" x14ac:dyDescent="0.35">
      <c r="C175" s="7"/>
      <c r="D175" s="7"/>
    </row>
    <row r="176" spans="3:4" x14ac:dyDescent="0.35">
      <c r="C176" s="7"/>
      <c r="D176" s="7"/>
    </row>
    <row r="177" spans="3:4" x14ac:dyDescent="0.35">
      <c r="C177" s="7"/>
      <c r="D177" s="7"/>
    </row>
    <row r="178" spans="3:4" x14ac:dyDescent="0.35">
      <c r="C178" s="7"/>
      <c r="D178" s="7"/>
    </row>
    <row r="179" spans="3:4" x14ac:dyDescent="0.35">
      <c r="C179" s="7"/>
      <c r="D179" s="7"/>
    </row>
    <row r="180" spans="3:4" x14ac:dyDescent="0.35">
      <c r="C180" s="7"/>
      <c r="D180" s="7"/>
    </row>
    <row r="181" spans="3:4" x14ac:dyDescent="0.35">
      <c r="C181" s="7"/>
      <c r="D181" s="7"/>
    </row>
    <row r="182" spans="3:4" x14ac:dyDescent="0.35">
      <c r="C182" s="7"/>
      <c r="D182" s="7"/>
    </row>
    <row r="183" spans="3:4" x14ac:dyDescent="0.35">
      <c r="C183" s="7"/>
      <c r="D183" s="7"/>
    </row>
    <row r="184" spans="3:4" x14ac:dyDescent="0.35">
      <c r="C184" s="7"/>
      <c r="D184" s="7"/>
    </row>
    <row r="185" spans="3:4" x14ac:dyDescent="0.35">
      <c r="C185" s="7"/>
      <c r="D185" s="7"/>
    </row>
    <row r="186" spans="3:4" x14ac:dyDescent="0.35">
      <c r="C186" s="7"/>
      <c r="D186" s="7"/>
    </row>
    <row r="187" spans="3:4" x14ac:dyDescent="0.35">
      <c r="C187" s="7"/>
      <c r="D187" s="7"/>
    </row>
    <row r="188" spans="3:4" x14ac:dyDescent="0.35">
      <c r="C188" s="7"/>
      <c r="D188" s="7"/>
    </row>
    <row r="189" spans="3:4" x14ac:dyDescent="0.35">
      <c r="C189" s="7"/>
      <c r="D189" s="7"/>
    </row>
    <row r="190" spans="3:4" x14ac:dyDescent="0.35">
      <c r="C190" s="7"/>
      <c r="D190" s="7"/>
    </row>
    <row r="191" spans="3:4" x14ac:dyDescent="0.35">
      <c r="C191" s="7"/>
      <c r="D191" s="7"/>
    </row>
    <row r="192" spans="3:4" x14ac:dyDescent="0.3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4.5" x14ac:dyDescent="0.35"/>
  <cols>
    <col min="1" max="1" width="16.26953125" customWidth="1"/>
    <col min="3" max="3" width="14.26953125" customWidth="1"/>
    <col min="6" max="6" width="12.26953125" customWidth="1"/>
    <col min="7" max="7" width="12.81640625" customWidth="1"/>
    <col min="8" max="8" width="13.453125" customWidth="1"/>
    <col min="9" max="9" width="12.1796875" style="2" customWidth="1"/>
  </cols>
  <sheetData>
    <row r="1" spans="1:9" x14ac:dyDescent="0.3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3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3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3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3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3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3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3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3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3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3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3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3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3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3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3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3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3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3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3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3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3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3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3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3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3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3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3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3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3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3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3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3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3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3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3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3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3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3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3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3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3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3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3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3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3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3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3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3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3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3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3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3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3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3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3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3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3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3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3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3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3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3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3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3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3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3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3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3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3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3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3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3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3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3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3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3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3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3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3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3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3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3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3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3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3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3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3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3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3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3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3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3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3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3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3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3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3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3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3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3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3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3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3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3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3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3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3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3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3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3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3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3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3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3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3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3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3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3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3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3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3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3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3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3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3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3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3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3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3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3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3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3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3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3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3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3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3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3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3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3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3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3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3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3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3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3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3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3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3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3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3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3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3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3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3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3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3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3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3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3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3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3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3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3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3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3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3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3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3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3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3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3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3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3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3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3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3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3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3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3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3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3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3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3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3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3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3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3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3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3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3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3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3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3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3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3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3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3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3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3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3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3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3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3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3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3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3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3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3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3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3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3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3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3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3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3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3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3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3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3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3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3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3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3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3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3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3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3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3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3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3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3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3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3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3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3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3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3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3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3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3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3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3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3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3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3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3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3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3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3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3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3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3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3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3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3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3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3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3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3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3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3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3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3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3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3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3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3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3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3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3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3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3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3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3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3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3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3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3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3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3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3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3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3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3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3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3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3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3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3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3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3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3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3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3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3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3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3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3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3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3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3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3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3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3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3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3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3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3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3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3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3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3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3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3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3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3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3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3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3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3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3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3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3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3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3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3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3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3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3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3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3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3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3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3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3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3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3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3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3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3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3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3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3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3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3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3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3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3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3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3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3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3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3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3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3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3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3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3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3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3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3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3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3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3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29" x14ac:dyDescent="0.3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3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3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3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3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3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29" x14ac:dyDescent="0.3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3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29" x14ac:dyDescent="0.3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29" x14ac:dyDescent="0.3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3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3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3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3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3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35">
      <c r="A385" s="50"/>
      <c r="B385" s="50"/>
      <c r="C385" s="50"/>
    </row>
    <row r="386" spans="1:3" x14ac:dyDescent="0.3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40" workbookViewId="0">
      <selection activeCell="K58" sqref="K58"/>
    </sheetView>
  </sheetViews>
  <sheetFormatPr baseColWidth="10" defaultRowHeight="14.5" x14ac:dyDescent="0.35"/>
  <cols>
    <col min="1" max="2" width="20.7265625" customWidth="1"/>
    <col min="3" max="4" width="17.7265625" customWidth="1"/>
    <col min="5" max="5" width="12" customWidth="1"/>
    <col min="6" max="6" width="12.54296875" customWidth="1"/>
    <col min="7" max="7" width="11.1796875" customWidth="1"/>
    <col min="8" max="8" width="14.54296875" customWidth="1"/>
  </cols>
  <sheetData>
    <row r="2" spans="1:17" x14ac:dyDescent="0.35">
      <c r="A2" s="6" t="s">
        <v>447</v>
      </c>
      <c r="B2" s="6"/>
    </row>
    <row r="3" spans="1:17" x14ac:dyDescent="0.3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3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3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3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3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3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3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3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3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3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3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3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3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3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3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3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3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3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3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3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3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3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3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3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3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3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3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3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3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3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3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3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3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79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3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3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3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3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3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3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3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3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3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3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3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3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3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3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3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3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79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3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3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3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3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3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3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3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3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3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3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3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3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3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3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3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3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79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4.5" x14ac:dyDescent="0.35"/>
  <cols>
    <col min="1" max="1" width="17.1796875" bestFit="1" customWidth="1"/>
    <col min="2" max="2" width="15.7265625" bestFit="1" customWidth="1"/>
    <col min="3" max="3" width="12" bestFit="1" customWidth="1"/>
    <col min="4" max="4" width="12.453125" bestFit="1" customWidth="1"/>
    <col min="5" max="5" width="11.81640625" bestFit="1" customWidth="1"/>
    <col min="6" max="6" width="14.54296875" bestFit="1" customWidth="1"/>
    <col min="7" max="7" width="9.54296875" bestFit="1" customWidth="1"/>
    <col min="8" max="8" width="23.54296875" bestFit="1" customWidth="1"/>
    <col min="9" max="9" width="14.81640625" bestFit="1" customWidth="1"/>
    <col min="10" max="10" width="12.1796875" bestFit="1" customWidth="1"/>
    <col min="11" max="11" width="14.7265625" bestFit="1" customWidth="1"/>
    <col min="12" max="14" width="14.7265625" customWidth="1"/>
    <col min="15" max="15" width="14.453125" customWidth="1"/>
    <col min="16" max="16" width="10.81640625" customWidth="1"/>
    <col min="17" max="17" width="17.1796875" bestFit="1" customWidth="1"/>
    <col min="18" max="18" width="23.54296875" bestFit="1" customWidth="1"/>
    <col min="19" max="19" width="12.1796875" bestFit="1" customWidth="1"/>
    <col min="20" max="20" width="12.453125" bestFit="1" customWidth="1"/>
    <col min="21" max="21" width="11.81640625" hidden="1" customWidth="1"/>
    <col min="22" max="22" width="14.54296875" hidden="1" customWidth="1"/>
    <col min="23" max="23" width="19" hidden="1" customWidth="1"/>
    <col min="24" max="24" width="18.1796875" hidden="1" customWidth="1"/>
    <col min="25" max="25" width="11.7265625" bestFit="1" customWidth="1"/>
    <col min="26" max="26" width="15.81640625" bestFit="1" customWidth="1"/>
    <col min="27" max="27" width="8.1796875" bestFit="1" customWidth="1"/>
    <col min="28" max="28" width="8.81640625" bestFit="1" customWidth="1"/>
    <col min="29" max="29" width="9.1796875" bestFit="1" customWidth="1"/>
    <col min="30" max="30" width="8.453125" bestFit="1" customWidth="1"/>
    <col min="31" max="31" width="9.54296875" bestFit="1" customWidth="1"/>
    <col min="32" max="32" width="14.81640625" bestFit="1" customWidth="1"/>
    <col min="33" max="34" width="30.54296875" bestFit="1" customWidth="1"/>
    <col min="35" max="35" width="21.1796875" bestFit="1" customWidth="1"/>
    <col min="36" max="37" width="21.1796875" customWidth="1"/>
    <col min="38" max="38" width="11.7265625" bestFit="1" customWidth="1"/>
    <col min="39" max="39" width="14.7265625" bestFit="1" customWidth="1"/>
    <col min="40" max="40" width="18.7265625" bestFit="1" customWidth="1"/>
    <col min="41" max="41" width="15.1796875" bestFit="1" customWidth="1"/>
    <col min="42" max="42" width="14.26953125" bestFit="1" customWidth="1"/>
    <col min="43" max="43" width="17.26953125" bestFit="1" customWidth="1"/>
    <col min="44" max="46" width="21.1796875" customWidth="1"/>
    <col min="47" max="47" width="19.453125" bestFit="1" customWidth="1"/>
    <col min="48" max="48" width="24.54296875" bestFit="1" customWidth="1"/>
    <col min="49" max="49" width="19.453125" bestFit="1" customWidth="1"/>
    <col min="50" max="50" width="18.26953125" bestFit="1" customWidth="1"/>
    <col min="51" max="51" width="22.453125" bestFit="1" customWidth="1"/>
    <col min="52" max="52" width="21.7265625" customWidth="1"/>
    <col min="55" max="55" width="16.1796875" customWidth="1"/>
    <col min="56" max="56" width="22" customWidth="1"/>
    <col min="61" max="61" width="17.1796875" bestFit="1" customWidth="1"/>
    <col min="62" max="62" width="20.453125" bestFit="1" customWidth="1"/>
    <col min="63" max="67" width="11.453125" bestFit="1" customWidth="1"/>
  </cols>
  <sheetData>
    <row r="1" spans="1:61" x14ac:dyDescent="0.35">
      <c r="A1" t="s">
        <v>161</v>
      </c>
      <c r="Q1" t="s">
        <v>162</v>
      </c>
      <c r="Y1" t="s">
        <v>163</v>
      </c>
      <c r="AL1" t="s">
        <v>212</v>
      </c>
    </row>
    <row r="2" spans="1:61" x14ac:dyDescent="0.3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3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3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3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3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3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3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3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3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3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3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35">
      <c r="Q13" s="71" t="s">
        <v>150</v>
      </c>
      <c r="R13" s="74">
        <v>6.1763905344419832E-3</v>
      </c>
      <c r="S13" s="75">
        <v>-12226.812</v>
      </c>
    </row>
    <row r="23" spans="1:6" x14ac:dyDescent="0.35">
      <c r="A23" t="s">
        <v>50</v>
      </c>
    </row>
    <row r="24" spans="1:6" x14ac:dyDescent="0.3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3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35">
      <c r="A50" t="s">
        <v>160</v>
      </c>
    </row>
    <row r="51" spans="1:10" x14ac:dyDescent="0.3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3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Leche_EBITDA_Ventas'!$J$99:$J$110,G52)/SUMIFS(Base_Rendimientos!$BK$3:$BK$247,Base_Rendimientos!$B$3:$B$247,G52),0))</f>
        <v>0.63061374826736416</v>
      </c>
    </row>
    <row r="53" spans="1:10" x14ac:dyDescent="0.3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Leche_EBITDA_Ventas'!$J$99:$J$110,G53)/SUMIFS(Base_Rendimientos!$BK$3:$BK$247,Base_Rendimientos!$B$3:$B$247,G53),0))</f>
        <v>0.91877776525284638</v>
      </c>
    </row>
    <row r="54" spans="1:10" x14ac:dyDescent="0.3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Leche_EBITDA_Ventas'!$J$99:$J$110,G54)/SUMIFS(Base_Rendimientos!$BK$3:$BK$247,Base_Rendimientos!$B$3:$B$247,G54),0))</f>
        <v>0.55300355532541001</v>
      </c>
    </row>
    <row r="55" spans="1:10" x14ac:dyDescent="0.3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Leche_EBITDA_Ventas'!$J$99:$J$110,G55)/SUMIFS(Base_Rendimientos!$BK$3:$BK$247,Base_Rendimientos!$B$3:$B$247,G55),0))</f>
        <v/>
      </c>
    </row>
    <row r="56" spans="1:10" x14ac:dyDescent="0.3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Leche_EBITDA_Ventas'!$J$99:$J$110,G56)/SUMIFS(Base_Rendimientos!$BK$3:$BK$247,Base_Rendimientos!$B$3:$B$247,G56),0))</f>
        <v/>
      </c>
    </row>
    <row r="57" spans="1:10" x14ac:dyDescent="0.3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Leche_EBITDA_Ventas'!$J$99:$J$110,G57)/SUMIFS(Base_Rendimientos!$BK$3:$BK$247,Base_Rendimientos!$B$3:$B$247,G57),0))</f>
        <v/>
      </c>
    </row>
    <row r="58" spans="1:10" x14ac:dyDescent="0.3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Leche_EBITDA_Ventas'!$J$99:$J$110,G58)/SUMIFS(Base_Rendimientos!$BK$3:$BK$247,Base_Rendimientos!$B$3:$B$247,G58),0))</f>
        <v/>
      </c>
    </row>
    <row r="59" spans="1:10" x14ac:dyDescent="0.3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Leche_EBITDA_Ventas'!$J$99:$J$110,G59)/SUMIFS(Base_Rendimientos!$BK$3:$BK$247,Base_Rendimientos!$B$3:$B$247,G59),0))</f>
        <v/>
      </c>
    </row>
    <row r="60" spans="1:10" x14ac:dyDescent="0.3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Leche_EBITDA_Ventas'!$J$99:$J$110,G60)/SUMIFS(Base_Rendimientos!$BK$3:$BK$247,Base_Rendimientos!$B$3:$B$247,G60),0))</f>
        <v/>
      </c>
    </row>
    <row r="61" spans="1:10" x14ac:dyDescent="0.3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Leche_EBITDA_Ventas'!$J$99:$J$110,G61)/SUMIFS(Base_Rendimientos!$BK$3:$BK$247,Base_Rendimientos!$B$3:$B$247,G61),0))</f>
        <v/>
      </c>
    </row>
    <row r="62" spans="1:10" x14ac:dyDescent="0.3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Leche_EBITDA_Ventas'!$J$99:$J$110,G62)/SUMIFS(Base_Rendimientos!$BK$3:$BK$247,Base_Rendimientos!$B$3:$B$247,G62),0))</f>
        <v/>
      </c>
    </row>
    <row r="63" spans="1:10" x14ac:dyDescent="0.3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Leche_EBITDA_Ventas'!$J$99:$J$110,G63)/SUMIFS(Base_Rendimientos!$BK$3:$BK$247,Base_Rendimientos!$B$3:$B$247,G63),0))</f>
        <v/>
      </c>
    </row>
    <row r="70" spans="1:5" hidden="1" x14ac:dyDescent="0.35"/>
    <row r="71" spans="1:5" hidden="1" x14ac:dyDescent="0.35"/>
    <row r="72" spans="1:5" hidden="1" x14ac:dyDescent="0.35"/>
    <row r="73" spans="1:5" hidden="1" x14ac:dyDescent="0.35"/>
    <row r="74" spans="1:5" hidden="1" x14ac:dyDescent="0.35"/>
    <row r="78" spans="1:5" x14ac:dyDescent="0.35">
      <c r="A78" t="s">
        <v>174</v>
      </c>
    </row>
    <row r="79" spans="1:5" x14ac:dyDescent="0.3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3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3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3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3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35">
      <c r="A101" t="s">
        <v>164</v>
      </c>
    </row>
    <row r="102" spans="1:6" x14ac:dyDescent="0.3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3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3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3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3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3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3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3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3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3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3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3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3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3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3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3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3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3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3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3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3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3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3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3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3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35">
      <c r="E178" t="str">
        <f t="shared" si="2"/>
        <v/>
      </c>
    </row>
    <row r="180" spans="1:7" x14ac:dyDescent="0.35">
      <c r="A180" t="s">
        <v>203</v>
      </c>
    </row>
    <row r="181" spans="1:7" x14ac:dyDescent="0.3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3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3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3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3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3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3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35">
      <c r="D188" t="str">
        <f t="shared" si="6"/>
        <v/>
      </c>
      <c r="E188" s="7" t="str">
        <f t="shared" si="7"/>
        <v/>
      </c>
    </row>
    <row r="189" spans="1:7" x14ac:dyDescent="0.35">
      <c r="D189" t="str">
        <f t="shared" si="6"/>
        <v/>
      </c>
      <c r="E189" s="7" t="str">
        <f t="shared" si="7"/>
        <v/>
      </c>
    </row>
    <row r="190" spans="1:7" x14ac:dyDescent="0.35">
      <c r="D190" t="str">
        <f t="shared" si="6"/>
        <v/>
      </c>
      <c r="E190" s="7" t="str">
        <f t="shared" si="7"/>
        <v/>
      </c>
    </row>
    <row r="191" spans="1:7" x14ac:dyDescent="0.35">
      <c r="D191" t="str">
        <f t="shared" si="6"/>
        <v/>
      </c>
      <c r="E191" s="7" t="str">
        <f t="shared" si="7"/>
        <v/>
      </c>
    </row>
    <row r="192" spans="1:7" x14ac:dyDescent="0.35">
      <c r="D192" t="str">
        <f t="shared" si="6"/>
        <v/>
      </c>
      <c r="E192" s="7" t="str">
        <f t="shared" si="7"/>
        <v/>
      </c>
    </row>
    <row r="193" spans="1:7" x14ac:dyDescent="0.35">
      <c r="D193" t="str">
        <f t="shared" si="6"/>
        <v/>
      </c>
      <c r="E193" s="7" t="str">
        <f t="shared" si="7"/>
        <v/>
      </c>
    </row>
    <row r="194" spans="1:7" x14ac:dyDescent="0.35">
      <c r="D194" t="str">
        <f t="shared" si="6"/>
        <v/>
      </c>
      <c r="E194" s="7" t="str">
        <f t="shared" si="7"/>
        <v/>
      </c>
    </row>
    <row r="195" spans="1:7" x14ac:dyDescent="0.35">
      <c r="D195" t="str">
        <f t="shared" si="6"/>
        <v/>
      </c>
      <c r="E195" s="7" t="str">
        <f t="shared" si="7"/>
        <v/>
      </c>
    </row>
    <row r="196" spans="1:7" x14ac:dyDescent="0.35">
      <c r="D196" t="str">
        <f t="shared" si="6"/>
        <v/>
      </c>
      <c r="E196" s="7" t="str">
        <f t="shared" si="7"/>
        <v/>
      </c>
    </row>
    <row r="197" spans="1:7" x14ac:dyDescent="0.35">
      <c r="D197" t="str">
        <f t="shared" si="6"/>
        <v/>
      </c>
      <c r="E197" s="7" t="str">
        <f t="shared" si="7"/>
        <v/>
      </c>
    </row>
    <row r="198" spans="1:7" x14ac:dyDescent="0.35">
      <c r="D198" t="str">
        <f t="shared" si="6"/>
        <v/>
      </c>
      <c r="E198" s="7" t="str">
        <f t="shared" si="7"/>
        <v/>
      </c>
    </row>
    <row r="199" spans="1:7" x14ac:dyDescent="0.35">
      <c r="D199" t="str">
        <f t="shared" si="6"/>
        <v/>
      </c>
      <c r="E199" s="7" t="str">
        <f t="shared" si="7"/>
        <v/>
      </c>
    </row>
    <row r="200" spans="1:7" x14ac:dyDescent="0.35">
      <c r="D200" t="str">
        <f t="shared" si="6"/>
        <v/>
      </c>
      <c r="E200" s="7" t="str">
        <f t="shared" si="7"/>
        <v/>
      </c>
    </row>
    <row r="201" spans="1:7" ht="15" thickBot="1" x14ac:dyDescent="0.4"/>
    <row r="202" spans="1:7" x14ac:dyDescent="0.35">
      <c r="A202" s="86"/>
      <c r="B202" s="87"/>
      <c r="C202" s="87"/>
      <c r="D202" s="87"/>
      <c r="E202" s="87"/>
      <c r="F202" s="87"/>
      <c r="G202" s="88"/>
    </row>
    <row r="203" spans="1:7" ht="15" thickBot="1" x14ac:dyDescent="0.4">
      <c r="A203" s="89" t="s">
        <v>208</v>
      </c>
      <c r="G203" s="90"/>
    </row>
    <row r="204" spans="1:7" ht="15" thickBot="1" x14ac:dyDescent="0.4">
      <c r="A204" s="109" t="s">
        <v>192</v>
      </c>
      <c r="B204" s="110" t="s" vm="1">
        <v>210</v>
      </c>
      <c r="G204" s="90"/>
    </row>
    <row r="205" spans="1:7" ht="15" thickBot="1" x14ac:dyDescent="0.4">
      <c r="A205" s="89"/>
      <c r="G205" s="90"/>
    </row>
    <row r="206" spans="1:7" ht="15" thickBot="1" x14ac:dyDescent="0.4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3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3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3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3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3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3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3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3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3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3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3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3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" thickBot="1" x14ac:dyDescent="0.4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" thickBot="1" x14ac:dyDescent="0.4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3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3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3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3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3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3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3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3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3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3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3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3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3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3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3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3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3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3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3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3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3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3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3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3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3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3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3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3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3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3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3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3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3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3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3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3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3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3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3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3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3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3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" thickBot="1" x14ac:dyDescent="0.4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35">
      <c r="D264" t="str">
        <f t="shared" si="12"/>
        <v/>
      </c>
      <c r="E264" s="7" t="str">
        <f t="shared" si="13"/>
        <v/>
      </c>
    </row>
    <row r="265" spans="1:7" x14ac:dyDescent="0.35">
      <c r="D265" t="str">
        <f t="shared" si="12"/>
        <v/>
      </c>
      <c r="E265" s="7" t="str">
        <f t="shared" si="13"/>
        <v/>
      </c>
    </row>
    <row r="266" spans="1:7" x14ac:dyDescent="0.35">
      <c r="D266" t="str">
        <f t="shared" si="12"/>
        <v/>
      </c>
      <c r="E266" s="7" t="str">
        <f t="shared" si="13"/>
        <v/>
      </c>
    </row>
    <row r="267" spans="1:7" x14ac:dyDescent="0.35">
      <c r="D267" t="str">
        <f t="shared" si="12"/>
        <v/>
      </c>
      <c r="E267" s="7" t="str">
        <f t="shared" si="13"/>
        <v/>
      </c>
    </row>
    <row r="268" spans="1:7" x14ac:dyDescent="0.35">
      <c r="D268" t="str">
        <f t="shared" si="12"/>
        <v/>
      </c>
      <c r="E268" s="7" t="str">
        <f t="shared" si="13"/>
        <v/>
      </c>
    </row>
    <row r="269" spans="1:7" x14ac:dyDescent="0.35">
      <c r="D269" t="str">
        <f t="shared" si="12"/>
        <v/>
      </c>
      <c r="E269" s="7" t="str">
        <f t="shared" si="13"/>
        <v/>
      </c>
    </row>
    <row r="270" spans="1:7" x14ac:dyDescent="0.35">
      <c r="D270" t="str">
        <f t="shared" si="12"/>
        <v/>
      </c>
      <c r="E270" s="7" t="str">
        <f t="shared" si="13"/>
        <v/>
      </c>
    </row>
    <row r="271" spans="1:7" x14ac:dyDescent="0.35">
      <c r="D271" t="str">
        <f t="shared" si="12"/>
        <v/>
      </c>
      <c r="E271" s="7" t="str">
        <f t="shared" si="13"/>
        <v/>
      </c>
    </row>
    <row r="389" spans="1:3" x14ac:dyDescent="0.35">
      <c r="A389" s="70" t="s">
        <v>149</v>
      </c>
      <c r="B389" t="s">
        <v>383</v>
      </c>
      <c r="C389" t="s">
        <v>384</v>
      </c>
    </row>
    <row r="390" spans="1:3" x14ac:dyDescent="0.35">
      <c r="A390" s="71" t="s">
        <v>318</v>
      </c>
      <c r="B390" s="65">
        <v>480000</v>
      </c>
      <c r="C390" s="65">
        <v>-480000</v>
      </c>
    </row>
    <row r="391" spans="1:3" x14ac:dyDescent="0.35">
      <c r="A391" s="71" t="s">
        <v>319</v>
      </c>
      <c r="B391" s="65">
        <v>440000</v>
      </c>
      <c r="C391" s="65">
        <v>-460000</v>
      </c>
    </row>
    <row r="392" spans="1:3" x14ac:dyDescent="0.35">
      <c r="A392" s="71" t="s">
        <v>191</v>
      </c>
      <c r="B392" s="65">
        <v>400000</v>
      </c>
      <c r="C392" s="65">
        <v>-480000</v>
      </c>
    </row>
    <row r="393" spans="1:3" x14ac:dyDescent="0.35">
      <c r="A393" s="71" t="s">
        <v>227</v>
      </c>
      <c r="B393" s="65">
        <v>380000</v>
      </c>
      <c r="C393" s="65">
        <v>-460000</v>
      </c>
    </row>
    <row r="394" spans="1:3" x14ac:dyDescent="0.35">
      <c r="A394" s="71" t="s">
        <v>224</v>
      </c>
      <c r="B394" s="65">
        <v>390000</v>
      </c>
      <c r="C394" s="65">
        <v>-385000</v>
      </c>
    </row>
    <row r="395" spans="1:3" x14ac:dyDescent="0.3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opLeftCell="I140" zoomScaleNormal="100" workbookViewId="0">
      <selection activeCell="S146" sqref="S146"/>
    </sheetView>
  </sheetViews>
  <sheetFormatPr baseColWidth="10" defaultRowHeight="14.5" x14ac:dyDescent="0.35"/>
  <cols>
    <col min="1" max="1" width="16.81640625" bestFit="1" customWidth="1"/>
    <col min="2" max="2" width="14.81640625" bestFit="1" customWidth="1"/>
    <col min="3" max="3" width="12.1796875" bestFit="1" customWidth="1"/>
    <col min="4" max="4" width="12.453125" bestFit="1" customWidth="1"/>
    <col min="5" max="5" width="13.1796875" bestFit="1" customWidth="1"/>
    <col min="6" max="6" width="11.1796875" bestFit="1" customWidth="1"/>
    <col min="7" max="7" width="12.453125" bestFit="1" customWidth="1"/>
    <col min="8" max="8" width="18" bestFit="1" customWidth="1"/>
    <col min="9" max="10" width="12.54296875" bestFit="1" customWidth="1"/>
    <col min="11" max="11" width="12.7265625" bestFit="1" customWidth="1"/>
    <col min="12" max="17" width="12.54296875" bestFit="1" customWidth="1"/>
    <col min="18" max="18" width="15" bestFit="1" customWidth="1"/>
    <col min="19" max="19" width="17.453125" customWidth="1"/>
    <col min="20" max="22" width="12.54296875" bestFit="1" customWidth="1"/>
    <col min="35" max="35" width="12.7265625" customWidth="1"/>
    <col min="36" max="36" width="14.81640625" customWidth="1"/>
    <col min="37" max="37" width="11.54296875" customWidth="1"/>
    <col min="38" max="38" width="13.1796875" customWidth="1"/>
    <col min="39" max="39" width="12.54296875" customWidth="1"/>
    <col min="40" max="40" width="13.1796875" customWidth="1"/>
    <col min="41" max="41" width="13" customWidth="1"/>
    <col min="42" max="42" width="12" customWidth="1"/>
    <col min="47" max="47" width="13.81640625" customWidth="1"/>
    <col min="48" max="48" width="11.26953125" customWidth="1"/>
    <col min="49" max="49" width="12.453125" customWidth="1"/>
    <col min="50" max="50" width="11.26953125" customWidth="1"/>
  </cols>
  <sheetData>
    <row r="1" spans="1:22" x14ac:dyDescent="0.35">
      <c r="A1" s="6" t="s">
        <v>443</v>
      </c>
    </row>
    <row r="2" spans="1:22" x14ac:dyDescent="0.3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3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0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3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0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3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0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3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0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3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0" t="s">
        <v>574</v>
      </c>
    </row>
    <row r="8" spans="1:22" x14ac:dyDescent="0.3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0" t="s">
        <v>574</v>
      </c>
    </row>
    <row r="9" spans="1:22" x14ac:dyDescent="0.3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0" t="s">
        <v>574</v>
      </c>
    </row>
    <row r="10" spans="1:22" x14ac:dyDescent="0.3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0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3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0" t="s">
        <v>574</v>
      </c>
    </row>
    <row r="12" spans="1:22" x14ac:dyDescent="0.3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0" t="s">
        <v>574</v>
      </c>
    </row>
    <row r="13" spans="1:22" x14ac:dyDescent="0.3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0" t="s">
        <v>574</v>
      </c>
      <c r="K13" s="58"/>
      <c r="L13" s="58"/>
      <c r="M13" s="58"/>
      <c r="N13" s="58"/>
    </row>
    <row r="14" spans="1:22" x14ac:dyDescent="0.3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0" t="s">
        <v>574</v>
      </c>
      <c r="K14" s="58"/>
      <c r="L14" s="58"/>
      <c r="M14" s="58"/>
      <c r="N14" s="58"/>
    </row>
    <row r="15" spans="1:22" x14ac:dyDescent="0.3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0" t="s">
        <v>574</v>
      </c>
      <c r="K15" s="58"/>
      <c r="L15" s="58"/>
      <c r="M15" s="58"/>
      <c r="N15" s="58"/>
    </row>
    <row r="16" spans="1:22" x14ac:dyDescent="0.3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0" t="s">
        <v>574</v>
      </c>
      <c r="K16" s="58"/>
      <c r="L16" s="58"/>
      <c r="M16" s="58"/>
      <c r="N16" s="58"/>
    </row>
    <row r="17" spans="1:14" x14ac:dyDescent="0.3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0" t="s">
        <v>574</v>
      </c>
      <c r="K17" s="58"/>
      <c r="L17" s="58"/>
      <c r="M17" s="58"/>
      <c r="N17" s="58"/>
    </row>
    <row r="18" spans="1:14" x14ac:dyDescent="0.3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0" t="s">
        <v>574</v>
      </c>
      <c r="K18" s="58"/>
      <c r="L18" s="58"/>
      <c r="M18" s="58"/>
      <c r="N18" s="58"/>
    </row>
    <row r="19" spans="1:14" x14ac:dyDescent="0.3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0" t="s">
        <v>574</v>
      </c>
      <c r="K19" s="58"/>
      <c r="L19" s="58"/>
      <c r="M19" s="58"/>
      <c r="N19" s="58"/>
    </row>
    <row r="20" spans="1:14" x14ac:dyDescent="0.3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0" t="s">
        <v>574</v>
      </c>
      <c r="K20" s="58"/>
      <c r="L20" s="58"/>
      <c r="M20" s="58"/>
      <c r="N20" s="58"/>
    </row>
    <row r="21" spans="1:14" x14ac:dyDescent="0.3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0" t="s">
        <v>574</v>
      </c>
      <c r="K21" s="58"/>
      <c r="L21" s="58"/>
      <c r="M21" s="58"/>
      <c r="N21" s="58"/>
    </row>
    <row r="22" spans="1:14" x14ac:dyDescent="0.3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0" t="s">
        <v>574</v>
      </c>
      <c r="K22" s="58"/>
      <c r="L22" s="58"/>
      <c r="M22" s="58"/>
      <c r="N22" s="58"/>
    </row>
    <row r="23" spans="1:14" x14ac:dyDescent="0.3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0" t="s">
        <v>574</v>
      </c>
      <c r="K23" s="58"/>
      <c r="L23" s="58"/>
      <c r="M23" s="58"/>
      <c r="N23" s="58"/>
    </row>
    <row r="24" spans="1:14" x14ac:dyDescent="0.3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0" t="s">
        <v>574</v>
      </c>
      <c r="K24" s="58"/>
      <c r="L24" s="58"/>
      <c r="M24" s="58"/>
      <c r="N24" s="58"/>
    </row>
    <row r="25" spans="1:14" x14ac:dyDescent="0.3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0" t="s">
        <v>574</v>
      </c>
    </row>
    <row r="26" spans="1:14" x14ac:dyDescent="0.3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0" t="s">
        <v>574</v>
      </c>
    </row>
    <row r="27" spans="1:14" x14ac:dyDescent="0.3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0" t="s">
        <v>574</v>
      </c>
    </row>
    <row r="28" spans="1:14" x14ac:dyDescent="0.3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0" t="s">
        <v>574</v>
      </c>
    </row>
    <row r="29" spans="1:14" x14ac:dyDescent="0.3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0" t="s">
        <v>574</v>
      </c>
    </row>
    <row r="30" spans="1:14" x14ac:dyDescent="0.3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0" t="s">
        <v>574</v>
      </c>
    </row>
    <row r="31" spans="1:14" x14ac:dyDescent="0.3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0" t="s">
        <v>574</v>
      </c>
    </row>
    <row r="32" spans="1:14" x14ac:dyDescent="0.3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0" t="s">
        <v>574</v>
      </c>
    </row>
    <row r="33" spans="1:11" x14ac:dyDescent="0.3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0" t="s">
        <v>574</v>
      </c>
    </row>
    <row r="34" spans="1:11" x14ac:dyDescent="0.3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0" t="s">
        <v>574</v>
      </c>
    </row>
    <row r="35" spans="1:11" x14ac:dyDescent="0.3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0" t="s">
        <v>574</v>
      </c>
    </row>
    <row r="36" spans="1:11" x14ac:dyDescent="0.3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0" t="s">
        <v>574</v>
      </c>
    </row>
    <row r="37" spans="1:11" x14ac:dyDescent="0.3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0" t="s">
        <v>574</v>
      </c>
    </row>
    <row r="38" spans="1:11" x14ac:dyDescent="0.3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0" t="s">
        <v>574</v>
      </c>
    </row>
    <row r="39" spans="1:11" x14ac:dyDescent="0.3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0" t="s">
        <v>574</v>
      </c>
    </row>
    <row r="40" spans="1:11" x14ac:dyDescent="0.3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0" t="s">
        <v>574</v>
      </c>
    </row>
    <row r="41" spans="1:11" x14ac:dyDescent="0.3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0" t="s">
        <v>574</v>
      </c>
    </row>
    <row r="42" spans="1:11" x14ac:dyDescent="0.3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0" t="s">
        <v>574</v>
      </c>
    </row>
    <row r="43" spans="1:11" x14ac:dyDescent="0.3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0" t="s">
        <v>574</v>
      </c>
    </row>
    <row r="44" spans="1:11" x14ac:dyDescent="0.35">
      <c r="A44" s="7">
        <v>2026</v>
      </c>
      <c r="B44" t="s">
        <v>310</v>
      </c>
      <c r="C44" t="s">
        <v>234</v>
      </c>
      <c r="D44" t="s">
        <v>244</v>
      </c>
      <c r="E44" s="7">
        <v>419.8049758787148</v>
      </c>
      <c r="F44" s="7">
        <v>28.311887576461988</v>
      </c>
      <c r="G44" s="7">
        <v>4.402419603895952</v>
      </c>
      <c r="H44" s="58">
        <f t="shared" si="1"/>
        <v>0.45251928305907274</v>
      </c>
      <c r="I44" s="180" t="s">
        <v>574</v>
      </c>
    </row>
    <row r="45" spans="1:11" x14ac:dyDescent="0.35">
      <c r="A45" s="7">
        <v>2026</v>
      </c>
      <c r="B45" t="s">
        <v>311</v>
      </c>
      <c r="C45" t="s">
        <v>235</v>
      </c>
      <c r="D45" t="s">
        <v>244</v>
      </c>
      <c r="E45" s="7">
        <v>483.14504990293091</v>
      </c>
      <c r="F45" s="7">
        <v>1.2466432047345675</v>
      </c>
      <c r="G45" s="7">
        <v>4.7969780290266586</v>
      </c>
      <c r="H45" s="58">
        <f t="shared" si="1"/>
        <v>0.48918867113669212</v>
      </c>
      <c r="I45" s="180" t="s">
        <v>574</v>
      </c>
      <c r="J45">
        <v>0.47790520151006444</v>
      </c>
      <c r="K45">
        <f>+J45*1000</f>
        <v>477.90520151006444</v>
      </c>
    </row>
    <row r="46" spans="1:11" x14ac:dyDescent="0.35">
      <c r="A46" s="7">
        <v>2026</v>
      </c>
      <c r="B46" t="s">
        <v>312</v>
      </c>
      <c r="C46" t="s">
        <v>236</v>
      </c>
      <c r="D46" t="s">
        <v>244</v>
      </c>
      <c r="E46" s="7">
        <v>477.90520151006444</v>
      </c>
      <c r="F46" s="7">
        <v>6.1687158965609221</v>
      </c>
      <c r="G46" s="7">
        <v>1.1054514175880321</v>
      </c>
      <c r="H46" s="58">
        <f t="shared" si="1"/>
        <v>0.48517936882421336</v>
      </c>
      <c r="I46" s="180" t="s">
        <v>574</v>
      </c>
      <c r="J46">
        <v>6.1687158965609218E-3</v>
      </c>
      <c r="K46">
        <f t="shared" ref="K46:K47" si="2">+J46*1000</f>
        <v>6.1687158965609221</v>
      </c>
    </row>
    <row r="47" spans="1:11" x14ac:dyDescent="0.3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  <c r="J47">
        <v>1.1054514175880322E-3</v>
      </c>
      <c r="K47">
        <f t="shared" si="2"/>
        <v>1.1054514175880321</v>
      </c>
    </row>
    <row r="48" spans="1:11" x14ac:dyDescent="0.3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3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3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3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0" t="s">
        <v>574</v>
      </c>
    </row>
    <row r="52" spans="1:9" x14ac:dyDescent="0.3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0" t="s">
        <v>574</v>
      </c>
    </row>
    <row r="53" spans="1:9" x14ac:dyDescent="0.3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0" t="s">
        <v>574</v>
      </c>
    </row>
    <row r="54" spans="1:9" x14ac:dyDescent="0.3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0" t="s">
        <v>574</v>
      </c>
    </row>
    <row r="55" spans="1:9" x14ac:dyDescent="0.3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0" t="s">
        <v>574</v>
      </c>
    </row>
    <row r="56" spans="1:9" x14ac:dyDescent="0.3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  <c r="I56" s="180" t="s">
        <v>574</v>
      </c>
    </row>
    <row r="57" spans="1:9" x14ac:dyDescent="0.3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  <c r="I57" s="180" t="s">
        <v>574</v>
      </c>
    </row>
    <row r="58" spans="1:9" x14ac:dyDescent="0.3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  <c r="I58" s="180" t="s">
        <v>574</v>
      </c>
    </row>
    <row r="59" spans="1:9" x14ac:dyDescent="0.3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3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3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3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3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0" t="s">
        <v>574</v>
      </c>
    </row>
    <row r="64" spans="1:9" x14ac:dyDescent="0.3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0" t="s">
        <v>574</v>
      </c>
    </row>
    <row r="65" spans="1:9" x14ac:dyDescent="0.3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0" t="s">
        <v>574</v>
      </c>
    </row>
    <row r="66" spans="1:9" x14ac:dyDescent="0.3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0" t="s">
        <v>574</v>
      </c>
    </row>
    <row r="67" spans="1:9" x14ac:dyDescent="0.3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0" t="s">
        <v>574</v>
      </c>
    </row>
    <row r="68" spans="1:9" x14ac:dyDescent="0.3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  <c r="I68" s="180" t="s">
        <v>574</v>
      </c>
    </row>
    <row r="69" spans="1:9" x14ac:dyDescent="0.3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  <c r="I69" s="180" t="s">
        <v>574</v>
      </c>
    </row>
    <row r="70" spans="1:9" x14ac:dyDescent="0.3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  <c r="I70" s="180" t="s">
        <v>574</v>
      </c>
    </row>
    <row r="71" spans="1:9" x14ac:dyDescent="0.3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3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3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3">SUM(E73:G73)/1000</f>
        <v>0</v>
      </c>
    </row>
    <row r="74" spans="1:9" x14ac:dyDescent="0.35">
      <c r="A74" s="7">
        <v>2026</v>
      </c>
      <c r="B74" t="s">
        <v>316</v>
      </c>
      <c r="C74" t="s">
        <v>240</v>
      </c>
      <c r="D74" t="s">
        <v>144</v>
      </c>
      <c r="H74" s="58">
        <f t="shared" si="3"/>
        <v>0</v>
      </c>
    </row>
    <row r="75" spans="1:9" x14ac:dyDescent="0.35">
      <c r="E75" s="69"/>
    </row>
    <row r="85" spans="1:57" ht="15" thickBot="1" x14ac:dyDescent="0.4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4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1" t="s">
        <v>450</v>
      </c>
      <c r="AJ86" s="181" t="s">
        <v>451</v>
      </c>
      <c r="AK86" s="181" t="s">
        <v>452</v>
      </c>
      <c r="AL86" s="181" t="s">
        <v>453</v>
      </c>
      <c r="AM86" s="181" t="s">
        <v>455</v>
      </c>
      <c r="AN86" s="181" t="s">
        <v>456</v>
      </c>
      <c r="AO86" s="181" t="s">
        <v>457</v>
      </c>
      <c r="AP86" s="181" t="s">
        <v>458</v>
      </c>
      <c r="AS86" s="6" t="s">
        <v>47</v>
      </c>
      <c r="AT86" s="181" t="s">
        <v>50</v>
      </c>
      <c r="AU86" s="181" t="s">
        <v>567</v>
      </c>
      <c r="AV86" s="181" t="s">
        <v>568</v>
      </c>
      <c r="AW86" s="181" t="s">
        <v>569</v>
      </c>
      <c r="AX86" s="181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3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2">
        <v>0</v>
      </c>
      <c r="AJ87" s="182">
        <v>185154.53999999998</v>
      </c>
      <c r="AK87" s="182">
        <v>21498.37</v>
      </c>
      <c r="AL87" s="182">
        <v>5503.1</v>
      </c>
      <c r="AM87" s="182">
        <v>0</v>
      </c>
      <c r="AN87" s="182">
        <v>22368.01</v>
      </c>
      <c r="AO87" s="182">
        <v>85993.5</v>
      </c>
      <c r="AP87" s="182">
        <v>61145.57</v>
      </c>
      <c r="AQ87" t="s">
        <v>574</v>
      </c>
      <c r="AS87" t="s">
        <v>385</v>
      </c>
      <c r="AT87" t="s">
        <v>566</v>
      </c>
      <c r="AU87" s="182"/>
      <c r="AV87" s="37"/>
      <c r="AW87" s="182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2">
        <v>1025.5999999999999</v>
      </c>
      <c r="BD87" s="184">
        <v>3.5</v>
      </c>
      <c r="BE87" t="s">
        <v>574</v>
      </c>
    </row>
    <row r="88" spans="1:57" x14ac:dyDescent="0.3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2">
        <v>0</v>
      </c>
      <c r="AJ88" s="182">
        <v>131760.88</v>
      </c>
      <c r="AK88" s="182">
        <v>23295.040000000001</v>
      </c>
      <c r="AL88" s="182">
        <v>5378.48</v>
      </c>
      <c r="AM88" s="182">
        <v>0</v>
      </c>
      <c r="AN88" s="182">
        <v>16470.11</v>
      </c>
      <c r="AO88" s="182">
        <v>93180.17</v>
      </c>
      <c r="AP88" s="182">
        <v>59760.94</v>
      </c>
      <c r="AQ88" t="s">
        <v>574</v>
      </c>
      <c r="AS88" t="s">
        <v>386</v>
      </c>
      <c r="AT88" t="s">
        <v>566</v>
      </c>
      <c r="AU88" s="182"/>
      <c r="AV88" s="37"/>
      <c r="AW88" s="182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2">
        <v>1032.7</v>
      </c>
      <c r="BD88" s="184">
        <v>3.5</v>
      </c>
      <c r="BE88" t="s">
        <v>574</v>
      </c>
    </row>
    <row r="89" spans="1:57" x14ac:dyDescent="0.3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2">
        <v>0</v>
      </c>
      <c r="AJ89" s="182">
        <v>192862.24</v>
      </c>
      <c r="AK89" s="182">
        <v>28394.5</v>
      </c>
      <c r="AL89" s="182">
        <v>6505.61</v>
      </c>
      <c r="AM89" s="182">
        <v>0</v>
      </c>
      <c r="AN89" s="182">
        <v>24107.78</v>
      </c>
      <c r="AO89" s="182">
        <v>113578.01</v>
      </c>
      <c r="AP89" s="182">
        <v>72284.59</v>
      </c>
      <c r="AQ89" t="s">
        <v>574</v>
      </c>
      <c r="AS89" t="s">
        <v>387</v>
      </c>
      <c r="AT89" t="s">
        <v>566</v>
      </c>
      <c r="AU89" s="182">
        <v>8605.68</v>
      </c>
      <c r="AV89" s="37">
        <v>1.8</v>
      </c>
      <c r="AW89" s="182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2">
        <v>1066.7</v>
      </c>
      <c r="BD89" s="184">
        <v>3.5</v>
      </c>
      <c r="BE89" t="s">
        <v>574</v>
      </c>
    </row>
    <row r="90" spans="1:57" x14ac:dyDescent="0.3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2">
        <v>0</v>
      </c>
      <c r="AJ90" s="182">
        <v>282386</v>
      </c>
      <c r="AK90" s="182">
        <v>39226.94</v>
      </c>
      <c r="AL90" s="182">
        <v>8284.91</v>
      </c>
      <c r="AM90" s="182">
        <v>0</v>
      </c>
      <c r="AN90" s="182">
        <v>35298.25</v>
      </c>
      <c r="AO90" s="182">
        <v>156907.78</v>
      </c>
      <c r="AP90" s="182">
        <v>92054.57</v>
      </c>
      <c r="AQ90" t="s">
        <v>574</v>
      </c>
      <c r="AS90" t="s">
        <v>388</v>
      </c>
      <c r="AT90" t="s">
        <v>566</v>
      </c>
      <c r="AU90" s="182"/>
      <c r="AV90" s="37"/>
      <c r="AW90" s="182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2">
        <v>18342</v>
      </c>
      <c r="BD90" s="184">
        <v>3.081152000872315</v>
      </c>
      <c r="BE90" t="s">
        <v>574</v>
      </c>
    </row>
    <row r="91" spans="1:57" x14ac:dyDescent="0.3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2">
        <v>0</v>
      </c>
      <c r="AJ91" s="182">
        <v>303479.18</v>
      </c>
      <c r="AK91" s="182">
        <v>43815.29</v>
      </c>
      <c r="AL91" s="182">
        <v>10525.31</v>
      </c>
      <c r="AM91" s="182">
        <v>0</v>
      </c>
      <c r="AN91" s="182">
        <v>37748.19</v>
      </c>
      <c r="AO91" s="182">
        <v>175261.16</v>
      </c>
      <c r="AP91" s="182">
        <v>116947.85</v>
      </c>
      <c r="AQ91" t="s">
        <v>574</v>
      </c>
      <c r="AS91" t="s">
        <v>389</v>
      </c>
      <c r="AT91" t="s">
        <v>566</v>
      </c>
      <c r="AU91" s="182">
        <v>9481.619999999999</v>
      </c>
      <c r="AV91" s="37">
        <v>1.8</v>
      </c>
      <c r="AW91" s="182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2">
        <v>2265.6</v>
      </c>
      <c r="BD91" s="184">
        <v>3.5</v>
      </c>
      <c r="BE91" t="s">
        <v>574</v>
      </c>
    </row>
    <row r="92" spans="1:57" x14ac:dyDescent="0.3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2">
        <v>0</v>
      </c>
      <c r="AJ92" s="182">
        <v>161811.88</v>
      </c>
      <c r="AK92" s="182">
        <v>28234.58</v>
      </c>
      <c r="AL92" s="182">
        <v>7378.77</v>
      </c>
      <c r="AM92" s="182">
        <v>0</v>
      </c>
      <c r="AN92" s="182">
        <v>19824.259999999998</v>
      </c>
      <c r="AO92" s="182">
        <v>112938.31</v>
      </c>
      <c r="AP92" s="182">
        <v>81986.3</v>
      </c>
      <c r="AQ92" t="s">
        <v>574</v>
      </c>
      <c r="AS92" t="s">
        <v>390</v>
      </c>
      <c r="AT92" t="s">
        <v>566</v>
      </c>
      <c r="AU92" s="182"/>
      <c r="AV92" s="37"/>
      <c r="AW92" s="182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2">
        <v>17914.8</v>
      </c>
      <c r="BD92" s="184">
        <v>3.4</v>
      </c>
      <c r="BE92" t="s">
        <v>574</v>
      </c>
    </row>
    <row r="93" spans="1:57" x14ac:dyDescent="0.3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2">
        <v>0</v>
      </c>
      <c r="AJ93" s="182">
        <v>224346.44</v>
      </c>
      <c r="AK93" s="182">
        <v>33698.49</v>
      </c>
      <c r="AL93" s="182">
        <v>5953.76</v>
      </c>
      <c r="AM93" s="182">
        <v>0</v>
      </c>
      <c r="AN93" s="182">
        <v>27469.119999999999</v>
      </c>
      <c r="AO93" s="182">
        <v>134793.97</v>
      </c>
      <c r="AP93" s="182">
        <v>66152.888888888891</v>
      </c>
      <c r="AQ93" t="s">
        <v>574</v>
      </c>
      <c r="AS93" t="s">
        <v>391</v>
      </c>
      <c r="AT93" t="s">
        <v>566</v>
      </c>
      <c r="AU93" s="182"/>
      <c r="AV93" s="37"/>
      <c r="AW93" s="182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2">
        <v>24390.600000000002</v>
      </c>
      <c r="BD93" s="184">
        <v>3.64</v>
      </c>
      <c r="BE93" t="s">
        <v>574</v>
      </c>
    </row>
    <row r="94" spans="1:57" x14ac:dyDescent="0.3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2">
        <v>0</v>
      </c>
      <c r="AJ94" s="182">
        <v>83004.929999999993</v>
      </c>
      <c r="AK94" s="182">
        <v>23189.21</v>
      </c>
      <c r="AL94" s="182">
        <v>5808</v>
      </c>
      <c r="AM94" s="182">
        <v>0</v>
      </c>
      <c r="AN94" s="182">
        <v>10560.66</v>
      </c>
      <c r="AO94" s="182">
        <v>92756.83</v>
      </c>
      <c r="AP94" s="182">
        <v>64533.34</v>
      </c>
      <c r="AQ94" t="s">
        <v>574</v>
      </c>
      <c r="AS94" t="s">
        <v>392</v>
      </c>
      <c r="AT94" t="s">
        <v>566</v>
      </c>
      <c r="AU94" s="182">
        <v>3792.79</v>
      </c>
      <c r="AV94" s="37">
        <v>1.8</v>
      </c>
      <c r="AW94" s="182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2">
        <v>23904.5</v>
      </c>
      <c r="BD94" s="184">
        <v>3.61</v>
      </c>
      <c r="BE94" t="s">
        <v>574</v>
      </c>
    </row>
    <row r="95" spans="1:57" x14ac:dyDescent="0.3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2">
        <v>0</v>
      </c>
      <c r="AJ95" s="182">
        <v>118058.81000000001</v>
      </c>
      <c r="AK95" s="182">
        <v>17932.669999999998</v>
      </c>
      <c r="AL95" s="182">
        <v>3586.7</v>
      </c>
      <c r="AM95" s="182">
        <v>0</v>
      </c>
      <c r="AN95" s="182">
        <v>15017.920000000002</v>
      </c>
      <c r="AO95" s="182">
        <v>71730.67</v>
      </c>
      <c r="AP95" s="182">
        <v>39852.25</v>
      </c>
      <c r="AQ95" t="s">
        <v>574</v>
      </c>
      <c r="AS95" t="s">
        <v>393</v>
      </c>
      <c r="AT95" t="s">
        <v>566</v>
      </c>
      <c r="AU95" s="182">
        <v>9584.2999999999993</v>
      </c>
      <c r="AV95" s="37">
        <v>1.8</v>
      </c>
      <c r="AW95" s="182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2">
        <v>2114.6000000000004</v>
      </c>
      <c r="BD95" s="184">
        <v>3.63</v>
      </c>
      <c r="BE95" t="s">
        <v>574</v>
      </c>
    </row>
    <row r="96" spans="1:57" x14ac:dyDescent="0.3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2">
        <v>0</v>
      </c>
      <c r="AJ96" s="182">
        <v>98601.17</v>
      </c>
      <c r="AK96" s="182">
        <v>16572.689999999999</v>
      </c>
      <c r="AL96" s="182">
        <v>3618.35</v>
      </c>
      <c r="AM96" s="182">
        <v>0</v>
      </c>
      <c r="AN96" s="182">
        <v>13493.09</v>
      </c>
      <c r="AO96" s="182">
        <v>66290.740000000005</v>
      </c>
      <c r="AP96" s="182">
        <v>40203.919999999998</v>
      </c>
      <c r="AQ96" t="s">
        <v>574</v>
      </c>
      <c r="AS96" t="s">
        <v>394</v>
      </c>
      <c r="AT96" t="s">
        <v>566</v>
      </c>
      <c r="AU96" s="182">
        <v>-1095</v>
      </c>
      <c r="AV96" s="37">
        <v>1.8</v>
      </c>
      <c r="AW96" s="182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2">
        <v>2087.1999999999998</v>
      </c>
      <c r="BD96" s="184">
        <v>3.61</v>
      </c>
      <c r="BE96" t="s">
        <v>574</v>
      </c>
    </row>
    <row r="97" spans="1:57" x14ac:dyDescent="0.3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2">
        <v>0</v>
      </c>
      <c r="AJ97" s="182">
        <v>41093.619999999995</v>
      </c>
      <c r="AK97" s="182">
        <v>11319.01</v>
      </c>
      <c r="AL97" s="182">
        <v>2260.0300000000002</v>
      </c>
      <c r="AM97" s="182">
        <v>0</v>
      </c>
      <c r="AN97" s="182">
        <v>5840.63</v>
      </c>
      <c r="AO97" s="182">
        <v>45276.03</v>
      </c>
      <c r="AP97" s="182">
        <v>25111.41</v>
      </c>
      <c r="AQ97" t="s">
        <v>574</v>
      </c>
      <c r="AS97" t="s">
        <v>395</v>
      </c>
      <c r="AT97" t="s">
        <v>566</v>
      </c>
      <c r="AU97" s="182">
        <v>9169.4399999999987</v>
      </c>
      <c r="AV97" s="37">
        <v>1.8</v>
      </c>
      <c r="AW97" s="182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2">
        <v>1286.5</v>
      </c>
      <c r="BD97" s="184">
        <v>3.85</v>
      </c>
      <c r="BE97" t="s">
        <v>574</v>
      </c>
    </row>
    <row r="98" spans="1:57" x14ac:dyDescent="0.3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2">
        <v>931.16</v>
      </c>
      <c r="AJ98" s="182">
        <v>46065.15</v>
      </c>
      <c r="AK98" s="182">
        <v>11636.89</v>
      </c>
      <c r="AL98" s="182">
        <v>5260.14</v>
      </c>
      <c r="AM98" s="182">
        <v>232.79</v>
      </c>
      <c r="AN98" s="182">
        <v>8319.32</v>
      </c>
      <c r="AO98" s="182">
        <v>45568.15</v>
      </c>
      <c r="AP98" s="182">
        <v>58446.02</v>
      </c>
      <c r="AQ98" t="s">
        <v>574</v>
      </c>
      <c r="AS98" t="s">
        <v>396</v>
      </c>
      <c r="AT98" t="s">
        <v>566</v>
      </c>
      <c r="AU98" s="182"/>
      <c r="AV98" s="37"/>
      <c r="AW98" s="182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2">
        <v>1012.5</v>
      </c>
      <c r="BD98" s="184">
        <v>3.5</v>
      </c>
      <c r="BE98" t="s">
        <v>574</v>
      </c>
    </row>
    <row r="99" spans="1:57" x14ac:dyDescent="0.3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7">
        <v>0</v>
      </c>
      <c r="AJ99" s="182">
        <v>133452.47999999998</v>
      </c>
      <c r="AK99" s="182">
        <v>31060.38</v>
      </c>
      <c r="AL99" s="182">
        <v>5228.76</v>
      </c>
      <c r="AM99" s="187">
        <v>0</v>
      </c>
      <c r="AN99" s="182">
        <v>37120.910000000003</v>
      </c>
      <c r="AO99" s="182">
        <v>118479.96</v>
      </c>
      <c r="AP99" s="182">
        <v>58097.42</v>
      </c>
      <c r="AQ99" t="s">
        <v>574</v>
      </c>
      <c r="AS99" t="s">
        <v>397</v>
      </c>
      <c r="AT99" t="s">
        <v>566</v>
      </c>
      <c r="AU99" s="182"/>
      <c r="AV99" s="37"/>
      <c r="AW99" s="182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2">
        <v>1195.4000000000001</v>
      </c>
      <c r="BD99" s="184">
        <v>3.7</v>
      </c>
      <c r="BE99" t="s">
        <v>574</v>
      </c>
    </row>
    <row r="100" spans="1:57" x14ac:dyDescent="0.3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7">
        <f>7526.86-7526.86+3653.67</f>
        <v>3653.67</v>
      </c>
      <c r="AJ100" s="182">
        <v>37235.629999999997</v>
      </c>
      <c r="AK100" s="182">
        <v>9202.0499999999993</v>
      </c>
      <c r="AL100" s="182">
        <v>1378.28</v>
      </c>
      <c r="AM100" s="187">
        <v>1958.8</v>
      </c>
      <c r="AN100" s="182">
        <v>9785.66</v>
      </c>
      <c r="AO100" s="182">
        <v>32311.69</v>
      </c>
      <c r="AP100" s="182">
        <v>15314.21</v>
      </c>
      <c r="AQ100" t="s">
        <v>591</v>
      </c>
      <c r="AS100" t="s">
        <v>398</v>
      </c>
      <c r="AT100" t="s">
        <v>566</v>
      </c>
      <c r="AU100" s="182">
        <v>4022.72</v>
      </c>
      <c r="AV100" s="37">
        <v>1.8</v>
      </c>
      <c r="AW100" s="182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2">
        <v>4359.3999999999996</v>
      </c>
      <c r="BD100" s="184">
        <v>2.0299999999999998</v>
      </c>
      <c r="BE100" t="s">
        <v>574</v>
      </c>
    </row>
    <row r="101" spans="1:57" x14ac:dyDescent="0.3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7">
        <f>8626.64-8626.64+4022.73</f>
        <v>4022.73</v>
      </c>
      <c r="AJ101" s="182">
        <v>94638.040000000008</v>
      </c>
      <c r="AK101" s="182">
        <v>25215.85</v>
      </c>
      <c r="AL101" s="182">
        <v>4144.2299999999996</v>
      </c>
      <c r="AM101" s="187">
        <v>2156.66</v>
      </c>
      <c r="AN101" s="182">
        <v>21255.43</v>
      </c>
      <c r="AO101" s="182">
        <v>68043</v>
      </c>
      <c r="AP101" s="182">
        <v>46047.03</v>
      </c>
      <c r="AQ101" t="s">
        <v>591</v>
      </c>
      <c r="AS101" t="s">
        <v>399</v>
      </c>
      <c r="AT101" t="s">
        <v>566</v>
      </c>
      <c r="AU101" s="182"/>
      <c r="AV101" s="37"/>
      <c r="AW101" s="182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2">
        <v>0</v>
      </c>
      <c r="BD101" s="184">
        <v>0</v>
      </c>
      <c r="BE101" t="s">
        <v>574</v>
      </c>
    </row>
    <row r="102" spans="1:57" x14ac:dyDescent="0.3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7">
        <f>-3565.01+3565.01+4912.09</f>
        <v>4912.09</v>
      </c>
      <c r="AJ102" s="182">
        <v>202545.37999999998</v>
      </c>
      <c r="AK102" s="182">
        <v>55633.97</v>
      </c>
      <c r="AL102" s="182">
        <v>4700.46</v>
      </c>
      <c r="AM102" s="187">
        <v>2633.4700000000003</v>
      </c>
      <c r="AN102" s="182">
        <v>45010.080000000002</v>
      </c>
      <c r="AO102" s="182">
        <v>156079.53</v>
      </c>
      <c r="AP102" s="182">
        <v>52227.37</v>
      </c>
      <c r="AQ102" t="s">
        <v>591</v>
      </c>
      <c r="AS102" t="s">
        <v>400</v>
      </c>
      <c r="AT102" t="s">
        <v>566</v>
      </c>
      <c r="AU102" s="182"/>
      <c r="AV102" s="37"/>
      <c r="AW102" s="182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2">
        <v>0</v>
      </c>
      <c r="BD102" s="184">
        <v>0</v>
      </c>
      <c r="BE102" t="s">
        <v>574</v>
      </c>
    </row>
    <row r="103" spans="1:57" x14ac:dyDescent="0.3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2">
        <v>6149.36</v>
      </c>
      <c r="AJ103" s="182">
        <f>24333.16+121939.03</f>
        <v>146272.19</v>
      </c>
      <c r="AK103" s="182">
        <f>12789.35+31273.87</f>
        <v>44063.22</v>
      </c>
      <c r="AL103" s="182">
        <f>574.51+3721.18</f>
        <v>4295.6899999999996</v>
      </c>
      <c r="AM103" s="182">
        <v>1537.34</v>
      </c>
      <c r="AN103" s="182">
        <f>5593.83+27097.56</f>
        <v>32691.39</v>
      </c>
      <c r="AO103" s="182">
        <f>44101.2+80811.04</f>
        <v>124912.23999999999</v>
      </c>
      <c r="AP103" s="182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2">
        <v>8659.49</v>
      </c>
      <c r="AV103" s="37">
        <v>1.8</v>
      </c>
      <c r="AW103" s="182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2">
        <v>-1187.0999999999999</v>
      </c>
      <c r="BD103" s="184">
        <v>1.7</v>
      </c>
      <c r="BE103" t="s">
        <v>574</v>
      </c>
    </row>
    <row r="104" spans="1:57" x14ac:dyDescent="0.3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>
        <v>-352922.53</v>
      </c>
      <c r="K104" s="126">
        <v>-249766.20000000036</v>
      </c>
      <c r="L104" s="126">
        <v>-242072.98415325372</v>
      </c>
      <c r="M104" t="s">
        <v>574</v>
      </c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>
        <v>100</v>
      </c>
      <c r="AC104" s="190" t="s">
        <v>612</v>
      </c>
      <c r="AF104" s="131">
        <v>2026</v>
      </c>
      <c r="AG104" s="132" t="s">
        <v>310</v>
      </c>
      <c r="AH104" s="132" t="s">
        <v>234</v>
      </c>
      <c r="AI104" s="182">
        <v>3720.82</v>
      </c>
      <c r="AJ104" s="182">
        <f>44973.18+13059.5</f>
        <v>58032.68</v>
      </c>
      <c r="AK104" s="182">
        <f>9821.94+6537.37-1800</f>
        <v>14559.310000000001</v>
      </c>
      <c r="AL104" s="182">
        <f>906.71+1675.43</f>
        <v>2582.1400000000003</v>
      </c>
      <c r="AM104" s="182">
        <v>976.69</v>
      </c>
      <c r="AN104" s="182">
        <f>10725.87+2902.11</f>
        <v>13627.980000000001</v>
      </c>
      <c r="AO104" s="182">
        <f>33868.78+16892.44</f>
        <v>50761.22</v>
      </c>
      <c r="AP104" s="182">
        <f>10074.6+18615.9</f>
        <v>28690.5</v>
      </c>
      <c r="AQ104" t="s">
        <v>574</v>
      </c>
      <c r="AR104" s="8"/>
      <c r="AS104" t="s">
        <v>402</v>
      </c>
      <c r="AT104" t="s">
        <v>566</v>
      </c>
      <c r="AU104" s="182">
        <v>-1040</v>
      </c>
      <c r="AV104" s="37">
        <v>1.8</v>
      </c>
      <c r="AW104" s="182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2">
        <v>18386.599999999999</v>
      </c>
      <c r="BD104" s="184">
        <v>2.2273557917178817</v>
      </c>
      <c r="BE104" t="s">
        <v>574</v>
      </c>
    </row>
    <row r="105" spans="1:57" x14ac:dyDescent="0.3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>
        <v>-328654.84000000008</v>
      </c>
      <c r="K105" s="126">
        <v>-449726.42000000039</v>
      </c>
      <c r="L105" s="126">
        <v>-180777.50858920751</v>
      </c>
      <c r="M105" t="s">
        <v>574</v>
      </c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>
        <v>100</v>
      </c>
      <c r="AC105" s="190" t="s">
        <v>612</v>
      </c>
      <c r="AF105" s="131">
        <v>2026</v>
      </c>
      <c r="AG105" s="132" t="s">
        <v>311</v>
      </c>
      <c r="AH105" s="132" t="s">
        <v>235</v>
      </c>
      <c r="AI105" s="182">
        <v>0</v>
      </c>
      <c r="AJ105" s="182">
        <v>27745.839999999997</v>
      </c>
      <c r="AK105" s="182">
        <f>9119.7+1661.41</f>
        <v>10781.11</v>
      </c>
      <c r="AL105" s="182">
        <v>2743.58</v>
      </c>
      <c r="AM105" s="182">
        <v>0</v>
      </c>
      <c r="AN105" s="182">
        <v>6165.74</v>
      </c>
      <c r="AO105" s="182">
        <f>31447.24+4293.04</f>
        <v>35740.28</v>
      </c>
      <c r="AP105" s="182">
        <v>30484.22</v>
      </c>
      <c r="AQ105" t="s">
        <v>574</v>
      </c>
      <c r="AS105" t="s">
        <v>403</v>
      </c>
      <c r="AT105" t="s">
        <v>566</v>
      </c>
      <c r="AU105" s="182"/>
      <c r="AV105" s="37"/>
      <c r="AW105" s="182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2">
        <v>0</v>
      </c>
      <c r="BD105" s="184">
        <v>0</v>
      </c>
      <c r="BE105" t="s">
        <v>574</v>
      </c>
    </row>
    <row r="106" spans="1:57" x14ac:dyDescent="0.3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>
        <v>-323449.95999999996</v>
      </c>
      <c r="K106" s="126">
        <v>-358479.79000000015</v>
      </c>
      <c r="L106" s="126">
        <v>-160054.67614917958</v>
      </c>
      <c r="M106" t="s">
        <v>574</v>
      </c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>
        <v>100</v>
      </c>
      <c r="AC106" s="190" t="s">
        <v>612</v>
      </c>
      <c r="AF106" s="131">
        <v>2026</v>
      </c>
      <c r="AG106" s="132" t="s">
        <v>312</v>
      </c>
      <c r="AH106" s="132" t="s">
        <v>236</v>
      </c>
      <c r="AI106" s="182">
        <v>0</v>
      </c>
      <c r="AJ106" s="182">
        <v>24765.49</v>
      </c>
      <c r="AK106" s="182">
        <v>4564.8100000000004</v>
      </c>
      <c r="AL106" s="182">
        <v>1515.58</v>
      </c>
      <c r="AM106" s="182">
        <v>0</v>
      </c>
      <c r="AN106" s="182">
        <v>5565.2800000000007</v>
      </c>
      <c r="AO106" s="182">
        <v>15740.71</v>
      </c>
      <c r="AP106" s="182">
        <v>16839.72</v>
      </c>
      <c r="AQ106" t="s">
        <v>574</v>
      </c>
      <c r="AS106" t="s">
        <v>404</v>
      </c>
      <c r="AT106" t="s">
        <v>566</v>
      </c>
      <c r="AU106" s="182">
        <v>10050.11</v>
      </c>
      <c r="AV106" s="37">
        <v>1.8</v>
      </c>
      <c r="AW106" s="182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2">
        <v>1234.8</v>
      </c>
      <c r="BD106" s="184">
        <v>3.5</v>
      </c>
      <c r="BE106" t="s">
        <v>574</v>
      </c>
    </row>
    <row r="107" spans="1:57" x14ac:dyDescent="0.3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2"/>
      <c r="AJ107" s="182"/>
      <c r="AK107" s="182"/>
      <c r="AL107" s="182"/>
      <c r="AM107" s="182"/>
      <c r="AN107" s="182"/>
      <c r="AO107" s="182"/>
      <c r="AP107" s="182"/>
      <c r="AS107" t="s">
        <v>405</v>
      </c>
      <c r="AT107" t="s">
        <v>566</v>
      </c>
      <c r="AU107" s="182"/>
      <c r="AV107" s="37"/>
      <c r="AW107" s="182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2"/>
      <c r="BD107" s="184"/>
    </row>
    <row r="108" spans="1:57" x14ac:dyDescent="0.3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2"/>
      <c r="AJ108" s="182"/>
      <c r="AK108" s="182"/>
      <c r="AL108" s="182"/>
      <c r="AM108" s="182"/>
      <c r="AN108" s="182"/>
      <c r="AO108" s="182"/>
      <c r="AP108" s="182"/>
      <c r="AS108" t="s">
        <v>406</v>
      </c>
      <c r="AT108" t="s">
        <v>566</v>
      </c>
      <c r="AU108" s="182">
        <v>10060.369999999999</v>
      </c>
      <c r="AV108" s="37">
        <v>1.8</v>
      </c>
      <c r="AW108" s="182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2"/>
      <c r="BD108" s="184"/>
    </row>
    <row r="109" spans="1:57" x14ac:dyDescent="0.3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2"/>
      <c r="AJ109" s="182"/>
      <c r="AK109" s="182"/>
      <c r="AL109" s="182"/>
      <c r="AM109" s="182"/>
      <c r="AN109" s="182"/>
      <c r="AO109" s="182"/>
      <c r="AP109" s="182"/>
      <c r="AS109" t="s">
        <v>407</v>
      </c>
      <c r="AT109" t="s">
        <v>566</v>
      </c>
      <c r="AU109" s="182"/>
      <c r="AV109" s="37"/>
      <c r="AW109" s="182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2"/>
      <c r="BD109" s="184"/>
    </row>
    <row r="110" spans="1:57" x14ac:dyDescent="0.3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3"/>
      <c r="AJ110" s="183"/>
      <c r="AK110" s="183"/>
      <c r="AL110" s="183"/>
      <c r="AM110" s="183"/>
      <c r="AN110" s="183"/>
      <c r="AO110" s="183"/>
      <c r="AP110" s="183"/>
      <c r="AS110" t="s">
        <v>408</v>
      </c>
      <c r="AT110" t="s">
        <v>566</v>
      </c>
      <c r="AU110" s="182"/>
      <c r="AV110" s="37"/>
      <c r="AW110" s="182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2"/>
      <c r="BD110" s="184"/>
    </row>
    <row r="111" spans="1:57" x14ac:dyDescent="0.3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2">
        <v>5915.89</v>
      </c>
      <c r="AV111" s="37">
        <v>1.8</v>
      </c>
      <c r="AW111" s="182">
        <v>9090</v>
      </c>
      <c r="AX111" s="37">
        <v>1.85</v>
      </c>
      <c r="AY111" t="s">
        <v>574</v>
      </c>
    </row>
    <row r="112" spans="1:57" x14ac:dyDescent="0.3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2">
        <v>5155.3999999999996</v>
      </c>
      <c r="AV112" s="37">
        <v>1.8</v>
      </c>
      <c r="AW112" s="182">
        <v>1800</v>
      </c>
      <c r="AX112" s="37">
        <v>1.85</v>
      </c>
      <c r="AY112" t="s">
        <v>574</v>
      </c>
    </row>
    <row r="113" spans="1:51" x14ac:dyDescent="0.3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2"/>
      <c r="AV113" s="37"/>
      <c r="AW113" s="182"/>
      <c r="AX113" s="37"/>
      <c r="AY113" t="s">
        <v>574</v>
      </c>
    </row>
    <row r="114" spans="1:51" x14ac:dyDescent="0.3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2"/>
      <c r="AV114" s="37"/>
      <c r="AW114" s="182"/>
      <c r="AX114" s="37"/>
      <c r="AY114" t="s">
        <v>574</v>
      </c>
    </row>
    <row r="115" spans="1:51" x14ac:dyDescent="0.3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2"/>
      <c r="AV115" s="37"/>
      <c r="AW115" s="182">
        <v>675</v>
      </c>
      <c r="AX115" s="37">
        <v>1.85</v>
      </c>
      <c r="AY115" t="s">
        <v>574</v>
      </c>
    </row>
    <row r="116" spans="1:51" x14ac:dyDescent="0.3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2">
        <v>4532.3500000000004</v>
      </c>
      <c r="AV116" s="37">
        <v>1.8</v>
      </c>
      <c r="AW116" s="182">
        <v>600</v>
      </c>
      <c r="AX116" s="37">
        <v>1.85</v>
      </c>
      <c r="AY116" t="s">
        <v>574</v>
      </c>
    </row>
    <row r="117" spans="1:51" x14ac:dyDescent="0.3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2"/>
      <c r="AV117" s="37"/>
      <c r="AW117" s="182"/>
      <c r="AX117" s="37"/>
      <c r="AY117" t="s">
        <v>574</v>
      </c>
    </row>
    <row r="118" spans="1:51" x14ac:dyDescent="0.3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2">
        <v>4494.42</v>
      </c>
      <c r="AV118" s="37">
        <v>1.8</v>
      </c>
      <c r="AW118" s="182">
        <v>390</v>
      </c>
      <c r="AX118" s="37">
        <v>1.85</v>
      </c>
      <c r="AY118" t="s">
        <v>574</v>
      </c>
    </row>
    <row r="119" spans="1:51" x14ac:dyDescent="0.3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2">
        <v>6299.58</v>
      </c>
      <c r="AV119" s="37">
        <v>1.8</v>
      </c>
      <c r="AW119" s="182">
        <v>795</v>
      </c>
      <c r="AX119" s="37">
        <v>1.85</v>
      </c>
      <c r="AY119" t="s">
        <v>574</v>
      </c>
    </row>
    <row r="120" spans="1:51" x14ac:dyDescent="0.3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2"/>
      <c r="AV120" s="37"/>
      <c r="AW120" s="182">
        <v>135</v>
      </c>
      <c r="AX120" s="37">
        <v>1.85</v>
      </c>
      <c r="AY120" t="s">
        <v>574</v>
      </c>
    </row>
    <row r="121" spans="1:51" x14ac:dyDescent="0.3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2">
        <v>6578.52</v>
      </c>
      <c r="AV121" s="37">
        <v>1.8</v>
      </c>
      <c r="AW121" s="182">
        <v>150</v>
      </c>
      <c r="AX121" s="37">
        <v>1.85</v>
      </c>
      <c r="AY121" t="s">
        <v>574</v>
      </c>
    </row>
    <row r="122" spans="1:51" x14ac:dyDescent="0.3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2"/>
      <c r="AV122" s="37"/>
      <c r="AW122" s="182">
        <v>150</v>
      </c>
      <c r="AX122" s="37">
        <v>1.85</v>
      </c>
      <c r="AY122" t="s">
        <v>574</v>
      </c>
    </row>
    <row r="123" spans="1:51" x14ac:dyDescent="0.3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2">
        <v>4557.32</v>
      </c>
      <c r="AV123" s="37">
        <v>1.8</v>
      </c>
      <c r="AW123" s="182">
        <v>90</v>
      </c>
      <c r="AX123" s="37">
        <v>1.85</v>
      </c>
      <c r="AY123" t="s">
        <v>574</v>
      </c>
    </row>
    <row r="124" spans="1:51" x14ac:dyDescent="0.3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2">
        <v>3300</v>
      </c>
      <c r="AV124" s="37">
        <v>1.8</v>
      </c>
      <c r="AW124" s="182"/>
      <c r="AX124" s="37"/>
      <c r="AY124" t="s">
        <v>574</v>
      </c>
    </row>
    <row r="125" spans="1:51" x14ac:dyDescent="0.3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2">
        <v>8477.92</v>
      </c>
      <c r="AV125" s="37">
        <v>1.8</v>
      </c>
      <c r="AW125" s="182"/>
      <c r="AX125" s="37"/>
      <c r="AY125" t="s">
        <v>574</v>
      </c>
    </row>
    <row r="126" spans="1:51" x14ac:dyDescent="0.3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2"/>
      <c r="AV126" s="37"/>
      <c r="AW126" s="182">
        <v>1215</v>
      </c>
      <c r="AX126" s="37">
        <v>1.85</v>
      </c>
      <c r="AY126" t="s">
        <v>574</v>
      </c>
    </row>
    <row r="127" spans="1:51" x14ac:dyDescent="0.3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2">
        <v>6298.45</v>
      </c>
      <c r="AV127" s="37">
        <v>1.8</v>
      </c>
      <c r="AW127" s="182">
        <v>675</v>
      </c>
      <c r="AX127" s="37">
        <v>1.85</v>
      </c>
      <c r="AY127" t="s">
        <v>574</v>
      </c>
    </row>
    <row r="128" spans="1:51" x14ac:dyDescent="0.3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2"/>
      <c r="AV128" s="37"/>
      <c r="AW128" s="182"/>
      <c r="AX128" s="37"/>
      <c r="AY128" t="s">
        <v>574</v>
      </c>
    </row>
    <row r="129" spans="1:51" x14ac:dyDescent="0.3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2">
        <v>4933.71</v>
      </c>
      <c r="AV129" s="37">
        <v>1.8</v>
      </c>
      <c r="AW129" s="182">
        <v>1620</v>
      </c>
      <c r="AX129" s="37">
        <v>1.85</v>
      </c>
      <c r="AY129" t="s">
        <v>574</v>
      </c>
    </row>
    <row r="130" spans="1:51" x14ac:dyDescent="0.3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2">
        <v>6599.24</v>
      </c>
      <c r="AV130" s="37">
        <v>1.8</v>
      </c>
      <c r="AW130" s="182"/>
      <c r="AX130" s="37"/>
      <c r="AY130" t="s">
        <v>574</v>
      </c>
    </row>
    <row r="131" spans="1:51" x14ac:dyDescent="0.3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2"/>
      <c r="AV131" s="37"/>
      <c r="AW131" s="182"/>
      <c r="AX131" s="37"/>
      <c r="AY131" t="s">
        <v>574</v>
      </c>
    </row>
    <row r="132" spans="1:51" x14ac:dyDescent="0.3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2"/>
      <c r="AV132" s="37"/>
      <c r="AW132" s="182">
        <v>1425</v>
      </c>
      <c r="AX132" s="37">
        <v>1.85</v>
      </c>
      <c r="AY132" t="s">
        <v>574</v>
      </c>
    </row>
    <row r="133" spans="1:51" x14ac:dyDescent="0.3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2">
        <v>6025.89</v>
      </c>
      <c r="AV133" s="37">
        <v>1.8</v>
      </c>
      <c r="AW133" s="182">
        <v>300</v>
      </c>
      <c r="AX133" s="37">
        <v>1.85</v>
      </c>
      <c r="AY133" t="s">
        <v>574</v>
      </c>
    </row>
    <row r="134" spans="1:51" x14ac:dyDescent="0.3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2"/>
      <c r="AV134" s="37"/>
      <c r="AW134" s="182">
        <v>45</v>
      </c>
      <c r="AX134" s="37">
        <v>1.85</v>
      </c>
      <c r="AY134" t="s">
        <v>574</v>
      </c>
    </row>
    <row r="135" spans="1:51" x14ac:dyDescent="0.3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2"/>
      <c r="AV135" s="37"/>
      <c r="AW135" s="182"/>
      <c r="AX135" s="37"/>
      <c r="AY135" t="s">
        <v>574</v>
      </c>
    </row>
    <row r="136" spans="1:51" x14ac:dyDescent="0.3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2">
        <v>6344.6</v>
      </c>
      <c r="AV136" s="37">
        <v>1.8</v>
      </c>
      <c r="AW136" s="182">
        <v>450</v>
      </c>
      <c r="AX136" s="37">
        <v>1.85</v>
      </c>
      <c r="AY136" t="s">
        <v>574</v>
      </c>
    </row>
    <row r="137" spans="1:51" x14ac:dyDescent="0.3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2">
        <v>-2380</v>
      </c>
      <c r="AV137" s="37">
        <v>1.8</v>
      </c>
      <c r="AW137" s="182">
        <v>3945</v>
      </c>
      <c r="AX137" s="37">
        <v>1.85</v>
      </c>
      <c r="AY137" t="s">
        <v>574</v>
      </c>
    </row>
    <row r="138" spans="1:51" x14ac:dyDescent="0.3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2">
        <v>7332.47</v>
      </c>
      <c r="AV138" s="37">
        <v>1.8</v>
      </c>
      <c r="AW138" s="182">
        <v>300</v>
      </c>
      <c r="AX138" s="37">
        <v>1.85</v>
      </c>
      <c r="AY138" t="s">
        <v>574</v>
      </c>
    </row>
    <row r="139" spans="1:51" x14ac:dyDescent="0.3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2"/>
      <c r="AV139" s="37"/>
      <c r="AW139" s="182"/>
      <c r="AX139" s="37"/>
      <c r="AY139" t="s">
        <v>574</v>
      </c>
    </row>
    <row r="140" spans="1:51" x14ac:dyDescent="0.3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2"/>
      <c r="AV140" s="37"/>
      <c r="AW140" s="182"/>
      <c r="AX140" s="37"/>
      <c r="AY140" t="s">
        <v>574</v>
      </c>
    </row>
    <row r="141" spans="1:51" x14ac:dyDescent="0.3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2"/>
      <c r="AV141" s="37"/>
      <c r="AW141" s="182"/>
      <c r="AX141" s="37"/>
      <c r="AY141" t="s">
        <v>574</v>
      </c>
    </row>
    <row r="142" spans="1:51" x14ac:dyDescent="0.3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2"/>
      <c r="AV142" s="37"/>
      <c r="AW142" s="182"/>
      <c r="AX142" s="37"/>
      <c r="AY142" t="s">
        <v>574</v>
      </c>
    </row>
    <row r="143" spans="1:51" x14ac:dyDescent="0.3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2">
        <v>5604.85</v>
      </c>
      <c r="AV143" s="37">
        <v>1.85</v>
      </c>
      <c r="AW143" s="182">
        <v>3075</v>
      </c>
      <c r="AX143" s="37">
        <v>1.85</v>
      </c>
      <c r="AY143" t="s">
        <v>574</v>
      </c>
    </row>
    <row r="144" spans="1:51" x14ac:dyDescent="0.3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2">
        <v>5171.3599999999997</v>
      </c>
      <c r="AV144" s="37">
        <v>1.87</v>
      </c>
      <c r="AW144" s="182">
        <v>435</v>
      </c>
      <c r="AX144" s="37">
        <v>1.85</v>
      </c>
      <c r="AY144" t="s">
        <v>574</v>
      </c>
    </row>
    <row r="145" spans="1:51" x14ac:dyDescent="0.3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2"/>
      <c r="AV145" s="37"/>
      <c r="AW145" s="182">
        <v>750</v>
      </c>
      <c r="AX145" s="37">
        <v>1.95</v>
      </c>
      <c r="AY145" t="s">
        <v>574</v>
      </c>
    </row>
    <row r="146" spans="1:51" x14ac:dyDescent="0.3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532.53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2"/>
      <c r="AV146" s="37"/>
      <c r="AW146" s="182"/>
      <c r="AX146" s="37"/>
      <c r="AY146" t="s">
        <v>574</v>
      </c>
    </row>
    <row r="147" spans="1:51" x14ac:dyDescent="0.3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2">
        <v>6097.81</v>
      </c>
      <c r="AV147" s="37">
        <v>1.85</v>
      </c>
      <c r="AW147" s="182">
        <v>435</v>
      </c>
      <c r="AX147" s="37">
        <v>1.95</v>
      </c>
      <c r="AY147" t="s">
        <v>574</v>
      </c>
    </row>
    <row r="148" spans="1:51" x14ac:dyDescent="0.3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2"/>
      <c r="AV148" s="37"/>
      <c r="AW148" s="182"/>
      <c r="AX148" s="37"/>
      <c r="AY148" t="s">
        <v>574</v>
      </c>
    </row>
    <row r="149" spans="1:51" x14ac:dyDescent="0.3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2"/>
      <c r="AV149" s="37"/>
      <c r="AW149" s="182"/>
      <c r="AX149" s="37"/>
      <c r="AY149" t="s">
        <v>574</v>
      </c>
    </row>
    <row r="150" spans="1:51" x14ac:dyDescent="0.3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2">
        <v>6361.13</v>
      </c>
      <c r="AV150" s="37">
        <v>1.85</v>
      </c>
      <c r="AW150" s="182">
        <v>5205</v>
      </c>
      <c r="AX150" s="37">
        <v>1.95</v>
      </c>
      <c r="AY150" t="s">
        <v>574</v>
      </c>
    </row>
    <row r="151" spans="1:51" x14ac:dyDescent="0.3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2"/>
      <c r="AV151" s="37"/>
      <c r="AW151" s="182"/>
      <c r="AX151" s="37"/>
      <c r="AY151" t="s">
        <v>574</v>
      </c>
    </row>
    <row r="152" spans="1:51" x14ac:dyDescent="0.3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2">
        <v>5299.5400000000009</v>
      </c>
      <c r="AV152" s="37">
        <v>1.85</v>
      </c>
      <c r="AW152" s="182"/>
      <c r="AX152" s="37"/>
      <c r="AY152" t="s">
        <v>574</v>
      </c>
    </row>
    <row r="153" spans="1:51" x14ac:dyDescent="0.3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2">
        <v>6488.65</v>
      </c>
      <c r="AV153" s="37">
        <v>1.85</v>
      </c>
      <c r="AW153" s="182"/>
      <c r="AX153" s="37"/>
      <c r="AY153" t="s">
        <v>574</v>
      </c>
    </row>
    <row r="154" spans="1:51" x14ac:dyDescent="0.3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2">
        <v>6060.23</v>
      </c>
      <c r="AV154" s="37">
        <v>1.85</v>
      </c>
      <c r="AW154" s="182"/>
      <c r="AX154" s="37"/>
      <c r="AY154" t="s">
        <v>574</v>
      </c>
    </row>
    <row r="155" spans="1:51" x14ac:dyDescent="0.3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2">
        <v>5093.53</v>
      </c>
      <c r="AV155" s="37">
        <v>1.85</v>
      </c>
      <c r="AW155" s="182">
        <v>3495</v>
      </c>
      <c r="AX155" s="37">
        <v>1.95</v>
      </c>
      <c r="AY155" t="s">
        <v>574</v>
      </c>
    </row>
    <row r="156" spans="1:51" x14ac:dyDescent="0.3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2"/>
      <c r="AV156" s="37"/>
      <c r="AW156" s="182"/>
      <c r="AX156" s="37"/>
      <c r="AY156" t="s">
        <v>574</v>
      </c>
    </row>
    <row r="157" spans="1:51" x14ac:dyDescent="0.3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2"/>
      <c r="AV157" s="37"/>
      <c r="AW157" s="182"/>
      <c r="AX157" s="37"/>
      <c r="AY157" t="s">
        <v>574</v>
      </c>
    </row>
    <row r="158" spans="1:51" x14ac:dyDescent="0.3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2"/>
      <c r="AV158" s="37"/>
      <c r="AW158" s="182"/>
      <c r="AX158" s="37"/>
      <c r="AY158" t="s">
        <v>574</v>
      </c>
    </row>
    <row r="159" spans="1:51" x14ac:dyDescent="0.3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2">
        <v>4846.67</v>
      </c>
      <c r="AV159" s="37">
        <v>1.85</v>
      </c>
      <c r="AW159" s="182">
        <v>3000</v>
      </c>
      <c r="AX159" s="37">
        <v>1.95</v>
      </c>
      <c r="AY159" t="s">
        <v>574</v>
      </c>
    </row>
    <row r="160" spans="1:51" x14ac:dyDescent="0.3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T160" t="s">
        <v>566</v>
      </c>
      <c r="AU160" s="182"/>
      <c r="AV160" s="37"/>
      <c r="AW160" s="182"/>
      <c r="AX160" s="37"/>
      <c r="AY160" t="s">
        <v>574</v>
      </c>
    </row>
    <row r="161" spans="1:51" x14ac:dyDescent="0.3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T161" t="s">
        <v>566</v>
      </c>
      <c r="AU161" s="182"/>
      <c r="AV161" s="37"/>
      <c r="AW161" s="182"/>
      <c r="AX161" s="37"/>
      <c r="AY161" t="s">
        <v>574</v>
      </c>
    </row>
    <row r="162" spans="1:51" x14ac:dyDescent="0.3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T162" t="s">
        <v>566</v>
      </c>
      <c r="AU162" s="182"/>
      <c r="AV162" s="37"/>
      <c r="AW162" s="182"/>
      <c r="AX162" s="37"/>
      <c r="AY162" t="s">
        <v>574</v>
      </c>
    </row>
    <row r="163" spans="1:51" x14ac:dyDescent="0.3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T163" t="s">
        <v>566</v>
      </c>
      <c r="AU163" s="182">
        <v>6874.14</v>
      </c>
      <c r="AV163" s="37">
        <v>1.85</v>
      </c>
      <c r="AW163" s="182">
        <v>1650</v>
      </c>
      <c r="AX163" s="37">
        <v>1.95</v>
      </c>
      <c r="AY163" t="s">
        <v>574</v>
      </c>
    </row>
    <row r="164" spans="1:51" x14ac:dyDescent="0.3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15754.3</v>
      </c>
      <c r="T164" t="s">
        <v>299</v>
      </c>
      <c r="U164" s="37" t="s">
        <v>440</v>
      </c>
      <c r="V164" t="s">
        <v>574</v>
      </c>
      <c r="AS164" t="s">
        <v>269</v>
      </c>
      <c r="AT164" t="s">
        <v>566</v>
      </c>
      <c r="AU164" s="182"/>
      <c r="AV164" s="37"/>
      <c r="AW164" s="182">
        <v>1410</v>
      </c>
      <c r="AX164" s="37">
        <v>1.95</v>
      </c>
      <c r="AY164" t="s">
        <v>574</v>
      </c>
    </row>
    <row r="165" spans="1:51" x14ac:dyDescent="0.35">
      <c r="A165" t="s">
        <v>390</v>
      </c>
      <c r="B165" t="s">
        <v>199</v>
      </c>
      <c r="D165" s="37"/>
      <c r="E165" t="s">
        <v>592</v>
      </c>
      <c r="R165" t="s">
        <v>271</v>
      </c>
      <c r="S165">
        <f>6.4+6.4</f>
        <v>12.8</v>
      </c>
      <c r="T165" t="s">
        <v>301</v>
      </c>
      <c r="U165" s="37" t="s">
        <v>440</v>
      </c>
      <c r="V165" t="s">
        <v>574</v>
      </c>
      <c r="AS165" t="s">
        <v>270</v>
      </c>
      <c r="AT165" t="s">
        <v>566</v>
      </c>
      <c r="AU165" s="182"/>
      <c r="AV165" s="37"/>
      <c r="AW165" s="182"/>
      <c r="AX165" s="37"/>
      <c r="AY165" t="s">
        <v>574</v>
      </c>
    </row>
    <row r="166" spans="1:51" x14ac:dyDescent="0.35">
      <c r="A166" t="s">
        <v>390</v>
      </c>
      <c r="B166" t="s">
        <v>194</v>
      </c>
      <c r="D166" s="37"/>
      <c r="E166" t="s">
        <v>592</v>
      </c>
      <c r="R166" t="s">
        <v>272</v>
      </c>
      <c r="S166">
        <v>320</v>
      </c>
      <c r="T166" t="s">
        <v>301</v>
      </c>
      <c r="U166" s="37" t="s">
        <v>440</v>
      </c>
      <c r="V166" t="s">
        <v>574</v>
      </c>
      <c r="AS166" t="s">
        <v>271</v>
      </c>
      <c r="AT166" t="s">
        <v>566</v>
      </c>
      <c r="AU166" s="182">
        <v>6336.96</v>
      </c>
      <c r="AV166" s="37">
        <v>1.85</v>
      </c>
      <c r="AW166" s="182">
        <v>450</v>
      </c>
      <c r="AX166" s="37">
        <v>1.95</v>
      </c>
      <c r="AY166" t="s">
        <v>574</v>
      </c>
    </row>
    <row r="167" spans="1:51" x14ac:dyDescent="0.35">
      <c r="A167" t="s">
        <v>390</v>
      </c>
      <c r="B167" t="s">
        <v>144</v>
      </c>
      <c r="D167" s="37"/>
      <c r="E167" t="s">
        <v>592</v>
      </c>
      <c r="R167" t="s">
        <v>273</v>
      </c>
      <c r="T167" t="s">
        <v>301</v>
      </c>
      <c r="U167" s="37" t="s">
        <v>440</v>
      </c>
      <c r="V167" t="s">
        <v>617</v>
      </c>
      <c r="AS167" t="s">
        <v>272</v>
      </c>
      <c r="AT167" t="s">
        <v>566</v>
      </c>
      <c r="AU167" s="182"/>
      <c r="AV167" s="37"/>
      <c r="AW167" s="182"/>
      <c r="AX167" s="37"/>
      <c r="AY167" t="s">
        <v>574</v>
      </c>
    </row>
    <row r="168" spans="1:51" x14ac:dyDescent="0.35">
      <c r="A168" t="s">
        <v>390</v>
      </c>
      <c r="B168" t="s">
        <v>145</v>
      </c>
      <c r="D168" s="37"/>
      <c r="E168" t="s">
        <v>592</v>
      </c>
      <c r="R168" t="s">
        <v>274</v>
      </c>
      <c r="S168">
        <v>3.43</v>
      </c>
      <c r="T168" t="s">
        <v>40</v>
      </c>
      <c r="U168" s="37" t="s">
        <v>440</v>
      </c>
      <c r="V168" t="s">
        <v>574</v>
      </c>
      <c r="AS168" t="s">
        <v>273</v>
      </c>
      <c r="AT168" t="s">
        <v>566</v>
      </c>
      <c r="AU168" s="182">
        <v>4387.8100000000004</v>
      </c>
      <c r="AV168" s="37">
        <v>1.85</v>
      </c>
      <c r="AW168" s="182"/>
      <c r="AX168" s="37"/>
      <c r="AY168" t="s">
        <v>574</v>
      </c>
    </row>
    <row r="169" spans="1:51" x14ac:dyDescent="0.35">
      <c r="A169" t="s">
        <v>390</v>
      </c>
      <c r="B169" t="s">
        <v>146</v>
      </c>
      <c r="D169" s="37"/>
      <c r="E169" t="s">
        <v>592</v>
      </c>
      <c r="R169" t="s">
        <v>275</v>
      </c>
      <c r="S169">
        <v>3.43</v>
      </c>
      <c r="T169" t="s">
        <v>40</v>
      </c>
      <c r="U169" s="37" t="s">
        <v>440</v>
      </c>
      <c r="V169" t="s">
        <v>574</v>
      </c>
      <c r="AS169" t="s">
        <v>274</v>
      </c>
      <c r="AT169" t="s">
        <v>566</v>
      </c>
      <c r="AU169" s="182"/>
      <c r="AV169" s="37"/>
      <c r="AW169" s="182"/>
      <c r="AX169" s="37"/>
      <c r="AY169" t="s">
        <v>574</v>
      </c>
    </row>
    <row r="170" spans="1:51" x14ac:dyDescent="0.35">
      <c r="A170" t="s">
        <v>390</v>
      </c>
      <c r="B170" t="s">
        <v>147</v>
      </c>
      <c r="D170" s="37"/>
      <c r="E170" t="s">
        <v>592</v>
      </c>
      <c r="R170" t="s">
        <v>276</v>
      </c>
      <c r="S170">
        <v>244</v>
      </c>
      <c r="T170" t="s">
        <v>301</v>
      </c>
      <c r="U170" s="37" t="s">
        <v>440</v>
      </c>
      <c r="V170" t="s">
        <v>574</v>
      </c>
      <c r="AS170" t="s">
        <v>275</v>
      </c>
      <c r="AT170" t="s">
        <v>566</v>
      </c>
      <c r="AU170" s="182">
        <v>6257.18</v>
      </c>
      <c r="AV170" s="37">
        <v>1.85</v>
      </c>
      <c r="AW170" s="182">
        <v>600</v>
      </c>
      <c r="AX170" s="37">
        <v>1.95</v>
      </c>
      <c r="AY170" t="s">
        <v>574</v>
      </c>
    </row>
    <row r="171" spans="1:51" x14ac:dyDescent="0.3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V171" t="s">
        <v>574</v>
      </c>
      <c r="AS171" t="s">
        <v>276</v>
      </c>
      <c r="AT171" t="s">
        <v>566</v>
      </c>
      <c r="AU171" s="182"/>
      <c r="AV171" s="37"/>
      <c r="AW171" s="182">
        <v>1800</v>
      </c>
      <c r="AX171" s="37">
        <v>1.95</v>
      </c>
      <c r="AY171" t="s">
        <v>574</v>
      </c>
    </row>
    <row r="172" spans="1:51" x14ac:dyDescent="0.35">
      <c r="A172" t="s">
        <v>391</v>
      </c>
      <c r="B172" t="s">
        <v>445</v>
      </c>
      <c r="D172" s="37"/>
      <c r="E172" t="s">
        <v>592</v>
      </c>
      <c r="R172" t="s">
        <v>278</v>
      </c>
      <c r="S172">
        <v>14.46</v>
      </c>
      <c r="T172" t="s">
        <v>301</v>
      </c>
      <c r="U172" s="37" t="s">
        <v>440</v>
      </c>
      <c r="V172" t="s">
        <v>574</v>
      </c>
      <c r="W172" t="s">
        <v>623</v>
      </c>
      <c r="AS172" t="s">
        <v>277</v>
      </c>
      <c r="AT172" t="s">
        <v>566</v>
      </c>
      <c r="AU172" s="182"/>
      <c r="AV172" s="37"/>
      <c r="AW172" s="182"/>
      <c r="AX172" s="37"/>
      <c r="AY172" t="s">
        <v>574</v>
      </c>
    </row>
    <row r="173" spans="1:51" x14ac:dyDescent="0.3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V173" t="s">
        <v>574</v>
      </c>
      <c r="AS173" t="s">
        <v>278</v>
      </c>
      <c r="AT173" t="s">
        <v>566</v>
      </c>
      <c r="AU173" s="182">
        <v>4186.99</v>
      </c>
      <c r="AV173" s="37">
        <v>1.85</v>
      </c>
      <c r="AW173" s="182"/>
      <c r="AX173" s="37"/>
      <c r="AY173" t="s">
        <v>574</v>
      </c>
    </row>
    <row r="174" spans="1:51" x14ac:dyDescent="0.3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V174" t="s">
        <v>574</v>
      </c>
      <c r="AS174" t="s">
        <v>279</v>
      </c>
      <c r="AT174" t="s">
        <v>566</v>
      </c>
      <c r="AU174" s="182"/>
      <c r="AV174" s="37"/>
      <c r="AW174" s="182">
        <v>360</v>
      </c>
      <c r="AX174" s="37">
        <v>1.95</v>
      </c>
      <c r="AY174" t="s">
        <v>574</v>
      </c>
    </row>
    <row r="175" spans="1:51" x14ac:dyDescent="0.3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V175" t="s">
        <v>574</v>
      </c>
      <c r="AS175" t="s">
        <v>280</v>
      </c>
      <c r="AT175" t="s">
        <v>566</v>
      </c>
      <c r="AU175" s="182"/>
      <c r="AV175" s="37"/>
      <c r="AW175" s="182">
        <v>465</v>
      </c>
      <c r="AX175" s="37">
        <v>1.95</v>
      </c>
      <c r="AY175" t="s">
        <v>574</v>
      </c>
    </row>
    <row r="176" spans="1:51" x14ac:dyDescent="0.3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2"/>
      <c r="AV176" s="37"/>
      <c r="AW176" s="182"/>
      <c r="AX176" s="37"/>
    </row>
    <row r="177" spans="1:50" x14ac:dyDescent="0.3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2"/>
      <c r="AV177" s="37"/>
      <c r="AW177" s="182"/>
      <c r="AX177" s="37"/>
    </row>
    <row r="178" spans="1:50" x14ac:dyDescent="0.3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2"/>
      <c r="AV178" s="37"/>
      <c r="AW178" s="182"/>
      <c r="AX178" s="37"/>
    </row>
    <row r="179" spans="1:50" x14ac:dyDescent="0.3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2"/>
      <c r="AV179" s="37"/>
      <c r="AW179" s="182"/>
      <c r="AX179" s="37"/>
    </row>
    <row r="180" spans="1:50" x14ac:dyDescent="0.3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2"/>
      <c r="AV180" s="37"/>
      <c r="AW180" s="182"/>
      <c r="AX180" s="37"/>
    </row>
    <row r="181" spans="1:50" x14ac:dyDescent="0.3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2"/>
      <c r="AV181" s="37"/>
      <c r="AW181" s="182"/>
      <c r="AX181" s="37"/>
    </row>
    <row r="182" spans="1:50" x14ac:dyDescent="0.3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2"/>
      <c r="AV182" s="37"/>
      <c r="AW182" s="182"/>
      <c r="AX182" s="37"/>
    </row>
    <row r="183" spans="1:50" x14ac:dyDescent="0.3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2"/>
      <c r="AV183" s="37"/>
      <c r="AW183" s="182"/>
      <c r="AX183" s="37"/>
    </row>
    <row r="184" spans="1:50" x14ac:dyDescent="0.3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2"/>
      <c r="AV184" s="37"/>
      <c r="AW184" s="182"/>
      <c r="AX184" s="37"/>
    </row>
    <row r="185" spans="1:50" x14ac:dyDescent="0.3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2"/>
      <c r="AV185" s="37"/>
      <c r="AW185" s="182"/>
      <c r="AX185" s="37"/>
    </row>
    <row r="186" spans="1:50" x14ac:dyDescent="0.3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2"/>
      <c r="AV186" s="37"/>
      <c r="AW186" s="182"/>
      <c r="AX186" s="37"/>
    </row>
    <row r="187" spans="1:50" x14ac:dyDescent="0.3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2"/>
      <c r="AV187" s="37"/>
      <c r="AW187" s="182"/>
      <c r="AX187" s="37"/>
    </row>
    <row r="188" spans="1:50" x14ac:dyDescent="0.3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2"/>
      <c r="AV188" s="37"/>
      <c r="AW188" s="182"/>
      <c r="AX188" s="37"/>
    </row>
    <row r="189" spans="1:50" x14ac:dyDescent="0.3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2"/>
      <c r="AV189" s="37"/>
      <c r="AW189" s="182"/>
      <c r="AX189" s="37"/>
    </row>
    <row r="190" spans="1:50" x14ac:dyDescent="0.3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2"/>
      <c r="AV190" s="37"/>
      <c r="AW190" s="182"/>
      <c r="AX190" s="37"/>
    </row>
    <row r="191" spans="1:50" x14ac:dyDescent="0.3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2"/>
      <c r="AV191" s="37"/>
      <c r="AW191" s="182"/>
      <c r="AX191" s="37"/>
    </row>
    <row r="192" spans="1:50" x14ac:dyDescent="0.35">
      <c r="A192" t="s">
        <v>392</v>
      </c>
      <c r="B192" t="s">
        <v>303</v>
      </c>
      <c r="D192" s="37"/>
      <c r="E192" t="s">
        <v>592</v>
      </c>
      <c r="R192" t="s">
        <v>270</v>
      </c>
      <c r="S192">
        <v>20.234999999999999</v>
      </c>
      <c r="T192" t="s">
        <v>301</v>
      </c>
      <c r="U192" s="37" t="s">
        <v>440</v>
      </c>
      <c r="V192" t="s">
        <v>574</v>
      </c>
      <c r="AS192" t="s">
        <v>297</v>
      </c>
      <c r="AU192" s="182"/>
      <c r="AV192" s="37"/>
      <c r="AW192" s="182"/>
      <c r="AX192" s="37"/>
    </row>
    <row r="193" spans="1:22" x14ac:dyDescent="0.35">
      <c r="A193" t="s">
        <v>392</v>
      </c>
      <c r="B193" t="s">
        <v>199</v>
      </c>
      <c r="D193" s="37"/>
      <c r="E193" t="s">
        <v>592</v>
      </c>
      <c r="R193" t="s">
        <v>270</v>
      </c>
      <c r="S193">
        <v>1555.8</v>
      </c>
      <c r="T193" t="s">
        <v>445</v>
      </c>
      <c r="U193" s="37" t="s">
        <v>440</v>
      </c>
      <c r="V193" t="s">
        <v>574</v>
      </c>
    </row>
    <row r="194" spans="1:22" x14ac:dyDescent="0.35">
      <c r="A194" t="s">
        <v>392</v>
      </c>
      <c r="B194" t="s">
        <v>194</v>
      </c>
      <c r="D194" s="37"/>
      <c r="E194" t="s">
        <v>592</v>
      </c>
    </row>
    <row r="195" spans="1:22" x14ac:dyDescent="0.35">
      <c r="A195" t="s">
        <v>392</v>
      </c>
      <c r="B195" t="s">
        <v>144</v>
      </c>
      <c r="D195" s="37"/>
      <c r="E195" t="s">
        <v>592</v>
      </c>
    </row>
    <row r="196" spans="1:22" x14ac:dyDescent="0.35">
      <c r="A196" t="s">
        <v>392</v>
      </c>
      <c r="B196" t="s">
        <v>145</v>
      </c>
      <c r="D196" s="37"/>
      <c r="E196" t="s">
        <v>592</v>
      </c>
    </row>
    <row r="197" spans="1:22" x14ac:dyDescent="0.35">
      <c r="A197" t="s">
        <v>392</v>
      </c>
      <c r="B197" t="s">
        <v>146</v>
      </c>
      <c r="D197" s="37"/>
      <c r="E197" t="s">
        <v>592</v>
      </c>
    </row>
    <row r="198" spans="1:22" x14ac:dyDescent="0.35">
      <c r="A198" t="s">
        <v>392</v>
      </c>
      <c r="B198" t="s">
        <v>147</v>
      </c>
      <c r="D198" s="37"/>
      <c r="E198" t="s">
        <v>592</v>
      </c>
    </row>
    <row r="199" spans="1:22" x14ac:dyDescent="0.3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22" x14ac:dyDescent="0.35">
      <c r="A200" t="s">
        <v>393</v>
      </c>
      <c r="B200" t="s">
        <v>445</v>
      </c>
      <c r="D200" s="37"/>
      <c r="E200" t="s">
        <v>592</v>
      </c>
    </row>
    <row r="201" spans="1:22" x14ac:dyDescent="0.35">
      <c r="A201" t="s">
        <v>393</v>
      </c>
      <c r="B201" t="s">
        <v>189</v>
      </c>
      <c r="D201" s="37"/>
      <c r="E201" t="s">
        <v>592</v>
      </c>
    </row>
    <row r="202" spans="1:22" x14ac:dyDescent="0.35">
      <c r="A202" t="s">
        <v>393</v>
      </c>
      <c r="B202" t="s">
        <v>190</v>
      </c>
      <c r="D202" s="37"/>
      <c r="E202" t="s">
        <v>592</v>
      </c>
    </row>
    <row r="203" spans="1:22" x14ac:dyDescent="0.3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22" x14ac:dyDescent="0.35">
      <c r="A204" t="s">
        <v>393</v>
      </c>
      <c r="B204" t="s">
        <v>446</v>
      </c>
      <c r="D204" s="37"/>
      <c r="E204" t="s">
        <v>592</v>
      </c>
    </row>
    <row r="205" spans="1:22" x14ac:dyDescent="0.35">
      <c r="A205" t="s">
        <v>393</v>
      </c>
      <c r="B205" t="s">
        <v>40</v>
      </c>
      <c r="D205" s="37"/>
      <c r="E205" t="s">
        <v>592</v>
      </c>
    </row>
    <row r="206" spans="1:22" x14ac:dyDescent="0.35">
      <c r="A206" t="s">
        <v>393</v>
      </c>
      <c r="B206" t="s">
        <v>303</v>
      </c>
      <c r="D206" s="37"/>
      <c r="E206" t="s">
        <v>592</v>
      </c>
    </row>
    <row r="207" spans="1:22" x14ac:dyDescent="0.35">
      <c r="A207" t="s">
        <v>393</v>
      </c>
      <c r="B207" t="s">
        <v>199</v>
      </c>
      <c r="D207" s="37"/>
      <c r="E207" t="s">
        <v>592</v>
      </c>
    </row>
    <row r="208" spans="1:22" x14ac:dyDescent="0.35">
      <c r="A208" t="s">
        <v>393</v>
      </c>
      <c r="B208" t="s">
        <v>194</v>
      </c>
      <c r="D208" s="37"/>
      <c r="E208" t="s">
        <v>592</v>
      </c>
    </row>
    <row r="209" spans="1:5" x14ac:dyDescent="0.35">
      <c r="A209" t="s">
        <v>393</v>
      </c>
      <c r="B209" t="s">
        <v>144</v>
      </c>
      <c r="D209" s="37"/>
      <c r="E209" t="s">
        <v>592</v>
      </c>
    </row>
    <row r="210" spans="1:5" x14ac:dyDescent="0.35">
      <c r="A210" t="s">
        <v>393</v>
      </c>
      <c r="B210" t="s">
        <v>145</v>
      </c>
      <c r="D210" s="37"/>
      <c r="E210" t="s">
        <v>592</v>
      </c>
    </row>
    <row r="211" spans="1:5" x14ac:dyDescent="0.35">
      <c r="A211" t="s">
        <v>393</v>
      </c>
      <c r="B211" t="s">
        <v>146</v>
      </c>
      <c r="D211" s="37"/>
      <c r="E211" t="s">
        <v>592</v>
      </c>
    </row>
    <row r="212" spans="1:5" x14ac:dyDescent="0.35">
      <c r="A212" t="s">
        <v>393</v>
      </c>
      <c r="B212" t="s">
        <v>147</v>
      </c>
      <c r="D212" s="37"/>
      <c r="E212" t="s">
        <v>592</v>
      </c>
    </row>
    <row r="213" spans="1:5" x14ac:dyDescent="0.3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35">
      <c r="A214" t="s">
        <v>394</v>
      </c>
      <c r="B214" t="s">
        <v>445</v>
      </c>
      <c r="D214" s="37"/>
      <c r="E214" t="s">
        <v>592</v>
      </c>
    </row>
    <row r="215" spans="1:5" x14ac:dyDescent="0.35">
      <c r="A215" t="s">
        <v>394</v>
      </c>
      <c r="B215" t="s">
        <v>189</v>
      </c>
      <c r="D215" s="37"/>
      <c r="E215" t="s">
        <v>592</v>
      </c>
    </row>
    <row r="216" spans="1:5" x14ac:dyDescent="0.35">
      <c r="A216" t="s">
        <v>394</v>
      </c>
      <c r="B216" t="s">
        <v>190</v>
      </c>
      <c r="D216" s="37"/>
      <c r="E216" t="s">
        <v>592</v>
      </c>
    </row>
    <row r="217" spans="1:5" x14ac:dyDescent="0.3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35">
      <c r="A218" t="s">
        <v>394</v>
      </c>
      <c r="B218" t="s">
        <v>446</v>
      </c>
      <c r="D218" s="37"/>
      <c r="E218" t="s">
        <v>592</v>
      </c>
    </row>
    <row r="219" spans="1:5" x14ac:dyDescent="0.3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35">
      <c r="A220" t="s">
        <v>394</v>
      </c>
      <c r="B220" t="s">
        <v>303</v>
      </c>
      <c r="D220" s="37"/>
      <c r="E220" t="s">
        <v>592</v>
      </c>
    </row>
    <row r="221" spans="1:5" x14ac:dyDescent="0.35">
      <c r="A221" t="s">
        <v>394</v>
      </c>
      <c r="B221" t="s">
        <v>199</v>
      </c>
      <c r="D221" s="37"/>
      <c r="E221" t="s">
        <v>592</v>
      </c>
    </row>
    <row r="222" spans="1:5" x14ac:dyDescent="0.35">
      <c r="A222" t="s">
        <v>394</v>
      </c>
      <c r="B222" t="s">
        <v>194</v>
      </c>
      <c r="D222" s="37"/>
      <c r="E222" t="s">
        <v>592</v>
      </c>
    </row>
    <row r="223" spans="1:5" x14ac:dyDescent="0.35">
      <c r="A223" t="s">
        <v>394</v>
      </c>
      <c r="B223" t="s">
        <v>144</v>
      </c>
      <c r="D223" s="37"/>
      <c r="E223" t="s">
        <v>592</v>
      </c>
    </row>
    <row r="224" spans="1:5" x14ac:dyDescent="0.35">
      <c r="A224" t="s">
        <v>394</v>
      </c>
      <c r="B224" t="s">
        <v>145</v>
      </c>
      <c r="D224" s="37"/>
      <c r="E224" t="s">
        <v>592</v>
      </c>
    </row>
    <row r="225" spans="1:5" x14ac:dyDescent="0.35">
      <c r="A225" t="s">
        <v>394</v>
      </c>
      <c r="B225" t="s">
        <v>146</v>
      </c>
      <c r="D225" s="37"/>
      <c r="E225" t="s">
        <v>592</v>
      </c>
    </row>
    <row r="226" spans="1:5" x14ac:dyDescent="0.35">
      <c r="A226" t="s">
        <v>394</v>
      </c>
      <c r="B226" t="s">
        <v>147</v>
      </c>
      <c r="D226" s="37"/>
      <c r="E226" t="s">
        <v>592</v>
      </c>
    </row>
    <row r="227" spans="1:5" x14ac:dyDescent="0.3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35">
      <c r="A228" t="s">
        <v>395</v>
      </c>
      <c r="B228" t="s">
        <v>445</v>
      </c>
      <c r="D228" s="37"/>
      <c r="E228" t="s">
        <v>592</v>
      </c>
    </row>
    <row r="229" spans="1:5" x14ac:dyDescent="0.35">
      <c r="A229" t="s">
        <v>395</v>
      </c>
      <c r="B229" t="s">
        <v>189</v>
      </c>
      <c r="D229" s="37"/>
      <c r="E229" t="s">
        <v>592</v>
      </c>
    </row>
    <row r="230" spans="1:5" x14ac:dyDescent="0.35">
      <c r="A230" t="s">
        <v>395</v>
      </c>
      <c r="B230" t="s">
        <v>190</v>
      </c>
      <c r="D230" s="37"/>
      <c r="E230" t="s">
        <v>592</v>
      </c>
    </row>
    <row r="231" spans="1:5" x14ac:dyDescent="0.3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3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35">
      <c r="A233" t="s">
        <v>395</v>
      </c>
      <c r="B233" t="s">
        <v>40</v>
      </c>
      <c r="D233" s="37"/>
      <c r="E233" t="s">
        <v>592</v>
      </c>
    </row>
    <row r="234" spans="1:5" x14ac:dyDescent="0.35">
      <c r="A234" t="s">
        <v>395</v>
      </c>
      <c r="B234" t="s">
        <v>303</v>
      </c>
      <c r="D234" s="37"/>
      <c r="E234" t="s">
        <v>592</v>
      </c>
    </row>
    <row r="235" spans="1:5" x14ac:dyDescent="0.35">
      <c r="A235" t="s">
        <v>395</v>
      </c>
      <c r="B235" t="s">
        <v>199</v>
      </c>
      <c r="D235" s="37"/>
      <c r="E235" t="s">
        <v>592</v>
      </c>
    </row>
    <row r="236" spans="1:5" x14ac:dyDescent="0.35">
      <c r="A236" t="s">
        <v>395</v>
      </c>
      <c r="B236" t="s">
        <v>194</v>
      </c>
      <c r="D236" s="37"/>
      <c r="E236" t="s">
        <v>592</v>
      </c>
    </row>
    <row r="237" spans="1:5" x14ac:dyDescent="0.35">
      <c r="A237" t="s">
        <v>395</v>
      </c>
      <c r="B237" t="s">
        <v>144</v>
      </c>
      <c r="D237" s="37"/>
      <c r="E237" t="s">
        <v>592</v>
      </c>
    </row>
    <row r="238" spans="1:5" x14ac:dyDescent="0.35">
      <c r="A238" t="s">
        <v>395</v>
      </c>
      <c r="B238" t="s">
        <v>145</v>
      </c>
      <c r="D238" s="37"/>
      <c r="E238" t="s">
        <v>592</v>
      </c>
    </row>
    <row r="239" spans="1:5" x14ac:dyDescent="0.35">
      <c r="A239" t="s">
        <v>395</v>
      </c>
      <c r="B239" t="s">
        <v>146</v>
      </c>
      <c r="D239" s="37"/>
      <c r="E239" t="s">
        <v>592</v>
      </c>
    </row>
    <row r="240" spans="1:5" x14ac:dyDescent="0.35">
      <c r="A240" t="s">
        <v>395</v>
      </c>
      <c r="B240" t="s">
        <v>147</v>
      </c>
      <c r="D240" s="37"/>
      <c r="E240" t="s">
        <v>592</v>
      </c>
    </row>
    <row r="241" spans="1:5" x14ac:dyDescent="0.3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35">
      <c r="A242" t="s">
        <v>396</v>
      </c>
      <c r="B242" t="s">
        <v>445</v>
      </c>
      <c r="D242" s="37"/>
      <c r="E242" t="s">
        <v>592</v>
      </c>
    </row>
    <row r="243" spans="1:5" x14ac:dyDescent="0.35">
      <c r="A243" t="s">
        <v>396</v>
      </c>
      <c r="B243" t="s">
        <v>189</v>
      </c>
      <c r="D243" s="37"/>
      <c r="E243" t="s">
        <v>592</v>
      </c>
    </row>
    <row r="244" spans="1:5" x14ac:dyDescent="0.35">
      <c r="A244" t="s">
        <v>396</v>
      </c>
      <c r="B244" t="s">
        <v>190</v>
      </c>
      <c r="D244" s="37"/>
      <c r="E244" t="s">
        <v>592</v>
      </c>
    </row>
    <row r="245" spans="1:5" x14ac:dyDescent="0.3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35">
      <c r="A246" t="s">
        <v>396</v>
      </c>
      <c r="B246" t="s">
        <v>446</v>
      </c>
      <c r="D246" s="37"/>
      <c r="E246" t="s">
        <v>592</v>
      </c>
    </row>
    <row r="247" spans="1:5" x14ac:dyDescent="0.35">
      <c r="A247" t="s">
        <v>396</v>
      </c>
      <c r="B247" t="s">
        <v>40</v>
      </c>
      <c r="D247" s="37"/>
      <c r="E247" t="s">
        <v>592</v>
      </c>
    </row>
    <row r="248" spans="1:5" x14ac:dyDescent="0.35">
      <c r="A248" t="s">
        <v>396</v>
      </c>
      <c r="B248" t="s">
        <v>303</v>
      </c>
      <c r="D248" s="37"/>
      <c r="E248" t="s">
        <v>592</v>
      </c>
    </row>
    <row r="249" spans="1:5" x14ac:dyDescent="0.35">
      <c r="A249" t="s">
        <v>396</v>
      </c>
      <c r="B249" t="s">
        <v>199</v>
      </c>
      <c r="D249" s="37"/>
      <c r="E249" t="s">
        <v>592</v>
      </c>
    </row>
    <row r="250" spans="1:5" x14ac:dyDescent="0.35">
      <c r="A250" t="s">
        <v>396</v>
      </c>
      <c r="B250" t="s">
        <v>194</v>
      </c>
      <c r="D250" s="37"/>
      <c r="E250" t="s">
        <v>592</v>
      </c>
    </row>
    <row r="251" spans="1:5" x14ac:dyDescent="0.35">
      <c r="A251" t="s">
        <v>396</v>
      </c>
      <c r="B251" t="s">
        <v>144</v>
      </c>
      <c r="D251" s="37"/>
      <c r="E251" t="s">
        <v>592</v>
      </c>
    </row>
    <row r="252" spans="1:5" x14ac:dyDescent="0.35">
      <c r="A252" t="s">
        <v>396</v>
      </c>
      <c r="B252" t="s">
        <v>145</v>
      </c>
      <c r="D252" s="37"/>
      <c r="E252" t="s">
        <v>592</v>
      </c>
    </row>
    <row r="253" spans="1:5" x14ac:dyDescent="0.35">
      <c r="A253" t="s">
        <v>396</v>
      </c>
      <c r="B253" t="s">
        <v>146</v>
      </c>
      <c r="D253" s="37"/>
      <c r="E253" t="s">
        <v>592</v>
      </c>
    </row>
    <row r="254" spans="1:5" x14ac:dyDescent="0.35">
      <c r="A254" t="s">
        <v>396</v>
      </c>
      <c r="B254" t="s">
        <v>147</v>
      </c>
      <c r="D254" s="37"/>
      <c r="E254" t="s">
        <v>592</v>
      </c>
    </row>
    <row r="255" spans="1:5" x14ac:dyDescent="0.3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35">
      <c r="A256" t="s">
        <v>397</v>
      </c>
      <c r="B256" t="s">
        <v>445</v>
      </c>
      <c r="D256" s="37"/>
      <c r="E256" t="s">
        <v>592</v>
      </c>
    </row>
    <row r="257" spans="1:5" x14ac:dyDescent="0.35">
      <c r="A257" t="s">
        <v>397</v>
      </c>
      <c r="B257" t="s">
        <v>189</v>
      </c>
      <c r="D257" s="37"/>
      <c r="E257" t="s">
        <v>592</v>
      </c>
    </row>
    <row r="258" spans="1:5" x14ac:dyDescent="0.35">
      <c r="A258" t="s">
        <v>397</v>
      </c>
      <c r="B258" t="s">
        <v>190</v>
      </c>
      <c r="D258" s="37"/>
      <c r="E258" t="s">
        <v>592</v>
      </c>
    </row>
    <row r="259" spans="1:5" x14ac:dyDescent="0.3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35">
      <c r="A260" t="s">
        <v>397</v>
      </c>
      <c r="B260" t="s">
        <v>446</v>
      </c>
      <c r="D260" s="37"/>
      <c r="E260" t="s">
        <v>592</v>
      </c>
    </row>
    <row r="261" spans="1:5" x14ac:dyDescent="0.3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35">
      <c r="A262" t="s">
        <v>397</v>
      </c>
      <c r="B262" t="s">
        <v>303</v>
      </c>
      <c r="D262" s="37"/>
      <c r="E262" t="s">
        <v>592</v>
      </c>
    </row>
    <row r="263" spans="1:5" x14ac:dyDescent="0.35">
      <c r="A263" t="s">
        <v>397</v>
      </c>
      <c r="B263" t="s">
        <v>199</v>
      </c>
      <c r="D263" s="37"/>
      <c r="E263" t="s">
        <v>592</v>
      </c>
    </row>
    <row r="264" spans="1:5" x14ac:dyDescent="0.35">
      <c r="A264" t="s">
        <v>397</v>
      </c>
      <c r="B264" t="s">
        <v>194</v>
      </c>
      <c r="D264" s="37"/>
      <c r="E264" t="s">
        <v>592</v>
      </c>
    </row>
    <row r="265" spans="1:5" x14ac:dyDescent="0.35">
      <c r="A265" t="s">
        <v>397</v>
      </c>
      <c r="B265" t="s">
        <v>144</v>
      </c>
      <c r="D265" s="37"/>
      <c r="E265" t="s">
        <v>592</v>
      </c>
    </row>
    <row r="266" spans="1:5" x14ac:dyDescent="0.3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35">
      <c r="A267" t="s">
        <v>397</v>
      </c>
      <c r="B267" t="s">
        <v>146</v>
      </c>
      <c r="D267" s="37"/>
      <c r="E267" t="s">
        <v>592</v>
      </c>
    </row>
    <row r="268" spans="1:5" x14ac:dyDescent="0.35">
      <c r="A268" t="s">
        <v>397</v>
      </c>
      <c r="B268" t="s">
        <v>147</v>
      </c>
      <c r="D268" s="37"/>
      <c r="E268" t="s">
        <v>592</v>
      </c>
    </row>
    <row r="269" spans="1:5" x14ac:dyDescent="0.3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35">
      <c r="A270" t="s">
        <v>398</v>
      </c>
      <c r="B270" t="s">
        <v>445</v>
      </c>
      <c r="D270" s="37"/>
      <c r="E270" t="s">
        <v>592</v>
      </c>
    </row>
    <row r="271" spans="1:5" x14ac:dyDescent="0.35">
      <c r="A271" t="s">
        <v>398</v>
      </c>
      <c r="B271" t="s">
        <v>189</v>
      </c>
      <c r="D271" s="37"/>
      <c r="E271" t="s">
        <v>592</v>
      </c>
    </row>
    <row r="272" spans="1:5" x14ac:dyDescent="0.35">
      <c r="A272" t="s">
        <v>398</v>
      </c>
      <c r="B272" t="s">
        <v>190</v>
      </c>
      <c r="D272" s="37"/>
      <c r="E272" t="s">
        <v>592</v>
      </c>
    </row>
    <row r="273" spans="1:5" x14ac:dyDescent="0.3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3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35">
      <c r="A275" t="s">
        <v>398</v>
      </c>
      <c r="B275" t="s">
        <v>40</v>
      </c>
      <c r="D275" s="37"/>
      <c r="E275" t="s">
        <v>592</v>
      </c>
    </row>
    <row r="276" spans="1:5" x14ac:dyDescent="0.35">
      <c r="A276" t="s">
        <v>398</v>
      </c>
      <c r="B276" t="s">
        <v>303</v>
      </c>
      <c r="D276" s="37"/>
      <c r="E276" t="s">
        <v>592</v>
      </c>
    </row>
    <row r="277" spans="1:5" x14ac:dyDescent="0.35">
      <c r="A277" t="s">
        <v>398</v>
      </c>
      <c r="B277" t="s">
        <v>199</v>
      </c>
      <c r="D277" s="37"/>
      <c r="E277" t="s">
        <v>592</v>
      </c>
    </row>
    <row r="278" spans="1:5" x14ac:dyDescent="0.35">
      <c r="A278" t="s">
        <v>398</v>
      </c>
      <c r="B278" t="s">
        <v>194</v>
      </c>
      <c r="D278" s="37"/>
      <c r="E278" t="s">
        <v>592</v>
      </c>
    </row>
    <row r="279" spans="1:5" x14ac:dyDescent="0.35">
      <c r="A279" t="s">
        <v>398</v>
      </c>
      <c r="B279" t="s">
        <v>144</v>
      </c>
      <c r="D279" s="37"/>
      <c r="E279" t="s">
        <v>592</v>
      </c>
    </row>
    <row r="280" spans="1:5" x14ac:dyDescent="0.35">
      <c r="A280" t="s">
        <v>398</v>
      </c>
      <c r="B280" t="s">
        <v>145</v>
      </c>
      <c r="D280" s="37"/>
      <c r="E280" t="s">
        <v>592</v>
      </c>
    </row>
    <row r="281" spans="1:5" x14ac:dyDescent="0.35">
      <c r="A281" t="s">
        <v>398</v>
      </c>
      <c r="B281" t="s">
        <v>146</v>
      </c>
      <c r="D281" s="37"/>
      <c r="E281" t="s">
        <v>592</v>
      </c>
    </row>
    <row r="282" spans="1:5" x14ac:dyDescent="0.35">
      <c r="A282" t="s">
        <v>398</v>
      </c>
      <c r="B282" t="s">
        <v>147</v>
      </c>
      <c r="D282" s="37"/>
      <c r="E282" t="s">
        <v>592</v>
      </c>
    </row>
    <row r="283" spans="1:5" x14ac:dyDescent="0.3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35">
      <c r="A284" t="s">
        <v>399</v>
      </c>
      <c r="B284" t="s">
        <v>445</v>
      </c>
      <c r="D284" s="37"/>
      <c r="E284" t="s">
        <v>592</v>
      </c>
    </row>
    <row r="285" spans="1:5" x14ac:dyDescent="0.35">
      <c r="A285" t="s">
        <v>399</v>
      </c>
      <c r="B285" t="s">
        <v>189</v>
      </c>
      <c r="D285" s="37"/>
      <c r="E285" t="s">
        <v>592</v>
      </c>
    </row>
    <row r="286" spans="1:5" x14ac:dyDescent="0.35">
      <c r="A286" t="s">
        <v>399</v>
      </c>
      <c r="B286" t="s">
        <v>190</v>
      </c>
      <c r="D286" s="37"/>
      <c r="E286" t="s">
        <v>592</v>
      </c>
    </row>
    <row r="287" spans="1:5" x14ac:dyDescent="0.3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3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3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35">
      <c r="A290" t="s">
        <v>399</v>
      </c>
      <c r="B290" t="s">
        <v>303</v>
      </c>
      <c r="D290" s="37"/>
      <c r="E290" t="s">
        <v>592</v>
      </c>
    </row>
    <row r="291" spans="1:5" x14ac:dyDescent="0.35">
      <c r="A291" t="s">
        <v>399</v>
      </c>
      <c r="B291" t="s">
        <v>199</v>
      </c>
      <c r="D291" s="37"/>
      <c r="E291" t="s">
        <v>592</v>
      </c>
    </row>
    <row r="292" spans="1:5" x14ac:dyDescent="0.35">
      <c r="A292" t="s">
        <v>399</v>
      </c>
      <c r="B292" t="s">
        <v>194</v>
      </c>
      <c r="D292" s="37"/>
      <c r="E292" t="s">
        <v>592</v>
      </c>
    </row>
    <row r="293" spans="1:5" x14ac:dyDescent="0.35">
      <c r="A293" t="s">
        <v>399</v>
      </c>
      <c r="B293" t="s">
        <v>144</v>
      </c>
      <c r="D293" s="37"/>
      <c r="E293" t="s">
        <v>592</v>
      </c>
    </row>
    <row r="294" spans="1:5" x14ac:dyDescent="0.35">
      <c r="A294" t="s">
        <v>399</v>
      </c>
      <c r="B294" t="s">
        <v>145</v>
      </c>
      <c r="D294" s="37"/>
      <c r="E294" t="s">
        <v>592</v>
      </c>
    </row>
    <row r="295" spans="1:5" x14ac:dyDescent="0.35">
      <c r="A295" t="s">
        <v>399</v>
      </c>
      <c r="B295" t="s">
        <v>146</v>
      </c>
      <c r="D295" s="37"/>
      <c r="E295" t="s">
        <v>592</v>
      </c>
    </row>
    <row r="296" spans="1:5" x14ac:dyDescent="0.35">
      <c r="A296" t="s">
        <v>399</v>
      </c>
      <c r="B296" t="s">
        <v>147</v>
      </c>
      <c r="D296" s="37"/>
      <c r="E296" t="s">
        <v>592</v>
      </c>
    </row>
    <row r="297" spans="1:5" x14ac:dyDescent="0.3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35">
      <c r="A298" t="s">
        <v>400</v>
      </c>
      <c r="B298" t="s">
        <v>445</v>
      </c>
      <c r="D298" s="37"/>
      <c r="E298" t="s">
        <v>592</v>
      </c>
    </row>
    <row r="299" spans="1:5" x14ac:dyDescent="0.35">
      <c r="A299" t="s">
        <v>400</v>
      </c>
      <c r="B299" t="s">
        <v>189</v>
      </c>
      <c r="D299" s="37"/>
      <c r="E299" t="s">
        <v>592</v>
      </c>
    </row>
    <row r="300" spans="1:5" x14ac:dyDescent="0.35">
      <c r="A300" t="s">
        <v>400</v>
      </c>
      <c r="B300" t="s">
        <v>190</v>
      </c>
      <c r="D300" s="37"/>
      <c r="E300" t="s">
        <v>592</v>
      </c>
    </row>
    <row r="301" spans="1:5" x14ac:dyDescent="0.3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3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3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35">
      <c r="A304" t="s">
        <v>400</v>
      </c>
      <c r="B304" t="s">
        <v>303</v>
      </c>
      <c r="D304" s="37"/>
      <c r="E304" t="s">
        <v>592</v>
      </c>
    </row>
    <row r="305" spans="1:5" x14ac:dyDescent="0.35">
      <c r="A305" t="s">
        <v>400</v>
      </c>
      <c r="B305" t="s">
        <v>199</v>
      </c>
      <c r="D305" s="37"/>
      <c r="E305" t="s">
        <v>592</v>
      </c>
    </row>
    <row r="306" spans="1:5" x14ac:dyDescent="0.35">
      <c r="A306" t="s">
        <v>400</v>
      </c>
      <c r="B306" t="s">
        <v>194</v>
      </c>
      <c r="D306" s="37"/>
      <c r="E306" t="s">
        <v>592</v>
      </c>
    </row>
    <row r="307" spans="1:5" x14ac:dyDescent="0.35">
      <c r="A307" t="s">
        <v>400</v>
      </c>
      <c r="B307" t="s">
        <v>144</v>
      </c>
      <c r="D307" s="37"/>
      <c r="E307" t="s">
        <v>592</v>
      </c>
    </row>
    <row r="308" spans="1:5" x14ac:dyDescent="0.35">
      <c r="A308" t="s">
        <v>400</v>
      </c>
      <c r="B308" t="s">
        <v>145</v>
      </c>
      <c r="D308" s="37"/>
      <c r="E308" t="s">
        <v>592</v>
      </c>
    </row>
    <row r="309" spans="1:5" x14ac:dyDescent="0.35">
      <c r="A309" t="s">
        <v>400</v>
      </c>
      <c r="B309" t="s">
        <v>146</v>
      </c>
      <c r="D309" s="37"/>
      <c r="E309" t="s">
        <v>592</v>
      </c>
    </row>
    <row r="310" spans="1:5" x14ac:dyDescent="0.35">
      <c r="A310" t="s">
        <v>400</v>
      </c>
      <c r="B310" t="s">
        <v>147</v>
      </c>
      <c r="D310" s="37"/>
      <c r="E310" t="s">
        <v>592</v>
      </c>
    </row>
    <row r="311" spans="1:5" x14ac:dyDescent="0.3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35">
      <c r="A312" t="s">
        <v>401</v>
      </c>
      <c r="B312" t="s">
        <v>445</v>
      </c>
      <c r="D312" s="37"/>
      <c r="E312" t="s">
        <v>592</v>
      </c>
    </row>
    <row r="313" spans="1:5" x14ac:dyDescent="0.35">
      <c r="A313" t="s">
        <v>401</v>
      </c>
      <c r="B313" t="s">
        <v>189</v>
      </c>
      <c r="D313" s="37"/>
      <c r="E313" t="s">
        <v>592</v>
      </c>
    </row>
    <row r="314" spans="1:5" x14ac:dyDescent="0.35">
      <c r="A314" t="s">
        <v>401</v>
      </c>
      <c r="B314" t="s">
        <v>190</v>
      </c>
      <c r="D314" s="37"/>
      <c r="E314" t="s">
        <v>592</v>
      </c>
    </row>
    <row r="315" spans="1:5" x14ac:dyDescent="0.3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3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3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35">
      <c r="A318" t="s">
        <v>401</v>
      </c>
      <c r="B318" t="s">
        <v>303</v>
      </c>
      <c r="D318" s="37"/>
      <c r="E318" t="s">
        <v>592</v>
      </c>
    </row>
    <row r="319" spans="1:5" x14ac:dyDescent="0.35">
      <c r="A319" t="s">
        <v>401</v>
      </c>
      <c r="B319" t="s">
        <v>199</v>
      </c>
      <c r="D319" s="37"/>
      <c r="E319" t="s">
        <v>592</v>
      </c>
    </row>
    <row r="320" spans="1:5" x14ac:dyDescent="0.35">
      <c r="A320" t="s">
        <v>401</v>
      </c>
      <c r="B320" t="s">
        <v>194</v>
      </c>
      <c r="D320" s="37"/>
      <c r="E320" t="s">
        <v>592</v>
      </c>
    </row>
    <row r="321" spans="1:5" x14ac:dyDescent="0.35">
      <c r="A321" t="s">
        <v>401</v>
      </c>
      <c r="B321" t="s">
        <v>144</v>
      </c>
      <c r="D321" s="37"/>
      <c r="E321" t="s">
        <v>592</v>
      </c>
    </row>
    <row r="322" spans="1:5" x14ac:dyDescent="0.35">
      <c r="A322" t="s">
        <v>401</v>
      </c>
      <c r="B322" t="s">
        <v>145</v>
      </c>
      <c r="D322" s="37"/>
      <c r="E322" t="s">
        <v>592</v>
      </c>
    </row>
    <row r="323" spans="1:5" x14ac:dyDescent="0.35">
      <c r="A323" t="s">
        <v>401</v>
      </c>
      <c r="B323" t="s">
        <v>146</v>
      </c>
      <c r="D323" s="37"/>
      <c r="E323" t="s">
        <v>592</v>
      </c>
    </row>
    <row r="324" spans="1:5" x14ac:dyDescent="0.35">
      <c r="A324" t="s">
        <v>401</v>
      </c>
      <c r="B324" t="s">
        <v>147</v>
      </c>
      <c r="D324" s="37"/>
      <c r="E324" t="s">
        <v>592</v>
      </c>
    </row>
    <row r="325" spans="1:5" x14ac:dyDescent="0.3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35">
      <c r="A326" t="s">
        <v>402</v>
      </c>
      <c r="B326" t="s">
        <v>445</v>
      </c>
      <c r="D326" s="37"/>
      <c r="E326" t="s">
        <v>592</v>
      </c>
    </row>
    <row r="327" spans="1:5" x14ac:dyDescent="0.35">
      <c r="A327" t="s">
        <v>402</v>
      </c>
      <c r="B327" t="s">
        <v>189</v>
      </c>
      <c r="D327" s="37"/>
      <c r="E327" t="s">
        <v>592</v>
      </c>
    </row>
    <row r="328" spans="1:5" x14ac:dyDescent="0.35">
      <c r="A328" t="s">
        <v>402</v>
      </c>
      <c r="B328" t="s">
        <v>190</v>
      </c>
      <c r="D328" s="37"/>
      <c r="E328" t="s">
        <v>592</v>
      </c>
    </row>
    <row r="329" spans="1:5" x14ac:dyDescent="0.3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3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3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35">
      <c r="A332" t="s">
        <v>402</v>
      </c>
      <c r="B332" t="s">
        <v>303</v>
      </c>
      <c r="D332" s="37"/>
      <c r="E332" t="s">
        <v>592</v>
      </c>
    </row>
    <row r="333" spans="1:5" x14ac:dyDescent="0.35">
      <c r="A333" t="s">
        <v>402</v>
      </c>
      <c r="B333" t="s">
        <v>199</v>
      </c>
      <c r="D333" s="37"/>
      <c r="E333" t="s">
        <v>592</v>
      </c>
    </row>
    <row r="334" spans="1:5" x14ac:dyDescent="0.35">
      <c r="A334" t="s">
        <v>402</v>
      </c>
      <c r="B334" t="s">
        <v>194</v>
      </c>
      <c r="D334" s="37"/>
      <c r="E334" t="s">
        <v>592</v>
      </c>
    </row>
    <row r="335" spans="1:5" x14ac:dyDescent="0.35">
      <c r="A335" t="s">
        <v>402</v>
      </c>
      <c r="B335" t="s">
        <v>144</v>
      </c>
      <c r="D335" s="37"/>
      <c r="E335" t="s">
        <v>592</v>
      </c>
    </row>
    <row r="336" spans="1:5" x14ac:dyDescent="0.35">
      <c r="A336" t="s">
        <v>402</v>
      </c>
      <c r="B336" t="s">
        <v>145</v>
      </c>
      <c r="D336" s="37"/>
      <c r="E336" t="s">
        <v>592</v>
      </c>
    </row>
    <row r="337" spans="1:5" x14ac:dyDescent="0.35">
      <c r="A337" t="s">
        <v>402</v>
      </c>
      <c r="B337" t="s">
        <v>146</v>
      </c>
      <c r="D337" s="37"/>
      <c r="E337" t="s">
        <v>592</v>
      </c>
    </row>
    <row r="338" spans="1:5" x14ac:dyDescent="0.35">
      <c r="A338" t="s">
        <v>402</v>
      </c>
      <c r="B338" t="s">
        <v>147</v>
      </c>
      <c r="D338" s="37"/>
      <c r="E338" t="s">
        <v>592</v>
      </c>
    </row>
    <row r="339" spans="1:5" x14ac:dyDescent="0.3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35">
      <c r="A340" t="s">
        <v>403</v>
      </c>
      <c r="B340" t="s">
        <v>445</v>
      </c>
      <c r="D340" s="37"/>
      <c r="E340" t="s">
        <v>592</v>
      </c>
    </row>
    <row r="341" spans="1:5" x14ac:dyDescent="0.35">
      <c r="A341" t="s">
        <v>403</v>
      </c>
      <c r="B341" t="s">
        <v>189</v>
      </c>
      <c r="D341" s="37"/>
      <c r="E341" t="s">
        <v>592</v>
      </c>
    </row>
    <row r="342" spans="1:5" x14ac:dyDescent="0.35">
      <c r="A342" t="s">
        <v>403</v>
      </c>
      <c r="B342" t="s">
        <v>190</v>
      </c>
      <c r="D342" s="37"/>
      <c r="E342" t="s">
        <v>592</v>
      </c>
    </row>
    <row r="343" spans="1:5" x14ac:dyDescent="0.3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3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3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35">
      <c r="A346" t="s">
        <v>403</v>
      </c>
      <c r="B346" t="s">
        <v>303</v>
      </c>
      <c r="D346" s="37"/>
      <c r="E346" t="s">
        <v>592</v>
      </c>
    </row>
    <row r="347" spans="1:5" x14ac:dyDescent="0.35">
      <c r="A347" t="s">
        <v>403</v>
      </c>
      <c r="B347" t="s">
        <v>199</v>
      </c>
      <c r="D347" s="37"/>
      <c r="E347" t="s">
        <v>592</v>
      </c>
    </row>
    <row r="348" spans="1:5" x14ac:dyDescent="0.35">
      <c r="A348" t="s">
        <v>403</v>
      </c>
      <c r="B348" t="s">
        <v>194</v>
      </c>
      <c r="D348" s="37"/>
      <c r="E348" t="s">
        <v>592</v>
      </c>
    </row>
    <row r="349" spans="1:5" x14ac:dyDescent="0.35">
      <c r="A349" t="s">
        <v>403</v>
      </c>
      <c r="B349" t="s">
        <v>144</v>
      </c>
      <c r="D349" s="37"/>
      <c r="E349" t="s">
        <v>592</v>
      </c>
    </row>
    <row r="350" spans="1:5" x14ac:dyDescent="0.35">
      <c r="A350" t="s">
        <v>403</v>
      </c>
      <c r="B350" t="s">
        <v>145</v>
      </c>
      <c r="D350" s="37"/>
      <c r="E350" t="s">
        <v>592</v>
      </c>
    </row>
    <row r="351" spans="1:5" x14ac:dyDescent="0.35">
      <c r="A351" t="s">
        <v>403</v>
      </c>
      <c r="B351" t="s">
        <v>146</v>
      </c>
      <c r="D351" s="37"/>
      <c r="E351" t="s">
        <v>592</v>
      </c>
    </row>
    <row r="352" spans="1:5" x14ac:dyDescent="0.35">
      <c r="A352" t="s">
        <v>403</v>
      </c>
      <c r="B352" t="s">
        <v>147</v>
      </c>
      <c r="D352" s="37"/>
      <c r="E352" t="s">
        <v>592</v>
      </c>
    </row>
    <row r="353" spans="1:5" x14ac:dyDescent="0.3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35">
      <c r="A354" t="s">
        <v>404</v>
      </c>
      <c r="B354" t="s">
        <v>445</v>
      </c>
      <c r="D354" s="37"/>
      <c r="E354" t="s">
        <v>592</v>
      </c>
    </row>
    <row r="355" spans="1:5" x14ac:dyDescent="0.35">
      <c r="A355" t="s">
        <v>404</v>
      </c>
      <c r="B355" t="s">
        <v>189</v>
      </c>
      <c r="D355" s="37"/>
      <c r="E355" t="s">
        <v>592</v>
      </c>
    </row>
    <row r="356" spans="1:5" x14ac:dyDescent="0.35">
      <c r="A356" t="s">
        <v>404</v>
      </c>
      <c r="B356" t="s">
        <v>190</v>
      </c>
      <c r="D356" s="37"/>
      <c r="E356" t="s">
        <v>592</v>
      </c>
    </row>
    <row r="357" spans="1:5" x14ac:dyDescent="0.3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3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3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35">
      <c r="A360" t="s">
        <v>404</v>
      </c>
      <c r="B360" t="s">
        <v>303</v>
      </c>
      <c r="D360" s="37"/>
      <c r="E360" t="s">
        <v>592</v>
      </c>
    </row>
    <row r="361" spans="1:5" x14ac:dyDescent="0.35">
      <c r="A361" t="s">
        <v>404</v>
      </c>
      <c r="B361" t="s">
        <v>199</v>
      </c>
      <c r="D361" s="37"/>
      <c r="E361" t="s">
        <v>592</v>
      </c>
    </row>
    <row r="362" spans="1:5" x14ac:dyDescent="0.35">
      <c r="A362" t="s">
        <v>404</v>
      </c>
      <c r="B362" t="s">
        <v>194</v>
      </c>
      <c r="D362" s="37"/>
      <c r="E362" t="s">
        <v>592</v>
      </c>
    </row>
    <row r="363" spans="1:5" x14ac:dyDescent="0.35">
      <c r="A363" t="s">
        <v>404</v>
      </c>
      <c r="B363" t="s">
        <v>144</v>
      </c>
      <c r="D363" s="37"/>
      <c r="E363" t="s">
        <v>592</v>
      </c>
    </row>
    <row r="364" spans="1:5" x14ac:dyDescent="0.35">
      <c r="A364" t="s">
        <v>404</v>
      </c>
      <c r="B364" t="s">
        <v>145</v>
      </c>
      <c r="D364" s="37"/>
      <c r="E364" t="s">
        <v>592</v>
      </c>
    </row>
    <row r="365" spans="1:5" x14ac:dyDescent="0.35">
      <c r="A365" t="s">
        <v>404</v>
      </c>
      <c r="B365" t="s">
        <v>146</v>
      </c>
      <c r="D365" s="37"/>
      <c r="E365" t="s">
        <v>592</v>
      </c>
    </row>
    <row r="366" spans="1:5" x14ac:dyDescent="0.35">
      <c r="A366" t="s">
        <v>404</v>
      </c>
      <c r="B366" t="s">
        <v>147</v>
      </c>
      <c r="D366" s="37"/>
      <c r="E366" t="s">
        <v>592</v>
      </c>
    </row>
    <row r="367" spans="1:5" x14ac:dyDescent="0.3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35">
      <c r="A368" t="s">
        <v>405</v>
      </c>
      <c r="B368" t="s">
        <v>445</v>
      </c>
      <c r="D368" s="37"/>
      <c r="E368" t="s">
        <v>592</v>
      </c>
    </row>
    <row r="369" spans="1:5" x14ac:dyDescent="0.35">
      <c r="A369" t="s">
        <v>405</v>
      </c>
      <c r="B369" t="s">
        <v>189</v>
      </c>
      <c r="D369" s="37"/>
      <c r="E369" t="s">
        <v>592</v>
      </c>
    </row>
    <row r="370" spans="1:5" x14ac:dyDescent="0.35">
      <c r="A370" t="s">
        <v>405</v>
      </c>
      <c r="B370" t="s">
        <v>190</v>
      </c>
      <c r="D370" s="37"/>
      <c r="E370" t="s">
        <v>592</v>
      </c>
    </row>
    <row r="371" spans="1:5" x14ac:dyDescent="0.3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3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3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35">
      <c r="A374" t="s">
        <v>405</v>
      </c>
      <c r="B374" t="s">
        <v>303</v>
      </c>
      <c r="D374" s="37"/>
      <c r="E374" t="s">
        <v>592</v>
      </c>
    </row>
    <row r="375" spans="1:5" x14ac:dyDescent="0.35">
      <c r="A375" t="s">
        <v>405</v>
      </c>
      <c r="B375" t="s">
        <v>199</v>
      </c>
      <c r="D375" s="37"/>
      <c r="E375" t="s">
        <v>592</v>
      </c>
    </row>
    <row r="376" spans="1:5" x14ac:dyDescent="0.35">
      <c r="A376" t="s">
        <v>405</v>
      </c>
      <c r="B376" t="s">
        <v>194</v>
      </c>
      <c r="D376" s="37"/>
      <c r="E376" t="s">
        <v>592</v>
      </c>
    </row>
    <row r="377" spans="1:5" x14ac:dyDescent="0.35">
      <c r="A377" t="s">
        <v>405</v>
      </c>
      <c r="B377" t="s">
        <v>144</v>
      </c>
      <c r="D377" s="37"/>
      <c r="E377" t="s">
        <v>592</v>
      </c>
    </row>
    <row r="378" spans="1:5" x14ac:dyDescent="0.3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35">
      <c r="A379" t="s">
        <v>405</v>
      </c>
      <c r="B379" t="s">
        <v>146</v>
      </c>
      <c r="D379" s="37"/>
      <c r="E379" t="s">
        <v>592</v>
      </c>
    </row>
    <row r="380" spans="1:5" x14ac:dyDescent="0.35">
      <c r="A380" t="s">
        <v>405</v>
      </c>
      <c r="B380" t="s">
        <v>147</v>
      </c>
      <c r="D380" s="37"/>
      <c r="E380" t="s">
        <v>592</v>
      </c>
    </row>
    <row r="381" spans="1:5" x14ac:dyDescent="0.3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35">
      <c r="A382" t="s">
        <v>406</v>
      </c>
      <c r="B382" t="s">
        <v>445</v>
      </c>
      <c r="D382" s="37"/>
      <c r="E382" t="s">
        <v>592</v>
      </c>
    </row>
    <row r="383" spans="1:5" x14ac:dyDescent="0.35">
      <c r="A383" t="s">
        <v>406</v>
      </c>
      <c r="B383" t="s">
        <v>189</v>
      </c>
      <c r="D383" s="37"/>
      <c r="E383" t="s">
        <v>592</v>
      </c>
    </row>
    <row r="384" spans="1:5" x14ac:dyDescent="0.35">
      <c r="A384" t="s">
        <v>406</v>
      </c>
      <c r="B384" t="s">
        <v>190</v>
      </c>
      <c r="D384" s="37"/>
      <c r="E384" t="s">
        <v>592</v>
      </c>
    </row>
    <row r="385" spans="1:5" x14ac:dyDescent="0.3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3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3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35">
      <c r="A388" t="s">
        <v>406</v>
      </c>
      <c r="B388" t="s">
        <v>303</v>
      </c>
      <c r="D388" s="37"/>
      <c r="E388" t="s">
        <v>592</v>
      </c>
    </row>
    <row r="389" spans="1:5" x14ac:dyDescent="0.35">
      <c r="A389" t="s">
        <v>406</v>
      </c>
      <c r="B389" t="s">
        <v>199</v>
      </c>
      <c r="D389" s="37"/>
      <c r="E389" t="s">
        <v>592</v>
      </c>
    </row>
    <row r="390" spans="1:5" x14ac:dyDescent="0.35">
      <c r="A390" t="s">
        <v>406</v>
      </c>
      <c r="B390" t="s">
        <v>194</v>
      </c>
      <c r="D390" s="37"/>
      <c r="E390" t="s">
        <v>592</v>
      </c>
    </row>
    <row r="391" spans="1:5" x14ac:dyDescent="0.35">
      <c r="A391" t="s">
        <v>406</v>
      </c>
      <c r="B391" t="s">
        <v>144</v>
      </c>
      <c r="D391" s="37"/>
      <c r="E391" t="s">
        <v>592</v>
      </c>
    </row>
    <row r="392" spans="1:5" x14ac:dyDescent="0.35">
      <c r="A392" t="s">
        <v>406</v>
      </c>
      <c r="B392" t="s">
        <v>145</v>
      </c>
      <c r="D392" s="37"/>
      <c r="E392" t="s">
        <v>592</v>
      </c>
    </row>
    <row r="393" spans="1:5" x14ac:dyDescent="0.35">
      <c r="A393" t="s">
        <v>406</v>
      </c>
      <c r="B393" t="s">
        <v>146</v>
      </c>
      <c r="D393" s="37"/>
      <c r="E393" t="s">
        <v>592</v>
      </c>
    </row>
    <row r="394" spans="1:5" x14ac:dyDescent="0.35">
      <c r="A394" t="s">
        <v>406</v>
      </c>
      <c r="B394" t="s">
        <v>147</v>
      </c>
      <c r="D394" s="37"/>
      <c r="E394" t="s">
        <v>592</v>
      </c>
    </row>
    <row r="395" spans="1:5" x14ac:dyDescent="0.35">
      <c r="A395" t="s">
        <v>407</v>
      </c>
      <c r="B395" t="s">
        <v>299</v>
      </c>
      <c r="D395" s="37"/>
      <c r="E395" t="s">
        <v>592</v>
      </c>
    </row>
    <row r="396" spans="1:5" x14ac:dyDescent="0.35">
      <c r="A396" t="s">
        <v>407</v>
      </c>
      <c r="B396" t="s">
        <v>445</v>
      </c>
      <c r="D396" s="37"/>
      <c r="E396" t="s">
        <v>592</v>
      </c>
    </row>
    <row r="397" spans="1:5" x14ac:dyDescent="0.35">
      <c r="A397" t="s">
        <v>407</v>
      </c>
      <c r="B397" t="s">
        <v>189</v>
      </c>
      <c r="D397" s="37"/>
      <c r="E397" t="s">
        <v>592</v>
      </c>
    </row>
    <row r="398" spans="1:5" x14ac:dyDescent="0.35">
      <c r="A398" t="s">
        <v>407</v>
      </c>
      <c r="B398" t="s">
        <v>190</v>
      </c>
      <c r="D398" s="37"/>
      <c r="E398" t="s">
        <v>592</v>
      </c>
    </row>
    <row r="399" spans="1:5" x14ac:dyDescent="0.35">
      <c r="A399" t="s">
        <v>407</v>
      </c>
      <c r="B399" t="s">
        <v>301</v>
      </c>
      <c r="D399" s="37"/>
      <c r="E399" t="s">
        <v>592</v>
      </c>
    </row>
    <row r="400" spans="1:5" x14ac:dyDescent="0.35">
      <c r="A400" t="s">
        <v>407</v>
      </c>
      <c r="B400" t="s">
        <v>446</v>
      </c>
      <c r="D400" s="37"/>
      <c r="E400" t="s">
        <v>592</v>
      </c>
    </row>
    <row r="401" spans="1:5" x14ac:dyDescent="0.35">
      <c r="A401" t="s">
        <v>407</v>
      </c>
      <c r="B401" t="s">
        <v>40</v>
      </c>
      <c r="D401" s="37"/>
      <c r="E401" t="s">
        <v>592</v>
      </c>
    </row>
    <row r="402" spans="1:5" x14ac:dyDescent="0.35">
      <c r="A402" t="s">
        <v>407</v>
      </c>
      <c r="B402" t="s">
        <v>303</v>
      </c>
      <c r="D402" s="37"/>
      <c r="E402" t="s">
        <v>592</v>
      </c>
    </row>
    <row r="403" spans="1:5" x14ac:dyDescent="0.35">
      <c r="A403" t="s">
        <v>407</v>
      </c>
      <c r="B403" t="s">
        <v>199</v>
      </c>
      <c r="D403" s="37"/>
      <c r="E403" t="s">
        <v>592</v>
      </c>
    </row>
    <row r="404" spans="1:5" x14ac:dyDescent="0.35">
      <c r="A404" t="s">
        <v>407</v>
      </c>
      <c r="B404" t="s">
        <v>194</v>
      </c>
      <c r="D404" s="37"/>
      <c r="E404" t="s">
        <v>592</v>
      </c>
    </row>
    <row r="405" spans="1:5" x14ac:dyDescent="0.35">
      <c r="A405" t="s">
        <v>407</v>
      </c>
      <c r="B405" t="s">
        <v>144</v>
      </c>
      <c r="D405" s="37"/>
      <c r="E405" t="s">
        <v>592</v>
      </c>
    </row>
    <row r="406" spans="1:5" x14ac:dyDescent="0.35">
      <c r="A406" t="s">
        <v>407</v>
      </c>
      <c r="B406" t="s">
        <v>145</v>
      </c>
      <c r="D406" s="37"/>
      <c r="E406" t="s">
        <v>592</v>
      </c>
    </row>
    <row r="407" spans="1:5" x14ac:dyDescent="0.35">
      <c r="A407" t="s">
        <v>407</v>
      </c>
      <c r="B407" t="s">
        <v>146</v>
      </c>
      <c r="D407" s="37"/>
      <c r="E407" t="s">
        <v>592</v>
      </c>
    </row>
    <row r="408" spans="1:5" x14ac:dyDescent="0.35">
      <c r="A408" t="s">
        <v>407</v>
      </c>
      <c r="B408" t="s">
        <v>147</v>
      </c>
      <c r="D408" s="37"/>
      <c r="E408" t="s">
        <v>592</v>
      </c>
    </row>
    <row r="409" spans="1:5" x14ac:dyDescent="0.3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35">
      <c r="A410" t="s">
        <v>408</v>
      </c>
      <c r="B410" t="s">
        <v>445</v>
      </c>
      <c r="D410" s="37"/>
      <c r="E410" t="s">
        <v>592</v>
      </c>
    </row>
    <row r="411" spans="1:5" x14ac:dyDescent="0.35">
      <c r="A411" t="s">
        <v>408</v>
      </c>
      <c r="B411" t="s">
        <v>189</v>
      </c>
      <c r="D411" s="37"/>
      <c r="E411" t="s">
        <v>592</v>
      </c>
    </row>
    <row r="412" spans="1:5" x14ac:dyDescent="0.35">
      <c r="A412" t="s">
        <v>408</v>
      </c>
      <c r="B412" t="s">
        <v>190</v>
      </c>
      <c r="D412" s="37"/>
      <c r="E412" t="s">
        <v>592</v>
      </c>
    </row>
    <row r="413" spans="1:5" x14ac:dyDescent="0.3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3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3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35">
      <c r="A416" t="s">
        <v>408</v>
      </c>
      <c r="B416" t="s">
        <v>303</v>
      </c>
      <c r="D416" s="37"/>
      <c r="E416" t="s">
        <v>592</v>
      </c>
    </row>
    <row r="417" spans="1:5" x14ac:dyDescent="0.35">
      <c r="A417" t="s">
        <v>408</v>
      </c>
      <c r="B417" t="s">
        <v>199</v>
      </c>
      <c r="D417" s="37"/>
      <c r="E417" t="s">
        <v>592</v>
      </c>
    </row>
    <row r="418" spans="1:5" x14ac:dyDescent="0.35">
      <c r="A418" t="s">
        <v>408</v>
      </c>
      <c r="B418" t="s">
        <v>194</v>
      </c>
      <c r="D418" s="37"/>
      <c r="E418" t="s">
        <v>592</v>
      </c>
    </row>
    <row r="419" spans="1:5" x14ac:dyDescent="0.35">
      <c r="A419" t="s">
        <v>408</v>
      </c>
      <c r="B419" t="s">
        <v>144</v>
      </c>
      <c r="D419" s="37"/>
      <c r="E419" t="s">
        <v>592</v>
      </c>
    </row>
    <row r="420" spans="1:5" x14ac:dyDescent="0.35">
      <c r="A420" t="s">
        <v>408</v>
      </c>
      <c r="B420" t="s">
        <v>145</v>
      </c>
      <c r="D420" s="37"/>
      <c r="E420" t="s">
        <v>592</v>
      </c>
    </row>
    <row r="421" spans="1:5" x14ac:dyDescent="0.35">
      <c r="A421" t="s">
        <v>408</v>
      </c>
      <c r="B421" t="s">
        <v>146</v>
      </c>
      <c r="D421" s="37"/>
      <c r="E421" t="s">
        <v>592</v>
      </c>
    </row>
    <row r="422" spans="1:5" x14ac:dyDescent="0.35">
      <c r="A422" t="s">
        <v>408</v>
      </c>
      <c r="B422" t="s">
        <v>147</v>
      </c>
      <c r="D422" s="37"/>
      <c r="E422" t="s">
        <v>592</v>
      </c>
    </row>
    <row r="423" spans="1:5" x14ac:dyDescent="0.3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35">
      <c r="A424" t="s">
        <v>409</v>
      </c>
      <c r="B424" t="s">
        <v>445</v>
      </c>
      <c r="D424" s="37"/>
      <c r="E424" t="s">
        <v>592</v>
      </c>
    </row>
    <row r="425" spans="1:5" x14ac:dyDescent="0.35">
      <c r="A425" t="s">
        <v>409</v>
      </c>
      <c r="B425" t="s">
        <v>189</v>
      </c>
      <c r="D425" s="37"/>
      <c r="E425" t="s">
        <v>592</v>
      </c>
    </row>
    <row r="426" spans="1:5" x14ac:dyDescent="0.35">
      <c r="A426" t="s">
        <v>409</v>
      </c>
      <c r="B426" t="s">
        <v>190</v>
      </c>
      <c r="D426" s="37"/>
      <c r="E426" t="s">
        <v>592</v>
      </c>
    </row>
    <row r="427" spans="1:5" x14ac:dyDescent="0.3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3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3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35">
      <c r="A430" t="s">
        <v>409</v>
      </c>
      <c r="B430" t="s">
        <v>303</v>
      </c>
      <c r="D430" s="37"/>
      <c r="E430" t="s">
        <v>592</v>
      </c>
    </row>
    <row r="431" spans="1:5" x14ac:dyDescent="0.35">
      <c r="A431" t="s">
        <v>409</v>
      </c>
      <c r="B431" t="s">
        <v>199</v>
      </c>
      <c r="D431" s="37"/>
      <c r="E431" t="s">
        <v>592</v>
      </c>
    </row>
    <row r="432" spans="1:5" x14ac:dyDescent="0.35">
      <c r="A432" t="s">
        <v>409</v>
      </c>
      <c r="B432" t="s">
        <v>194</v>
      </c>
      <c r="D432" s="37"/>
      <c r="E432" t="s">
        <v>592</v>
      </c>
    </row>
    <row r="433" spans="1:5" x14ac:dyDescent="0.35">
      <c r="A433" t="s">
        <v>409</v>
      </c>
      <c r="B433" t="s">
        <v>144</v>
      </c>
      <c r="D433" s="37"/>
      <c r="E433" t="s">
        <v>592</v>
      </c>
    </row>
    <row r="434" spans="1:5" x14ac:dyDescent="0.35">
      <c r="A434" t="s">
        <v>409</v>
      </c>
      <c r="B434" t="s">
        <v>145</v>
      </c>
      <c r="D434" s="37"/>
      <c r="E434" t="s">
        <v>592</v>
      </c>
    </row>
    <row r="435" spans="1:5" x14ac:dyDescent="0.35">
      <c r="A435" t="s">
        <v>409</v>
      </c>
      <c r="B435" t="s">
        <v>146</v>
      </c>
      <c r="D435" s="37"/>
      <c r="E435" t="s">
        <v>592</v>
      </c>
    </row>
    <row r="436" spans="1:5" x14ac:dyDescent="0.35">
      <c r="A436" t="s">
        <v>409</v>
      </c>
      <c r="B436" t="s">
        <v>147</v>
      </c>
      <c r="D436" s="37"/>
      <c r="E436" t="s">
        <v>592</v>
      </c>
    </row>
    <row r="437" spans="1:5" x14ac:dyDescent="0.3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35">
      <c r="A438" t="s">
        <v>410</v>
      </c>
      <c r="B438" t="s">
        <v>445</v>
      </c>
      <c r="D438" s="37"/>
      <c r="E438" t="s">
        <v>592</v>
      </c>
    </row>
    <row r="439" spans="1:5" x14ac:dyDescent="0.35">
      <c r="A439" t="s">
        <v>410</v>
      </c>
      <c r="B439" t="s">
        <v>189</v>
      </c>
      <c r="D439" s="37"/>
      <c r="E439" t="s">
        <v>592</v>
      </c>
    </row>
    <row r="440" spans="1:5" x14ac:dyDescent="0.35">
      <c r="A440" t="s">
        <v>410</v>
      </c>
      <c r="B440" t="s">
        <v>190</v>
      </c>
      <c r="D440" s="37"/>
      <c r="E440" t="s">
        <v>592</v>
      </c>
    </row>
    <row r="441" spans="1:5" x14ac:dyDescent="0.3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35">
      <c r="A442" t="s">
        <v>410</v>
      </c>
      <c r="B442" t="s">
        <v>446</v>
      </c>
      <c r="D442" s="37"/>
      <c r="E442" t="s">
        <v>592</v>
      </c>
    </row>
    <row r="443" spans="1:5" x14ac:dyDescent="0.3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35">
      <c r="A444" t="s">
        <v>410</v>
      </c>
      <c r="B444" t="s">
        <v>303</v>
      </c>
      <c r="D444" s="37"/>
      <c r="E444" t="s">
        <v>592</v>
      </c>
    </row>
    <row r="445" spans="1:5" x14ac:dyDescent="0.35">
      <c r="A445" t="s">
        <v>410</v>
      </c>
      <c r="B445" t="s">
        <v>199</v>
      </c>
      <c r="D445" s="37"/>
      <c r="E445" t="s">
        <v>592</v>
      </c>
    </row>
    <row r="446" spans="1:5" x14ac:dyDescent="0.35">
      <c r="A446" t="s">
        <v>410</v>
      </c>
      <c r="B446" t="s">
        <v>194</v>
      </c>
      <c r="D446" s="37"/>
      <c r="E446" t="s">
        <v>592</v>
      </c>
    </row>
    <row r="447" spans="1:5" x14ac:dyDescent="0.35">
      <c r="A447" t="s">
        <v>410</v>
      </c>
      <c r="B447" t="s">
        <v>144</v>
      </c>
      <c r="D447" s="37"/>
      <c r="E447" t="s">
        <v>592</v>
      </c>
    </row>
    <row r="448" spans="1:5" x14ac:dyDescent="0.35">
      <c r="A448" t="s">
        <v>410</v>
      </c>
      <c r="B448" t="s">
        <v>145</v>
      </c>
      <c r="D448" s="37"/>
      <c r="E448" t="s">
        <v>592</v>
      </c>
    </row>
    <row r="449" spans="1:5" x14ac:dyDescent="0.35">
      <c r="A449" t="s">
        <v>410</v>
      </c>
      <c r="B449" t="s">
        <v>146</v>
      </c>
      <c r="D449" s="37"/>
      <c r="E449" t="s">
        <v>592</v>
      </c>
    </row>
    <row r="450" spans="1:5" x14ac:dyDescent="0.35">
      <c r="A450" t="s">
        <v>410</v>
      </c>
      <c r="B450" t="s">
        <v>147</v>
      </c>
      <c r="D450" s="37"/>
      <c r="E450" t="s">
        <v>592</v>
      </c>
    </row>
    <row r="451" spans="1:5" x14ac:dyDescent="0.3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35">
      <c r="A452" t="s">
        <v>411</v>
      </c>
      <c r="B452" t="s">
        <v>445</v>
      </c>
      <c r="D452" s="37"/>
      <c r="E452" t="s">
        <v>592</v>
      </c>
    </row>
    <row r="453" spans="1:5" x14ac:dyDescent="0.35">
      <c r="A453" t="s">
        <v>411</v>
      </c>
      <c r="B453" t="s">
        <v>189</v>
      </c>
      <c r="D453" s="37"/>
      <c r="E453" t="s">
        <v>592</v>
      </c>
    </row>
    <row r="454" spans="1:5" x14ac:dyDescent="0.35">
      <c r="A454" t="s">
        <v>411</v>
      </c>
      <c r="B454" t="s">
        <v>190</v>
      </c>
      <c r="D454" s="37"/>
      <c r="E454" t="s">
        <v>592</v>
      </c>
    </row>
    <row r="455" spans="1:5" x14ac:dyDescent="0.3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3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3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35">
      <c r="A458" t="s">
        <v>411</v>
      </c>
      <c r="B458" t="s">
        <v>303</v>
      </c>
      <c r="D458" s="37"/>
      <c r="E458" t="s">
        <v>592</v>
      </c>
    </row>
    <row r="459" spans="1:5" x14ac:dyDescent="0.35">
      <c r="A459" t="s">
        <v>411</v>
      </c>
      <c r="B459" t="s">
        <v>199</v>
      </c>
      <c r="D459" s="37"/>
      <c r="E459" t="s">
        <v>592</v>
      </c>
    </row>
    <row r="460" spans="1:5" x14ac:dyDescent="0.35">
      <c r="A460" t="s">
        <v>411</v>
      </c>
      <c r="B460" t="s">
        <v>194</v>
      </c>
      <c r="D460" s="37"/>
      <c r="E460" t="s">
        <v>592</v>
      </c>
    </row>
    <row r="461" spans="1:5" x14ac:dyDescent="0.35">
      <c r="A461" t="s">
        <v>411</v>
      </c>
      <c r="B461" t="s">
        <v>144</v>
      </c>
      <c r="D461" s="37"/>
      <c r="E461" t="s">
        <v>592</v>
      </c>
    </row>
    <row r="462" spans="1:5" x14ac:dyDescent="0.35">
      <c r="A462" t="s">
        <v>411</v>
      </c>
      <c r="B462" t="s">
        <v>145</v>
      </c>
      <c r="D462" s="37"/>
      <c r="E462" t="s">
        <v>592</v>
      </c>
    </row>
    <row r="463" spans="1:5" x14ac:dyDescent="0.35">
      <c r="A463" t="s">
        <v>411</v>
      </c>
      <c r="B463" t="s">
        <v>146</v>
      </c>
      <c r="D463" s="37"/>
      <c r="E463" t="s">
        <v>592</v>
      </c>
    </row>
    <row r="464" spans="1:5" x14ac:dyDescent="0.35">
      <c r="A464" t="s">
        <v>411</v>
      </c>
      <c r="B464" t="s">
        <v>147</v>
      </c>
      <c r="D464" s="37"/>
      <c r="E464" t="s">
        <v>592</v>
      </c>
    </row>
    <row r="465" spans="1:5" x14ac:dyDescent="0.3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35">
      <c r="A466" t="s">
        <v>412</v>
      </c>
      <c r="B466" t="s">
        <v>445</v>
      </c>
      <c r="D466" s="37"/>
      <c r="E466" t="s">
        <v>592</v>
      </c>
    </row>
    <row r="467" spans="1:5" x14ac:dyDescent="0.35">
      <c r="A467" t="s">
        <v>412</v>
      </c>
      <c r="B467" t="s">
        <v>189</v>
      </c>
      <c r="D467" s="37"/>
      <c r="E467" t="s">
        <v>592</v>
      </c>
    </row>
    <row r="468" spans="1:5" x14ac:dyDescent="0.35">
      <c r="A468" t="s">
        <v>412</v>
      </c>
      <c r="B468" t="s">
        <v>190</v>
      </c>
      <c r="D468" s="37"/>
      <c r="E468" t="s">
        <v>592</v>
      </c>
    </row>
    <row r="469" spans="1:5" x14ac:dyDescent="0.3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3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35">
      <c r="A471" t="s">
        <v>412</v>
      </c>
      <c r="B471" t="s">
        <v>40</v>
      </c>
      <c r="D471" s="37"/>
      <c r="E471" t="s">
        <v>592</v>
      </c>
    </row>
    <row r="472" spans="1:5" x14ac:dyDescent="0.35">
      <c r="A472" t="s">
        <v>412</v>
      </c>
      <c r="B472" t="s">
        <v>303</v>
      </c>
      <c r="D472" s="37"/>
      <c r="E472" t="s">
        <v>592</v>
      </c>
    </row>
    <row r="473" spans="1:5" x14ac:dyDescent="0.35">
      <c r="A473" t="s">
        <v>412</v>
      </c>
      <c r="B473" t="s">
        <v>199</v>
      </c>
      <c r="D473" s="37"/>
      <c r="E473" t="s">
        <v>592</v>
      </c>
    </row>
    <row r="474" spans="1:5" x14ac:dyDescent="0.35">
      <c r="A474" t="s">
        <v>412</v>
      </c>
      <c r="B474" t="s">
        <v>194</v>
      </c>
      <c r="D474" s="37"/>
      <c r="E474" t="s">
        <v>592</v>
      </c>
    </row>
    <row r="475" spans="1:5" x14ac:dyDescent="0.35">
      <c r="A475" t="s">
        <v>412</v>
      </c>
      <c r="B475" t="s">
        <v>144</v>
      </c>
      <c r="D475" s="37"/>
      <c r="E475" t="s">
        <v>592</v>
      </c>
    </row>
    <row r="476" spans="1:5" x14ac:dyDescent="0.35">
      <c r="A476" t="s">
        <v>412</v>
      </c>
      <c r="B476" t="s">
        <v>145</v>
      </c>
      <c r="D476" s="37"/>
      <c r="E476" t="s">
        <v>592</v>
      </c>
    </row>
    <row r="477" spans="1:5" x14ac:dyDescent="0.35">
      <c r="A477" t="s">
        <v>412</v>
      </c>
      <c r="B477" t="s">
        <v>146</v>
      </c>
      <c r="D477" s="37"/>
      <c r="E477" t="s">
        <v>592</v>
      </c>
    </row>
    <row r="478" spans="1:5" x14ac:dyDescent="0.35">
      <c r="A478" t="s">
        <v>412</v>
      </c>
      <c r="B478" t="s">
        <v>147</v>
      </c>
      <c r="D478" s="37"/>
      <c r="E478" t="s">
        <v>592</v>
      </c>
    </row>
    <row r="479" spans="1:5" x14ac:dyDescent="0.3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35">
      <c r="A480" t="s">
        <v>413</v>
      </c>
      <c r="B480" t="s">
        <v>445</v>
      </c>
      <c r="D480" s="37"/>
      <c r="E480" t="s">
        <v>592</v>
      </c>
    </row>
    <row r="481" spans="1:5" x14ac:dyDescent="0.35">
      <c r="A481" t="s">
        <v>413</v>
      </c>
      <c r="B481" t="s">
        <v>189</v>
      </c>
      <c r="D481" s="37"/>
      <c r="E481" t="s">
        <v>592</v>
      </c>
    </row>
    <row r="482" spans="1:5" x14ac:dyDescent="0.35">
      <c r="A482" t="s">
        <v>413</v>
      </c>
      <c r="B482" t="s">
        <v>190</v>
      </c>
      <c r="D482" s="37"/>
      <c r="E482" t="s">
        <v>592</v>
      </c>
    </row>
    <row r="483" spans="1:5" x14ac:dyDescent="0.3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3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3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35">
      <c r="A486" t="s">
        <v>413</v>
      </c>
      <c r="B486" t="s">
        <v>303</v>
      </c>
      <c r="D486" s="37"/>
      <c r="E486" t="s">
        <v>592</v>
      </c>
    </row>
    <row r="487" spans="1:5" x14ac:dyDescent="0.35">
      <c r="A487" t="s">
        <v>413</v>
      </c>
      <c r="B487" t="s">
        <v>199</v>
      </c>
      <c r="D487" s="37"/>
      <c r="E487" t="s">
        <v>592</v>
      </c>
    </row>
    <row r="488" spans="1:5" x14ac:dyDescent="0.35">
      <c r="A488" t="s">
        <v>413</v>
      </c>
      <c r="B488" t="s">
        <v>194</v>
      </c>
      <c r="D488" s="37"/>
      <c r="E488" t="s">
        <v>592</v>
      </c>
    </row>
    <row r="489" spans="1:5" x14ac:dyDescent="0.35">
      <c r="A489" t="s">
        <v>413</v>
      </c>
      <c r="B489" t="s">
        <v>144</v>
      </c>
      <c r="D489" s="37"/>
      <c r="E489" t="s">
        <v>592</v>
      </c>
    </row>
    <row r="490" spans="1:5" x14ac:dyDescent="0.35">
      <c r="A490" t="s">
        <v>413</v>
      </c>
      <c r="B490" t="s">
        <v>145</v>
      </c>
      <c r="D490" s="37"/>
      <c r="E490" t="s">
        <v>592</v>
      </c>
    </row>
    <row r="491" spans="1:5" x14ac:dyDescent="0.35">
      <c r="A491" t="s">
        <v>413</v>
      </c>
      <c r="B491" t="s">
        <v>146</v>
      </c>
      <c r="D491" s="37"/>
      <c r="E491" t="s">
        <v>592</v>
      </c>
    </row>
    <row r="492" spans="1:5" x14ac:dyDescent="0.35">
      <c r="A492" t="s">
        <v>413</v>
      </c>
      <c r="B492" t="s">
        <v>147</v>
      </c>
      <c r="D492" s="37"/>
      <c r="E492" t="s">
        <v>592</v>
      </c>
    </row>
    <row r="493" spans="1:5" x14ac:dyDescent="0.3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35">
      <c r="A494" t="s">
        <v>414</v>
      </c>
      <c r="B494" t="s">
        <v>445</v>
      </c>
      <c r="D494" s="37"/>
      <c r="E494" t="s">
        <v>592</v>
      </c>
    </row>
    <row r="495" spans="1:5" x14ac:dyDescent="0.35">
      <c r="A495" t="s">
        <v>414</v>
      </c>
      <c r="B495" t="s">
        <v>189</v>
      </c>
      <c r="D495" s="37"/>
      <c r="E495" t="s">
        <v>592</v>
      </c>
    </row>
    <row r="496" spans="1:5" x14ac:dyDescent="0.35">
      <c r="A496" t="s">
        <v>414</v>
      </c>
      <c r="B496" t="s">
        <v>190</v>
      </c>
      <c r="D496" s="37"/>
      <c r="E496" t="s">
        <v>592</v>
      </c>
    </row>
    <row r="497" spans="1:5" x14ac:dyDescent="0.3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3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3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35">
      <c r="A500" t="s">
        <v>414</v>
      </c>
      <c r="B500" t="s">
        <v>303</v>
      </c>
      <c r="D500" s="37"/>
      <c r="E500" t="s">
        <v>592</v>
      </c>
    </row>
    <row r="501" spans="1:5" x14ac:dyDescent="0.35">
      <c r="A501" t="s">
        <v>414</v>
      </c>
      <c r="B501" t="s">
        <v>199</v>
      </c>
      <c r="D501" s="37"/>
      <c r="E501" t="s">
        <v>592</v>
      </c>
    </row>
    <row r="502" spans="1:5" x14ac:dyDescent="0.35">
      <c r="A502" t="s">
        <v>414</v>
      </c>
      <c r="B502" t="s">
        <v>194</v>
      </c>
      <c r="D502" s="37"/>
      <c r="E502" t="s">
        <v>592</v>
      </c>
    </row>
    <row r="503" spans="1:5" x14ac:dyDescent="0.35">
      <c r="A503" t="s">
        <v>414</v>
      </c>
      <c r="B503" t="s">
        <v>144</v>
      </c>
      <c r="D503" s="37"/>
      <c r="E503" t="s">
        <v>592</v>
      </c>
    </row>
    <row r="504" spans="1:5" x14ac:dyDescent="0.35">
      <c r="A504" t="s">
        <v>414</v>
      </c>
      <c r="B504" t="s">
        <v>145</v>
      </c>
      <c r="D504" s="37"/>
      <c r="E504" t="s">
        <v>592</v>
      </c>
    </row>
    <row r="505" spans="1:5" x14ac:dyDescent="0.35">
      <c r="A505" t="s">
        <v>414</v>
      </c>
      <c r="B505" t="s">
        <v>146</v>
      </c>
      <c r="D505" s="37"/>
      <c r="E505" t="s">
        <v>592</v>
      </c>
    </row>
    <row r="506" spans="1:5" x14ac:dyDescent="0.35">
      <c r="A506" t="s">
        <v>414</v>
      </c>
      <c r="B506" t="s">
        <v>147</v>
      </c>
      <c r="D506" s="37"/>
      <c r="E506" t="s">
        <v>592</v>
      </c>
    </row>
    <row r="507" spans="1:5" x14ac:dyDescent="0.3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35">
      <c r="A508" t="s">
        <v>415</v>
      </c>
      <c r="B508" t="s">
        <v>445</v>
      </c>
      <c r="D508" s="37"/>
      <c r="E508" t="s">
        <v>592</v>
      </c>
    </row>
    <row r="509" spans="1:5" x14ac:dyDescent="0.35">
      <c r="A509" t="s">
        <v>415</v>
      </c>
      <c r="B509" t="s">
        <v>189</v>
      </c>
      <c r="D509" s="37"/>
      <c r="E509" t="s">
        <v>592</v>
      </c>
    </row>
    <row r="510" spans="1:5" x14ac:dyDescent="0.35">
      <c r="A510" t="s">
        <v>415</v>
      </c>
      <c r="B510" t="s">
        <v>190</v>
      </c>
      <c r="D510" s="37"/>
      <c r="E510" t="s">
        <v>592</v>
      </c>
    </row>
    <row r="511" spans="1:5" x14ac:dyDescent="0.3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3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3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35">
      <c r="A514" t="s">
        <v>415</v>
      </c>
      <c r="B514" t="s">
        <v>303</v>
      </c>
      <c r="D514" s="37"/>
      <c r="E514" t="s">
        <v>592</v>
      </c>
    </row>
    <row r="515" spans="1:5" x14ac:dyDescent="0.35">
      <c r="A515" t="s">
        <v>415</v>
      </c>
      <c r="B515" t="s">
        <v>199</v>
      </c>
      <c r="D515" s="37"/>
      <c r="E515" t="s">
        <v>592</v>
      </c>
    </row>
    <row r="516" spans="1:5" x14ac:dyDescent="0.3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35">
      <c r="A517" t="s">
        <v>415</v>
      </c>
      <c r="B517" t="s">
        <v>144</v>
      </c>
      <c r="D517" s="37"/>
      <c r="E517" t="s">
        <v>592</v>
      </c>
    </row>
    <row r="518" spans="1:5" x14ac:dyDescent="0.35">
      <c r="A518" t="s">
        <v>415</v>
      </c>
      <c r="B518" t="s">
        <v>145</v>
      </c>
      <c r="D518" s="37"/>
      <c r="E518" t="s">
        <v>592</v>
      </c>
    </row>
    <row r="519" spans="1:5" x14ac:dyDescent="0.35">
      <c r="A519" t="s">
        <v>415</v>
      </c>
      <c r="B519" t="s">
        <v>146</v>
      </c>
      <c r="D519" s="37"/>
      <c r="E519" t="s">
        <v>592</v>
      </c>
    </row>
    <row r="520" spans="1:5" x14ac:dyDescent="0.35">
      <c r="A520" t="s">
        <v>415</v>
      </c>
      <c r="B520" t="s">
        <v>147</v>
      </c>
      <c r="D520" s="37"/>
      <c r="E520" t="s">
        <v>592</v>
      </c>
    </row>
    <row r="521" spans="1:5" x14ac:dyDescent="0.3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35">
      <c r="A522" t="s">
        <v>416</v>
      </c>
      <c r="B522" t="s">
        <v>445</v>
      </c>
      <c r="D522" s="37"/>
      <c r="E522" t="s">
        <v>592</v>
      </c>
    </row>
    <row r="523" spans="1:5" x14ac:dyDescent="0.35">
      <c r="A523" t="s">
        <v>416</v>
      </c>
      <c r="B523" t="s">
        <v>189</v>
      </c>
      <c r="D523" s="37"/>
      <c r="E523" t="s">
        <v>592</v>
      </c>
    </row>
    <row r="524" spans="1:5" x14ac:dyDescent="0.35">
      <c r="A524" t="s">
        <v>416</v>
      </c>
      <c r="B524" t="s">
        <v>190</v>
      </c>
      <c r="D524" s="37"/>
      <c r="E524" t="s">
        <v>592</v>
      </c>
    </row>
    <row r="525" spans="1:5" x14ac:dyDescent="0.3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3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3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35">
      <c r="A528" t="s">
        <v>416</v>
      </c>
      <c r="B528" t="s">
        <v>303</v>
      </c>
      <c r="D528" s="37"/>
      <c r="E528" t="s">
        <v>592</v>
      </c>
    </row>
    <row r="529" spans="1:5" x14ac:dyDescent="0.35">
      <c r="A529" t="s">
        <v>416</v>
      </c>
      <c r="B529" t="s">
        <v>199</v>
      </c>
      <c r="D529" s="37"/>
      <c r="E529" t="s">
        <v>592</v>
      </c>
    </row>
    <row r="530" spans="1:5" x14ac:dyDescent="0.35">
      <c r="A530" t="s">
        <v>416</v>
      </c>
      <c r="B530" t="s">
        <v>194</v>
      </c>
      <c r="D530" s="37"/>
      <c r="E530" t="s">
        <v>592</v>
      </c>
    </row>
    <row r="531" spans="1:5" x14ac:dyDescent="0.35">
      <c r="A531" t="s">
        <v>416</v>
      </c>
      <c r="B531" t="s">
        <v>144</v>
      </c>
      <c r="D531" s="37"/>
      <c r="E531" t="s">
        <v>592</v>
      </c>
    </row>
    <row r="532" spans="1:5" x14ac:dyDescent="0.35">
      <c r="A532" t="s">
        <v>416</v>
      </c>
      <c r="B532" t="s">
        <v>145</v>
      </c>
      <c r="D532" s="37"/>
      <c r="E532" t="s">
        <v>592</v>
      </c>
    </row>
    <row r="533" spans="1:5" x14ac:dyDescent="0.35">
      <c r="A533" t="s">
        <v>416</v>
      </c>
      <c r="B533" t="s">
        <v>146</v>
      </c>
      <c r="D533" s="37"/>
      <c r="E533" t="s">
        <v>592</v>
      </c>
    </row>
    <row r="534" spans="1:5" x14ac:dyDescent="0.35">
      <c r="A534" t="s">
        <v>416</v>
      </c>
      <c r="B534" t="s">
        <v>147</v>
      </c>
      <c r="D534" s="37"/>
      <c r="E534" t="s">
        <v>592</v>
      </c>
    </row>
    <row r="535" spans="1:5" x14ac:dyDescent="0.3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35">
      <c r="A536" t="s">
        <v>417</v>
      </c>
      <c r="B536" t="s">
        <v>445</v>
      </c>
      <c r="D536" s="37"/>
      <c r="E536" t="s">
        <v>592</v>
      </c>
    </row>
    <row r="537" spans="1:5" x14ac:dyDescent="0.35">
      <c r="A537" t="s">
        <v>417</v>
      </c>
      <c r="B537" t="s">
        <v>189</v>
      </c>
      <c r="D537" s="37"/>
      <c r="E537" t="s">
        <v>592</v>
      </c>
    </row>
    <row r="538" spans="1:5" x14ac:dyDescent="0.35">
      <c r="A538" t="s">
        <v>417</v>
      </c>
      <c r="B538" t="s">
        <v>190</v>
      </c>
      <c r="D538" s="37"/>
      <c r="E538" t="s">
        <v>592</v>
      </c>
    </row>
    <row r="539" spans="1:5" x14ac:dyDescent="0.3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3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3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35">
      <c r="A542" t="s">
        <v>417</v>
      </c>
      <c r="B542" t="s">
        <v>303</v>
      </c>
      <c r="D542" s="37"/>
      <c r="E542" t="s">
        <v>592</v>
      </c>
    </row>
    <row r="543" spans="1:5" x14ac:dyDescent="0.35">
      <c r="A543" t="s">
        <v>417</v>
      </c>
      <c r="B543" t="s">
        <v>199</v>
      </c>
      <c r="D543" s="37"/>
      <c r="E543" t="s">
        <v>592</v>
      </c>
    </row>
    <row r="544" spans="1:5" x14ac:dyDescent="0.35">
      <c r="A544" t="s">
        <v>417</v>
      </c>
      <c r="B544" t="s">
        <v>194</v>
      </c>
      <c r="D544" s="37"/>
      <c r="E544" t="s">
        <v>592</v>
      </c>
    </row>
    <row r="545" spans="1:5" x14ac:dyDescent="0.35">
      <c r="A545" t="s">
        <v>417</v>
      </c>
      <c r="B545" t="s">
        <v>144</v>
      </c>
      <c r="D545" s="37"/>
      <c r="E545" t="s">
        <v>592</v>
      </c>
    </row>
    <row r="546" spans="1:5" x14ac:dyDescent="0.35">
      <c r="A546" t="s">
        <v>417</v>
      </c>
      <c r="B546" t="s">
        <v>145</v>
      </c>
      <c r="D546" s="37"/>
      <c r="E546" t="s">
        <v>592</v>
      </c>
    </row>
    <row r="547" spans="1:5" x14ac:dyDescent="0.35">
      <c r="A547" t="s">
        <v>417</v>
      </c>
      <c r="B547" t="s">
        <v>146</v>
      </c>
      <c r="D547" s="37"/>
      <c r="E547" t="s">
        <v>592</v>
      </c>
    </row>
    <row r="548" spans="1:5" x14ac:dyDescent="0.35">
      <c r="A548" t="s">
        <v>417</v>
      </c>
      <c r="B548" t="s">
        <v>147</v>
      </c>
      <c r="D548" s="37"/>
      <c r="E548" t="s">
        <v>592</v>
      </c>
    </row>
    <row r="549" spans="1:5" x14ac:dyDescent="0.3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35">
      <c r="A550" t="s">
        <v>418</v>
      </c>
      <c r="B550" t="s">
        <v>445</v>
      </c>
      <c r="D550" s="37"/>
      <c r="E550" t="s">
        <v>592</v>
      </c>
    </row>
    <row r="551" spans="1:5" x14ac:dyDescent="0.35">
      <c r="A551" t="s">
        <v>418</v>
      </c>
      <c r="B551" t="s">
        <v>189</v>
      </c>
      <c r="D551" s="37"/>
      <c r="E551" t="s">
        <v>592</v>
      </c>
    </row>
    <row r="552" spans="1:5" x14ac:dyDescent="0.35">
      <c r="A552" t="s">
        <v>418</v>
      </c>
      <c r="B552" t="s">
        <v>190</v>
      </c>
      <c r="D552" s="37"/>
      <c r="E552" t="s">
        <v>592</v>
      </c>
    </row>
    <row r="553" spans="1:5" x14ac:dyDescent="0.3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3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3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35">
      <c r="A556" t="s">
        <v>418</v>
      </c>
      <c r="B556" t="s">
        <v>303</v>
      </c>
      <c r="D556" s="37"/>
      <c r="E556" t="s">
        <v>592</v>
      </c>
    </row>
    <row r="557" spans="1:5" x14ac:dyDescent="0.35">
      <c r="A557" t="s">
        <v>418</v>
      </c>
      <c r="B557" t="s">
        <v>199</v>
      </c>
      <c r="D557" s="37"/>
      <c r="E557" t="s">
        <v>592</v>
      </c>
    </row>
    <row r="558" spans="1:5" x14ac:dyDescent="0.35">
      <c r="A558" t="s">
        <v>418</v>
      </c>
      <c r="B558" t="s">
        <v>194</v>
      </c>
      <c r="D558" s="37"/>
      <c r="E558" t="s">
        <v>592</v>
      </c>
    </row>
    <row r="559" spans="1:5" x14ac:dyDescent="0.35">
      <c r="A559" t="s">
        <v>418</v>
      </c>
      <c r="B559" t="s">
        <v>144</v>
      </c>
      <c r="D559" s="37"/>
      <c r="E559" t="s">
        <v>592</v>
      </c>
    </row>
    <row r="560" spans="1:5" x14ac:dyDescent="0.35">
      <c r="A560" t="s">
        <v>418</v>
      </c>
      <c r="B560" t="s">
        <v>145</v>
      </c>
      <c r="D560" s="37"/>
      <c r="E560" t="s">
        <v>592</v>
      </c>
    </row>
    <row r="561" spans="1:5" x14ac:dyDescent="0.35">
      <c r="A561" t="s">
        <v>418</v>
      </c>
      <c r="B561" t="s">
        <v>146</v>
      </c>
      <c r="D561" s="37"/>
      <c r="E561" t="s">
        <v>592</v>
      </c>
    </row>
    <row r="562" spans="1:5" x14ac:dyDescent="0.35">
      <c r="A562" t="s">
        <v>418</v>
      </c>
      <c r="B562" t="s">
        <v>147</v>
      </c>
      <c r="D562" s="37"/>
      <c r="E562" t="s">
        <v>592</v>
      </c>
    </row>
    <row r="563" spans="1:5" x14ac:dyDescent="0.3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35">
      <c r="A564" t="s">
        <v>419</v>
      </c>
      <c r="B564" t="s">
        <v>445</v>
      </c>
      <c r="D564" s="37"/>
      <c r="E564" t="s">
        <v>592</v>
      </c>
    </row>
    <row r="565" spans="1:5" x14ac:dyDescent="0.35">
      <c r="A565" t="s">
        <v>419</v>
      </c>
      <c r="B565" t="s">
        <v>189</v>
      </c>
      <c r="D565" s="37"/>
      <c r="E565" t="s">
        <v>592</v>
      </c>
    </row>
    <row r="566" spans="1:5" x14ac:dyDescent="0.35">
      <c r="A566" t="s">
        <v>419</v>
      </c>
      <c r="B566" t="s">
        <v>190</v>
      </c>
      <c r="D566" s="37"/>
      <c r="E566" t="s">
        <v>592</v>
      </c>
    </row>
    <row r="567" spans="1:5" x14ac:dyDescent="0.3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3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3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35">
      <c r="A570" t="s">
        <v>419</v>
      </c>
      <c r="B570" t="s">
        <v>303</v>
      </c>
      <c r="D570" s="37"/>
      <c r="E570" t="s">
        <v>592</v>
      </c>
    </row>
    <row r="571" spans="1:5" x14ac:dyDescent="0.35">
      <c r="A571" t="s">
        <v>419</v>
      </c>
      <c r="B571" t="s">
        <v>199</v>
      </c>
      <c r="D571" s="37"/>
      <c r="E571" t="s">
        <v>592</v>
      </c>
    </row>
    <row r="572" spans="1:5" x14ac:dyDescent="0.35">
      <c r="A572" t="s">
        <v>419</v>
      </c>
      <c r="B572" t="s">
        <v>194</v>
      </c>
      <c r="D572" s="37"/>
      <c r="E572" t="s">
        <v>592</v>
      </c>
    </row>
    <row r="573" spans="1:5" x14ac:dyDescent="0.35">
      <c r="A573" t="s">
        <v>419</v>
      </c>
      <c r="B573" t="s">
        <v>144</v>
      </c>
      <c r="D573" s="37"/>
      <c r="E573" t="s">
        <v>592</v>
      </c>
    </row>
    <row r="574" spans="1:5" x14ac:dyDescent="0.35">
      <c r="A574" t="s">
        <v>419</v>
      </c>
      <c r="B574" t="s">
        <v>145</v>
      </c>
      <c r="D574" s="37"/>
      <c r="E574" t="s">
        <v>592</v>
      </c>
    </row>
    <row r="575" spans="1:5" x14ac:dyDescent="0.35">
      <c r="A575" t="s">
        <v>419</v>
      </c>
      <c r="B575" t="s">
        <v>146</v>
      </c>
      <c r="D575" s="37"/>
      <c r="E575" t="s">
        <v>592</v>
      </c>
    </row>
    <row r="576" spans="1:5" x14ac:dyDescent="0.35">
      <c r="A576" t="s">
        <v>419</v>
      </c>
      <c r="B576" t="s">
        <v>147</v>
      </c>
      <c r="D576" s="37"/>
      <c r="E576" t="s">
        <v>592</v>
      </c>
    </row>
    <row r="577" spans="1:5" x14ac:dyDescent="0.3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35">
      <c r="A578" t="s">
        <v>420</v>
      </c>
      <c r="B578" t="s">
        <v>445</v>
      </c>
      <c r="D578" s="37"/>
      <c r="E578" t="s">
        <v>592</v>
      </c>
    </row>
    <row r="579" spans="1:5" x14ac:dyDescent="0.35">
      <c r="A579" t="s">
        <v>420</v>
      </c>
      <c r="B579" t="s">
        <v>189</v>
      </c>
      <c r="D579" s="37"/>
      <c r="E579" t="s">
        <v>592</v>
      </c>
    </row>
    <row r="580" spans="1:5" x14ac:dyDescent="0.35">
      <c r="A580" t="s">
        <v>420</v>
      </c>
      <c r="B580" t="s">
        <v>190</v>
      </c>
      <c r="D580" s="37"/>
      <c r="E580" t="s">
        <v>592</v>
      </c>
    </row>
    <row r="581" spans="1:5" x14ac:dyDescent="0.3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35">
      <c r="A582" t="s">
        <v>420</v>
      </c>
      <c r="B582" t="s">
        <v>446</v>
      </c>
      <c r="D582" s="37"/>
      <c r="E582" t="s">
        <v>592</v>
      </c>
    </row>
    <row r="583" spans="1:5" x14ac:dyDescent="0.3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35">
      <c r="A584" t="s">
        <v>420</v>
      </c>
      <c r="B584" t="s">
        <v>303</v>
      </c>
      <c r="D584" s="37"/>
      <c r="E584" t="s">
        <v>592</v>
      </c>
    </row>
    <row r="585" spans="1:5" x14ac:dyDescent="0.35">
      <c r="A585" t="s">
        <v>420</v>
      </c>
      <c r="B585" t="s">
        <v>199</v>
      </c>
      <c r="D585" s="37"/>
      <c r="E585" t="s">
        <v>592</v>
      </c>
    </row>
    <row r="586" spans="1:5" x14ac:dyDescent="0.3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35">
      <c r="A587" t="s">
        <v>420</v>
      </c>
      <c r="B587" t="s">
        <v>144</v>
      </c>
      <c r="D587" s="37"/>
      <c r="E587" t="s">
        <v>592</v>
      </c>
    </row>
    <row r="588" spans="1:5" x14ac:dyDescent="0.35">
      <c r="A588" t="s">
        <v>420</v>
      </c>
      <c r="B588" t="s">
        <v>145</v>
      </c>
      <c r="D588" s="37"/>
      <c r="E588" t="s">
        <v>592</v>
      </c>
    </row>
    <row r="589" spans="1:5" x14ac:dyDescent="0.35">
      <c r="A589" t="s">
        <v>420</v>
      </c>
      <c r="B589" t="s">
        <v>146</v>
      </c>
      <c r="D589" s="37"/>
      <c r="E589" t="s">
        <v>592</v>
      </c>
    </row>
    <row r="590" spans="1:5" x14ac:dyDescent="0.35">
      <c r="A590" t="s">
        <v>420</v>
      </c>
      <c r="B590" t="s">
        <v>147</v>
      </c>
      <c r="D590" s="37"/>
      <c r="E590" t="s">
        <v>592</v>
      </c>
    </row>
    <row r="591" spans="1:5" x14ac:dyDescent="0.3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35">
      <c r="A592" t="s">
        <v>421</v>
      </c>
      <c r="B592" t="s">
        <v>445</v>
      </c>
      <c r="D592" s="37"/>
      <c r="E592" t="s">
        <v>592</v>
      </c>
    </row>
    <row r="593" spans="1:5" x14ac:dyDescent="0.35">
      <c r="A593" t="s">
        <v>421</v>
      </c>
      <c r="B593" t="s">
        <v>189</v>
      </c>
      <c r="D593" s="37"/>
      <c r="E593" t="s">
        <v>592</v>
      </c>
    </row>
    <row r="594" spans="1:5" x14ac:dyDescent="0.35">
      <c r="A594" t="s">
        <v>421</v>
      </c>
      <c r="B594" t="s">
        <v>190</v>
      </c>
      <c r="D594" s="37"/>
      <c r="E594" t="s">
        <v>592</v>
      </c>
    </row>
    <row r="595" spans="1:5" x14ac:dyDescent="0.3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3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3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35">
      <c r="A598" t="s">
        <v>421</v>
      </c>
      <c r="B598" t="s">
        <v>303</v>
      </c>
      <c r="D598" s="37"/>
      <c r="E598" t="s">
        <v>592</v>
      </c>
    </row>
    <row r="599" spans="1:5" x14ac:dyDescent="0.35">
      <c r="A599" t="s">
        <v>421</v>
      </c>
      <c r="B599" t="s">
        <v>199</v>
      </c>
      <c r="D599" s="37"/>
      <c r="E599" t="s">
        <v>592</v>
      </c>
    </row>
    <row r="600" spans="1:5" x14ac:dyDescent="0.3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35">
      <c r="A601" t="s">
        <v>421</v>
      </c>
      <c r="B601" t="s">
        <v>144</v>
      </c>
      <c r="D601" s="37"/>
      <c r="E601" t="s">
        <v>592</v>
      </c>
    </row>
    <row r="602" spans="1:5" x14ac:dyDescent="0.35">
      <c r="A602" t="s">
        <v>421</v>
      </c>
      <c r="B602" t="s">
        <v>145</v>
      </c>
      <c r="D602" s="37"/>
      <c r="E602" t="s">
        <v>592</v>
      </c>
    </row>
    <row r="603" spans="1:5" x14ac:dyDescent="0.35">
      <c r="A603" t="s">
        <v>421</v>
      </c>
      <c r="B603" t="s">
        <v>146</v>
      </c>
      <c r="D603" s="37"/>
      <c r="E603" t="s">
        <v>592</v>
      </c>
    </row>
    <row r="604" spans="1:5" x14ac:dyDescent="0.35">
      <c r="A604" t="s">
        <v>421</v>
      </c>
      <c r="B604" t="s">
        <v>147</v>
      </c>
      <c r="D604" s="37"/>
      <c r="E604" t="s">
        <v>592</v>
      </c>
    </row>
    <row r="605" spans="1:5" x14ac:dyDescent="0.3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35">
      <c r="A606" t="s">
        <v>422</v>
      </c>
      <c r="B606" t="s">
        <v>445</v>
      </c>
      <c r="D606" s="37"/>
      <c r="E606" t="s">
        <v>592</v>
      </c>
    </row>
    <row r="607" spans="1:5" x14ac:dyDescent="0.35">
      <c r="A607" t="s">
        <v>422</v>
      </c>
      <c r="B607" t="s">
        <v>189</v>
      </c>
      <c r="D607" s="37"/>
      <c r="E607" t="s">
        <v>592</v>
      </c>
    </row>
    <row r="608" spans="1:5" x14ac:dyDescent="0.35">
      <c r="A608" t="s">
        <v>422</v>
      </c>
      <c r="B608" t="s">
        <v>190</v>
      </c>
      <c r="D608" s="37"/>
      <c r="E608" t="s">
        <v>592</v>
      </c>
    </row>
    <row r="609" spans="1:5" x14ac:dyDescent="0.3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3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3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35">
      <c r="A612" t="s">
        <v>422</v>
      </c>
      <c r="B612" t="s">
        <v>303</v>
      </c>
      <c r="D612" s="37"/>
      <c r="E612" t="s">
        <v>592</v>
      </c>
    </row>
    <row r="613" spans="1:5" x14ac:dyDescent="0.35">
      <c r="A613" t="s">
        <v>422</v>
      </c>
      <c r="B613" t="s">
        <v>199</v>
      </c>
      <c r="D613" s="37"/>
      <c r="E613" t="s">
        <v>592</v>
      </c>
    </row>
    <row r="614" spans="1:5" x14ac:dyDescent="0.35">
      <c r="A614" t="s">
        <v>422</v>
      </c>
      <c r="B614" t="s">
        <v>194</v>
      </c>
      <c r="D614" s="37"/>
      <c r="E614" t="s">
        <v>592</v>
      </c>
    </row>
    <row r="615" spans="1:5" x14ac:dyDescent="0.35">
      <c r="A615" t="s">
        <v>422</v>
      </c>
      <c r="B615" t="s">
        <v>144</v>
      </c>
      <c r="D615" s="37"/>
      <c r="E615" t="s">
        <v>592</v>
      </c>
    </row>
    <row r="616" spans="1:5" x14ac:dyDescent="0.35">
      <c r="A616" t="s">
        <v>422</v>
      </c>
      <c r="B616" t="s">
        <v>145</v>
      </c>
      <c r="D616" s="37"/>
      <c r="E616" t="s">
        <v>592</v>
      </c>
    </row>
    <row r="617" spans="1:5" x14ac:dyDescent="0.35">
      <c r="A617" t="s">
        <v>422</v>
      </c>
      <c r="B617" t="s">
        <v>146</v>
      </c>
      <c r="D617" s="37"/>
      <c r="E617" t="s">
        <v>592</v>
      </c>
    </row>
    <row r="618" spans="1:5" x14ac:dyDescent="0.35">
      <c r="A618" t="s">
        <v>422</v>
      </c>
      <c r="B618" t="s">
        <v>147</v>
      </c>
      <c r="D618" s="37"/>
      <c r="E618" t="s">
        <v>592</v>
      </c>
    </row>
    <row r="619" spans="1:5" x14ac:dyDescent="0.3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3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35">
      <c r="A621" t="s">
        <v>423</v>
      </c>
      <c r="B621" t="s">
        <v>189</v>
      </c>
      <c r="D621" s="37"/>
      <c r="E621" t="s">
        <v>592</v>
      </c>
    </row>
    <row r="622" spans="1:5" x14ac:dyDescent="0.35">
      <c r="A622" t="s">
        <v>423</v>
      </c>
      <c r="B622" t="s">
        <v>190</v>
      </c>
      <c r="D622" s="37"/>
      <c r="E622" t="s">
        <v>592</v>
      </c>
    </row>
    <row r="623" spans="1:5" x14ac:dyDescent="0.3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35">
      <c r="A624" t="s">
        <v>423</v>
      </c>
      <c r="B624" t="s">
        <v>446</v>
      </c>
      <c r="D624" s="37"/>
      <c r="E624" t="s">
        <v>592</v>
      </c>
    </row>
    <row r="625" spans="1:5" x14ac:dyDescent="0.3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35">
      <c r="A626" t="s">
        <v>423</v>
      </c>
      <c r="B626" t="s">
        <v>303</v>
      </c>
      <c r="D626" s="37"/>
      <c r="E626" t="s">
        <v>592</v>
      </c>
    </row>
    <row r="627" spans="1:5" x14ac:dyDescent="0.35">
      <c r="A627" t="s">
        <v>423</v>
      </c>
      <c r="B627" t="s">
        <v>199</v>
      </c>
      <c r="D627" s="37"/>
      <c r="E627" t="s">
        <v>592</v>
      </c>
    </row>
    <row r="628" spans="1:5" x14ac:dyDescent="0.35">
      <c r="A628" t="s">
        <v>423</v>
      </c>
      <c r="B628" t="s">
        <v>194</v>
      </c>
      <c r="D628" s="37"/>
      <c r="E628" t="s">
        <v>592</v>
      </c>
    </row>
    <row r="629" spans="1:5" x14ac:dyDescent="0.35">
      <c r="A629" t="s">
        <v>423</v>
      </c>
      <c r="B629" t="s">
        <v>144</v>
      </c>
      <c r="D629" s="37"/>
      <c r="E629" t="s">
        <v>592</v>
      </c>
    </row>
    <row r="630" spans="1:5" x14ac:dyDescent="0.35">
      <c r="A630" t="s">
        <v>423</v>
      </c>
      <c r="B630" t="s">
        <v>145</v>
      </c>
      <c r="D630" s="37"/>
      <c r="E630" t="s">
        <v>592</v>
      </c>
    </row>
    <row r="631" spans="1:5" x14ac:dyDescent="0.35">
      <c r="A631" t="s">
        <v>423</v>
      </c>
      <c r="B631" t="s">
        <v>146</v>
      </c>
      <c r="D631" s="37"/>
      <c r="E631" t="s">
        <v>592</v>
      </c>
    </row>
    <row r="632" spans="1:5" x14ac:dyDescent="0.35">
      <c r="A632" t="s">
        <v>423</v>
      </c>
      <c r="B632" t="s">
        <v>147</v>
      </c>
      <c r="D632" s="37"/>
      <c r="E632" t="s">
        <v>592</v>
      </c>
    </row>
    <row r="633" spans="1:5" x14ac:dyDescent="0.3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35">
      <c r="A634" t="s">
        <v>424</v>
      </c>
      <c r="B634" t="s">
        <v>445</v>
      </c>
      <c r="D634" s="37"/>
      <c r="E634" t="s">
        <v>592</v>
      </c>
    </row>
    <row r="635" spans="1:5" x14ac:dyDescent="0.35">
      <c r="A635" t="s">
        <v>424</v>
      </c>
      <c r="B635" t="s">
        <v>189</v>
      </c>
      <c r="D635" s="37"/>
      <c r="E635" t="s">
        <v>592</v>
      </c>
    </row>
    <row r="636" spans="1:5" x14ac:dyDescent="0.35">
      <c r="A636" t="s">
        <v>424</v>
      </c>
      <c r="B636" t="s">
        <v>190</v>
      </c>
      <c r="D636" s="37"/>
      <c r="E636" t="s">
        <v>592</v>
      </c>
    </row>
    <row r="637" spans="1:5" x14ac:dyDescent="0.3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35">
      <c r="A638" t="s">
        <v>424</v>
      </c>
      <c r="B638" t="s">
        <v>446</v>
      </c>
      <c r="D638" s="37"/>
      <c r="E638" t="s">
        <v>592</v>
      </c>
    </row>
    <row r="639" spans="1:5" x14ac:dyDescent="0.3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35">
      <c r="A640" t="s">
        <v>424</v>
      </c>
      <c r="B640" t="s">
        <v>303</v>
      </c>
      <c r="D640" s="37"/>
      <c r="E640" t="s">
        <v>592</v>
      </c>
    </row>
    <row r="641" spans="1:5" x14ac:dyDescent="0.35">
      <c r="A641" t="s">
        <v>424</v>
      </c>
      <c r="B641" t="s">
        <v>199</v>
      </c>
      <c r="D641" s="37"/>
      <c r="E641" t="s">
        <v>592</v>
      </c>
    </row>
    <row r="642" spans="1:5" x14ac:dyDescent="0.35">
      <c r="A642" t="s">
        <v>424</v>
      </c>
      <c r="B642" t="s">
        <v>194</v>
      </c>
      <c r="D642" s="37"/>
      <c r="E642" t="s">
        <v>592</v>
      </c>
    </row>
    <row r="643" spans="1:5" x14ac:dyDescent="0.35">
      <c r="A643" t="s">
        <v>424</v>
      </c>
      <c r="B643" t="s">
        <v>144</v>
      </c>
      <c r="D643" s="37"/>
      <c r="E643" t="s">
        <v>592</v>
      </c>
    </row>
    <row r="644" spans="1:5" x14ac:dyDescent="0.35">
      <c r="A644" t="s">
        <v>424</v>
      </c>
      <c r="B644" t="s">
        <v>145</v>
      </c>
      <c r="D644" s="37"/>
      <c r="E644" t="s">
        <v>592</v>
      </c>
    </row>
    <row r="645" spans="1:5" x14ac:dyDescent="0.35">
      <c r="A645" t="s">
        <v>424</v>
      </c>
      <c r="B645" t="s">
        <v>146</v>
      </c>
      <c r="D645" s="37"/>
      <c r="E645" t="s">
        <v>592</v>
      </c>
    </row>
    <row r="646" spans="1:5" x14ac:dyDescent="0.35">
      <c r="A646" t="s">
        <v>424</v>
      </c>
      <c r="B646" t="s">
        <v>147</v>
      </c>
      <c r="D646" s="37"/>
      <c r="E646" t="s">
        <v>592</v>
      </c>
    </row>
    <row r="647" spans="1:5" x14ac:dyDescent="0.3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35">
      <c r="A648" t="s">
        <v>425</v>
      </c>
      <c r="B648" t="s">
        <v>445</v>
      </c>
      <c r="D648" s="37"/>
      <c r="E648" t="s">
        <v>592</v>
      </c>
    </row>
    <row r="649" spans="1:5" x14ac:dyDescent="0.35">
      <c r="A649" t="s">
        <v>425</v>
      </c>
      <c r="B649" t="s">
        <v>189</v>
      </c>
      <c r="D649" s="37"/>
      <c r="E649" t="s">
        <v>592</v>
      </c>
    </row>
    <row r="650" spans="1:5" x14ac:dyDescent="0.35">
      <c r="A650" t="s">
        <v>425</v>
      </c>
      <c r="B650" t="s">
        <v>190</v>
      </c>
      <c r="D650" s="37"/>
      <c r="E650" t="s">
        <v>592</v>
      </c>
    </row>
    <row r="651" spans="1:5" x14ac:dyDescent="0.3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3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3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35">
      <c r="A654" t="s">
        <v>425</v>
      </c>
      <c r="B654" t="s">
        <v>303</v>
      </c>
      <c r="D654" s="37"/>
      <c r="E654" t="s">
        <v>592</v>
      </c>
    </row>
    <row r="655" spans="1:5" x14ac:dyDescent="0.35">
      <c r="A655" t="s">
        <v>425</v>
      </c>
      <c r="B655" t="s">
        <v>199</v>
      </c>
      <c r="D655" s="37"/>
      <c r="E655" t="s">
        <v>592</v>
      </c>
    </row>
    <row r="656" spans="1:5" x14ac:dyDescent="0.35">
      <c r="A656" t="s">
        <v>425</v>
      </c>
      <c r="B656" t="s">
        <v>194</v>
      </c>
      <c r="D656" s="37"/>
      <c r="E656" t="s">
        <v>592</v>
      </c>
    </row>
    <row r="657" spans="1:5" x14ac:dyDescent="0.35">
      <c r="A657" t="s">
        <v>425</v>
      </c>
      <c r="B657" t="s">
        <v>144</v>
      </c>
      <c r="D657" s="37"/>
      <c r="E657" t="s">
        <v>592</v>
      </c>
    </row>
    <row r="658" spans="1:5" x14ac:dyDescent="0.35">
      <c r="A658" t="s">
        <v>425</v>
      </c>
      <c r="B658" t="s">
        <v>145</v>
      </c>
      <c r="D658" s="37"/>
      <c r="E658" t="s">
        <v>592</v>
      </c>
    </row>
    <row r="659" spans="1:5" x14ac:dyDescent="0.35">
      <c r="A659" t="s">
        <v>425</v>
      </c>
      <c r="B659" t="s">
        <v>146</v>
      </c>
      <c r="D659" s="37"/>
      <c r="E659" t="s">
        <v>592</v>
      </c>
    </row>
    <row r="660" spans="1:5" x14ac:dyDescent="0.35">
      <c r="A660" t="s">
        <v>425</v>
      </c>
      <c r="B660" t="s">
        <v>147</v>
      </c>
      <c r="D660" s="37"/>
      <c r="E660" t="s">
        <v>592</v>
      </c>
    </row>
    <row r="661" spans="1:5" x14ac:dyDescent="0.3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3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35">
      <c r="A663" t="s">
        <v>426</v>
      </c>
      <c r="B663" t="s">
        <v>189</v>
      </c>
      <c r="D663" s="37"/>
      <c r="E663" t="s">
        <v>592</v>
      </c>
    </row>
    <row r="664" spans="1:5" x14ac:dyDescent="0.35">
      <c r="A664" t="s">
        <v>426</v>
      </c>
      <c r="B664" t="s">
        <v>190</v>
      </c>
      <c r="D664" s="37"/>
      <c r="E664" t="s">
        <v>592</v>
      </c>
    </row>
    <row r="665" spans="1:5" x14ac:dyDescent="0.3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3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3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35">
      <c r="A668" t="s">
        <v>426</v>
      </c>
      <c r="B668" t="s">
        <v>303</v>
      </c>
      <c r="D668" s="37"/>
      <c r="E668" t="s">
        <v>592</v>
      </c>
    </row>
    <row r="669" spans="1:5" x14ac:dyDescent="0.35">
      <c r="A669" t="s">
        <v>426</v>
      </c>
      <c r="B669" t="s">
        <v>199</v>
      </c>
      <c r="D669" s="37"/>
      <c r="E669" t="s">
        <v>592</v>
      </c>
    </row>
    <row r="670" spans="1:5" x14ac:dyDescent="0.35">
      <c r="A670" t="s">
        <v>426</v>
      </c>
      <c r="B670" t="s">
        <v>194</v>
      </c>
      <c r="D670" s="37"/>
      <c r="E670" t="s">
        <v>592</v>
      </c>
    </row>
    <row r="671" spans="1:5" x14ac:dyDescent="0.35">
      <c r="A671" t="s">
        <v>426</v>
      </c>
      <c r="B671" t="s">
        <v>144</v>
      </c>
      <c r="D671" s="37"/>
      <c r="E671" t="s">
        <v>592</v>
      </c>
    </row>
    <row r="672" spans="1:5" x14ac:dyDescent="0.35">
      <c r="A672" t="s">
        <v>426</v>
      </c>
      <c r="B672" t="s">
        <v>145</v>
      </c>
      <c r="D672" s="37"/>
      <c r="E672" t="s">
        <v>592</v>
      </c>
    </row>
    <row r="673" spans="1:5" x14ac:dyDescent="0.35">
      <c r="A673" t="s">
        <v>426</v>
      </c>
      <c r="B673" t="s">
        <v>146</v>
      </c>
      <c r="D673" s="37"/>
      <c r="E673" t="s">
        <v>592</v>
      </c>
    </row>
    <row r="674" spans="1:5" x14ac:dyDescent="0.35">
      <c r="A674" t="s">
        <v>426</v>
      </c>
      <c r="B674" t="s">
        <v>147</v>
      </c>
      <c r="D674" s="37"/>
      <c r="E674" t="s">
        <v>592</v>
      </c>
    </row>
    <row r="675" spans="1:5" x14ac:dyDescent="0.3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3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35">
      <c r="A677" t="s">
        <v>427</v>
      </c>
      <c r="B677" t="s">
        <v>189</v>
      </c>
      <c r="D677" s="37"/>
      <c r="E677" t="s">
        <v>592</v>
      </c>
    </row>
    <row r="678" spans="1:5" x14ac:dyDescent="0.35">
      <c r="A678" t="s">
        <v>427</v>
      </c>
      <c r="B678" t="s">
        <v>190</v>
      </c>
      <c r="D678" s="37"/>
      <c r="E678" t="s">
        <v>592</v>
      </c>
    </row>
    <row r="679" spans="1:5" x14ac:dyDescent="0.3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35">
      <c r="A680" t="s">
        <v>427</v>
      </c>
      <c r="B680" t="s">
        <v>446</v>
      </c>
      <c r="D680" s="37"/>
      <c r="E680" t="s">
        <v>592</v>
      </c>
    </row>
    <row r="681" spans="1:5" x14ac:dyDescent="0.3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35">
      <c r="A682" t="s">
        <v>427</v>
      </c>
      <c r="B682" t="s">
        <v>303</v>
      </c>
      <c r="D682" s="37"/>
      <c r="E682" t="s">
        <v>592</v>
      </c>
    </row>
    <row r="683" spans="1:5" x14ac:dyDescent="0.35">
      <c r="A683" t="s">
        <v>427</v>
      </c>
      <c r="B683" t="s">
        <v>199</v>
      </c>
      <c r="D683" s="37"/>
      <c r="E683" t="s">
        <v>592</v>
      </c>
    </row>
    <row r="684" spans="1:5" x14ac:dyDescent="0.35">
      <c r="A684" t="s">
        <v>427</v>
      </c>
      <c r="B684" t="s">
        <v>194</v>
      </c>
      <c r="D684" s="37"/>
      <c r="E684" t="s">
        <v>592</v>
      </c>
    </row>
    <row r="685" spans="1:5" x14ac:dyDescent="0.35">
      <c r="A685" t="s">
        <v>427</v>
      </c>
      <c r="B685" t="s">
        <v>144</v>
      </c>
      <c r="D685" s="37"/>
      <c r="E685" t="s">
        <v>592</v>
      </c>
    </row>
    <row r="686" spans="1:5" x14ac:dyDescent="0.35">
      <c r="A686" t="s">
        <v>427</v>
      </c>
      <c r="B686" t="s">
        <v>145</v>
      </c>
      <c r="D686" s="37"/>
      <c r="E686" t="s">
        <v>592</v>
      </c>
    </row>
    <row r="687" spans="1:5" x14ac:dyDescent="0.35">
      <c r="A687" t="s">
        <v>427</v>
      </c>
      <c r="B687" t="s">
        <v>146</v>
      </c>
      <c r="D687" s="37"/>
      <c r="E687" t="s">
        <v>592</v>
      </c>
    </row>
    <row r="688" spans="1:5" x14ac:dyDescent="0.35">
      <c r="A688" t="s">
        <v>427</v>
      </c>
      <c r="B688" t="s">
        <v>147</v>
      </c>
      <c r="D688" s="37"/>
      <c r="E688" t="s">
        <v>592</v>
      </c>
    </row>
    <row r="689" spans="1:5" x14ac:dyDescent="0.3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35">
      <c r="A690" t="s">
        <v>428</v>
      </c>
      <c r="B690" t="s">
        <v>445</v>
      </c>
      <c r="D690" s="37"/>
      <c r="E690" t="s">
        <v>592</v>
      </c>
    </row>
    <row r="691" spans="1:5" x14ac:dyDescent="0.35">
      <c r="A691" t="s">
        <v>428</v>
      </c>
      <c r="B691" t="s">
        <v>189</v>
      </c>
      <c r="D691" s="37"/>
      <c r="E691" t="s">
        <v>592</v>
      </c>
    </row>
    <row r="692" spans="1:5" x14ac:dyDescent="0.35">
      <c r="A692" t="s">
        <v>428</v>
      </c>
      <c r="B692" t="s">
        <v>190</v>
      </c>
      <c r="D692" s="37"/>
      <c r="E692" t="s">
        <v>592</v>
      </c>
    </row>
    <row r="693" spans="1:5" x14ac:dyDescent="0.3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35">
      <c r="A694" t="s">
        <v>428</v>
      </c>
      <c r="B694" t="s">
        <v>446</v>
      </c>
      <c r="D694" s="37"/>
      <c r="E694" t="s">
        <v>592</v>
      </c>
    </row>
    <row r="695" spans="1:5" x14ac:dyDescent="0.3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35">
      <c r="A696" t="s">
        <v>428</v>
      </c>
      <c r="B696" t="s">
        <v>303</v>
      </c>
      <c r="D696" s="37"/>
      <c r="E696" t="s">
        <v>592</v>
      </c>
    </row>
    <row r="697" spans="1:5" x14ac:dyDescent="0.35">
      <c r="A697" t="s">
        <v>428</v>
      </c>
      <c r="B697" t="s">
        <v>199</v>
      </c>
      <c r="D697" s="37"/>
      <c r="E697" t="s">
        <v>592</v>
      </c>
    </row>
    <row r="698" spans="1:5" x14ac:dyDescent="0.35">
      <c r="A698" t="s">
        <v>428</v>
      </c>
      <c r="B698" t="s">
        <v>194</v>
      </c>
      <c r="D698" s="37"/>
      <c r="E698" t="s">
        <v>592</v>
      </c>
    </row>
    <row r="699" spans="1:5" x14ac:dyDescent="0.35">
      <c r="A699" t="s">
        <v>428</v>
      </c>
      <c r="B699" t="s">
        <v>144</v>
      </c>
      <c r="D699" s="37"/>
      <c r="E699" t="s">
        <v>592</v>
      </c>
    </row>
    <row r="700" spans="1:5" x14ac:dyDescent="0.35">
      <c r="A700" t="s">
        <v>428</v>
      </c>
      <c r="B700" t="s">
        <v>145</v>
      </c>
      <c r="D700" s="37"/>
      <c r="E700" t="s">
        <v>592</v>
      </c>
    </row>
    <row r="701" spans="1:5" x14ac:dyDescent="0.35">
      <c r="A701" t="s">
        <v>428</v>
      </c>
      <c r="B701" t="s">
        <v>146</v>
      </c>
      <c r="D701" s="37"/>
      <c r="E701" t="s">
        <v>592</v>
      </c>
    </row>
    <row r="702" spans="1:5" x14ac:dyDescent="0.35">
      <c r="A702" t="s">
        <v>428</v>
      </c>
      <c r="B702" t="s">
        <v>147</v>
      </c>
      <c r="D702" s="37"/>
      <c r="E702" t="s">
        <v>592</v>
      </c>
    </row>
    <row r="703" spans="1:5" x14ac:dyDescent="0.35">
      <c r="A703" t="s">
        <v>429</v>
      </c>
      <c r="B703" t="s">
        <v>299</v>
      </c>
      <c r="D703" s="37"/>
      <c r="E703" t="s">
        <v>592</v>
      </c>
    </row>
    <row r="704" spans="1:5" x14ac:dyDescent="0.35">
      <c r="A704" t="s">
        <v>429</v>
      </c>
      <c r="B704" t="s">
        <v>445</v>
      </c>
      <c r="D704" s="37"/>
      <c r="E704" t="s">
        <v>592</v>
      </c>
    </row>
    <row r="705" spans="1:5" x14ac:dyDescent="0.35">
      <c r="A705" t="s">
        <v>429</v>
      </c>
      <c r="B705" t="s">
        <v>189</v>
      </c>
      <c r="D705" s="37"/>
      <c r="E705" t="s">
        <v>592</v>
      </c>
    </row>
    <row r="706" spans="1:5" x14ac:dyDescent="0.35">
      <c r="A706" t="s">
        <v>429</v>
      </c>
      <c r="B706" t="s">
        <v>190</v>
      </c>
      <c r="D706" s="37"/>
      <c r="E706" t="s">
        <v>592</v>
      </c>
    </row>
    <row r="707" spans="1:5" x14ac:dyDescent="0.3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35">
      <c r="A708" t="s">
        <v>429</v>
      </c>
      <c r="B708" t="s">
        <v>446</v>
      </c>
      <c r="D708" s="37"/>
      <c r="E708" t="s">
        <v>592</v>
      </c>
    </row>
    <row r="709" spans="1:5" x14ac:dyDescent="0.35">
      <c r="A709" t="s">
        <v>429</v>
      </c>
      <c r="B709" t="s">
        <v>40</v>
      </c>
      <c r="D709" s="37"/>
      <c r="E709" t="s">
        <v>592</v>
      </c>
    </row>
    <row r="710" spans="1:5" x14ac:dyDescent="0.35">
      <c r="A710" t="s">
        <v>429</v>
      </c>
      <c r="B710" t="s">
        <v>303</v>
      </c>
      <c r="D710" s="37"/>
      <c r="E710" t="s">
        <v>592</v>
      </c>
    </row>
    <row r="711" spans="1:5" x14ac:dyDescent="0.35">
      <c r="A711" t="s">
        <v>429</v>
      </c>
      <c r="B711" t="s">
        <v>199</v>
      </c>
      <c r="D711" s="37"/>
      <c r="E711" t="s">
        <v>592</v>
      </c>
    </row>
    <row r="712" spans="1:5" x14ac:dyDescent="0.35">
      <c r="A712" t="s">
        <v>429</v>
      </c>
      <c r="B712" t="s">
        <v>194</v>
      </c>
      <c r="D712" s="37"/>
      <c r="E712" t="s">
        <v>592</v>
      </c>
    </row>
    <row r="713" spans="1:5" x14ac:dyDescent="0.35">
      <c r="A713" t="s">
        <v>429</v>
      </c>
      <c r="B713" t="s">
        <v>144</v>
      </c>
      <c r="D713" s="37"/>
      <c r="E713" t="s">
        <v>592</v>
      </c>
    </row>
    <row r="714" spans="1:5" x14ac:dyDescent="0.35">
      <c r="A714" t="s">
        <v>429</v>
      </c>
      <c r="B714" t="s">
        <v>145</v>
      </c>
      <c r="D714" s="37"/>
      <c r="E714" t="s">
        <v>592</v>
      </c>
    </row>
    <row r="715" spans="1:5" x14ac:dyDescent="0.35">
      <c r="A715" t="s">
        <v>429</v>
      </c>
      <c r="B715" t="s">
        <v>146</v>
      </c>
      <c r="D715" s="37"/>
      <c r="E715" t="s">
        <v>592</v>
      </c>
    </row>
    <row r="716" spans="1:5" x14ac:dyDescent="0.35">
      <c r="A716" t="s">
        <v>429</v>
      </c>
      <c r="B716" t="s">
        <v>147</v>
      </c>
      <c r="D716" s="37"/>
      <c r="E716" t="s">
        <v>592</v>
      </c>
    </row>
    <row r="717" spans="1:5" x14ac:dyDescent="0.3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3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35">
      <c r="A719" t="s">
        <v>430</v>
      </c>
      <c r="B719" t="s">
        <v>189</v>
      </c>
      <c r="D719" s="37"/>
      <c r="E719" t="s">
        <v>592</v>
      </c>
    </row>
    <row r="720" spans="1:5" x14ac:dyDescent="0.35">
      <c r="A720" t="s">
        <v>430</v>
      </c>
      <c r="B720" t="s">
        <v>190</v>
      </c>
      <c r="D720" s="37"/>
      <c r="E720" t="s">
        <v>592</v>
      </c>
    </row>
    <row r="721" spans="1:5" x14ac:dyDescent="0.3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35">
      <c r="A722" t="s">
        <v>430</v>
      </c>
      <c r="B722" t="s">
        <v>446</v>
      </c>
      <c r="D722" s="37"/>
      <c r="E722" t="s">
        <v>592</v>
      </c>
    </row>
    <row r="723" spans="1:5" x14ac:dyDescent="0.3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35">
      <c r="A724" t="s">
        <v>430</v>
      </c>
      <c r="B724" t="s">
        <v>303</v>
      </c>
      <c r="D724" s="37"/>
      <c r="E724" t="s">
        <v>592</v>
      </c>
    </row>
    <row r="725" spans="1:5" x14ac:dyDescent="0.35">
      <c r="A725" t="s">
        <v>430</v>
      </c>
      <c r="B725" t="s">
        <v>199</v>
      </c>
      <c r="D725" s="37"/>
      <c r="E725" t="s">
        <v>592</v>
      </c>
    </row>
    <row r="726" spans="1:5" x14ac:dyDescent="0.35">
      <c r="A726" t="s">
        <v>430</v>
      </c>
      <c r="B726" t="s">
        <v>194</v>
      </c>
      <c r="D726" s="37"/>
      <c r="E726" t="s">
        <v>592</v>
      </c>
    </row>
    <row r="727" spans="1:5" x14ac:dyDescent="0.35">
      <c r="A727" t="s">
        <v>430</v>
      </c>
      <c r="B727" t="s">
        <v>144</v>
      </c>
      <c r="D727" s="37"/>
      <c r="E727" t="s">
        <v>592</v>
      </c>
    </row>
    <row r="728" spans="1:5" x14ac:dyDescent="0.35">
      <c r="A728" t="s">
        <v>430</v>
      </c>
      <c r="B728" t="s">
        <v>145</v>
      </c>
      <c r="D728" s="37"/>
      <c r="E728" t="s">
        <v>592</v>
      </c>
    </row>
    <row r="729" spans="1:5" x14ac:dyDescent="0.35">
      <c r="A729" t="s">
        <v>430</v>
      </c>
      <c r="B729" t="s">
        <v>146</v>
      </c>
      <c r="D729" s="37"/>
      <c r="E729" t="s">
        <v>592</v>
      </c>
    </row>
    <row r="730" spans="1:5" x14ac:dyDescent="0.35">
      <c r="A730" t="s">
        <v>430</v>
      </c>
      <c r="B730" t="s">
        <v>147</v>
      </c>
      <c r="D730" s="37"/>
      <c r="E730" t="s">
        <v>592</v>
      </c>
    </row>
    <row r="731" spans="1:5" x14ac:dyDescent="0.3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35">
      <c r="A732" t="s">
        <v>431</v>
      </c>
      <c r="B732" t="s">
        <v>445</v>
      </c>
      <c r="D732" s="37"/>
      <c r="E732" t="s">
        <v>592</v>
      </c>
    </row>
    <row r="733" spans="1:5" x14ac:dyDescent="0.35">
      <c r="A733" t="s">
        <v>431</v>
      </c>
      <c r="B733" t="s">
        <v>189</v>
      </c>
      <c r="D733" s="37"/>
      <c r="E733" t="s">
        <v>592</v>
      </c>
    </row>
    <row r="734" spans="1:5" x14ac:dyDescent="0.35">
      <c r="A734" t="s">
        <v>431</v>
      </c>
      <c r="B734" t="s">
        <v>190</v>
      </c>
      <c r="D734" s="37"/>
      <c r="E734" t="s">
        <v>592</v>
      </c>
    </row>
    <row r="735" spans="1:5" x14ac:dyDescent="0.3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35">
      <c r="A736" t="s">
        <v>431</v>
      </c>
      <c r="B736" t="s">
        <v>446</v>
      </c>
      <c r="D736" s="37"/>
      <c r="E736" t="s">
        <v>592</v>
      </c>
    </row>
    <row r="737" spans="1:5" x14ac:dyDescent="0.35">
      <c r="A737" t="s">
        <v>431</v>
      </c>
      <c r="B737" t="s">
        <v>40</v>
      </c>
      <c r="D737" s="37"/>
      <c r="E737" t="s">
        <v>592</v>
      </c>
    </row>
    <row r="738" spans="1:5" x14ac:dyDescent="0.35">
      <c r="A738" t="s">
        <v>431</v>
      </c>
      <c r="B738" t="s">
        <v>303</v>
      </c>
      <c r="D738" s="37"/>
      <c r="E738" t="s">
        <v>592</v>
      </c>
    </row>
    <row r="739" spans="1:5" x14ac:dyDescent="0.35">
      <c r="A739" t="s">
        <v>431</v>
      </c>
      <c r="B739" t="s">
        <v>199</v>
      </c>
      <c r="D739" s="37"/>
      <c r="E739" t="s">
        <v>592</v>
      </c>
    </row>
    <row r="740" spans="1:5" x14ac:dyDescent="0.35">
      <c r="A740" t="s">
        <v>431</v>
      </c>
      <c r="B740" t="s">
        <v>194</v>
      </c>
      <c r="D740" s="37"/>
      <c r="E740" t="s">
        <v>592</v>
      </c>
    </row>
    <row r="741" spans="1:5" x14ac:dyDescent="0.35">
      <c r="A741" t="s">
        <v>431</v>
      </c>
      <c r="B741" t="s">
        <v>144</v>
      </c>
      <c r="D741" s="37"/>
      <c r="E741" t="s">
        <v>592</v>
      </c>
    </row>
    <row r="742" spans="1:5" x14ac:dyDescent="0.35">
      <c r="A742" t="s">
        <v>431</v>
      </c>
      <c r="B742" t="s">
        <v>145</v>
      </c>
      <c r="D742" s="37"/>
      <c r="E742" t="s">
        <v>592</v>
      </c>
    </row>
    <row r="743" spans="1:5" x14ac:dyDescent="0.35">
      <c r="A743" t="s">
        <v>431</v>
      </c>
      <c r="B743" t="s">
        <v>146</v>
      </c>
      <c r="D743" s="37"/>
      <c r="E743" t="s">
        <v>592</v>
      </c>
    </row>
    <row r="744" spans="1:5" x14ac:dyDescent="0.35">
      <c r="A744" t="s">
        <v>431</v>
      </c>
      <c r="B744" t="s">
        <v>147</v>
      </c>
      <c r="D744" s="37"/>
      <c r="E744" t="s">
        <v>592</v>
      </c>
    </row>
    <row r="745" spans="1:5" x14ac:dyDescent="0.3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35">
      <c r="A746" t="s">
        <v>432</v>
      </c>
      <c r="B746" t="s">
        <v>445</v>
      </c>
      <c r="D746" s="37"/>
      <c r="E746" t="s">
        <v>592</v>
      </c>
    </row>
    <row r="747" spans="1:5" x14ac:dyDescent="0.35">
      <c r="A747" t="s">
        <v>432</v>
      </c>
      <c r="B747" t="s">
        <v>189</v>
      </c>
      <c r="D747" s="37"/>
      <c r="E747" t="s">
        <v>592</v>
      </c>
    </row>
    <row r="748" spans="1:5" x14ac:dyDescent="0.35">
      <c r="A748" t="s">
        <v>432</v>
      </c>
      <c r="B748" t="s">
        <v>190</v>
      </c>
      <c r="D748" s="37"/>
      <c r="E748" t="s">
        <v>592</v>
      </c>
    </row>
    <row r="749" spans="1:5" x14ac:dyDescent="0.3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35">
      <c r="A750" t="s">
        <v>432</v>
      </c>
      <c r="B750" t="s">
        <v>446</v>
      </c>
      <c r="D750" s="37"/>
      <c r="E750" t="s">
        <v>592</v>
      </c>
    </row>
    <row r="751" spans="1:5" x14ac:dyDescent="0.3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35">
      <c r="A752" t="s">
        <v>432</v>
      </c>
      <c r="B752" t="s">
        <v>303</v>
      </c>
      <c r="D752" s="37"/>
      <c r="E752" t="s">
        <v>592</v>
      </c>
    </row>
    <row r="753" spans="1:5" x14ac:dyDescent="0.35">
      <c r="A753" t="s">
        <v>432</v>
      </c>
      <c r="B753" t="s">
        <v>199</v>
      </c>
      <c r="D753" s="37"/>
      <c r="E753" t="s">
        <v>592</v>
      </c>
    </row>
    <row r="754" spans="1:5" x14ac:dyDescent="0.35">
      <c r="A754" t="s">
        <v>432</v>
      </c>
      <c r="B754" t="s">
        <v>194</v>
      </c>
      <c r="D754" s="37"/>
      <c r="E754" t="s">
        <v>592</v>
      </c>
    </row>
    <row r="755" spans="1:5" x14ac:dyDescent="0.35">
      <c r="A755" t="s">
        <v>432</v>
      </c>
      <c r="B755" t="s">
        <v>144</v>
      </c>
      <c r="D755" s="37"/>
      <c r="E755" t="s">
        <v>592</v>
      </c>
    </row>
    <row r="756" spans="1:5" x14ac:dyDescent="0.35">
      <c r="A756" t="s">
        <v>432</v>
      </c>
      <c r="B756" t="s">
        <v>145</v>
      </c>
      <c r="D756" s="37"/>
      <c r="E756" t="s">
        <v>592</v>
      </c>
    </row>
    <row r="757" spans="1:5" x14ac:dyDescent="0.35">
      <c r="A757" t="s">
        <v>432</v>
      </c>
      <c r="B757" t="s">
        <v>146</v>
      </c>
      <c r="D757" s="37"/>
      <c r="E757" t="s">
        <v>592</v>
      </c>
    </row>
    <row r="758" spans="1:5" x14ac:dyDescent="0.35">
      <c r="A758" t="s">
        <v>432</v>
      </c>
      <c r="B758" t="s">
        <v>147</v>
      </c>
      <c r="D758" s="37"/>
      <c r="E758" t="s">
        <v>592</v>
      </c>
    </row>
    <row r="759" spans="1:5" x14ac:dyDescent="0.35">
      <c r="A759" t="s">
        <v>433</v>
      </c>
      <c r="B759" t="s">
        <v>299</v>
      </c>
      <c r="D759" s="37"/>
      <c r="E759" t="s">
        <v>592</v>
      </c>
    </row>
    <row r="760" spans="1:5" x14ac:dyDescent="0.35">
      <c r="A760" t="s">
        <v>433</v>
      </c>
      <c r="B760" t="s">
        <v>445</v>
      </c>
      <c r="D760" s="37"/>
      <c r="E760" t="s">
        <v>592</v>
      </c>
    </row>
    <row r="761" spans="1:5" x14ac:dyDescent="0.35">
      <c r="A761" t="s">
        <v>433</v>
      </c>
      <c r="B761" t="s">
        <v>189</v>
      </c>
      <c r="D761" s="37"/>
      <c r="E761" t="s">
        <v>592</v>
      </c>
    </row>
    <row r="762" spans="1:5" x14ac:dyDescent="0.35">
      <c r="A762" t="s">
        <v>433</v>
      </c>
      <c r="B762" t="s">
        <v>190</v>
      </c>
      <c r="D762" s="37"/>
      <c r="E762" t="s">
        <v>592</v>
      </c>
    </row>
    <row r="763" spans="1:5" x14ac:dyDescent="0.35">
      <c r="A763" t="s">
        <v>433</v>
      </c>
      <c r="B763" t="s">
        <v>301</v>
      </c>
      <c r="D763" s="37"/>
      <c r="E763" t="s">
        <v>592</v>
      </c>
    </row>
    <row r="764" spans="1:5" x14ac:dyDescent="0.35">
      <c r="A764" t="s">
        <v>433</v>
      </c>
      <c r="B764" t="s">
        <v>446</v>
      </c>
      <c r="D764" s="37"/>
      <c r="E764" t="s">
        <v>592</v>
      </c>
    </row>
    <row r="765" spans="1:5" x14ac:dyDescent="0.35">
      <c r="A765" t="s">
        <v>433</v>
      </c>
      <c r="B765" t="s">
        <v>40</v>
      </c>
      <c r="D765" s="37"/>
      <c r="E765" t="s">
        <v>592</v>
      </c>
    </row>
    <row r="766" spans="1:5" x14ac:dyDescent="0.35">
      <c r="A766" t="s">
        <v>433</v>
      </c>
      <c r="B766" t="s">
        <v>303</v>
      </c>
      <c r="D766" s="37"/>
      <c r="E766" t="s">
        <v>592</v>
      </c>
    </row>
    <row r="767" spans="1:5" x14ac:dyDescent="0.35">
      <c r="A767" t="s">
        <v>433</v>
      </c>
      <c r="B767" t="s">
        <v>199</v>
      </c>
      <c r="D767" s="37"/>
      <c r="E767" t="s">
        <v>592</v>
      </c>
    </row>
    <row r="768" spans="1:5" x14ac:dyDescent="0.35">
      <c r="A768" t="s">
        <v>433</v>
      </c>
      <c r="B768" t="s">
        <v>194</v>
      </c>
      <c r="D768" s="37"/>
      <c r="E768" t="s">
        <v>592</v>
      </c>
    </row>
    <row r="769" spans="1:5" x14ac:dyDescent="0.35">
      <c r="A769" t="s">
        <v>433</v>
      </c>
      <c r="B769" t="s">
        <v>144</v>
      </c>
      <c r="D769" s="37"/>
      <c r="E769" t="s">
        <v>592</v>
      </c>
    </row>
    <row r="770" spans="1:5" x14ac:dyDescent="0.35">
      <c r="A770" t="s">
        <v>433</v>
      </c>
      <c r="B770" t="s">
        <v>145</v>
      </c>
      <c r="D770" s="37"/>
      <c r="E770" t="s">
        <v>592</v>
      </c>
    </row>
    <row r="771" spans="1:5" x14ac:dyDescent="0.35">
      <c r="A771" t="s">
        <v>433</v>
      </c>
      <c r="B771" t="s">
        <v>146</v>
      </c>
      <c r="D771" s="37"/>
      <c r="E771" t="s">
        <v>592</v>
      </c>
    </row>
    <row r="772" spans="1:5" x14ac:dyDescent="0.35">
      <c r="A772" t="s">
        <v>433</v>
      </c>
      <c r="B772" t="s">
        <v>147</v>
      </c>
      <c r="D772" s="37"/>
      <c r="E772" t="s">
        <v>592</v>
      </c>
    </row>
    <row r="773" spans="1:5" x14ac:dyDescent="0.3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35">
      <c r="A774" t="s">
        <v>434</v>
      </c>
      <c r="B774" t="s">
        <v>445</v>
      </c>
      <c r="D774" s="37"/>
      <c r="E774" t="s">
        <v>592</v>
      </c>
    </row>
    <row r="775" spans="1:5" x14ac:dyDescent="0.35">
      <c r="A775" t="s">
        <v>434</v>
      </c>
      <c r="B775" t="s">
        <v>189</v>
      </c>
      <c r="D775" s="37"/>
      <c r="E775" t="s">
        <v>592</v>
      </c>
    </row>
    <row r="776" spans="1:5" x14ac:dyDescent="0.35">
      <c r="A776" t="s">
        <v>434</v>
      </c>
      <c r="B776" t="s">
        <v>190</v>
      </c>
      <c r="D776" s="37"/>
      <c r="E776" t="s">
        <v>592</v>
      </c>
    </row>
    <row r="777" spans="1:5" x14ac:dyDescent="0.3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35">
      <c r="A778" t="s">
        <v>434</v>
      </c>
      <c r="B778" t="s">
        <v>446</v>
      </c>
      <c r="D778" s="37"/>
      <c r="E778" t="s">
        <v>592</v>
      </c>
    </row>
    <row r="779" spans="1:5" x14ac:dyDescent="0.3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35">
      <c r="A780" t="s">
        <v>434</v>
      </c>
      <c r="B780" t="s">
        <v>303</v>
      </c>
      <c r="D780" s="37"/>
      <c r="E780" t="s">
        <v>592</v>
      </c>
    </row>
    <row r="781" spans="1:5" x14ac:dyDescent="0.35">
      <c r="A781" t="s">
        <v>434</v>
      </c>
      <c r="B781" t="s">
        <v>199</v>
      </c>
      <c r="D781" s="37"/>
      <c r="E781" t="s">
        <v>592</v>
      </c>
    </row>
    <row r="782" spans="1:5" x14ac:dyDescent="0.35">
      <c r="A782" t="s">
        <v>434</v>
      </c>
      <c r="B782" t="s">
        <v>194</v>
      </c>
      <c r="D782" s="37"/>
      <c r="E782" t="s">
        <v>592</v>
      </c>
    </row>
    <row r="783" spans="1:5" x14ac:dyDescent="0.35">
      <c r="A783" t="s">
        <v>434</v>
      </c>
      <c r="B783" t="s">
        <v>144</v>
      </c>
      <c r="D783" s="37"/>
      <c r="E783" t="s">
        <v>592</v>
      </c>
    </row>
    <row r="784" spans="1:5" x14ac:dyDescent="0.35">
      <c r="A784" t="s">
        <v>434</v>
      </c>
      <c r="B784" t="s">
        <v>145</v>
      </c>
      <c r="D784" s="37"/>
      <c r="E784" t="s">
        <v>592</v>
      </c>
    </row>
    <row r="785" spans="1:5" x14ac:dyDescent="0.35">
      <c r="A785" t="s">
        <v>434</v>
      </c>
      <c r="B785" t="s">
        <v>146</v>
      </c>
      <c r="D785" s="37"/>
      <c r="E785" t="s">
        <v>592</v>
      </c>
    </row>
    <row r="786" spans="1:5" x14ac:dyDescent="0.35">
      <c r="A786" t="s">
        <v>434</v>
      </c>
      <c r="B786" t="s">
        <v>147</v>
      </c>
      <c r="D786" s="37"/>
      <c r="E786" t="s">
        <v>592</v>
      </c>
    </row>
    <row r="787" spans="1:5" x14ac:dyDescent="0.3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35">
      <c r="A788" t="s">
        <v>435</v>
      </c>
      <c r="B788" t="s">
        <v>445</v>
      </c>
      <c r="D788" s="37"/>
      <c r="E788" t="s">
        <v>592</v>
      </c>
    </row>
    <row r="789" spans="1:5" x14ac:dyDescent="0.35">
      <c r="A789" t="s">
        <v>435</v>
      </c>
      <c r="B789" t="s">
        <v>189</v>
      </c>
      <c r="D789" s="37"/>
      <c r="E789" t="s">
        <v>592</v>
      </c>
    </row>
    <row r="790" spans="1:5" x14ac:dyDescent="0.35">
      <c r="A790" t="s">
        <v>435</v>
      </c>
      <c r="B790" t="s">
        <v>190</v>
      </c>
      <c r="D790" s="37"/>
      <c r="E790" t="s">
        <v>592</v>
      </c>
    </row>
    <row r="791" spans="1:5" x14ac:dyDescent="0.3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35">
      <c r="A792" t="s">
        <v>435</v>
      </c>
      <c r="B792" t="s">
        <v>446</v>
      </c>
      <c r="D792" s="37"/>
      <c r="E792" t="s">
        <v>592</v>
      </c>
    </row>
    <row r="793" spans="1:5" x14ac:dyDescent="0.3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35">
      <c r="A794" t="s">
        <v>435</v>
      </c>
      <c r="B794" t="s">
        <v>303</v>
      </c>
      <c r="D794" s="37"/>
      <c r="E794" t="s">
        <v>592</v>
      </c>
    </row>
    <row r="795" spans="1:5" x14ac:dyDescent="0.35">
      <c r="A795" t="s">
        <v>435</v>
      </c>
      <c r="B795" t="s">
        <v>199</v>
      </c>
      <c r="D795" s="37"/>
      <c r="E795" t="s">
        <v>592</v>
      </c>
    </row>
    <row r="796" spans="1:5" x14ac:dyDescent="0.35">
      <c r="A796" t="s">
        <v>435</v>
      </c>
      <c r="B796" t="s">
        <v>194</v>
      </c>
      <c r="D796" s="37"/>
      <c r="E796" t="s">
        <v>592</v>
      </c>
    </row>
    <row r="797" spans="1:5" x14ac:dyDescent="0.35">
      <c r="A797" t="s">
        <v>435</v>
      </c>
      <c r="B797" t="s">
        <v>144</v>
      </c>
      <c r="D797" s="37"/>
      <c r="E797" t="s">
        <v>592</v>
      </c>
    </row>
    <row r="798" spans="1:5" x14ac:dyDescent="0.35">
      <c r="A798" t="s">
        <v>435</v>
      </c>
      <c r="B798" t="s">
        <v>145</v>
      </c>
      <c r="D798" s="37"/>
      <c r="E798" t="s">
        <v>592</v>
      </c>
    </row>
    <row r="799" spans="1:5" x14ac:dyDescent="0.35">
      <c r="A799" t="s">
        <v>435</v>
      </c>
      <c r="B799" t="s">
        <v>146</v>
      </c>
      <c r="D799" s="37"/>
      <c r="E799" t="s">
        <v>592</v>
      </c>
    </row>
    <row r="800" spans="1:5" x14ac:dyDescent="0.35">
      <c r="A800" t="s">
        <v>435</v>
      </c>
      <c r="B800" t="s">
        <v>147</v>
      </c>
      <c r="D800" s="37"/>
      <c r="E800" t="s">
        <v>592</v>
      </c>
    </row>
    <row r="801" spans="1:5" x14ac:dyDescent="0.3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35">
      <c r="A802" t="s">
        <v>436</v>
      </c>
      <c r="B802" t="s">
        <v>445</v>
      </c>
      <c r="D802" s="37"/>
      <c r="E802" t="s">
        <v>592</v>
      </c>
    </row>
    <row r="803" spans="1:5" x14ac:dyDescent="0.35">
      <c r="A803" t="s">
        <v>436</v>
      </c>
      <c r="B803" t="s">
        <v>189</v>
      </c>
      <c r="D803" s="37"/>
      <c r="E803" t="s">
        <v>592</v>
      </c>
    </row>
    <row r="804" spans="1:5" x14ac:dyDescent="0.35">
      <c r="A804" t="s">
        <v>436</v>
      </c>
      <c r="B804" t="s">
        <v>190</v>
      </c>
      <c r="D804" s="37"/>
      <c r="E804" t="s">
        <v>592</v>
      </c>
    </row>
    <row r="805" spans="1:5" x14ac:dyDescent="0.3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35">
      <c r="A806" t="s">
        <v>436</v>
      </c>
      <c r="B806" t="s">
        <v>446</v>
      </c>
      <c r="D806" s="37"/>
      <c r="E806" t="s">
        <v>592</v>
      </c>
    </row>
    <row r="807" spans="1:5" x14ac:dyDescent="0.3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35">
      <c r="A808" t="s">
        <v>436</v>
      </c>
      <c r="B808" t="s">
        <v>303</v>
      </c>
      <c r="D808" s="37"/>
      <c r="E808" t="s">
        <v>592</v>
      </c>
    </row>
    <row r="809" spans="1:5" x14ac:dyDescent="0.35">
      <c r="A809" t="s">
        <v>436</v>
      </c>
      <c r="B809" t="s">
        <v>199</v>
      </c>
      <c r="D809" s="37"/>
      <c r="E809" t="s">
        <v>592</v>
      </c>
    </row>
    <row r="810" spans="1:5" x14ac:dyDescent="0.35">
      <c r="A810" t="s">
        <v>436</v>
      </c>
      <c r="B810" t="s">
        <v>194</v>
      </c>
      <c r="D810" s="37"/>
      <c r="E810" t="s">
        <v>592</v>
      </c>
    </row>
    <row r="811" spans="1:5" x14ac:dyDescent="0.35">
      <c r="A811" t="s">
        <v>436</v>
      </c>
      <c r="B811" t="s">
        <v>144</v>
      </c>
      <c r="D811" s="37"/>
      <c r="E811" t="s">
        <v>592</v>
      </c>
    </row>
    <row r="812" spans="1:5" x14ac:dyDescent="0.35">
      <c r="A812" t="s">
        <v>436</v>
      </c>
      <c r="B812" t="s">
        <v>145</v>
      </c>
      <c r="D812" s="37"/>
      <c r="E812" t="s">
        <v>592</v>
      </c>
    </row>
    <row r="813" spans="1:5" x14ac:dyDescent="0.35">
      <c r="A813" t="s">
        <v>436</v>
      </c>
      <c r="B813" t="s">
        <v>146</v>
      </c>
      <c r="D813" s="37"/>
      <c r="E813" t="s">
        <v>592</v>
      </c>
    </row>
    <row r="814" spans="1:5" x14ac:dyDescent="0.35">
      <c r="A814" t="s">
        <v>436</v>
      </c>
      <c r="B814" t="s">
        <v>147</v>
      </c>
      <c r="D814" s="37"/>
      <c r="E814" t="s">
        <v>592</v>
      </c>
    </row>
    <row r="815" spans="1:5" x14ac:dyDescent="0.35">
      <c r="A815" t="s">
        <v>245</v>
      </c>
      <c r="B815" s="69" t="s">
        <v>299</v>
      </c>
      <c r="D815" s="37"/>
      <c r="E815" t="s">
        <v>592</v>
      </c>
    </row>
    <row r="816" spans="1:5" x14ac:dyDescent="0.35">
      <c r="A816" t="s">
        <v>245</v>
      </c>
      <c r="B816" t="s">
        <v>445</v>
      </c>
      <c r="D816" s="37"/>
      <c r="E816" t="s">
        <v>592</v>
      </c>
    </row>
    <row r="817" spans="1:5" x14ac:dyDescent="0.35">
      <c r="A817" t="s">
        <v>245</v>
      </c>
      <c r="B817" s="69" t="s">
        <v>189</v>
      </c>
      <c r="D817" s="37"/>
      <c r="E817" t="s">
        <v>592</v>
      </c>
    </row>
    <row r="818" spans="1:5" x14ac:dyDescent="0.35">
      <c r="A818" t="s">
        <v>245</v>
      </c>
      <c r="B818" s="69" t="s">
        <v>190</v>
      </c>
      <c r="D818" s="37"/>
      <c r="E818" t="s">
        <v>592</v>
      </c>
    </row>
    <row r="819" spans="1:5" x14ac:dyDescent="0.35">
      <c r="A819" t="s">
        <v>245</v>
      </c>
      <c r="B819" s="69" t="s">
        <v>301</v>
      </c>
      <c r="D819" s="37"/>
      <c r="E819" t="s">
        <v>592</v>
      </c>
    </row>
    <row r="820" spans="1:5" x14ac:dyDescent="0.35">
      <c r="A820" t="s">
        <v>245</v>
      </c>
      <c r="B820" t="s">
        <v>446</v>
      </c>
      <c r="D820" s="37"/>
      <c r="E820" t="s">
        <v>592</v>
      </c>
    </row>
    <row r="821" spans="1:5" x14ac:dyDescent="0.35">
      <c r="A821" t="s">
        <v>245</v>
      </c>
      <c r="B821" s="69" t="s">
        <v>40</v>
      </c>
      <c r="D821" s="37"/>
      <c r="E821" t="s">
        <v>592</v>
      </c>
    </row>
    <row r="822" spans="1:5" x14ac:dyDescent="0.35">
      <c r="A822" t="s">
        <v>245</v>
      </c>
      <c r="B822" s="69" t="s">
        <v>303</v>
      </c>
      <c r="D822" s="37"/>
      <c r="E822" t="s">
        <v>592</v>
      </c>
    </row>
    <row r="823" spans="1:5" x14ac:dyDescent="0.35">
      <c r="A823" t="s">
        <v>245</v>
      </c>
      <c r="B823" s="69" t="s">
        <v>199</v>
      </c>
      <c r="D823" s="37"/>
      <c r="E823" t="s">
        <v>592</v>
      </c>
    </row>
    <row r="824" spans="1:5" x14ac:dyDescent="0.35">
      <c r="A824" t="s">
        <v>245</v>
      </c>
      <c r="B824" s="69" t="s">
        <v>194</v>
      </c>
      <c r="D824" s="37"/>
      <c r="E824" t="s">
        <v>592</v>
      </c>
    </row>
    <row r="825" spans="1:5" x14ac:dyDescent="0.35">
      <c r="A825" t="s">
        <v>245</v>
      </c>
      <c r="B825" s="69" t="s">
        <v>144</v>
      </c>
      <c r="D825" s="37"/>
      <c r="E825" t="s">
        <v>592</v>
      </c>
    </row>
    <row r="826" spans="1:5" x14ac:dyDescent="0.35">
      <c r="A826" t="s">
        <v>245</v>
      </c>
      <c r="B826" s="69" t="s">
        <v>145</v>
      </c>
      <c r="D826" s="37"/>
      <c r="E826" t="s">
        <v>592</v>
      </c>
    </row>
    <row r="827" spans="1:5" x14ac:dyDescent="0.35">
      <c r="A827" t="s">
        <v>245</v>
      </c>
      <c r="B827" s="69" t="s">
        <v>146</v>
      </c>
      <c r="D827" s="37"/>
      <c r="E827" t="s">
        <v>592</v>
      </c>
    </row>
    <row r="828" spans="1:5" x14ac:dyDescent="0.35">
      <c r="A828" t="s">
        <v>245</v>
      </c>
      <c r="B828" s="69" t="s">
        <v>147</v>
      </c>
      <c r="D828" s="37"/>
      <c r="E828" t="s">
        <v>592</v>
      </c>
    </row>
    <row r="829" spans="1:5" x14ac:dyDescent="0.35">
      <c r="A829" t="s">
        <v>246</v>
      </c>
      <c r="B829" s="69" t="s">
        <v>299</v>
      </c>
      <c r="D829" s="37"/>
      <c r="E829" t="s">
        <v>592</v>
      </c>
    </row>
    <row r="830" spans="1:5" x14ac:dyDescent="0.35">
      <c r="A830" t="s">
        <v>246</v>
      </c>
      <c r="B830" t="s">
        <v>445</v>
      </c>
      <c r="D830" s="37"/>
      <c r="E830" t="s">
        <v>592</v>
      </c>
    </row>
    <row r="831" spans="1:5" x14ac:dyDescent="0.35">
      <c r="A831" t="s">
        <v>246</v>
      </c>
      <c r="B831" s="69" t="s">
        <v>189</v>
      </c>
      <c r="D831" s="37"/>
      <c r="E831" t="s">
        <v>592</v>
      </c>
    </row>
    <row r="832" spans="1:5" x14ac:dyDescent="0.35">
      <c r="A832" t="s">
        <v>246</v>
      </c>
      <c r="B832" s="69" t="s">
        <v>190</v>
      </c>
      <c r="D832" s="37"/>
      <c r="E832" t="s">
        <v>592</v>
      </c>
    </row>
    <row r="833" spans="1:5" x14ac:dyDescent="0.35">
      <c r="A833" t="s">
        <v>246</v>
      </c>
      <c r="B833" s="69" t="s">
        <v>301</v>
      </c>
      <c r="D833" s="37"/>
      <c r="E833" t="s">
        <v>592</v>
      </c>
    </row>
    <row r="834" spans="1:5" x14ac:dyDescent="0.35">
      <c r="A834" t="s">
        <v>246</v>
      </c>
      <c r="B834" t="s">
        <v>446</v>
      </c>
      <c r="D834" s="37"/>
      <c r="E834" t="s">
        <v>592</v>
      </c>
    </row>
    <row r="835" spans="1:5" x14ac:dyDescent="0.35">
      <c r="A835" t="s">
        <v>246</v>
      </c>
      <c r="B835" s="69" t="s">
        <v>40</v>
      </c>
      <c r="D835" s="37"/>
      <c r="E835" t="s">
        <v>592</v>
      </c>
    </row>
    <row r="836" spans="1:5" x14ac:dyDescent="0.35">
      <c r="A836" t="s">
        <v>246</v>
      </c>
      <c r="B836" s="69" t="s">
        <v>303</v>
      </c>
      <c r="D836" s="37"/>
      <c r="E836" t="s">
        <v>592</v>
      </c>
    </row>
    <row r="837" spans="1:5" x14ac:dyDescent="0.35">
      <c r="A837" t="s">
        <v>246</v>
      </c>
      <c r="B837" s="69" t="s">
        <v>199</v>
      </c>
      <c r="D837" s="37"/>
      <c r="E837" t="s">
        <v>592</v>
      </c>
    </row>
    <row r="838" spans="1:5" x14ac:dyDescent="0.35">
      <c r="A838" t="s">
        <v>246</v>
      </c>
      <c r="B838" s="69" t="s">
        <v>194</v>
      </c>
      <c r="D838" s="37"/>
      <c r="E838" t="s">
        <v>592</v>
      </c>
    </row>
    <row r="839" spans="1:5" x14ac:dyDescent="0.35">
      <c r="A839" t="s">
        <v>246</v>
      </c>
      <c r="B839" s="69" t="s">
        <v>144</v>
      </c>
      <c r="D839" s="37"/>
      <c r="E839" t="s">
        <v>592</v>
      </c>
    </row>
    <row r="840" spans="1:5" x14ac:dyDescent="0.35">
      <c r="A840" t="s">
        <v>246</v>
      </c>
      <c r="B840" s="69" t="s">
        <v>145</v>
      </c>
      <c r="D840" s="37"/>
      <c r="E840" t="s">
        <v>592</v>
      </c>
    </row>
    <row r="841" spans="1:5" x14ac:dyDescent="0.35">
      <c r="A841" t="s">
        <v>246</v>
      </c>
      <c r="B841" s="69" t="s">
        <v>146</v>
      </c>
      <c r="D841" s="37"/>
      <c r="E841" t="s">
        <v>592</v>
      </c>
    </row>
    <row r="842" spans="1:5" x14ac:dyDescent="0.35">
      <c r="A842" t="s">
        <v>246</v>
      </c>
      <c r="B842" s="69" t="s">
        <v>147</v>
      </c>
      <c r="D842" s="37"/>
      <c r="E842" t="s">
        <v>592</v>
      </c>
    </row>
    <row r="843" spans="1:5" x14ac:dyDescent="0.3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35">
      <c r="A844" t="s">
        <v>247</v>
      </c>
      <c r="B844" t="s">
        <v>445</v>
      </c>
      <c r="D844" s="37"/>
      <c r="E844" t="s">
        <v>592</v>
      </c>
    </row>
    <row r="845" spans="1:5" x14ac:dyDescent="0.35">
      <c r="A845" t="s">
        <v>247</v>
      </c>
      <c r="B845" s="69" t="s">
        <v>189</v>
      </c>
      <c r="D845" s="37"/>
      <c r="E845" t="s">
        <v>592</v>
      </c>
    </row>
    <row r="846" spans="1:5" x14ac:dyDescent="0.35">
      <c r="A846" t="s">
        <v>247</v>
      </c>
      <c r="B846" s="69" t="s">
        <v>190</v>
      </c>
      <c r="D846" s="37"/>
      <c r="E846" t="s">
        <v>592</v>
      </c>
    </row>
    <row r="847" spans="1:5" x14ac:dyDescent="0.3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35">
      <c r="A848" t="s">
        <v>247</v>
      </c>
      <c r="B848" t="s">
        <v>446</v>
      </c>
      <c r="D848" s="37"/>
      <c r="E848" t="s">
        <v>592</v>
      </c>
    </row>
    <row r="849" spans="1:5" x14ac:dyDescent="0.35">
      <c r="A849" t="s">
        <v>247</v>
      </c>
      <c r="B849" s="69" t="s">
        <v>40</v>
      </c>
      <c r="D849" s="37"/>
      <c r="E849" t="s">
        <v>592</v>
      </c>
    </row>
    <row r="850" spans="1:5" x14ac:dyDescent="0.35">
      <c r="A850" t="s">
        <v>247</v>
      </c>
      <c r="B850" s="69" t="s">
        <v>303</v>
      </c>
      <c r="D850" s="37"/>
      <c r="E850" t="s">
        <v>592</v>
      </c>
    </row>
    <row r="851" spans="1:5" x14ac:dyDescent="0.35">
      <c r="A851" t="s">
        <v>247</v>
      </c>
      <c r="B851" s="69" t="s">
        <v>199</v>
      </c>
      <c r="D851" s="37"/>
      <c r="E851" t="s">
        <v>592</v>
      </c>
    </row>
    <row r="852" spans="1:5" x14ac:dyDescent="0.35">
      <c r="A852" t="s">
        <v>247</v>
      </c>
      <c r="B852" s="69" t="s">
        <v>194</v>
      </c>
      <c r="D852" s="37"/>
      <c r="E852" t="s">
        <v>592</v>
      </c>
    </row>
    <row r="853" spans="1:5" x14ac:dyDescent="0.35">
      <c r="A853" t="s">
        <v>247</v>
      </c>
      <c r="B853" s="69" t="s">
        <v>144</v>
      </c>
      <c r="D853" s="37"/>
      <c r="E853" t="s">
        <v>592</v>
      </c>
    </row>
    <row r="854" spans="1:5" x14ac:dyDescent="0.35">
      <c r="A854" t="s">
        <v>247</v>
      </c>
      <c r="B854" s="69" t="s">
        <v>145</v>
      </c>
      <c r="D854" s="37"/>
      <c r="E854" t="s">
        <v>592</v>
      </c>
    </row>
    <row r="855" spans="1:5" x14ac:dyDescent="0.35">
      <c r="A855" t="s">
        <v>247</v>
      </c>
      <c r="B855" s="69" t="s">
        <v>146</v>
      </c>
      <c r="D855" s="37"/>
      <c r="E855" t="s">
        <v>592</v>
      </c>
    </row>
    <row r="856" spans="1:5" x14ac:dyDescent="0.35">
      <c r="A856" t="s">
        <v>247</v>
      </c>
      <c r="B856" s="69" t="s">
        <v>147</v>
      </c>
      <c r="D856" s="37"/>
      <c r="E856" t="s">
        <v>592</v>
      </c>
    </row>
    <row r="857" spans="1:5" x14ac:dyDescent="0.3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3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35">
      <c r="A859" t="s">
        <v>248</v>
      </c>
      <c r="B859" s="69" t="s">
        <v>189</v>
      </c>
      <c r="D859" s="37"/>
      <c r="E859" t="s">
        <v>592</v>
      </c>
    </row>
    <row r="860" spans="1:5" x14ac:dyDescent="0.35">
      <c r="A860" t="s">
        <v>248</v>
      </c>
      <c r="B860" s="69" t="s">
        <v>190</v>
      </c>
      <c r="D860" s="37"/>
      <c r="E860" t="s">
        <v>592</v>
      </c>
    </row>
    <row r="861" spans="1:5" x14ac:dyDescent="0.3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35">
      <c r="A862" t="s">
        <v>248</v>
      </c>
      <c r="B862" t="s">
        <v>446</v>
      </c>
      <c r="D862" s="37"/>
      <c r="E862" t="s">
        <v>592</v>
      </c>
    </row>
    <row r="863" spans="1:5" x14ac:dyDescent="0.3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35">
      <c r="A864" t="s">
        <v>248</v>
      </c>
      <c r="B864" s="69" t="s">
        <v>303</v>
      </c>
      <c r="D864" s="37"/>
      <c r="E864" t="s">
        <v>592</v>
      </c>
    </row>
    <row r="865" spans="1:5" x14ac:dyDescent="0.35">
      <c r="A865" t="s">
        <v>248</v>
      </c>
      <c r="B865" s="69" t="s">
        <v>199</v>
      </c>
      <c r="D865" s="37"/>
      <c r="E865" t="s">
        <v>592</v>
      </c>
    </row>
    <row r="866" spans="1:5" x14ac:dyDescent="0.35">
      <c r="A866" t="s">
        <v>248</v>
      </c>
      <c r="B866" s="69" t="s">
        <v>194</v>
      </c>
      <c r="D866" s="37"/>
      <c r="E866" t="s">
        <v>592</v>
      </c>
    </row>
    <row r="867" spans="1:5" x14ac:dyDescent="0.35">
      <c r="A867" t="s">
        <v>248</v>
      </c>
      <c r="B867" s="69" t="s">
        <v>144</v>
      </c>
      <c r="D867" s="37"/>
      <c r="E867" t="s">
        <v>592</v>
      </c>
    </row>
    <row r="868" spans="1:5" x14ac:dyDescent="0.35">
      <c r="A868" t="s">
        <v>248</v>
      </c>
      <c r="B868" s="69" t="s">
        <v>145</v>
      </c>
      <c r="D868" s="37"/>
      <c r="E868" t="s">
        <v>592</v>
      </c>
    </row>
    <row r="869" spans="1:5" x14ac:dyDescent="0.35">
      <c r="A869" t="s">
        <v>248</v>
      </c>
      <c r="B869" s="69" t="s">
        <v>146</v>
      </c>
      <c r="D869" s="37"/>
      <c r="E869" t="s">
        <v>592</v>
      </c>
    </row>
    <row r="870" spans="1:5" x14ac:dyDescent="0.35">
      <c r="A870" t="s">
        <v>248</v>
      </c>
      <c r="B870" s="69" t="s">
        <v>147</v>
      </c>
      <c r="D870" s="37"/>
      <c r="E870" t="s">
        <v>592</v>
      </c>
    </row>
    <row r="871" spans="1:5" x14ac:dyDescent="0.3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3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35">
      <c r="A873" t="s">
        <v>249</v>
      </c>
      <c r="B873" s="69" t="s">
        <v>189</v>
      </c>
      <c r="D873" s="37"/>
      <c r="E873" t="s">
        <v>592</v>
      </c>
    </row>
    <row r="874" spans="1:5" x14ac:dyDescent="0.35">
      <c r="A874" t="s">
        <v>249</v>
      </c>
      <c r="B874" s="69" t="s">
        <v>190</v>
      </c>
      <c r="D874" s="37"/>
      <c r="E874" t="s">
        <v>592</v>
      </c>
    </row>
    <row r="875" spans="1:5" x14ac:dyDescent="0.3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35">
      <c r="A876" t="s">
        <v>249</v>
      </c>
      <c r="B876" t="s">
        <v>446</v>
      </c>
      <c r="D876" s="37"/>
      <c r="E876" t="s">
        <v>592</v>
      </c>
    </row>
    <row r="877" spans="1:5" x14ac:dyDescent="0.3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35">
      <c r="A878" t="s">
        <v>249</v>
      </c>
      <c r="B878" s="69" t="s">
        <v>303</v>
      </c>
      <c r="D878" s="37"/>
      <c r="E878" t="s">
        <v>592</v>
      </c>
    </row>
    <row r="879" spans="1:5" x14ac:dyDescent="0.35">
      <c r="A879" t="s">
        <v>249</v>
      </c>
      <c r="B879" s="69" t="s">
        <v>199</v>
      </c>
      <c r="D879" s="37"/>
      <c r="E879" t="s">
        <v>592</v>
      </c>
    </row>
    <row r="880" spans="1:5" x14ac:dyDescent="0.35">
      <c r="A880" t="s">
        <v>249</v>
      </c>
      <c r="B880" s="69" t="s">
        <v>194</v>
      </c>
      <c r="D880" s="37"/>
      <c r="E880" t="s">
        <v>592</v>
      </c>
    </row>
    <row r="881" spans="1:5" x14ac:dyDescent="0.35">
      <c r="A881" t="s">
        <v>249</v>
      </c>
      <c r="B881" s="69" t="s">
        <v>144</v>
      </c>
      <c r="D881" s="37"/>
      <c r="E881" t="s">
        <v>592</v>
      </c>
    </row>
    <row r="882" spans="1:5" x14ac:dyDescent="0.35">
      <c r="A882" t="s">
        <v>249</v>
      </c>
      <c r="B882" s="69" t="s">
        <v>145</v>
      </c>
      <c r="D882" s="37"/>
      <c r="E882" t="s">
        <v>592</v>
      </c>
    </row>
    <row r="883" spans="1:5" x14ac:dyDescent="0.35">
      <c r="A883" t="s">
        <v>249</v>
      </c>
      <c r="B883" s="69" t="s">
        <v>146</v>
      </c>
      <c r="D883" s="37"/>
      <c r="E883" t="s">
        <v>592</v>
      </c>
    </row>
    <row r="884" spans="1:5" x14ac:dyDescent="0.35">
      <c r="A884" t="s">
        <v>249</v>
      </c>
      <c r="B884" s="69" t="s">
        <v>147</v>
      </c>
      <c r="D884" s="37"/>
      <c r="E884" t="s">
        <v>592</v>
      </c>
    </row>
    <row r="885" spans="1:5" x14ac:dyDescent="0.3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35">
      <c r="A886" t="s">
        <v>250</v>
      </c>
      <c r="B886" t="s">
        <v>445</v>
      </c>
      <c r="D886" s="37"/>
      <c r="E886" t="s">
        <v>592</v>
      </c>
    </row>
    <row r="887" spans="1:5" x14ac:dyDescent="0.35">
      <c r="A887" t="s">
        <v>250</v>
      </c>
      <c r="B887" s="69" t="s">
        <v>189</v>
      </c>
      <c r="D887" s="37"/>
      <c r="E887" t="s">
        <v>592</v>
      </c>
    </row>
    <row r="888" spans="1:5" x14ac:dyDescent="0.35">
      <c r="A888" t="s">
        <v>250</v>
      </c>
      <c r="B888" s="69" t="s">
        <v>190</v>
      </c>
      <c r="D888" s="37"/>
      <c r="E888" t="s">
        <v>592</v>
      </c>
    </row>
    <row r="889" spans="1:5" x14ac:dyDescent="0.3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35">
      <c r="A890" t="s">
        <v>250</v>
      </c>
      <c r="B890" t="s">
        <v>446</v>
      </c>
      <c r="D890" s="37"/>
      <c r="E890" t="s">
        <v>592</v>
      </c>
    </row>
    <row r="891" spans="1:5" x14ac:dyDescent="0.3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35">
      <c r="A892" t="s">
        <v>250</v>
      </c>
      <c r="B892" s="69" t="s">
        <v>303</v>
      </c>
      <c r="D892" s="37"/>
      <c r="E892" t="s">
        <v>592</v>
      </c>
    </row>
    <row r="893" spans="1:5" x14ac:dyDescent="0.35">
      <c r="A893" t="s">
        <v>250</v>
      </c>
      <c r="B893" s="69" t="s">
        <v>199</v>
      </c>
      <c r="D893" s="37"/>
      <c r="E893" t="s">
        <v>592</v>
      </c>
    </row>
    <row r="894" spans="1:5" x14ac:dyDescent="0.35">
      <c r="A894" t="s">
        <v>250</v>
      </c>
      <c r="B894" s="69" t="s">
        <v>194</v>
      </c>
      <c r="D894" s="37"/>
      <c r="E894" t="s">
        <v>592</v>
      </c>
    </row>
    <row r="895" spans="1:5" x14ac:dyDescent="0.35">
      <c r="A895" t="s">
        <v>250</v>
      </c>
      <c r="B895" s="69" t="s">
        <v>144</v>
      </c>
      <c r="D895" s="37"/>
      <c r="E895" t="s">
        <v>592</v>
      </c>
    </row>
    <row r="896" spans="1:5" x14ac:dyDescent="0.35">
      <c r="A896" t="s">
        <v>250</v>
      </c>
      <c r="B896" s="69" t="s">
        <v>145</v>
      </c>
      <c r="D896" s="37"/>
      <c r="E896" t="s">
        <v>592</v>
      </c>
    </row>
    <row r="897" spans="1:5" x14ac:dyDescent="0.35">
      <c r="A897" t="s">
        <v>250</v>
      </c>
      <c r="B897" s="69" t="s">
        <v>146</v>
      </c>
      <c r="D897" s="37"/>
      <c r="E897" t="s">
        <v>592</v>
      </c>
    </row>
    <row r="898" spans="1:5" x14ac:dyDescent="0.35">
      <c r="A898" t="s">
        <v>250</v>
      </c>
      <c r="B898" s="69" t="s">
        <v>147</v>
      </c>
      <c r="D898" s="37"/>
      <c r="E898" t="s">
        <v>592</v>
      </c>
    </row>
    <row r="899" spans="1:5" x14ac:dyDescent="0.3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3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35">
      <c r="A901" t="s">
        <v>251</v>
      </c>
      <c r="B901" s="69" t="s">
        <v>189</v>
      </c>
      <c r="D901" s="37"/>
      <c r="E901" t="s">
        <v>592</v>
      </c>
    </row>
    <row r="902" spans="1:5" x14ac:dyDescent="0.35">
      <c r="A902" t="s">
        <v>251</v>
      </c>
      <c r="B902" s="69" t="s">
        <v>190</v>
      </c>
      <c r="D902" s="37"/>
      <c r="E902" t="s">
        <v>592</v>
      </c>
    </row>
    <row r="903" spans="1:5" x14ac:dyDescent="0.3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35">
      <c r="A904" t="s">
        <v>251</v>
      </c>
      <c r="B904" t="s">
        <v>446</v>
      </c>
      <c r="D904" s="37"/>
      <c r="E904" t="s">
        <v>592</v>
      </c>
    </row>
    <row r="905" spans="1:5" x14ac:dyDescent="0.3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35">
      <c r="A906" t="s">
        <v>251</v>
      </c>
      <c r="B906" s="69" t="s">
        <v>303</v>
      </c>
      <c r="D906" s="37"/>
      <c r="E906" t="s">
        <v>592</v>
      </c>
    </row>
    <row r="907" spans="1:5" x14ac:dyDescent="0.35">
      <c r="A907" t="s">
        <v>251</v>
      </c>
      <c r="B907" s="69" t="s">
        <v>199</v>
      </c>
      <c r="D907" s="37"/>
      <c r="E907" t="s">
        <v>592</v>
      </c>
    </row>
    <row r="908" spans="1:5" x14ac:dyDescent="0.35">
      <c r="A908" t="s">
        <v>251</v>
      </c>
      <c r="B908" s="69" t="s">
        <v>194</v>
      </c>
      <c r="D908" s="37"/>
      <c r="E908" t="s">
        <v>592</v>
      </c>
    </row>
    <row r="909" spans="1:5" x14ac:dyDescent="0.35">
      <c r="A909" t="s">
        <v>251</v>
      </c>
      <c r="B909" s="69" t="s">
        <v>144</v>
      </c>
      <c r="D909" s="37"/>
      <c r="E909" t="s">
        <v>592</v>
      </c>
    </row>
    <row r="910" spans="1:5" x14ac:dyDescent="0.35">
      <c r="A910" t="s">
        <v>251</v>
      </c>
      <c r="B910" s="69" t="s">
        <v>145</v>
      </c>
      <c r="D910" s="37"/>
      <c r="E910" t="s">
        <v>592</v>
      </c>
    </row>
    <row r="911" spans="1:5" x14ac:dyDescent="0.35">
      <c r="A911" t="s">
        <v>251</v>
      </c>
      <c r="B911" s="69" t="s">
        <v>146</v>
      </c>
      <c r="D911" s="37"/>
      <c r="E911" t="s">
        <v>592</v>
      </c>
    </row>
    <row r="912" spans="1:5" x14ac:dyDescent="0.35">
      <c r="A912" t="s">
        <v>251</v>
      </c>
      <c r="B912" s="69" t="s">
        <v>147</v>
      </c>
      <c r="D912" s="37"/>
      <c r="E912" t="s">
        <v>592</v>
      </c>
    </row>
    <row r="913" spans="1:5" x14ac:dyDescent="0.3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35">
      <c r="A914" t="s">
        <v>252</v>
      </c>
      <c r="B914" t="s">
        <v>445</v>
      </c>
      <c r="D914" s="37"/>
      <c r="E914" t="s">
        <v>592</v>
      </c>
    </row>
    <row r="915" spans="1:5" x14ac:dyDescent="0.35">
      <c r="A915" t="s">
        <v>252</v>
      </c>
      <c r="B915" s="69" t="s">
        <v>189</v>
      </c>
      <c r="D915" s="37"/>
      <c r="E915" t="s">
        <v>592</v>
      </c>
    </row>
    <row r="916" spans="1:5" x14ac:dyDescent="0.35">
      <c r="A916" t="s">
        <v>252</v>
      </c>
      <c r="B916" s="69" t="s">
        <v>190</v>
      </c>
      <c r="D916" s="37"/>
      <c r="E916" t="s">
        <v>592</v>
      </c>
    </row>
    <row r="917" spans="1:5" x14ac:dyDescent="0.3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35">
      <c r="A918" t="s">
        <v>252</v>
      </c>
      <c r="B918" t="s">
        <v>446</v>
      </c>
      <c r="D918" s="37"/>
      <c r="E918" t="s">
        <v>592</v>
      </c>
    </row>
    <row r="919" spans="1:5" x14ac:dyDescent="0.35">
      <c r="A919" t="s">
        <v>252</v>
      </c>
      <c r="B919" s="69" t="s">
        <v>40</v>
      </c>
      <c r="D919" s="37"/>
      <c r="E919" t="s">
        <v>592</v>
      </c>
    </row>
    <row r="920" spans="1:5" x14ac:dyDescent="0.35">
      <c r="A920" t="s">
        <v>252</v>
      </c>
      <c r="B920" s="69" t="s">
        <v>303</v>
      </c>
      <c r="D920" s="37"/>
      <c r="E920" t="s">
        <v>592</v>
      </c>
    </row>
    <row r="921" spans="1:5" x14ac:dyDescent="0.35">
      <c r="A921" t="s">
        <v>252</v>
      </c>
      <c r="B921" s="69" t="s">
        <v>199</v>
      </c>
      <c r="D921" s="37"/>
      <c r="E921" t="s">
        <v>592</v>
      </c>
    </row>
    <row r="922" spans="1:5" x14ac:dyDescent="0.35">
      <c r="A922" t="s">
        <v>252</v>
      </c>
      <c r="B922" s="69" t="s">
        <v>194</v>
      </c>
      <c r="D922" s="37"/>
      <c r="E922" t="s">
        <v>592</v>
      </c>
    </row>
    <row r="923" spans="1:5" x14ac:dyDescent="0.35">
      <c r="A923" t="s">
        <v>252</v>
      </c>
      <c r="B923" s="69" t="s">
        <v>144</v>
      </c>
      <c r="D923" s="37"/>
      <c r="E923" t="s">
        <v>592</v>
      </c>
    </row>
    <row r="924" spans="1:5" x14ac:dyDescent="0.35">
      <c r="A924" t="s">
        <v>252</v>
      </c>
      <c r="B924" s="69" t="s">
        <v>145</v>
      </c>
      <c r="D924" s="37"/>
      <c r="E924" t="s">
        <v>592</v>
      </c>
    </row>
    <row r="925" spans="1:5" x14ac:dyDescent="0.35">
      <c r="A925" t="s">
        <v>252</v>
      </c>
      <c r="B925" s="69" t="s">
        <v>146</v>
      </c>
      <c r="D925" s="37"/>
      <c r="E925" t="s">
        <v>592</v>
      </c>
    </row>
    <row r="926" spans="1:5" x14ac:dyDescent="0.35">
      <c r="A926" t="s">
        <v>252</v>
      </c>
      <c r="B926" s="69" t="s">
        <v>147</v>
      </c>
      <c r="D926" s="37"/>
      <c r="E926" t="s">
        <v>592</v>
      </c>
    </row>
    <row r="927" spans="1:5" x14ac:dyDescent="0.3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3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35">
      <c r="A929" t="s">
        <v>253</v>
      </c>
      <c r="B929" s="69" t="s">
        <v>189</v>
      </c>
      <c r="D929" s="37"/>
      <c r="E929" t="s">
        <v>592</v>
      </c>
    </row>
    <row r="930" spans="1:5" x14ac:dyDescent="0.35">
      <c r="A930" t="s">
        <v>253</v>
      </c>
      <c r="B930" s="69" t="s">
        <v>190</v>
      </c>
      <c r="D930" s="37"/>
      <c r="E930" t="s">
        <v>592</v>
      </c>
    </row>
    <row r="931" spans="1:5" x14ac:dyDescent="0.3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35">
      <c r="A932" t="s">
        <v>253</v>
      </c>
      <c r="B932" t="s">
        <v>446</v>
      </c>
      <c r="D932" s="37"/>
      <c r="E932" t="s">
        <v>592</v>
      </c>
    </row>
    <row r="933" spans="1:5" x14ac:dyDescent="0.3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35">
      <c r="A934" t="s">
        <v>253</v>
      </c>
      <c r="B934" s="69" t="s">
        <v>303</v>
      </c>
      <c r="D934" s="37"/>
      <c r="E934" t="s">
        <v>592</v>
      </c>
    </row>
    <row r="935" spans="1:5" x14ac:dyDescent="0.35">
      <c r="A935" t="s">
        <v>253</v>
      </c>
      <c r="B935" s="69" t="s">
        <v>199</v>
      </c>
      <c r="D935" s="37"/>
      <c r="E935" t="s">
        <v>592</v>
      </c>
    </row>
    <row r="936" spans="1:5" x14ac:dyDescent="0.35">
      <c r="A936" t="s">
        <v>253</v>
      </c>
      <c r="B936" s="69" t="s">
        <v>194</v>
      </c>
      <c r="D936" s="37"/>
      <c r="E936" t="s">
        <v>592</v>
      </c>
    </row>
    <row r="937" spans="1:5" x14ac:dyDescent="0.35">
      <c r="A937" t="s">
        <v>253</v>
      </c>
      <c r="B937" s="69" t="s">
        <v>144</v>
      </c>
      <c r="D937" s="37"/>
      <c r="E937" t="s">
        <v>592</v>
      </c>
    </row>
    <row r="938" spans="1:5" x14ac:dyDescent="0.35">
      <c r="A938" t="s">
        <v>253</v>
      </c>
      <c r="B938" s="69" t="s">
        <v>145</v>
      </c>
      <c r="D938" s="37"/>
      <c r="E938" t="s">
        <v>592</v>
      </c>
    </row>
    <row r="939" spans="1:5" x14ac:dyDescent="0.35">
      <c r="A939" t="s">
        <v>253</v>
      </c>
      <c r="B939" s="69" t="s">
        <v>146</v>
      </c>
      <c r="D939" s="37"/>
      <c r="E939" t="s">
        <v>592</v>
      </c>
    </row>
    <row r="940" spans="1:5" x14ac:dyDescent="0.35">
      <c r="A940" t="s">
        <v>253</v>
      </c>
      <c r="B940" s="69" t="s">
        <v>147</v>
      </c>
      <c r="D940" s="37"/>
      <c r="E940" t="s">
        <v>592</v>
      </c>
    </row>
    <row r="941" spans="1:5" x14ac:dyDescent="0.3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35">
      <c r="A942" t="s">
        <v>254</v>
      </c>
      <c r="B942" t="s">
        <v>445</v>
      </c>
      <c r="D942" s="37"/>
      <c r="E942" t="s">
        <v>592</v>
      </c>
    </row>
    <row r="943" spans="1:5" x14ac:dyDescent="0.35">
      <c r="A943" t="s">
        <v>254</v>
      </c>
      <c r="B943" s="69" t="s">
        <v>189</v>
      </c>
      <c r="D943" s="37"/>
      <c r="E943" t="s">
        <v>592</v>
      </c>
    </row>
    <row r="944" spans="1:5" x14ac:dyDescent="0.35">
      <c r="A944" t="s">
        <v>254</v>
      </c>
      <c r="B944" s="69" t="s">
        <v>190</v>
      </c>
      <c r="D944" s="37"/>
      <c r="E944" t="s">
        <v>592</v>
      </c>
    </row>
    <row r="945" spans="1:5" x14ac:dyDescent="0.35">
      <c r="A945" t="s">
        <v>254</v>
      </c>
      <c r="B945" s="69" t="s">
        <v>301</v>
      </c>
      <c r="D945" s="37"/>
      <c r="E945" t="s">
        <v>592</v>
      </c>
    </row>
    <row r="946" spans="1:5" x14ac:dyDescent="0.35">
      <c r="A946" t="s">
        <v>254</v>
      </c>
      <c r="B946" t="s">
        <v>446</v>
      </c>
      <c r="D946" s="37"/>
      <c r="E946" t="s">
        <v>592</v>
      </c>
    </row>
    <row r="947" spans="1:5" x14ac:dyDescent="0.35">
      <c r="A947" t="s">
        <v>254</v>
      </c>
      <c r="B947" s="69" t="s">
        <v>40</v>
      </c>
      <c r="D947" s="37"/>
      <c r="E947" t="s">
        <v>592</v>
      </c>
    </row>
    <row r="948" spans="1:5" x14ac:dyDescent="0.35">
      <c r="A948" t="s">
        <v>254</v>
      </c>
      <c r="B948" s="69" t="s">
        <v>303</v>
      </c>
      <c r="D948" s="37"/>
      <c r="E948" t="s">
        <v>592</v>
      </c>
    </row>
    <row r="949" spans="1:5" x14ac:dyDescent="0.35">
      <c r="A949" t="s">
        <v>254</v>
      </c>
      <c r="B949" s="69" t="s">
        <v>199</v>
      </c>
      <c r="D949" s="37"/>
      <c r="E949" t="s">
        <v>592</v>
      </c>
    </row>
    <row r="950" spans="1:5" x14ac:dyDescent="0.35">
      <c r="A950" t="s">
        <v>254</v>
      </c>
      <c r="B950" s="69" t="s">
        <v>194</v>
      </c>
      <c r="D950" s="37"/>
      <c r="E950" t="s">
        <v>592</v>
      </c>
    </row>
    <row r="951" spans="1:5" x14ac:dyDescent="0.35">
      <c r="A951" t="s">
        <v>254</v>
      </c>
      <c r="B951" s="69" t="s">
        <v>144</v>
      </c>
      <c r="D951" s="37"/>
      <c r="E951" t="s">
        <v>592</v>
      </c>
    </row>
    <row r="952" spans="1:5" x14ac:dyDescent="0.35">
      <c r="A952" t="s">
        <v>254</v>
      </c>
      <c r="B952" s="69" t="s">
        <v>145</v>
      </c>
      <c r="D952" s="37"/>
      <c r="E952" t="s">
        <v>592</v>
      </c>
    </row>
    <row r="953" spans="1:5" x14ac:dyDescent="0.35">
      <c r="A953" t="s">
        <v>254</v>
      </c>
      <c r="B953" s="69" t="s">
        <v>146</v>
      </c>
      <c r="D953" s="37"/>
      <c r="E953" t="s">
        <v>592</v>
      </c>
    </row>
    <row r="954" spans="1:5" x14ac:dyDescent="0.35">
      <c r="A954" t="s">
        <v>254</v>
      </c>
      <c r="B954" s="69" t="s">
        <v>147</v>
      </c>
      <c r="D954" s="37"/>
      <c r="E954" t="s">
        <v>592</v>
      </c>
    </row>
    <row r="955" spans="1:5" x14ac:dyDescent="0.3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3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35">
      <c r="A957" t="s">
        <v>255</v>
      </c>
      <c r="B957" s="69" t="s">
        <v>189</v>
      </c>
      <c r="D957" s="37"/>
      <c r="E957" t="s">
        <v>592</v>
      </c>
    </row>
    <row r="958" spans="1:5" x14ac:dyDescent="0.35">
      <c r="A958" t="s">
        <v>255</v>
      </c>
      <c r="B958" s="69" t="s">
        <v>190</v>
      </c>
      <c r="D958" s="37"/>
      <c r="E958" t="s">
        <v>592</v>
      </c>
    </row>
    <row r="959" spans="1:5" x14ac:dyDescent="0.3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3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3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35">
      <c r="A962" t="s">
        <v>255</v>
      </c>
      <c r="B962" s="69" t="s">
        <v>303</v>
      </c>
      <c r="D962" s="37"/>
      <c r="E962" t="s">
        <v>592</v>
      </c>
    </row>
    <row r="963" spans="1:5" x14ac:dyDescent="0.35">
      <c r="A963" t="s">
        <v>255</v>
      </c>
      <c r="B963" s="69" t="s">
        <v>199</v>
      </c>
      <c r="D963" s="37"/>
      <c r="E963" t="s">
        <v>592</v>
      </c>
    </row>
    <row r="964" spans="1:5" x14ac:dyDescent="0.35">
      <c r="A964" t="s">
        <v>255</v>
      </c>
      <c r="B964" s="69" t="s">
        <v>194</v>
      </c>
      <c r="D964" s="37"/>
      <c r="E964" t="s">
        <v>592</v>
      </c>
    </row>
    <row r="965" spans="1:5" x14ac:dyDescent="0.35">
      <c r="A965" t="s">
        <v>255</v>
      </c>
      <c r="B965" s="69" t="s">
        <v>144</v>
      </c>
      <c r="D965" s="37"/>
      <c r="E965" t="s">
        <v>592</v>
      </c>
    </row>
    <row r="966" spans="1:5" x14ac:dyDescent="0.35">
      <c r="A966" t="s">
        <v>255</v>
      </c>
      <c r="B966" s="69" t="s">
        <v>145</v>
      </c>
      <c r="D966" s="37"/>
      <c r="E966" t="s">
        <v>592</v>
      </c>
    </row>
    <row r="967" spans="1:5" x14ac:dyDescent="0.35">
      <c r="A967" t="s">
        <v>255</v>
      </c>
      <c r="B967" s="69" t="s">
        <v>146</v>
      </c>
      <c r="D967" s="37"/>
      <c r="E967" t="s">
        <v>592</v>
      </c>
    </row>
    <row r="968" spans="1:5" x14ac:dyDescent="0.35">
      <c r="A968" t="s">
        <v>255</v>
      </c>
      <c r="B968" s="69" t="s">
        <v>147</v>
      </c>
      <c r="D968" s="37"/>
      <c r="E968" t="s">
        <v>592</v>
      </c>
    </row>
    <row r="969" spans="1:5" x14ac:dyDescent="0.3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35">
      <c r="A970" t="s">
        <v>256</v>
      </c>
      <c r="B970" t="s">
        <v>445</v>
      </c>
      <c r="D970" s="37"/>
      <c r="E970" t="s">
        <v>592</v>
      </c>
    </row>
    <row r="971" spans="1:5" x14ac:dyDescent="0.35">
      <c r="A971" t="s">
        <v>256</v>
      </c>
      <c r="B971" s="69" t="s">
        <v>189</v>
      </c>
      <c r="D971" s="37"/>
      <c r="E971" t="s">
        <v>592</v>
      </c>
    </row>
    <row r="972" spans="1:5" x14ac:dyDescent="0.35">
      <c r="A972" t="s">
        <v>256</v>
      </c>
      <c r="B972" s="69" t="s">
        <v>190</v>
      </c>
      <c r="D972" s="37"/>
      <c r="E972" t="s">
        <v>592</v>
      </c>
    </row>
    <row r="973" spans="1:5" x14ac:dyDescent="0.3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35">
      <c r="A974" t="s">
        <v>256</v>
      </c>
      <c r="B974" t="s">
        <v>446</v>
      </c>
      <c r="D974" s="37"/>
      <c r="E974" t="s">
        <v>592</v>
      </c>
    </row>
    <row r="975" spans="1:5" x14ac:dyDescent="0.35">
      <c r="A975" t="s">
        <v>256</v>
      </c>
      <c r="B975" s="69" t="s">
        <v>40</v>
      </c>
      <c r="D975" s="37"/>
      <c r="E975" t="s">
        <v>592</v>
      </c>
    </row>
    <row r="976" spans="1:5" x14ac:dyDescent="0.35">
      <c r="A976" t="s">
        <v>256</v>
      </c>
      <c r="B976" s="69" t="s">
        <v>303</v>
      </c>
      <c r="D976" s="37"/>
      <c r="E976" t="s">
        <v>592</v>
      </c>
    </row>
    <row r="977" spans="1:5" x14ac:dyDescent="0.35">
      <c r="A977" t="s">
        <v>256</v>
      </c>
      <c r="B977" s="69" t="s">
        <v>199</v>
      </c>
      <c r="D977" s="37"/>
      <c r="E977" t="s">
        <v>592</v>
      </c>
    </row>
    <row r="978" spans="1:5" x14ac:dyDescent="0.35">
      <c r="A978" t="s">
        <v>256</v>
      </c>
      <c r="B978" s="69" t="s">
        <v>194</v>
      </c>
      <c r="D978" s="37"/>
      <c r="E978" t="s">
        <v>592</v>
      </c>
    </row>
    <row r="979" spans="1:5" x14ac:dyDescent="0.35">
      <c r="A979" t="s">
        <v>256</v>
      </c>
      <c r="B979" s="69" t="s">
        <v>144</v>
      </c>
      <c r="D979" s="37"/>
      <c r="E979" t="s">
        <v>592</v>
      </c>
    </row>
    <row r="980" spans="1:5" x14ac:dyDescent="0.35">
      <c r="A980" t="s">
        <v>256</v>
      </c>
      <c r="B980" s="69" t="s">
        <v>145</v>
      </c>
      <c r="D980" s="37"/>
      <c r="E980" t="s">
        <v>592</v>
      </c>
    </row>
    <row r="981" spans="1:5" x14ac:dyDescent="0.35">
      <c r="A981" t="s">
        <v>256</v>
      </c>
      <c r="B981" s="69" t="s">
        <v>146</v>
      </c>
      <c r="D981" s="37"/>
      <c r="E981" t="s">
        <v>592</v>
      </c>
    </row>
    <row r="982" spans="1:5" x14ac:dyDescent="0.35">
      <c r="A982" t="s">
        <v>256</v>
      </c>
      <c r="B982" s="69" t="s">
        <v>147</v>
      </c>
      <c r="D982" s="37"/>
      <c r="E982" t="s">
        <v>592</v>
      </c>
    </row>
    <row r="983" spans="1:5" x14ac:dyDescent="0.3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3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35">
      <c r="A985" t="s">
        <v>257</v>
      </c>
      <c r="B985" s="69" t="s">
        <v>189</v>
      </c>
      <c r="D985" s="37"/>
      <c r="E985" t="s">
        <v>592</v>
      </c>
    </row>
    <row r="986" spans="1:5" x14ac:dyDescent="0.35">
      <c r="A986" t="s">
        <v>257</v>
      </c>
      <c r="B986" s="69" t="s">
        <v>190</v>
      </c>
      <c r="D986" s="37"/>
      <c r="E986" t="s">
        <v>592</v>
      </c>
    </row>
    <row r="987" spans="1:5" x14ac:dyDescent="0.3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35">
      <c r="A988" t="s">
        <v>257</v>
      </c>
      <c r="B988" t="s">
        <v>446</v>
      </c>
      <c r="D988" s="37"/>
      <c r="E988" t="s">
        <v>592</v>
      </c>
    </row>
    <row r="989" spans="1:5" x14ac:dyDescent="0.3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35">
      <c r="A990" t="s">
        <v>257</v>
      </c>
      <c r="B990" s="69" t="s">
        <v>303</v>
      </c>
      <c r="D990" s="37"/>
      <c r="E990" t="s">
        <v>592</v>
      </c>
    </row>
    <row r="991" spans="1:5" x14ac:dyDescent="0.35">
      <c r="A991" t="s">
        <v>257</v>
      </c>
      <c r="B991" s="69" t="s">
        <v>199</v>
      </c>
      <c r="D991" s="37"/>
      <c r="E991" t="s">
        <v>592</v>
      </c>
    </row>
    <row r="992" spans="1:5" x14ac:dyDescent="0.35">
      <c r="A992" t="s">
        <v>257</v>
      </c>
      <c r="B992" s="69" t="s">
        <v>194</v>
      </c>
      <c r="D992" s="37"/>
      <c r="E992" t="s">
        <v>592</v>
      </c>
    </row>
    <row r="993" spans="1:5" x14ac:dyDescent="0.35">
      <c r="A993" t="s">
        <v>257</v>
      </c>
      <c r="B993" s="69" t="s">
        <v>144</v>
      </c>
      <c r="D993" s="37"/>
      <c r="E993" t="s">
        <v>592</v>
      </c>
    </row>
    <row r="994" spans="1:5" x14ac:dyDescent="0.35">
      <c r="A994" t="s">
        <v>257</v>
      </c>
      <c r="B994" s="69" t="s">
        <v>145</v>
      </c>
      <c r="D994" s="37"/>
      <c r="E994" t="s">
        <v>592</v>
      </c>
    </row>
    <row r="995" spans="1:5" x14ac:dyDescent="0.35">
      <c r="A995" t="s">
        <v>257</v>
      </c>
      <c r="B995" s="69" t="s">
        <v>146</v>
      </c>
      <c r="D995" s="37"/>
      <c r="E995" t="s">
        <v>592</v>
      </c>
    </row>
    <row r="996" spans="1:5" x14ac:dyDescent="0.35">
      <c r="A996" t="s">
        <v>257</v>
      </c>
      <c r="B996" s="69" t="s">
        <v>147</v>
      </c>
      <c r="D996" s="37"/>
      <c r="E996" t="s">
        <v>592</v>
      </c>
    </row>
    <row r="997" spans="1:5" x14ac:dyDescent="0.3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35">
      <c r="A998" t="s">
        <v>258</v>
      </c>
      <c r="B998" t="s">
        <v>445</v>
      </c>
      <c r="D998" s="37"/>
      <c r="E998" t="s">
        <v>592</v>
      </c>
    </row>
    <row r="999" spans="1:5" x14ac:dyDescent="0.35">
      <c r="A999" t="s">
        <v>258</v>
      </c>
      <c r="B999" s="69" t="s">
        <v>189</v>
      </c>
      <c r="D999" s="37"/>
      <c r="E999" t="s">
        <v>592</v>
      </c>
    </row>
    <row r="1000" spans="1:5" x14ac:dyDescent="0.35">
      <c r="A1000" t="s">
        <v>258</v>
      </c>
      <c r="B1000" s="69" t="s">
        <v>190</v>
      </c>
      <c r="D1000" s="37"/>
      <c r="E1000" t="s">
        <v>592</v>
      </c>
    </row>
    <row r="1001" spans="1:5" x14ac:dyDescent="0.3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35">
      <c r="A1002" t="s">
        <v>258</v>
      </c>
      <c r="B1002" t="s">
        <v>446</v>
      </c>
      <c r="D1002" s="37"/>
      <c r="E1002" t="s">
        <v>592</v>
      </c>
    </row>
    <row r="1003" spans="1:5" x14ac:dyDescent="0.35">
      <c r="A1003" t="s">
        <v>258</v>
      </c>
      <c r="B1003" s="69" t="s">
        <v>40</v>
      </c>
      <c r="D1003" s="37"/>
      <c r="E1003" t="s">
        <v>592</v>
      </c>
    </row>
    <row r="1004" spans="1:5" x14ac:dyDescent="0.35">
      <c r="A1004" t="s">
        <v>258</v>
      </c>
      <c r="B1004" s="69" t="s">
        <v>303</v>
      </c>
      <c r="D1004" s="37"/>
      <c r="E1004" t="s">
        <v>592</v>
      </c>
    </row>
    <row r="1005" spans="1:5" x14ac:dyDescent="0.35">
      <c r="A1005" t="s">
        <v>258</v>
      </c>
      <c r="B1005" s="69" t="s">
        <v>199</v>
      </c>
      <c r="D1005" s="37"/>
      <c r="E1005" t="s">
        <v>592</v>
      </c>
    </row>
    <row r="1006" spans="1:5" x14ac:dyDescent="0.35">
      <c r="A1006" t="s">
        <v>258</v>
      </c>
      <c r="B1006" s="69" t="s">
        <v>194</v>
      </c>
      <c r="D1006" s="37"/>
      <c r="E1006" t="s">
        <v>592</v>
      </c>
    </row>
    <row r="1007" spans="1:5" x14ac:dyDescent="0.35">
      <c r="A1007" t="s">
        <v>258</v>
      </c>
      <c r="B1007" s="69" t="s">
        <v>144</v>
      </c>
      <c r="D1007" s="37"/>
      <c r="E1007" t="s">
        <v>592</v>
      </c>
    </row>
    <row r="1008" spans="1:5" x14ac:dyDescent="0.35">
      <c r="A1008" t="s">
        <v>258</v>
      </c>
      <c r="B1008" s="69" t="s">
        <v>145</v>
      </c>
      <c r="D1008" s="37"/>
      <c r="E1008" t="s">
        <v>592</v>
      </c>
    </row>
    <row r="1009" spans="1:5" x14ac:dyDescent="0.35">
      <c r="A1009" t="s">
        <v>258</v>
      </c>
      <c r="B1009" s="69" t="s">
        <v>146</v>
      </c>
      <c r="D1009" s="37"/>
      <c r="E1009" t="s">
        <v>592</v>
      </c>
    </row>
    <row r="1010" spans="1:5" x14ac:dyDescent="0.35">
      <c r="A1010" t="s">
        <v>258</v>
      </c>
      <c r="B1010" s="69" t="s">
        <v>147</v>
      </c>
      <c r="D1010" s="37"/>
      <c r="E1010" t="s">
        <v>592</v>
      </c>
    </row>
    <row r="1011" spans="1:5" x14ac:dyDescent="0.3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3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35">
      <c r="A1013" t="s">
        <v>259</v>
      </c>
      <c r="B1013" s="69" t="s">
        <v>189</v>
      </c>
      <c r="D1013" s="37"/>
      <c r="E1013" t="s">
        <v>592</v>
      </c>
    </row>
    <row r="1014" spans="1:5" x14ac:dyDescent="0.35">
      <c r="A1014" t="s">
        <v>259</v>
      </c>
      <c r="B1014" s="69" t="s">
        <v>190</v>
      </c>
      <c r="D1014" s="37"/>
      <c r="E1014" t="s">
        <v>592</v>
      </c>
    </row>
    <row r="1015" spans="1:5" x14ac:dyDescent="0.3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35">
      <c r="A1016" t="s">
        <v>259</v>
      </c>
      <c r="B1016" t="s">
        <v>446</v>
      </c>
      <c r="D1016" s="37"/>
      <c r="E1016" t="s">
        <v>592</v>
      </c>
    </row>
    <row r="1017" spans="1:5" x14ac:dyDescent="0.3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35">
      <c r="A1018" t="s">
        <v>259</v>
      </c>
      <c r="B1018" s="69" t="s">
        <v>303</v>
      </c>
      <c r="D1018" s="37"/>
      <c r="E1018" t="s">
        <v>592</v>
      </c>
    </row>
    <row r="1019" spans="1:5" x14ac:dyDescent="0.35">
      <c r="A1019" t="s">
        <v>259</v>
      </c>
      <c r="B1019" s="69" t="s">
        <v>199</v>
      </c>
      <c r="D1019" s="37"/>
      <c r="E1019" t="s">
        <v>592</v>
      </c>
    </row>
    <row r="1020" spans="1:5" x14ac:dyDescent="0.35">
      <c r="A1020" t="s">
        <v>259</v>
      </c>
      <c r="B1020" s="69" t="s">
        <v>194</v>
      </c>
      <c r="D1020" s="37"/>
      <c r="E1020" t="s">
        <v>592</v>
      </c>
    </row>
    <row r="1021" spans="1:5" x14ac:dyDescent="0.35">
      <c r="A1021" t="s">
        <v>259</v>
      </c>
      <c r="B1021" s="69" t="s">
        <v>144</v>
      </c>
      <c r="D1021" s="37"/>
      <c r="E1021" t="s">
        <v>592</v>
      </c>
    </row>
    <row r="1022" spans="1:5" x14ac:dyDescent="0.35">
      <c r="A1022" t="s">
        <v>259</v>
      </c>
      <c r="B1022" s="69" t="s">
        <v>145</v>
      </c>
      <c r="D1022" s="37"/>
      <c r="E1022" t="s">
        <v>592</v>
      </c>
    </row>
    <row r="1023" spans="1:5" x14ac:dyDescent="0.35">
      <c r="A1023" t="s">
        <v>259</v>
      </c>
      <c r="B1023" s="69" t="s">
        <v>146</v>
      </c>
      <c r="D1023" s="37"/>
      <c r="E1023" t="s">
        <v>592</v>
      </c>
    </row>
    <row r="1024" spans="1:5" x14ac:dyDescent="0.35">
      <c r="A1024" t="s">
        <v>259</v>
      </c>
      <c r="B1024" s="69" t="s">
        <v>147</v>
      </c>
      <c r="D1024" s="37"/>
      <c r="E1024" t="s">
        <v>592</v>
      </c>
    </row>
    <row r="1025" spans="1:5" x14ac:dyDescent="0.3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3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35">
      <c r="A1027" t="s">
        <v>260</v>
      </c>
      <c r="B1027" s="69" t="s">
        <v>189</v>
      </c>
      <c r="D1027" s="37"/>
      <c r="E1027" t="s">
        <v>592</v>
      </c>
    </row>
    <row r="1028" spans="1:5" x14ac:dyDescent="0.35">
      <c r="A1028" t="s">
        <v>260</v>
      </c>
      <c r="B1028" s="69" t="s">
        <v>190</v>
      </c>
      <c r="D1028" s="37"/>
      <c r="E1028" t="s">
        <v>592</v>
      </c>
    </row>
    <row r="1029" spans="1:5" x14ac:dyDescent="0.3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35">
      <c r="A1030" t="s">
        <v>260</v>
      </c>
      <c r="B1030" t="s">
        <v>446</v>
      </c>
      <c r="D1030" s="37"/>
      <c r="E1030" t="s">
        <v>592</v>
      </c>
    </row>
    <row r="1031" spans="1:5" x14ac:dyDescent="0.3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35">
      <c r="A1032" t="s">
        <v>260</v>
      </c>
      <c r="B1032" s="69" t="s">
        <v>303</v>
      </c>
      <c r="D1032" s="37"/>
      <c r="E1032" t="s">
        <v>592</v>
      </c>
    </row>
    <row r="1033" spans="1:5" x14ac:dyDescent="0.35">
      <c r="A1033" t="s">
        <v>260</v>
      </c>
      <c r="B1033" s="69" t="s">
        <v>199</v>
      </c>
      <c r="D1033" s="37"/>
      <c r="E1033" t="s">
        <v>592</v>
      </c>
    </row>
    <row r="1034" spans="1:5" x14ac:dyDescent="0.35">
      <c r="A1034" t="s">
        <v>260</v>
      </c>
      <c r="B1034" s="69" t="s">
        <v>194</v>
      </c>
      <c r="D1034" s="37"/>
      <c r="E1034" t="s">
        <v>592</v>
      </c>
    </row>
    <row r="1035" spans="1:5" x14ac:dyDescent="0.35">
      <c r="A1035" t="s">
        <v>260</v>
      </c>
      <c r="B1035" s="69" t="s">
        <v>144</v>
      </c>
      <c r="D1035" s="37"/>
      <c r="E1035" t="s">
        <v>592</v>
      </c>
    </row>
    <row r="1036" spans="1:5" x14ac:dyDescent="0.35">
      <c r="A1036" t="s">
        <v>260</v>
      </c>
      <c r="B1036" s="69" t="s">
        <v>145</v>
      </c>
      <c r="D1036" s="37"/>
      <c r="E1036" t="s">
        <v>592</v>
      </c>
    </row>
    <row r="1037" spans="1:5" x14ac:dyDescent="0.35">
      <c r="A1037" t="s">
        <v>260</v>
      </c>
      <c r="B1037" s="69" t="s">
        <v>146</v>
      </c>
      <c r="D1037" s="37"/>
      <c r="E1037" t="s">
        <v>592</v>
      </c>
    </row>
    <row r="1038" spans="1:5" x14ac:dyDescent="0.35">
      <c r="A1038" t="s">
        <v>260</v>
      </c>
      <c r="B1038" s="69" t="s">
        <v>147</v>
      </c>
      <c r="D1038" s="37"/>
      <c r="E1038" t="s">
        <v>592</v>
      </c>
    </row>
    <row r="1039" spans="1:5" x14ac:dyDescent="0.3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35">
      <c r="A1040" t="s">
        <v>261</v>
      </c>
      <c r="B1040" t="s">
        <v>445</v>
      </c>
      <c r="D1040" s="37"/>
      <c r="E1040" t="s">
        <v>592</v>
      </c>
    </row>
    <row r="1041" spans="1:5" x14ac:dyDescent="0.35">
      <c r="A1041" t="s">
        <v>261</v>
      </c>
      <c r="B1041" s="69" t="s">
        <v>189</v>
      </c>
      <c r="D1041" s="37"/>
      <c r="E1041" t="s">
        <v>592</v>
      </c>
    </row>
    <row r="1042" spans="1:5" x14ac:dyDescent="0.35">
      <c r="A1042" t="s">
        <v>261</v>
      </c>
      <c r="B1042" s="69" t="s">
        <v>190</v>
      </c>
      <c r="D1042" s="37"/>
      <c r="E1042" t="s">
        <v>592</v>
      </c>
    </row>
    <row r="1043" spans="1:5" x14ac:dyDescent="0.3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35">
      <c r="A1044" t="s">
        <v>261</v>
      </c>
      <c r="B1044" t="s">
        <v>446</v>
      </c>
      <c r="D1044" s="37"/>
      <c r="E1044" t="s">
        <v>592</v>
      </c>
    </row>
    <row r="1045" spans="1:5" x14ac:dyDescent="0.3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35">
      <c r="A1046" t="s">
        <v>261</v>
      </c>
      <c r="B1046" s="69" t="s">
        <v>303</v>
      </c>
      <c r="D1046" s="37"/>
      <c r="E1046" t="s">
        <v>592</v>
      </c>
    </row>
    <row r="1047" spans="1:5" x14ac:dyDescent="0.35">
      <c r="A1047" t="s">
        <v>261</v>
      </c>
      <c r="B1047" s="69" t="s">
        <v>199</v>
      </c>
      <c r="D1047" s="37"/>
      <c r="E1047" t="s">
        <v>592</v>
      </c>
    </row>
    <row r="1048" spans="1:5" x14ac:dyDescent="0.35">
      <c r="A1048" t="s">
        <v>261</v>
      </c>
      <c r="B1048" s="69" t="s">
        <v>194</v>
      </c>
      <c r="D1048" s="37"/>
      <c r="E1048" t="s">
        <v>592</v>
      </c>
    </row>
    <row r="1049" spans="1:5" x14ac:dyDescent="0.35">
      <c r="A1049" t="s">
        <v>261</v>
      </c>
      <c r="B1049" s="69" t="s">
        <v>144</v>
      </c>
      <c r="D1049" s="37"/>
      <c r="E1049" t="s">
        <v>592</v>
      </c>
    </row>
    <row r="1050" spans="1:5" x14ac:dyDescent="0.35">
      <c r="A1050" t="s">
        <v>261</v>
      </c>
      <c r="B1050" s="69" t="s">
        <v>145</v>
      </c>
      <c r="D1050" s="37"/>
      <c r="E1050" t="s">
        <v>592</v>
      </c>
    </row>
    <row r="1051" spans="1:5" x14ac:dyDescent="0.35">
      <c r="A1051" t="s">
        <v>261</v>
      </c>
      <c r="B1051" s="69" t="s">
        <v>146</v>
      </c>
      <c r="D1051" s="37"/>
      <c r="E1051" t="s">
        <v>592</v>
      </c>
    </row>
    <row r="1052" spans="1:5" x14ac:dyDescent="0.35">
      <c r="A1052" t="s">
        <v>261</v>
      </c>
      <c r="B1052" s="69" t="s">
        <v>147</v>
      </c>
      <c r="D1052" s="37"/>
      <c r="E1052" t="s">
        <v>592</v>
      </c>
    </row>
    <row r="1053" spans="1:5" x14ac:dyDescent="0.3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3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35">
      <c r="A1055" t="s">
        <v>262</v>
      </c>
      <c r="B1055" s="69" t="s">
        <v>189</v>
      </c>
      <c r="D1055" s="37"/>
      <c r="E1055" t="s">
        <v>592</v>
      </c>
    </row>
    <row r="1056" spans="1:5" x14ac:dyDescent="0.35">
      <c r="A1056" t="s">
        <v>262</v>
      </c>
      <c r="B1056" s="69" t="s">
        <v>190</v>
      </c>
      <c r="D1056" s="37"/>
      <c r="E1056" t="s">
        <v>592</v>
      </c>
    </row>
    <row r="1057" spans="1:5" x14ac:dyDescent="0.3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35">
      <c r="A1058" t="s">
        <v>262</v>
      </c>
      <c r="B1058" t="s">
        <v>446</v>
      </c>
      <c r="D1058" s="37"/>
      <c r="E1058" t="s">
        <v>592</v>
      </c>
    </row>
    <row r="1059" spans="1:5" x14ac:dyDescent="0.3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35">
      <c r="A1060" t="s">
        <v>262</v>
      </c>
      <c r="B1060" s="69" t="s">
        <v>303</v>
      </c>
      <c r="D1060" s="37"/>
      <c r="E1060" t="s">
        <v>592</v>
      </c>
    </row>
    <row r="1061" spans="1:5" x14ac:dyDescent="0.35">
      <c r="A1061" t="s">
        <v>262</v>
      </c>
      <c r="B1061" s="69" t="s">
        <v>199</v>
      </c>
      <c r="D1061" s="37"/>
      <c r="E1061" t="s">
        <v>592</v>
      </c>
    </row>
    <row r="1062" spans="1:5" x14ac:dyDescent="0.35">
      <c r="A1062" t="s">
        <v>262</v>
      </c>
      <c r="B1062" s="69" t="s">
        <v>194</v>
      </c>
      <c r="D1062" s="37"/>
      <c r="E1062" t="s">
        <v>592</v>
      </c>
    </row>
    <row r="1063" spans="1:5" x14ac:dyDescent="0.35">
      <c r="A1063" t="s">
        <v>262</v>
      </c>
      <c r="B1063" s="69" t="s">
        <v>144</v>
      </c>
      <c r="D1063" s="37"/>
      <c r="E1063" t="s">
        <v>592</v>
      </c>
    </row>
    <row r="1064" spans="1:5" x14ac:dyDescent="0.35">
      <c r="A1064" t="s">
        <v>262</v>
      </c>
      <c r="B1064" s="69" t="s">
        <v>145</v>
      </c>
      <c r="D1064" s="37"/>
      <c r="E1064" t="s">
        <v>592</v>
      </c>
    </row>
    <row r="1065" spans="1:5" x14ac:dyDescent="0.35">
      <c r="A1065" t="s">
        <v>262</v>
      </c>
      <c r="B1065" s="69" t="s">
        <v>146</v>
      </c>
      <c r="D1065" s="37"/>
      <c r="E1065" t="s">
        <v>592</v>
      </c>
    </row>
    <row r="1066" spans="1:5" x14ac:dyDescent="0.35">
      <c r="A1066" t="s">
        <v>262</v>
      </c>
      <c r="B1066" s="69" t="s">
        <v>147</v>
      </c>
      <c r="D1066" s="37"/>
      <c r="E1066" t="s">
        <v>592</v>
      </c>
    </row>
    <row r="1067" spans="1:5" x14ac:dyDescent="0.3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35">
      <c r="A1068" t="s">
        <v>263</v>
      </c>
      <c r="B1068" t="s">
        <v>445</v>
      </c>
      <c r="D1068" s="37"/>
      <c r="E1068" t="s">
        <v>592</v>
      </c>
    </row>
    <row r="1069" spans="1:5" x14ac:dyDescent="0.35">
      <c r="A1069" t="s">
        <v>263</v>
      </c>
      <c r="B1069" s="69" t="s">
        <v>189</v>
      </c>
      <c r="D1069" s="37"/>
      <c r="E1069" t="s">
        <v>592</v>
      </c>
    </row>
    <row r="1070" spans="1:5" x14ac:dyDescent="0.35">
      <c r="A1070" t="s">
        <v>263</v>
      </c>
      <c r="B1070" s="69" t="s">
        <v>190</v>
      </c>
      <c r="D1070" s="37"/>
      <c r="E1070" t="s">
        <v>592</v>
      </c>
    </row>
    <row r="1071" spans="1:5" x14ac:dyDescent="0.3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35">
      <c r="A1072" t="s">
        <v>263</v>
      </c>
      <c r="B1072" t="s">
        <v>446</v>
      </c>
      <c r="D1072" s="37"/>
      <c r="E1072" t="s">
        <v>592</v>
      </c>
    </row>
    <row r="1073" spans="1:5" x14ac:dyDescent="0.3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35">
      <c r="A1074" t="s">
        <v>263</v>
      </c>
      <c r="B1074" s="69" t="s">
        <v>303</v>
      </c>
      <c r="D1074" s="37"/>
      <c r="E1074" t="s">
        <v>592</v>
      </c>
    </row>
    <row r="1075" spans="1:5" x14ac:dyDescent="0.35">
      <c r="A1075" t="s">
        <v>263</v>
      </c>
      <c r="B1075" s="69" t="s">
        <v>199</v>
      </c>
      <c r="D1075" s="37"/>
      <c r="E1075" t="s">
        <v>592</v>
      </c>
    </row>
    <row r="1076" spans="1:5" x14ac:dyDescent="0.3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35">
      <c r="A1077" t="s">
        <v>263</v>
      </c>
      <c r="B1077" s="69" t="s">
        <v>144</v>
      </c>
      <c r="D1077" s="37"/>
      <c r="E1077" t="s">
        <v>592</v>
      </c>
    </row>
    <row r="1078" spans="1:5" x14ac:dyDescent="0.35">
      <c r="A1078" t="s">
        <v>263</v>
      </c>
      <c r="B1078" s="69" t="s">
        <v>145</v>
      </c>
      <c r="D1078" s="37"/>
      <c r="E1078" t="s">
        <v>592</v>
      </c>
    </row>
    <row r="1079" spans="1:5" x14ac:dyDescent="0.35">
      <c r="A1079" t="s">
        <v>263</v>
      </c>
      <c r="B1079" s="69" t="s">
        <v>146</v>
      </c>
      <c r="D1079" s="37"/>
      <c r="E1079" t="s">
        <v>592</v>
      </c>
    </row>
    <row r="1080" spans="1:5" x14ac:dyDescent="0.35">
      <c r="A1080" t="s">
        <v>263</v>
      </c>
      <c r="B1080" s="69" t="s">
        <v>147</v>
      </c>
      <c r="D1080" s="37"/>
      <c r="E1080" t="s">
        <v>592</v>
      </c>
    </row>
    <row r="1081" spans="1:5" x14ac:dyDescent="0.3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3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35">
      <c r="A1083" t="s">
        <v>264</v>
      </c>
      <c r="B1083" s="69" t="s">
        <v>189</v>
      </c>
      <c r="D1083" s="37"/>
      <c r="E1083" t="s">
        <v>592</v>
      </c>
    </row>
    <row r="1084" spans="1:5" x14ac:dyDescent="0.35">
      <c r="A1084" t="s">
        <v>264</v>
      </c>
      <c r="B1084" s="69" t="s">
        <v>190</v>
      </c>
      <c r="D1084" s="37"/>
      <c r="E1084" t="s">
        <v>592</v>
      </c>
    </row>
    <row r="1085" spans="1:5" x14ac:dyDescent="0.3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35">
      <c r="A1086" t="s">
        <v>264</v>
      </c>
      <c r="B1086" t="s">
        <v>446</v>
      </c>
      <c r="D1086" s="37"/>
      <c r="E1086" t="s">
        <v>592</v>
      </c>
    </row>
    <row r="1087" spans="1:5" x14ac:dyDescent="0.3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35">
      <c r="A1088" t="s">
        <v>264</v>
      </c>
      <c r="B1088" s="69" t="s">
        <v>303</v>
      </c>
      <c r="D1088" s="37"/>
      <c r="E1088" t="s">
        <v>592</v>
      </c>
    </row>
    <row r="1089" spans="1:5" x14ac:dyDescent="0.35">
      <c r="A1089" t="s">
        <v>264</v>
      </c>
      <c r="B1089" s="69" t="s">
        <v>199</v>
      </c>
      <c r="D1089" s="37"/>
      <c r="E1089" t="s">
        <v>592</v>
      </c>
    </row>
    <row r="1090" spans="1:5" x14ac:dyDescent="0.35">
      <c r="A1090" t="s">
        <v>264</v>
      </c>
      <c r="B1090" s="69" t="s">
        <v>194</v>
      </c>
      <c r="D1090" s="37"/>
      <c r="E1090" t="s">
        <v>592</v>
      </c>
    </row>
    <row r="1091" spans="1:5" x14ac:dyDescent="0.35">
      <c r="A1091" t="s">
        <v>264</v>
      </c>
      <c r="B1091" s="69" t="s">
        <v>144</v>
      </c>
      <c r="D1091" s="37"/>
      <c r="E1091" t="s">
        <v>592</v>
      </c>
    </row>
    <row r="1092" spans="1:5" x14ac:dyDescent="0.35">
      <c r="A1092" t="s">
        <v>264</v>
      </c>
      <c r="B1092" s="69" t="s">
        <v>145</v>
      </c>
      <c r="D1092" s="37"/>
      <c r="E1092" t="s">
        <v>592</v>
      </c>
    </row>
    <row r="1093" spans="1:5" x14ac:dyDescent="0.35">
      <c r="A1093" t="s">
        <v>264</v>
      </c>
      <c r="B1093" s="69" t="s">
        <v>146</v>
      </c>
      <c r="D1093" s="37"/>
      <c r="E1093" t="s">
        <v>592</v>
      </c>
    </row>
    <row r="1094" spans="1:5" x14ac:dyDescent="0.35">
      <c r="A1094" t="s">
        <v>264</v>
      </c>
      <c r="B1094" s="69" t="s">
        <v>147</v>
      </c>
      <c r="D1094" s="37"/>
      <c r="E1094" t="s">
        <v>592</v>
      </c>
    </row>
    <row r="1095" spans="1:5" x14ac:dyDescent="0.3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35">
      <c r="A1096" t="s">
        <v>265</v>
      </c>
      <c r="B1096" t="s">
        <v>445</v>
      </c>
      <c r="D1096" s="37"/>
      <c r="E1096" t="s">
        <v>592</v>
      </c>
    </row>
    <row r="1097" spans="1:5" x14ac:dyDescent="0.35">
      <c r="A1097" t="s">
        <v>265</v>
      </c>
      <c r="B1097" s="69" t="s">
        <v>189</v>
      </c>
      <c r="D1097" s="37"/>
      <c r="E1097" t="s">
        <v>592</v>
      </c>
    </row>
    <row r="1098" spans="1:5" x14ac:dyDescent="0.35">
      <c r="A1098" t="s">
        <v>265</v>
      </c>
      <c r="B1098" s="69" t="s">
        <v>190</v>
      </c>
      <c r="D1098" s="37"/>
      <c r="E1098" t="s">
        <v>592</v>
      </c>
    </row>
    <row r="1099" spans="1:5" x14ac:dyDescent="0.3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35">
      <c r="A1100" t="s">
        <v>265</v>
      </c>
      <c r="B1100" t="s">
        <v>446</v>
      </c>
      <c r="D1100" s="37"/>
      <c r="E1100" t="s">
        <v>592</v>
      </c>
    </row>
    <row r="1101" spans="1:5" x14ac:dyDescent="0.35">
      <c r="A1101" t="s">
        <v>265</v>
      </c>
      <c r="B1101" s="69" t="s">
        <v>40</v>
      </c>
      <c r="D1101" s="37"/>
      <c r="E1101" t="s">
        <v>592</v>
      </c>
    </row>
    <row r="1102" spans="1:5" x14ac:dyDescent="0.35">
      <c r="A1102" t="s">
        <v>265</v>
      </c>
      <c r="B1102" s="69" t="s">
        <v>303</v>
      </c>
      <c r="D1102" s="37"/>
      <c r="E1102" t="s">
        <v>592</v>
      </c>
    </row>
    <row r="1103" spans="1:5" x14ac:dyDescent="0.35">
      <c r="A1103" t="s">
        <v>265</v>
      </c>
      <c r="B1103" s="69" t="s">
        <v>199</v>
      </c>
      <c r="D1103" s="37"/>
      <c r="E1103" t="s">
        <v>592</v>
      </c>
    </row>
    <row r="1104" spans="1:5" x14ac:dyDescent="0.35">
      <c r="A1104" t="s">
        <v>265</v>
      </c>
      <c r="B1104" s="69" t="s">
        <v>194</v>
      </c>
      <c r="D1104" s="37"/>
      <c r="E1104" t="s">
        <v>592</v>
      </c>
    </row>
    <row r="1105" spans="1:5" x14ac:dyDescent="0.35">
      <c r="A1105" t="s">
        <v>265</v>
      </c>
      <c r="B1105" s="69" t="s">
        <v>144</v>
      </c>
      <c r="D1105" s="37"/>
      <c r="E1105" t="s">
        <v>592</v>
      </c>
    </row>
    <row r="1106" spans="1:5" x14ac:dyDescent="0.35">
      <c r="A1106" t="s">
        <v>265</v>
      </c>
      <c r="B1106" s="69" t="s">
        <v>145</v>
      </c>
      <c r="D1106" s="37"/>
      <c r="E1106" t="s">
        <v>592</v>
      </c>
    </row>
    <row r="1107" spans="1:5" x14ac:dyDescent="0.35">
      <c r="A1107" t="s">
        <v>265</v>
      </c>
      <c r="B1107" s="69" t="s">
        <v>146</v>
      </c>
      <c r="D1107" s="37"/>
      <c r="E1107" t="s">
        <v>592</v>
      </c>
    </row>
    <row r="1108" spans="1:5" x14ac:dyDescent="0.35">
      <c r="A1108" t="s">
        <v>265</v>
      </c>
      <c r="B1108" s="69" t="s">
        <v>147</v>
      </c>
      <c r="D1108" s="37"/>
      <c r="E1108" t="s">
        <v>592</v>
      </c>
    </row>
    <row r="1109" spans="1:5" x14ac:dyDescent="0.3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3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35">
      <c r="A1111" t="s">
        <v>266</v>
      </c>
      <c r="B1111" s="69" t="s">
        <v>189</v>
      </c>
      <c r="D1111" s="37"/>
      <c r="E1111" t="s">
        <v>592</v>
      </c>
    </row>
    <row r="1112" spans="1:5" x14ac:dyDescent="0.35">
      <c r="A1112" t="s">
        <v>266</v>
      </c>
      <c r="B1112" s="69" t="s">
        <v>190</v>
      </c>
      <c r="D1112" s="37"/>
      <c r="E1112" t="s">
        <v>592</v>
      </c>
    </row>
    <row r="1113" spans="1:5" x14ac:dyDescent="0.3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35">
      <c r="A1114" t="s">
        <v>266</v>
      </c>
      <c r="B1114" t="s">
        <v>446</v>
      </c>
      <c r="D1114" s="37"/>
      <c r="E1114" t="s">
        <v>592</v>
      </c>
    </row>
    <row r="1115" spans="1:5" x14ac:dyDescent="0.3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35">
      <c r="A1116" t="s">
        <v>266</v>
      </c>
      <c r="B1116" s="69" t="s">
        <v>303</v>
      </c>
      <c r="D1116" s="37"/>
      <c r="E1116" t="s">
        <v>592</v>
      </c>
    </row>
    <row r="1117" spans="1:5" x14ac:dyDescent="0.35">
      <c r="A1117" t="s">
        <v>266</v>
      </c>
      <c r="B1117" s="69" t="s">
        <v>199</v>
      </c>
      <c r="D1117" s="37"/>
      <c r="E1117" t="s">
        <v>592</v>
      </c>
    </row>
    <row r="1118" spans="1:5" x14ac:dyDescent="0.35">
      <c r="A1118" t="s">
        <v>266</v>
      </c>
      <c r="B1118" s="69" t="s">
        <v>194</v>
      </c>
      <c r="D1118" s="37"/>
      <c r="E1118" t="s">
        <v>592</v>
      </c>
    </row>
    <row r="1119" spans="1:5" x14ac:dyDescent="0.35">
      <c r="A1119" t="s">
        <v>266</v>
      </c>
      <c r="B1119" s="69" t="s">
        <v>144</v>
      </c>
      <c r="D1119" s="37"/>
      <c r="E1119" t="s">
        <v>592</v>
      </c>
    </row>
    <row r="1120" spans="1:5" x14ac:dyDescent="0.35">
      <c r="A1120" t="s">
        <v>266</v>
      </c>
      <c r="B1120" s="69" t="s">
        <v>145</v>
      </c>
      <c r="D1120" s="37"/>
      <c r="E1120" t="s">
        <v>592</v>
      </c>
    </row>
    <row r="1121" spans="1:5" x14ac:dyDescent="0.35">
      <c r="A1121" t="s">
        <v>266</v>
      </c>
      <c r="B1121" s="69" t="s">
        <v>146</v>
      </c>
      <c r="D1121" s="37"/>
      <c r="E1121" t="s">
        <v>592</v>
      </c>
    </row>
    <row r="1122" spans="1:5" x14ac:dyDescent="0.35">
      <c r="A1122" t="s">
        <v>266</v>
      </c>
      <c r="B1122" s="69" t="s">
        <v>147</v>
      </c>
      <c r="D1122" s="37"/>
      <c r="E1122" t="s">
        <v>592</v>
      </c>
    </row>
    <row r="1123" spans="1:5" x14ac:dyDescent="0.35">
      <c r="A1123" t="s">
        <v>267</v>
      </c>
      <c r="B1123" s="69" t="s">
        <v>299</v>
      </c>
      <c r="D1123" s="37"/>
      <c r="E1123" t="s">
        <v>592</v>
      </c>
    </row>
    <row r="1124" spans="1:5" x14ac:dyDescent="0.35">
      <c r="A1124" t="s">
        <v>267</v>
      </c>
      <c r="B1124" t="s">
        <v>445</v>
      </c>
      <c r="D1124" s="37"/>
      <c r="E1124" t="s">
        <v>592</v>
      </c>
    </row>
    <row r="1125" spans="1:5" x14ac:dyDescent="0.35">
      <c r="A1125" t="s">
        <v>267</v>
      </c>
      <c r="B1125" s="69" t="s">
        <v>189</v>
      </c>
      <c r="D1125" s="37"/>
      <c r="E1125" t="s">
        <v>592</v>
      </c>
    </row>
    <row r="1126" spans="1:5" x14ac:dyDescent="0.35">
      <c r="A1126" t="s">
        <v>267</v>
      </c>
      <c r="B1126" s="69" t="s">
        <v>190</v>
      </c>
      <c r="D1126" s="37"/>
      <c r="E1126" t="s">
        <v>592</v>
      </c>
    </row>
    <row r="1127" spans="1:5" x14ac:dyDescent="0.35">
      <c r="A1127" t="s">
        <v>267</v>
      </c>
      <c r="B1127" s="69" t="s">
        <v>301</v>
      </c>
      <c r="D1127" s="37"/>
      <c r="E1127" t="s">
        <v>592</v>
      </c>
    </row>
    <row r="1128" spans="1:5" x14ac:dyDescent="0.35">
      <c r="A1128" t="s">
        <v>267</v>
      </c>
      <c r="B1128" t="s">
        <v>446</v>
      </c>
      <c r="D1128" s="37"/>
      <c r="E1128" t="s">
        <v>592</v>
      </c>
    </row>
    <row r="1129" spans="1:5" x14ac:dyDescent="0.35">
      <c r="A1129" t="s">
        <v>267</v>
      </c>
      <c r="B1129" s="69" t="s">
        <v>40</v>
      </c>
      <c r="D1129" s="37"/>
      <c r="E1129" t="s">
        <v>592</v>
      </c>
    </row>
    <row r="1130" spans="1:5" x14ac:dyDescent="0.35">
      <c r="A1130" t="s">
        <v>267</v>
      </c>
      <c r="B1130" s="69" t="s">
        <v>303</v>
      </c>
      <c r="D1130" s="37"/>
      <c r="E1130" t="s">
        <v>592</v>
      </c>
    </row>
    <row r="1131" spans="1:5" x14ac:dyDescent="0.35">
      <c r="A1131" t="s">
        <v>267</v>
      </c>
      <c r="B1131" s="69" t="s">
        <v>199</v>
      </c>
      <c r="D1131" s="37"/>
      <c r="E1131" t="s">
        <v>592</v>
      </c>
    </row>
    <row r="1132" spans="1:5" x14ac:dyDescent="0.35">
      <c r="A1132" t="s">
        <v>267</v>
      </c>
      <c r="B1132" s="69" t="s">
        <v>194</v>
      </c>
      <c r="D1132" s="37"/>
      <c r="E1132" t="s">
        <v>592</v>
      </c>
    </row>
    <row r="1133" spans="1:5" x14ac:dyDescent="0.35">
      <c r="A1133" t="s">
        <v>267</v>
      </c>
      <c r="B1133" s="69" t="s">
        <v>144</v>
      </c>
      <c r="D1133" s="37"/>
      <c r="E1133" t="s">
        <v>592</v>
      </c>
    </row>
    <row r="1134" spans="1:5" x14ac:dyDescent="0.35">
      <c r="A1134" t="s">
        <v>267</v>
      </c>
      <c r="B1134" s="69" t="s">
        <v>145</v>
      </c>
      <c r="D1134" s="37"/>
      <c r="E1134" t="s">
        <v>592</v>
      </c>
    </row>
    <row r="1135" spans="1:5" x14ac:dyDescent="0.35">
      <c r="A1135" t="s">
        <v>267</v>
      </c>
      <c r="B1135" s="69" t="s">
        <v>146</v>
      </c>
      <c r="D1135" s="37"/>
      <c r="E1135" t="s">
        <v>592</v>
      </c>
    </row>
    <row r="1136" spans="1:5" x14ac:dyDescent="0.35">
      <c r="A1136" t="s">
        <v>267</v>
      </c>
      <c r="B1136" s="69" t="s">
        <v>147</v>
      </c>
      <c r="D1136" s="37"/>
      <c r="E1136" t="s">
        <v>592</v>
      </c>
    </row>
    <row r="1137" spans="1:5" x14ac:dyDescent="0.35">
      <c r="A1137" t="s">
        <v>268</v>
      </c>
      <c r="B1137" s="69" t="s">
        <v>299</v>
      </c>
      <c r="C1137">
        <v>9133.34</v>
      </c>
      <c r="D1137" s="37">
        <v>3.6371995348908501</v>
      </c>
      <c r="E1137" t="s">
        <v>592</v>
      </c>
    </row>
    <row r="1138" spans="1:5" x14ac:dyDescent="0.35">
      <c r="A1138" t="s">
        <v>268</v>
      </c>
      <c r="B1138" t="s">
        <v>445</v>
      </c>
      <c r="C1138">
        <v>1047.2</v>
      </c>
      <c r="D1138" s="37">
        <v>5.0099980901451486</v>
      </c>
      <c r="E1138" t="s">
        <v>592</v>
      </c>
    </row>
    <row r="1139" spans="1:5" x14ac:dyDescent="0.35">
      <c r="A1139" t="s">
        <v>268</v>
      </c>
      <c r="B1139" s="69" t="s">
        <v>189</v>
      </c>
      <c r="D1139" s="37"/>
      <c r="E1139" t="s">
        <v>592</v>
      </c>
    </row>
    <row r="1140" spans="1:5" x14ac:dyDescent="0.35">
      <c r="A1140" t="s">
        <v>268</v>
      </c>
      <c r="B1140" s="69" t="s">
        <v>190</v>
      </c>
      <c r="D1140" s="37"/>
      <c r="E1140" t="s">
        <v>592</v>
      </c>
    </row>
    <row r="1141" spans="1:5" x14ac:dyDescent="0.35">
      <c r="A1141" t="s">
        <v>268</v>
      </c>
      <c r="B1141" s="69" t="s">
        <v>301</v>
      </c>
      <c r="C1141">
        <v>58708.6</v>
      </c>
      <c r="D1141" s="37">
        <v>3.8136724432195623</v>
      </c>
      <c r="E1141" t="s">
        <v>592</v>
      </c>
    </row>
    <row r="1142" spans="1:5" x14ac:dyDescent="0.35">
      <c r="A1142" t="s">
        <v>268</v>
      </c>
      <c r="B1142" t="s">
        <v>446</v>
      </c>
      <c r="D1142" s="37"/>
      <c r="E1142" t="s">
        <v>592</v>
      </c>
    </row>
    <row r="1143" spans="1:5" x14ac:dyDescent="0.35">
      <c r="A1143" t="s">
        <v>268</v>
      </c>
      <c r="B1143" s="69" t="s">
        <v>40</v>
      </c>
      <c r="C1143">
        <v>26846.2</v>
      </c>
      <c r="D1143" s="37">
        <v>5.1900004469906342</v>
      </c>
      <c r="E1143" t="s">
        <v>592</v>
      </c>
    </row>
    <row r="1144" spans="1:5" x14ac:dyDescent="0.35">
      <c r="A1144" t="s">
        <v>268</v>
      </c>
      <c r="B1144" s="69" t="s">
        <v>303</v>
      </c>
      <c r="D1144" s="37"/>
      <c r="E1144" t="s">
        <v>592</v>
      </c>
    </row>
    <row r="1145" spans="1:5" x14ac:dyDescent="0.35">
      <c r="A1145" t="s">
        <v>268</v>
      </c>
      <c r="B1145" s="69" t="s">
        <v>199</v>
      </c>
      <c r="D1145" s="37"/>
      <c r="E1145" t="s">
        <v>592</v>
      </c>
    </row>
    <row r="1146" spans="1:5" x14ac:dyDescent="0.35">
      <c r="A1146" t="s">
        <v>268</v>
      </c>
      <c r="B1146" s="69" t="s">
        <v>194</v>
      </c>
      <c r="C1146">
        <v>10937.3</v>
      </c>
      <c r="D1146" s="37">
        <v>3.6</v>
      </c>
      <c r="E1146" t="s">
        <v>592</v>
      </c>
    </row>
    <row r="1147" spans="1:5" x14ac:dyDescent="0.35">
      <c r="A1147" t="s">
        <v>268</v>
      </c>
      <c r="B1147" s="69" t="s">
        <v>144</v>
      </c>
      <c r="D1147" s="37"/>
      <c r="E1147" t="s">
        <v>592</v>
      </c>
    </row>
    <row r="1148" spans="1:5" x14ac:dyDescent="0.35">
      <c r="A1148" t="s">
        <v>268</v>
      </c>
      <c r="B1148" s="69" t="s">
        <v>145</v>
      </c>
      <c r="D1148" s="37"/>
      <c r="E1148" t="s">
        <v>592</v>
      </c>
    </row>
    <row r="1149" spans="1:5" x14ac:dyDescent="0.35">
      <c r="A1149" t="s">
        <v>268</v>
      </c>
      <c r="B1149" s="69" t="s">
        <v>146</v>
      </c>
      <c r="D1149" s="37"/>
      <c r="E1149" t="s">
        <v>592</v>
      </c>
    </row>
    <row r="1150" spans="1:5" x14ac:dyDescent="0.35">
      <c r="A1150" t="s">
        <v>268</v>
      </c>
      <c r="B1150" s="69" t="s">
        <v>147</v>
      </c>
      <c r="D1150" s="37"/>
      <c r="E1150" t="s">
        <v>592</v>
      </c>
    </row>
    <row r="1151" spans="1:5" x14ac:dyDescent="0.35">
      <c r="A1151" t="s">
        <v>269</v>
      </c>
      <c r="B1151" s="69" t="s">
        <v>299</v>
      </c>
      <c r="C1151">
        <v>21662.35</v>
      </c>
      <c r="D1151" s="37">
        <v>3.5054465466581419</v>
      </c>
      <c r="E1151" t="s">
        <v>592</v>
      </c>
    </row>
    <row r="1152" spans="1:5" x14ac:dyDescent="0.35">
      <c r="A1152" t="s">
        <v>269</v>
      </c>
      <c r="B1152" t="s">
        <v>445</v>
      </c>
      <c r="D1152" s="37"/>
      <c r="E1152" t="s">
        <v>592</v>
      </c>
    </row>
    <row r="1153" spans="1:5" x14ac:dyDescent="0.35">
      <c r="A1153" t="s">
        <v>269</v>
      </c>
      <c r="B1153" s="69" t="s">
        <v>189</v>
      </c>
      <c r="D1153" s="37"/>
      <c r="E1153" t="s">
        <v>592</v>
      </c>
    </row>
    <row r="1154" spans="1:5" x14ac:dyDescent="0.35">
      <c r="A1154" t="s">
        <v>269</v>
      </c>
      <c r="B1154" s="69" t="s">
        <v>190</v>
      </c>
      <c r="D1154" s="37"/>
      <c r="E1154" t="s">
        <v>592</v>
      </c>
    </row>
    <row r="1155" spans="1:5" x14ac:dyDescent="0.35">
      <c r="A1155" t="s">
        <v>269</v>
      </c>
      <c r="B1155" s="69" t="s">
        <v>301</v>
      </c>
      <c r="C1155">
        <v>18394.7</v>
      </c>
      <c r="D1155" s="37">
        <v>3.0999999999999996</v>
      </c>
      <c r="E1155" t="s">
        <v>592</v>
      </c>
    </row>
    <row r="1156" spans="1:5" x14ac:dyDescent="0.35">
      <c r="A1156" t="s">
        <v>269</v>
      </c>
      <c r="B1156" t="s">
        <v>446</v>
      </c>
      <c r="D1156" s="37"/>
      <c r="E1156" t="s">
        <v>592</v>
      </c>
    </row>
    <row r="1157" spans="1:5" x14ac:dyDescent="0.35">
      <c r="A1157" t="s">
        <v>269</v>
      </c>
      <c r="B1157" s="69" t="s">
        <v>40</v>
      </c>
      <c r="D1157" s="37"/>
      <c r="E1157" t="s">
        <v>592</v>
      </c>
    </row>
    <row r="1158" spans="1:5" x14ac:dyDescent="0.35">
      <c r="A1158" t="s">
        <v>269</v>
      </c>
      <c r="B1158" s="69" t="s">
        <v>303</v>
      </c>
      <c r="D1158" s="37"/>
      <c r="E1158" t="s">
        <v>592</v>
      </c>
    </row>
    <row r="1159" spans="1:5" x14ac:dyDescent="0.35">
      <c r="A1159" t="s">
        <v>269</v>
      </c>
      <c r="B1159" s="69" t="s">
        <v>199</v>
      </c>
      <c r="D1159" s="37"/>
      <c r="E1159" t="s">
        <v>592</v>
      </c>
    </row>
    <row r="1160" spans="1:5" x14ac:dyDescent="0.35">
      <c r="A1160" t="s">
        <v>269</v>
      </c>
      <c r="B1160" s="69" t="s">
        <v>194</v>
      </c>
      <c r="D1160" s="37"/>
      <c r="E1160" t="s">
        <v>592</v>
      </c>
    </row>
    <row r="1161" spans="1:5" x14ac:dyDescent="0.35">
      <c r="A1161" t="s">
        <v>269</v>
      </c>
      <c r="B1161" s="69" t="s">
        <v>144</v>
      </c>
      <c r="D1161" s="37"/>
      <c r="E1161" t="s">
        <v>592</v>
      </c>
    </row>
    <row r="1162" spans="1:5" x14ac:dyDescent="0.35">
      <c r="A1162" t="s">
        <v>269</v>
      </c>
      <c r="B1162" s="69" t="s">
        <v>145</v>
      </c>
      <c r="D1162" s="37"/>
      <c r="E1162" t="s">
        <v>592</v>
      </c>
    </row>
    <row r="1163" spans="1:5" x14ac:dyDescent="0.35">
      <c r="A1163" t="s">
        <v>269</v>
      </c>
      <c r="B1163" s="69" t="s">
        <v>146</v>
      </c>
      <c r="D1163" s="37"/>
      <c r="E1163" t="s">
        <v>592</v>
      </c>
    </row>
    <row r="1164" spans="1:5" x14ac:dyDescent="0.35">
      <c r="A1164" t="s">
        <v>269</v>
      </c>
      <c r="B1164" s="69" t="s">
        <v>147</v>
      </c>
      <c r="D1164" s="37"/>
      <c r="E1164" t="s">
        <v>592</v>
      </c>
    </row>
    <row r="1165" spans="1:5" x14ac:dyDescent="0.35">
      <c r="A1165" t="s">
        <v>270</v>
      </c>
      <c r="B1165" s="69" t="s">
        <v>299</v>
      </c>
      <c r="C1165">
        <v>36265.879999999997</v>
      </c>
      <c r="D1165" s="37">
        <v>3.4601165062036272</v>
      </c>
      <c r="E1165" t="s">
        <v>592</v>
      </c>
    </row>
    <row r="1166" spans="1:5" x14ac:dyDescent="0.35">
      <c r="A1166" t="s">
        <v>270</v>
      </c>
      <c r="B1166" t="s">
        <v>445</v>
      </c>
      <c r="C1166">
        <v>1555.8</v>
      </c>
      <c r="D1166" s="37">
        <v>5.0100012855122769</v>
      </c>
      <c r="E1166" t="s">
        <v>592</v>
      </c>
    </row>
    <row r="1167" spans="1:5" x14ac:dyDescent="0.35">
      <c r="A1167" t="s">
        <v>270</v>
      </c>
      <c r="B1167" s="69" t="s">
        <v>189</v>
      </c>
      <c r="D1167" s="37"/>
      <c r="E1167" t="s">
        <v>592</v>
      </c>
    </row>
    <row r="1168" spans="1:5" x14ac:dyDescent="0.35">
      <c r="A1168" t="s">
        <v>270</v>
      </c>
      <c r="B1168" s="69" t="s">
        <v>190</v>
      </c>
      <c r="D1168" s="37"/>
      <c r="E1168" t="s">
        <v>592</v>
      </c>
    </row>
    <row r="1169" spans="1:5" x14ac:dyDescent="0.35">
      <c r="A1169" t="s">
        <v>270</v>
      </c>
      <c r="B1169" s="69" t="s">
        <v>301</v>
      </c>
      <c r="C1169">
        <v>59155.319999999992</v>
      </c>
      <c r="D1169" s="37">
        <v>3.8272699733515094</v>
      </c>
      <c r="E1169" t="s">
        <v>592</v>
      </c>
    </row>
    <row r="1170" spans="1:5" x14ac:dyDescent="0.35">
      <c r="A1170" t="s">
        <v>270</v>
      </c>
      <c r="B1170" t="s">
        <v>446</v>
      </c>
      <c r="D1170" s="37"/>
      <c r="E1170" t="s">
        <v>592</v>
      </c>
    </row>
    <row r="1171" spans="1:5" x14ac:dyDescent="0.35">
      <c r="A1171" t="s">
        <v>270</v>
      </c>
      <c r="B1171" s="69" t="s">
        <v>40</v>
      </c>
      <c r="D1171" s="37"/>
      <c r="E1171" t="s">
        <v>592</v>
      </c>
    </row>
    <row r="1172" spans="1:5" x14ac:dyDescent="0.35">
      <c r="A1172" t="s">
        <v>270</v>
      </c>
      <c r="B1172" s="69" t="s">
        <v>303</v>
      </c>
      <c r="D1172" s="37"/>
      <c r="E1172" t="s">
        <v>592</v>
      </c>
    </row>
    <row r="1173" spans="1:5" x14ac:dyDescent="0.35">
      <c r="A1173" t="s">
        <v>270</v>
      </c>
      <c r="B1173" s="69" t="s">
        <v>199</v>
      </c>
      <c r="D1173" s="37"/>
      <c r="E1173" t="s">
        <v>592</v>
      </c>
    </row>
    <row r="1174" spans="1:5" x14ac:dyDescent="0.35">
      <c r="A1174" t="s">
        <v>270</v>
      </c>
      <c r="B1174" s="69" t="s">
        <v>194</v>
      </c>
      <c r="D1174" s="37"/>
      <c r="E1174" t="s">
        <v>592</v>
      </c>
    </row>
    <row r="1175" spans="1:5" x14ac:dyDescent="0.35">
      <c r="A1175" t="s">
        <v>270</v>
      </c>
      <c r="B1175" s="69" t="s">
        <v>144</v>
      </c>
      <c r="D1175" s="37"/>
      <c r="E1175" t="s">
        <v>592</v>
      </c>
    </row>
    <row r="1176" spans="1:5" x14ac:dyDescent="0.35">
      <c r="A1176" t="s">
        <v>270</v>
      </c>
      <c r="B1176" s="69" t="s">
        <v>145</v>
      </c>
      <c r="D1176" s="37"/>
      <c r="E1176" t="s">
        <v>592</v>
      </c>
    </row>
    <row r="1177" spans="1:5" x14ac:dyDescent="0.35">
      <c r="A1177" t="s">
        <v>270</v>
      </c>
      <c r="B1177" s="69" t="s">
        <v>146</v>
      </c>
      <c r="D1177" s="37"/>
      <c r="E1177" t="s">
        <v>592</v>
      </c>
    </row>
    <row r="1178" spans="1:5" x14ac:dyDescent="0.35">
      <c r="A1178" t="s">
        <v>270</v>
      </c>
      <c r="B1178" s="69" t="s">
        <v>147</v>
      </c>
      <c r="D1178" s="37"/>
      <c r="E1178" t="s">
        <v>592</v>
      </c>
    </row>
    <row r="1179" spans="1:5" x14ac:dyDescent="0.35">
      <c r="A1179" t="s">
        <v>271</v>
      </c>
      <c r="B1179" s="69" t="s">
        <v>299</v>
      </c>
      <c r="C1179">
        <v>1605.01</v>
      </c>
      <c r="D1179" s="37">
        <v>4.6886498177794742</v>
      </c>
      <c r="E1179" t="s">
        <v>592</v>
      </c>
    </row>
    <row r="1180" spans="1:5" x14ac:dyDescent="0.35">
      <c r="A1180" t="s">
        <v>271</v>
      </c>
      <c r="B1180" t="s">
        <v>445</v>
      </c>
      <c r="D1180" s="37"/>
      <c r="E1180" t="s">
        <v>592</v>
      </c>
    </row>
    <row r="1181" spans="1:5" x14ac:dyDescent="0.35">
      <c r="A1181" t="s">
        <v>271</v>
      </c>
      <c r="B1181" s="69" t="s">
        <v>189</v>
      </c>
      <c r="D1181" s="37"/>
      <c r="E1181" t="s">
        <v>592</v>
      </c>
    </row>
    <row r="1182" spans="1:5" x14ac:dyDescent="0.35">
      <c r="A1182" t="s">
        <v>271</v>
      </c>
      <c r="B1182" s="69" t="s">
        <v>190</v>
      </c>
      <c r="D1182" s="37"/>
      <c r="E1182" t="s">
        <v>592</v>
      </c>
    </row>
    <row r="1183" spans="1:5" x14ac:dyDescent="0.35">
      <c r="A1183" t="s">
        <v>271</v>
      </c>
      <c r="B1183" s="69" t="s">
        <v>301</v>
      </c>
      <c r="C1183">
        <v>19082.7</v>
      </c>
      <c r="D1183" s="37">
        <v>3.7999999999999994</v>
      </c>
      <c r="E1183" t="s">
        <v>592</v>
      </c>
    </row>
    <row r="1184" spans="1:5" x14ac:dyDescent="0.35">
      <c r="A1184" t="s">
        <v>271</v>
      </c>
      <c r="B1184" t="s">
        <v>446</v>
      </c>
      <c r="D1184" s="37"/>
      <c r="E1184" t="s">
        <v>592</v>
      </c>
    </row>
    <row r="1185" spans="1:5" x14ac:dyDescent="0.35">
      <c r="A1185" t="s">
        <v>271</v>
      </c>
      <c r="B1185" s="69" t="s">
        <v>40</v>
      </c>
      <c r="D1185" s="37"/>
      <c r="E1185" t="s">
        <v>592</v>
      </c>
    </row>
    <row r="1186" spans="1:5" x14ac:dyDescent="0.35">
      <c r="A1186" t="s">
        <v>271</v>
      </c>
      <c r="B1186" s="69" t="s">
        <v>303</v>
      </c>
      <c r="D1186" s="37"/>
      <c r="E1186" t="s">
        <v>592</v>
      </c>
    </row>
    <row r="1187" spans="1:5" x14ac:dyDescent="0.35">
      <c r="A1187" t="s">
        <v>271</v>
      </c>
      <c r="B1187" s="69" t="s">
        <v>199</v>
      </c>
      <c r="D1187" s="37"/>
      <c r="E1187" t="s">
        <v>592</v>
      </c>
    </row>
    <row r="1188" spans="1:5" x14ac:dyDescent="0.35">
      <c r="A1188" t="s">
        <v>271</v>
      </c>
      <c r="B1188" s="69" t="s">
        <v>194</v>
      </c>
      <c r="D1188" s="37"/>
      <c r="E1188" t="s">
        <v>592</v>
      </c>
    </row>
    <row r="1189" spans="1:5" x14ac:dyDescent="0.35">
      <c r="A1189" t="s">
        <v>271</v>
      </c>
      <c r="B1189" s="69" t="s">
        <v>144</v>
      </c>
      <c r="D1189" s="37"/>
      <c r="E1189" t="s">
        <v>592</v>
      </c>
    </row>
    <row r="1190" spans="1:5" x14ac:dyDescent="0.35">
      <c r="A1190" t="s">
        <v>271</v>
      </c>
      <c r="B1190" s="69" t="s">
        <v>145</v>
      </c>
      <c r="D1190" s="37"/>
      <c r="E1190" t="s">
        <v>592</v>
      </c>
    </row>
    <row r="1191" spans="1:5" x14ac:dyDescent="0.35">
      <c r="A1191" t="s">
        <v>271</v>
      </c>
      <c r="B1191" s="69" t="s">
        <v>146</v>
      </c>
      <c r="D1191" s="37"/>
      <c r="E1191" t="s">
        <v>592</v>
      </c>
    </row>
    <row r="1192" spans="1:5" x14ac:dyDescent="0.35">
      <c r="A1192" t="s">
        <v>271</v>
      </c>
      <c r="B1192" s="69" t="s">
        <v>147</v>
      </c>
      <c r="D1192" s="37"/>
      <c r="E1192" t="s">
        <v>592</v>
      </c>
    </row>
    <row r="1193" spans="1:5" x14ac:dyDescent="0.35">
      <c r="A1193" t="s">
        <v>272</v>
      </c>
      <c r="B1193" s="69" t="s">
        <v>299</v>
      </c>
      <c r="C1193">
        <v>34942.199999999997</v>
      </c>
      <c r="D1193" s="37">
        <v>3.4308240465683331</v>
      </c>
      <c r="E1193" t="s">
        <v>592</v>
      </c>
    </row>
    <row r="1194" spans="1:5" x14ac:dyDescent="0.35">
      <c r="A1194" t="s">
        <v>272</v>
      </c>
      <c r="B1194" t="s">
        <v>445</v>
      </c>
      <c r="D1194" s="37"/>
      <c r="E1194" t="s">
        <v>592</v>
      </c>
    </row>
    <row r="1195" spans="1:5" x14ac:dyDescent="0.35">
      <c r="A1195" t="s">
        <v>272</v>
      </c>
      <c r="B1195" s="69" t="s">
        <v>189</v>
      </c>
      <c r="D1195" s="37"/>
      <c r="E1195" t="s">
        <v>592</v>
      </c>
    </row>
    <row r="1196" spans="1:5" x14ac:dyDescent="0.35">
      <c r="A1196" t="s">
        <v>272</v>
      </c>
      <c r="B1196" s="69" t="s">
        <v>190</v>
      </c>
      <c r="D1196" s="37"/>
      <c r="E1196" t="s">
        <v>592</v>
      </c>
    </row>
    <row r="1197" spans="1:5" x14ac:dyDescent="0.35">
      <c r="A1197" t="s">
        <v>272</v>
      </c>
      <c r="B1197" s="69" t="s">
        <v>301</v>
      </c>
      <c r="C1197">
        <v>20412.080000000002</v>
      </c>
      <c r="D1197" s="37">
        <v>3.8387111945475421</v>
      </c>
      <c r="E1197" t="s">
        <v>592</v>
      </c>
    </row>
    <row r="1198" spans="1:5" x14ac:dyDescent="0.35">
      <c r="A1198" t="s">
        <v>272</v>
      </c>
      <c r="B1198" t="s">
        <v>446</v>
      </c>
      <c r="D1198" s="37"/>
      <c r="E1198" t="s">
        <v>592</v>
      </c>
    </row>
    <row r="1199" spans="1:5" x14ac:dyDescent="0.35">
      <c r="A1199" t="s">
        <v>272</v>
      </c>
      <c r="B1199" s="69" t="s">
        <v>40</v>
      </c>
      <c r="D1199" s="37"/>
      <c r="E1199" t="s">
        <v>592</v>
      </c>
    </row>
    <row r="1200" spans="1:5" x14ac:dyDescent="0.35">
      <c r="A1200" t="s">
        <v>272</v>
      </c>
      <c r="B1200" s="69" t="s">
        <v>303</v>
      </c>
      <c r="D1200" s="37"/>
      <c r="E1200" t="s">
        <v>592</v>
      </c>
    </row>
    <row r="1201" spans="1:5" x14ac:dyDescent="0.35">
      <c r="A1201" t="s">
        <v>272</v>
      </c>
      <c r="B1201" s="69" t="s">
        <v>199</v>
      </c>
      <c r="D1201" s="37"/>
      <c r="E1201" t="s">
        <v>592</v>
      </c>
    </row>
    <row r="1202" spans="1:5" x14ac:dyDescent="0.35">
      <c r="A1202" t="s">
        <v>272</v>
      </c>
      <c r="B1202" s="69" t="s">
        <v>194</v>
      </c>
      <c r="D1202" s="37"/>
      <c r="E1202" t="s">
        <v>592</v>
      </c>
    </row>
    <row r="1203" spans="1:5" x14ac:dyDescent="0.35">
      <c r="A1203" t="s">
        <v>272</v>
      </c>
      <c r="B1203" s="69" t="s">
        <v>144</v>
      </c>
      <c r="D1203" s="37"/>
      <c r="E1203" t="s">
        <v>592</v>
      </c>
    </row>
    <row r="1204" spans="1:5" x14ac:dyDescent="0.35">
      <c r="A1204" t="s">
        <v>272</v>
      </c>
      <c r="B1204" s="69" t="s">
        <v>145</v>
      </c>
      <c r="D1204" s="37"/>
      <c r="E1204" t="s">
        <v>592</v>
      </c>
    </row>
    <row r="1205" spans="1:5" x14ac:dyDescent="0.35">
      <c r="A1205" t="s">
        <v>272</v>
      </c>
      <c r="B1205" s="69" t="s">
        <v>146</v>
      </c>
      <c r="D1205" s="37"/>
      <c r="E1205" t="s">
        <v>592</v>
      </c>
    </row>
    <row r="1206" spans="1:5" x14ac:dyDescent="0.35">
      <c r="A1206" t="s">
        <v>272</v>
      </c>
      <c r="B1206" s="69" t="s">
        <v>147</v>
      </c>
      <c r="D1206" s="37"/>
      <c r="E1206" t="s">
        <v>592</v>
      </c>
    </row>
    <row r="1207" spans="1:5" x14ac:dyDescent="0.35">
      <c r="A1207" t="s">
        <v>273</v>
      </c>
      <c r="B1207" s="69" t="s">
        <v>299</v>
      </c>
      <c r="C1207">
        <v>22276.42</v>
      </c>
      <c r="D1207" s="37">
        <v>3.5512438713222325</v>
      </c>
      <c r="E1207" t="s">
        <v>592</v>
      </c>
    </row>
    <row r="1208" spans="1:5" x14ac:dyDescent="0.35">
      <c r="A1208" t="s">
        <v>273</v>
      </c>
      <c r="B1208" t="s">
        <v>445</v>
      </c>
      <c r="C1208">
        <v>2919.5</v>
      </c>
      <c r="D1208" s="37">
        <v>5.0099982873779751</v>
      </c>
      <c r="E1208" t="s">
        <v>592</v>
      </c>
    </row>
    <row r="1209" spans="1:5" x14ac:dyDescent="0.35">
      <c r="A1209" t="s">
        <v>273</v>
      </c>
      <c r="B1209" s="69" t="s">
        <v>189</v>
      </c>
      <c r="D1209" s="37"/>
      <c r="E1209" t="s">
        <v>592</v>
      </c>
    </row>
    <row r="1210" spans="1:5" x14ac:dyDescent="0.35">
      <c r="A1210" t="s">
        <v>273</v>
      </c>
      <c r="B1210" s="69" t="s">
        <v>190</v>
      </c>
      <c r="D1210" s="37"/>
      <c r="E1210" t="s">
        <v>592</v>
      </c>
    </row>
    <row r="1211" spans="1:5" x14ac:dyDescent="0.35">
      <c r="A1211" t="s">
        <v>273</v>
      </c>
      <c r="B1211" s="69" t="s">
        <v>301</v>
      </c>
      <c r="C1211">
        <v>1956.51</v>
      </c>
      <c r="D1211" s="37">
        <v>4.7086189183801768</v>
      </c>
      <c r="E1211" t="s">
        <v>592</v>
      </c>
    </row>
    <row r="1212" spans="1:5" x14ac:dyDescent="0.35">
      <c r="A1212" t="s">
        <v>273</v>
      </c>
      <c r="B1212" t="s">
        <v>446</v>
      </c>
      <c r="D1212" s="37"/>
      <c r="E1212" t="s">
        <v>592</v>
      </c>
    </row>
    <row r="1213" spans="1:5" x14ac:dyDescent="0.35">
      <c r="A1213" t="s">
        <v>273</v>
      </c>
      <c r="B1213" s="69" t="s">
        <v>40</v>
      </c>
      <c r="C1213">
        <v>49643.59</v>
      </c>
      <c r="D1213" s="37">
        <v>5.2075154113552227</v>
      </c>
      <c r="E1213" t="s">
        <v>592</v>
      </c>
    </row>
    <row r="1214" spans="1:5" x14ac:dyDescent="0.35">
      <c r="A1214" t="s">
        <v>273</v>
      </c>
      <c r="B1214" s="69" t="s">
        <v>303</v>
      </c>
      <c r="D1214" s="37"/>
      <c r="E1214" t="s">
        <v>592</v>
      </c>
    </row>
    <row r="1215" spans="1:5" x14ac:dyDescent="0.35">
      <c r="A1215" t="s">
        <v>273</v>
      </c>
      <c r="B1215" s="69" t="s">
        <v>199</v>
      </c>
      <c r="D1215" s="37"/>
      <c r="E1215" t="s">
        <v>592</v>
      </c>
    </row>
    <row r="1216" spans="1:5" x14ac:dyDescent="0.35">
      <c r="A1216" t="s">
        <v>273</v>
      </c>
      <c r="B1216" s="69" t="s">
        <v>194</v>
      </c>
      <c r="D1216" s="37"/>
      <c r="E1216" t="s">
        <v>592</v>
      </c>
    </row>
    <row r="1217" spans="1:5" x14ac:dyDescent="0.35">
      <c r="A1217" t="s">
        <v>273</v>
      </c>
      <c r="B1217" s="69" t="s">
        <v>144</v>
      </c>
      <c r="D1217" s="37"/>
      <c r="E1217" t="s">
        <v>592</v>
      </c>
    </row>
    <row r="1218" spans="1:5" x14ac:dyDescent="0.35">
      <c r="A1218" t="s">
        <v>273</v>
      </c>
      <c r="B1218" s="69" t="s">
        <v>145</v>
      </c>
      <c r="D1218" s="37"/>
      <c r="E1218" t="s">
        <v>592</v>
      </c>
    </row>
    <row r="1219" spans="1:5" x14ac:dyDescent="0.35">
      <c r="A1219" t="s">
        <v>273</v>
      </c>
      <c r="B1219" s="69" t="s">
        <v>146</v>
      </c>
      <c r="D1219" s="37"/>
      <c r="E1219" t="s">
        <v>592</v>
      </c>
    </row>
    <row r="1220" spans="1:5" x14ac:dyDescent="0.35">
      <c r="A1220" t="s">
        <v>273</v>
      </c>
      <c r="B1220" s="69" t="s">
        <v>147</v>
      </c>
      <c r="D1220" s="37"/>
      <c r="E1220" t="s">
        <v>592</v>
      </c>
    </row>
    <row r="1221" spans="1:5" x14ac:dyDescent="0.35">
      <c r="A1221" t="s">
        <v>274</v>
      </c>
      <c r="B1221" s="69" t="s">
        <v>299</v>
      </c>
      <c r="C1221">
        <v>839.0199999999993</v>
      </c>
      <c r="D1221" s="37">
        <v>4.661223808729237</v>
      </c>
      <c r="E1221" t="s">
        <v>592</v>
      </c>
    </row>
    <row r="1222" spans="1:5" x14ac:dyDescent="0.35">
      <c r="A1222" t="s">
        <v>274</v>
      </c>
      <c r="B1222" t="s">
        <v>445</v>
      </c>
      <c r="D1222" s="37"/>
      <c r="E1222" t="s">
        <v>592</v>
      </c>
    </row>
    <row r="1223" spans="1:5" x14ac:dyDescent="0.35">
      <c r="A1223" t="s">
        <v>274</v>
      </c>
      <c r="B1223" s="69" t="s">
        <v>189</v>
      </c>
      <c r="D1223" s="37"/>
      <c r="E1223" t="s">
        <v>592</v>
      </c>
    </row>
    <row r="1224" spans="1:5" x14ac:dyDescent="0.35">
      <c r="A1224" t="s">
        <v>274</v>
      </c>
      <c r="B1224" s="69" t="s">
        <v>190</v>
      </c>
      <c r="D1224" s="37"/>
      <c r="E1224" t="s">
        <v>592</v>
      </c>
    </row>
    <row r="1225" spans="1:5" x14ac:dyDescent="0.35">
      <c r="A1225" t="s">
        <v>274</v>
      </c>
      <c r="B1225" s="69" t="s">
        <v>301</v>
      </c>
      <c r="C1225">
        <v>847.53</v>
      </c>
      <c r="D1225" s="37">
        <v>4.7200217101459536</v>
      </c>
      <c r="E1225" t="s">
        <v>592</v>
      </c>
    </row>
    <row r="1226" spans="1:5" x14ac:dyDescent="0.35">
      <c r="A1226" t="s">
        <v>274</v>
      </c>
      <c r="B1226" t="s">
        <v>446</v>
      </c>
      <c r="D1226" s="37"/>
      <c r="E1226" t="s">
        <v>592</v>
      </c>
    </row>
    <row r="1227" spans="1:5" x14ac:dyDescent="0.35">
      <c r="A1227" t="s">
        <v>274</v>
      </c>
      <c r="B1227" s="69" t="s">
        <v>40</v>
      </c>
      <c r="D1227" s="37"/>
      <c r="E1227" t="s">
        <v>592</v>
      </c>
    </row>
    <row r="1228" spans="1:5" x14ac:dyDescent="0.35">
      <c r="A1228" t="s">
        <v>274</v>
      </c>
      <c r="B1228" s="69" t="s">
        <v>303</v>
      </c>
      <c r="D1228" s="37"/>
      <c r="E1228" t="s">
        <v>592</v>
      </c>
    </row>
    <row r="1229" spans="1:5" x14ac:dyDescent="0.35">
      <c r="A1229" t="s">
        <v>274</v>
      </c>
      <c r="B1229" s="69" t="s">
        <v>199</v>
      </c>
      <c r="D1229" s="37"/>
      <c r="E1229" t="s">
        <v>592</v>
      </c>
    </row>
    <row r="1230" spans="1:5" x14ac:dyDescent="0.35">
      <c r="A1230" t="s">
        <v>274</v>
      </c>
      <c r="B1230" s="69" t="s">
        <v>194</v>
      </c>
      <c r="D1230" s="37"/>
      <c r="E1230" t="s">
        <v>592</v>
      </c>
    </row>
    <row r="1231" spans="1:5" x14ac:dyDescent="0.35">
      <c r="A1231" t="s">
        <v>274</v>
      </c>
      <c r="B1231" s="69" t="s">
        <v>144</v>
      </c>
      <c r="D1231" s="37"/>
      <c r="E1231" t="s">
        <v>592</v>
      </c>
    </row>
    <row r="1232" spans="1:5" x14ac:dyDescent="0.35">
      <c r="A1232" t="s">
        <v>274</v>
      </c>
      <c r="B1232" s="69" t="s">
        <v>145</v>
      </c>
      <c r="D1232" s="37"/>
      <c r="E1232" t="s">
        <v>592</v>
      </c>
    </row>
    <row r="1233" spans="1:5" x14ac:dyDescent="0.35">
      <c r="A1233" t="s">
        <v>274</v>
      </c>
      <c r="B1233" s="69" t="s">
        <v>146</v>
      </c>
      <c r="D1233" s="37"/>
      <c r="E1233" t="s">
        <v>592</v>
      </c>
    </row>
    <row r="1234" spans="1:5" x14ac:dyDescent="0.35">
      <c r="A1234" t="s">
        <v>274</v>
      </c>
      <c r="B1234" s="69" t="s">
        <v>147</v>
      </c>
      <c r="D1234" s="37"/>
      <c r="E1234" t="s">
        <v>592</v>
      </c>
    </row>
    <row r="1235" spans="1:5" x14ac:dyDescent="0.35">
      <c r="A1235" t="s">
        <v>275</v>
      </c>
      <c r="B1235" s="69" t="s">
        <v>299</v>
      </c>
      <c r="C1235">
        <v>4988</v>
      </c>
      <c r="D1235" s="37">
        <v>3.9281395348837211</v>
      </c>
      <c r="E1235" t="s">
        <v>592</v>
      </c>
    </row>
    <row r="1236" spans="1:5" x14ac:dyDescent="0.35">
      <c r="A1236" t="s">
        <v>275</v>
      </c>
      <c r="B1236" t="s">
        <v>445</v>
      </c>
      <c r="D1236" s="37"/>
      <c r="E1236" t="s">
        <v>592</v>
      </c>
    </row>
    <row r="1237" spans="1:5" x14ac:dyDescent="0.35">
      <c r="A1237" t="s">
        <v>275</v>
      </c>
      <c r="B1237" s="69" t="s">
        <v>189</v>
      </c>
      <c r="D1237" s="37"/>
      <c r="E1237" t="s">
        <v>592</v>
      </c>
    </row>
    <row r="1238" spans="1:5" x14ac:dyDescent="0.35">
      <c r="A1238" t="s">
        <v>275</v>
      </c>
      <c r="B1238" s="69" t="s">
        <v>190</v>
      </c>
      <c r="D1238" s="37"/>
      <c r="E1238" t="s">
        <v>592</v>
      </c>
    </row>
    <row r="1239" spans="1:5" x14ac:dyDescent="0.35">
      <c r="A1239" t="s">
        <v>275</v>
      </c>
      <c r="B1239" s="69" t="s">
        <v>301</v>
      </c>
      <c r="C1239">
        <v>1940.34</v>
      </c>
      <c r="D1239" s="37">
        <v>4.7143078017254716</v>
      </c>
      <c r="E1239" t="s">
        <v>592</v>
      </c>
    </row>
    <row r="1240" spans="1:5" x14ac:dyDescent="0.35">
      <c r="A1240" t="s">
        <v>275</v>
      </c>
      <c r="B1240" t="s">
        <v>446</v>
      </c>
      <c r="D1240" s="37"/>
      <c r="E1240" t="s">
        <v>592</v>
      </c>
    </row>
    <row r="1241" spans="1:5" x14ac:dyDescent="0.35">
      <c r="A1241" t="s">
        <v>275</v>
      </c>
      <c r="B1241" s="69" t="s">
        <v>40</v>
      </c>
      <c r="D1241" s="37"/>
      <c r="E1241" t="s">
        <v>592</v>
      </c>
    </row>
    <row r="1242" spans="1:5" x14ac:dyDescent="0.35">
      <c r="A1242" t="s">
        <v>275</v>
      </c>
      <c r="B1242" s="69" t="s">
        <v>303</v>
      </c>
      <c r="D1242" s="37"/>
      <c r="E1242" t="s">
        <v>592</v>
      </c>
    </row>
    <row r="1243" spans="1:5" x14ac:dyDescent="0.35">
      <c r="A1243" t="s">
        <v>275</v>
      </c>
      <c r="B1243" s="69" t="s">
        <v>199</v>
      </c>
      <c r="D1243" s="37"/>
      <c r="E1243" t="s">
        <v>592</v>
      </c>
    </row>
    <row r="1244" spans="1:5" x14ac:dyDescent="0.35">
      <c r="A1244" t="s">
        <v>275</v>
      </c>
      <c r="B1244" s="69" t="s">
        <v>194</v>
      </c>
      <c r="D1244" s="37"/>
      <c r="E1244" t="s">
        <v>592</v>
      </c>
    </row>
    <row r="1245" spans="1:5" x14ac:dyDescent="0.35">
      <c r="A1245" t="s">
        <v>275</v>
      </c>
      <c r="B1245" s="69" t="s">
        <v>144</v>
      </c>
      <c r="D1245" s="37"/>
      <c r="E1245" t="s">
        <v>592</v>
      </c>
    </row>
    <row r="1246" spans="1:5" x14ac:dyDescent="0.35">
      <c r="A1246" t="s">
        <v>275</v>
      </c>
      <c r="B1246" s="69" t="s">
        <v>145</v>
      </c>
      <c r="D1246" s="37"/>
      <c r="E1246" t="s">
        <v>592</v>
      </c>
    </row>
    <row r="1247" spans="1:5" x14ac:dyDescent="0.35">
      <c r="A1247" t="s">
        <v>275</v>
      </c>
      <c r="B1247" s="69" t="s">
        <v>146</v>
      </c>
      <c r="D1247" s="37"/>
      <c r="E1247" t="s">
        <v>592</v>
      </c>
    </row>
    <row r="1248" spans="1:5" x14ac:dyDescent="0.35">
      <c r="A1248" t="s">
        <v>275</v>
      </c>
      <c r="B1248" s="69" t="s">
        <v>147</v>
      </c>
      <c r="D1248" s="37"/>
      <c r="E1248" t="s">
        <v>592</v>
      </c>
    </row>
    <row r="1249" spans="1:5" x14ac:dyDescent="0.35">
      <c r="A1249" t="s">
        <v>276</v>
      </c>
      <c r="B1249" s="69" t="s">
        <v>299</v>
      </c>
      <c r="C1249">
        <v>17510.269999999997</v>
      </c>
      <c r="D1249" s="37">
        <v>3.4446910298927436</v>
      </c>
      <c r="E1249" t="s">
        <v>592</v>
      </c>
    </row>
    <row r="1250" spans="1:5" x14ac:dyDescent="0.35">
      <c r="A1250" t="s">
        <v>276</v>
      </c>
      <c r="B1250" t="s">
        <v>445</v>
      </c>
      <c r="D1250" s="37"/>
      <c r="E1250" t="s">
        <v>592</v>
      </c>
    </row>
    <row r="1251" spans="1:5" x14ac:dyDescent="0.35">
      <c r="A1251" t="s">
        <v>276</v>
      </c>
      <c r="B1251" s="69" t="s">
        <v>189</v>
      </c>
      <c r="D1251" s="37"/>
      <c r="E1251" t="s">
        <v>592</v>
      </c>
    </row>
    <row r="1252" spans="1:5" x14ac:dyDescent="0.35">
      <c r="A1252" t="s">
        <v>276</v>
      </c>
      <c r="B1252" s="69" t="s">
        <v>190</v>
      </c>
      <c r="D1252" s="37"/>
      <c r="E1252" t="s">
        <v>592</v>
      </c>
    </row>
    <row r="1253" spans="1:5" x14ac:dyDescent="0.35">
      <c r="A1253" t="s">
        <v>276</v>
      </c>
      <c r="B1253" s="69" t="s">
        <v>301</v>
      </c>
      <c r="C1253">
        <v>11791</v>
      </c>
      <c r="D1253" s="37">
        <v>3.3000008481044865</v>
      </c>
      <c r="E1253" t="s">
        <v>592</v>
      </c>
    </row>
    <row r="1254" spans="1:5" x14ac:dyDescent="0.35">
      <c r="A1254" t="s">
        <v>276</v>
      </c>
      <c r="B1254" t="s">
        <v>446</v>
      </c>
      <c r="D1254" s="37"/>
      <c r="E1254" t="s">
        <v>592</v>
      </c>
    </row>
    <row r="1255" spans="1:5" x14ac:dyDescent="0.35">
      <c r="A1255" t="s">
        <v>276</v>
      </c>
      <c r="B1255" s="69" t="s">
        <v>40</v>
      </c>
      <c r="D1255" s="37"/>
      <c r="E1255" t="s">
        <v>592</v>
      </c>
    </row>
    <row r="1256" spans="1:5" x14ac:dyDescent="0.35">
      <c r="A1256" t="s">
        <v>276</v>
      </c>
      <c r="B1256" s="69" t="s">
        <v>303</v>
      </c>
      <c r="D1256" s="37"/>
      <c r="E1256" t="s">
        <v>592</v>
      </c>
    </row>
    <row r="1257" spans="1:5" x14ac:dyDescent="0.35">
      <c r="A1257" t="s">
        <v>276</v>
      </c>
      <c r="B1257" s="69" t="s">
        <v>199</v>
      </c>
      <c r="D1257" s="37"/>
      <c r="E1257" t="s">
        <v>592</v>
      </c>
    </row>
    <row r="1258" spans="1:5" x14ac:dyDescent="0.35">
      <c r="A1258" t="s">
        <v>276</v>
      </c>
      <c r="B1258" s="69" t="s">
        <v>194</v>
      </c>
      <c r="D1258" s="37"/>
      <c r="E1258" t="s">
        <v>592</v>
      </c>
    </row>
    <row r="1259" spans="1:5" x14ac:dyDescent="0.35">
      <c r="A1259" t="s">
        <v>276</v>
      </c>
      <c r="B1259" s="69" t="s">
        <v>144</v>
      </c>
      <c r="D1259" s="37"/>
      <c r="E1259" t="s">
        <v>592</v>
      </c>
    </row>
    <row r="1260" spans="1:5" x14ac:dyDescent="0.35">
      <c r="A1260" t="s">
        <v>276</v>
      </c>
      <c r="B1260" s="69" t="s">
        <v>145</v>
      </c>
      <c r="D1260" s="37"/>
      <c r="E1260" t="s">
        <v>592</v>
      </c>
    </row>
    <row r="1261" spans="1:5" x14ac:dyDescent="0.35">
      <c r="A1261" t="s">
        <v>276</v>
      </c>
      <c r="B1261" s="69" t="s">
        <v>146</v>
      </c>
      <c r="D1261" s="37"/>
      <c r="E1261" t="s">
        <v>592</v>
      </c>
    </row>
    <row r="1262" spans="1:5" x14ac:dyDescent="0.35">
      <c r="A1262" t="s">
        <v>276</v>
      </c>
      <c r="B1262" s="69" t="s">
        <v>147</v>
      </c>
      <c r="D1262" s="37"/>
      <c r="E1262" t="s">
        <v>592</v>
      </c>
    </row>
    <row r="1263" spans="1:5" x14ac:dyDescent="0.35">
      <c r="A1263" t="s">
        <v>277</v>
      </c>
      <c r="B1263" s="69" t="s">
        <v>299</v>
      </c>
      <c r="C1263">
        <v>24680.559999999998</v>
      </c>
      <c r="D1263" s="37">
        <v>3.4501939988395729</v>
      </c>
      <c r="E1263" t="s">
        <v>592</v>
      </c>
    </row>
    <row r="1264" spans="1:5" x14ac:dyDescent="0.35">
      <c r="A1264" t="s">
        <v>277</v>
      </c>
      <c r="B1264" t="s">
        <v>445</v>
      </c>
      <c r="C1264">
        <v>8062.7</v>
      </c>
      <c r="D1264" s="37">
        <v>5.0100003720837938</v>
      </c>
      <c r="E1264" t="s">
        <v>592</v>
      </c>
    </row>
    <row r="1265" spans="1:5" x14ac:dyDescent="0.35">
      <c r="A1265" t="s">
        <v>277</v>
      </c>
      <c r="B1265" s="69" t="s">
        <v>189</v>
      </c>
      <c r="D1265" s="37"/>
      <c r="E1265" t="s">
        <v>592</v>
      </c>
    </row>
    <row r="1266" spans="1:5" x14ac:dyDescent="0.35">
      <c r="A1266" t="s">
        <v>277</v>
      </c>
      <c r="B1266" s="69" t="s">
        <v>190</v>
      </c>
      <c r="D1266" s="37"/>
      <c r="E1266" t="s">
        <v>592</v>
      </c>
    </row>
    <row r="1267" spans="1:5" x14ac:dyDescent="0.35">
      <c r="A1267" t="s">
        <v>277</v>
      </c>
      <c r="B1267" s="69" t="s">
        <v>301</v>
      </c>
      <c r="C1267">
        <v>851.31</v>
      </c>
      <c r="D1267" s="37">
        <v>4.7199962410872658</v>
      </c>
      <c r="E1267" t="s">
        <v>592</v>
      </c>
    </row>
    <row r="1268" spans="1:5" x14ac:dyDescent="0.35">
      <c r="A1268" t="s">
        <v>277</v>
      </c>
      <c r="B1268" t="s">
        <v>446</v>
      </c>
      <c r="D1268" s="37"/>
      <c r="E1268" t="s">
        <v>592</v>
      </c>
    </row>
    <row r="1269" spans="1:5" x14ac:dyDescent="0.35">
      <c r="A1269" t="s">
        <v>277</v>
      </c>
      <c r="B1269" s="69" t="s">
        <v>40</v>
      </c>
      <c r="C1269">
        <v>18652.5</v>
      </c>
      <c r="D1269" s="37">
        <v>5.1899991958182552</v>
      </c>
      <c r="E1269" t="s">
        <v>592</v>
      </c>
    </row>
    <row r="1270" spans="1:5" x14ac:dyDescent="0.35">
      <c r="A1270" t="s">
        <v>277</v>
      </c>
      <c r="B1270" s="69" t="s">
        <v>303</v>
      </c>
      <c r="D1270" s="37"/>
      <c r="E1270" t="s">
        <v>592</v>
      </c>
    </row>
    <row r="1271" spans="1:5" x14ac:dyDescent="0.35">
      <c r="A1271" t="s">
        <v>277</v>
      </c>
      <c r="B1271" s="69" t="s">
        <v>199</v>
      </c>
      <c r="D1271" s="37"/>
      <c r="E1271" t="s">
        <v>592</v>
      </c>
    </row>
    <row r="1272" spans="1:5" x14ac:dyDescent="0.35">
      <c r="A1272" t="s">
        <v>277</v>
      </c>
      <c r="B1272" s="69" t="s">
        <v>194</v>
      </c>
      <c r="D1272" s="37"/>
      <c r="E1272" t="s">
        <v>592</v>
      </c>
    </row>
    <row r="1273" spans="1:5" x14ac:dyDescent="0.35">
      <c r="A1273" t="s">
        <v>277</v>
      </c>
      <c r="B1273" s="69" t="s">
        <v>144</v>
      </c>
      <c r="D1273" s="37"/>
      <c r="E1273" t="s">
        <v>592</v>
      </c>
    </row>
    <row r="1274" spans="1:5" x14ac:dyDescent="0.35">
      <c r="A1274" t="s">
        <v>277</v>
      </c>
      <c r="B1274" s="69" t="s">
        <v>145</v>
      </c>
      <c r="D1274" s="37"/>
      <c r="E1274" t="s">
        <v>592</v>
      </c>
    </row>
    <row r="1275" spans="1:5" x14ac:dyDescent="0.35">
      <c r="A1275" t="s">
        <v>277</v>
      </c>
      <c r="B1275" s="69" t="s">
        <v>146</v>
      </c>
      <c r="D1275" s="37"/>
      <c r="E1275" t="s">
        <v>592</v>
      </c>
    </row>
    <row r="1276" spans="1:5" x14ac:dyDescent="0.35">
      <c r="A1276" t="s">
        <v>277</v>
      </c>
      <c r="B1276" s="69" t="s">
        <v>147</v>
      </c>
      <c r="D1276" s="37"/>
      <c r="E1276" t="s">
        <v>592</v>
      </c>
    </row>
    <row r="1277" spans="1:5" x14ac:dyDescent="0.35">
      <c r="A1277" t="s">
        <v>278</v>
      </c>
      <c r="B1277" s="69" t="s">
        <v>299</v>
      </c>
      <c r="C1277">
        <v>13381.81</v>
      </c>
      <c r="D1277" s="37">
        <v>3.4959568249736019</v>
      </c>
      <c r="E1277" t="s">
        <v>592</v>
      </c>
    </row>
    <row r="1278" spans="1:5" x14ac:dyDescent="0.35">
      <c r="A1278" t="s">
        <v>278</v>
      </c>
      <c r="B1278" t="s">
        <v>445</v>
      </c>
      <c r="D1278" s="37"/>
      <c r="E1278" t="s">
        <v>592</v>
      </c>
    </row>
    <row r="1279" spans="1:5" x14ac:dyDescent="0.35">
      <c r="A1279" t="s">
        <v>278</v>
      </c>
      <c r="B1279" s="69" t="s">
        <v>189</v>
      </c>
      <c r="D1279" s="37"/>
      <c r="E1279" t="s">
        <v>592</v>
      </c>
    </row>
    <row r="1280" spans="1:5" x14ac:dyDescent="0.35">
      <c r="A1280" t="s">
        <v>278</v>
      </c>
      <c r="B1280" s="69" t="s">
        <v>190</v>
      </c>
      <c r="D1280" s="37"/>
      <c r="E1280" t="s">
        <v>592</v>
      </c>
    </row>
    <row r="1281" spans="1:5" x14ac:dyDescent="0.35">
      <c r="A1281" t="s">
        <v>278</v>
      </c>
      <c r="B1281" s="69" t="s">
        <v>301</v>
      </c>
      <c r="D1281" s="37"/>
      <c r="E1281" t="s">
        <v>592</v>
      </c>
    </row>
    <row r="1282" spans="1:5" x14ac:dyDescent="0.35">
      <c r="A1282" t="s">
        <v>278</v>
      </c>
      <c r="B1282" t="s">
        <v>446</v>
      </c>
      <c r="D1282" s="37"/>
      <c r="E1282" t="s">
        <v>592</v>
      </c>
    </row>
    <row r="1283" spans="1:5" x14ac:dyDescent="0.35">
      <c r="A1283" t="s">
        <v>278</v>
      </c>
      <c r="B1283" s="69" t="s">
        <v>40</v>
      </c>
      <c r="C1283">
        <v>6644</v>
      </c>
      <c r="D1283" s="37">
        <v>5.19</v>
      </c>
      <c r="E1283" t="s">
        <v>592</v>
      </c>
    </row>
    <row r="1284" spans="1:5" x14ac:dyDescent="0.35">
      <c r="A1284" t="s">
        <v>278</v>
      </c>
      <c r="B1284" s="69" t="s">
        <v>303</v>
      </c>
      <c r="D1284" s="37"/>
      <c r="E1284" t="s">
        <v>592</v>
      </c>
    </row>
    <row r="1285" spans="1:5" x14ac:dyDescent="0.35">
      <c r="A1285" t="s">
        <v>278</v>
      </c>
      <c r="B1285" s="69" t="s">
        <v>199</v>
      </c>
      <c r="D1285" s="37"/>
      <c r="E1285" t="s">
        <v>592</v>
      </c>
    </row>
    <row r="1286" spans="1:5" x14ac:dyDescent="0.35">
      <c r="A1286" t="s">
        <v>278</v>
      </c>
      <c r="B1286" s="69" t="s">
        <v>194</v>
      </c>
      <c r="D1286" s="37"/>
      <c r="E1286" t="s">
        <v>592</v>
      </c>
    </row>
    <row r="1287" spans="1:5" x14ac:dyDescent="0.35">
      <c r="A1287" t="s">
        <v>278</v>
      </c>
      <c r="B1287" s="69" t="s">
        <v>144</v>
      </c>
      <c r="D1287" s="37"/>
      <c r="E1287" t="s">
        <v>592</v>
      </c>
    </row>
    <row r="1288" spans="1:5" x14ac:dyDescent="0.35">
      <c r="A1288" t="s">
        <v>278</v>
      </c>
      <c r="B1288" s="69" t="s">
        <v>145</v>
      </c>
      <c r="D1288" s="37"/>
      <c r="E1288" t="s">
        <v>592</v>
      </c>
    </row>
    <row r="1289" spans="1:5" x14ac:dyDescent="0.35">
      <c r="A1289" t="s">
        <v>278</v>
      </c>
      <c r="B1289" s="69" t="s">
        <v>146</v>
      </c>
      <c r="D1289" s="37"/>
      <c r="E1289" t="s">
        <v>592</v>
      </c>
    </row>
    <row r="1290" spans="1:5" x14ac:dyDescent="0.35">
      <c r="A1290" t="s">
        <v>278</v>
      </c>
      <c r="B1290" s="69" t="s">
        <v>147</v>
      </c>
      <c r="D1290" s="37"/>
      <c r="E1290" t="s">
        <v>592</v>
      </c>
    </row>
    <row r="1291" spans="1:5" x14ac:dyDescent="0.35">
      <c r="A1291" t="s">
        <v>279</v>
      </c>
      <c r="B1291" s="69" t="s">
        <v>299</v>
      </c>
      <c r="C1291">
        <v>16931.3</v>
      </c>
      <c r="D1291" s="37">
        <v>3.4</v>
      </c>
      <c r="E1291" t="s">
        <v>592</v>
      </c>
    </row>
    <row r="1292" spans="1:5" x14ac:dyDescent="0.35">
      <c r="A1292" t="s">
        <v>279</v>
      </c>
      <c r="B1292" t="s">
        <v>445</v>
      </c>
      <c r="D1292" s="37"/>
      <c r="E1292" t="s">
        <v>592</v>
      </c>
    </row>
    <row r="1293" spans="1:5" x14ac:dyDescent="0.35">
      <c r="A1293" t="s">
        <v>279</v>
      </c>
      <c r="B1293" s="69" t="s">
        <v>189</v>
      </c>
      <c r="D1293" s="37"/>
      <c r="E1293" t="s">
        <v>592</v>
      </c>
    </row>
    <row r="1294" spans="1:5" x14ac:dyDescent="0.35">
      <c r="A1294" t="s">
        <v>279</v>
      </c>
      <c r="B1294" s="69" t="s">
        <v>190</v>
      </c>
      <c r="D1294" s="37"/>
      <c r="E1294" t="s">
        <v>592</v>
      </c>
    </row>
    <row r="1295" spans="1:5" x14ac:dyDescent="0.35">
      <c r="A1295" t="s">
        <v>279</v>
      </c>
      <c r="B1295" s="69" t="s">
        <v>301</v>
      </c>
      <c r="C1295">
        <v>13372.43</v>
      </c>
      <c r="D1295" s="37">
        <v>3.0999997756578273</v>
      </c>
      <c r="E1295" t="s">
        <v>592</v>
      </c>
    </row>
    <row r="1296" spans="1:5" x14ac:dyDescent="0.35">
      <c r="A1296" t="s">
        <v>279</v>
      </c>
      <c r="B1296" t="s">
        <v>446</v>
      </c>
      <c r="D1296" s="37"/>
      <c r="E1296" t="s">
        <v>592</v>
      </c>
    </row>
    <row r="1297" spans="1:6" x14ac:dyDescent="0.35">
      <c r="A1297" t="s">
        <v>279</v>
      </c>
      <c r="B1297" s="69" t="s">
        <v>40</v>
      </c>
      <c r="C1297">
        <v>9855.4700000000012</v>
      </c>
      <c r="D1297" s="37">
        <v>5.2330015717160103</v>
      </c>
      <c r="E1297" t="s">
        <v>592</v>
      </c>
    </row>
    <row r="1298" spans="1:6" x14ac:dyDescent="0.35">
      <c r="A1298" t="s">
        <v>279</v>
      </c>
      <c r="B1298" s="69" t="s">
        <v>303</v>
      </c>
      <c r="D1298" s="37"/>
      <c r="E1298" t="s">
        <v>592</v>
      </c>
    </row>
    <row r="1299" spans="1:6" x14ac:dyDescent="0.35">
      <c r="A1299" t="s">
        <v>279</v>
      </c>
      <c r="B1299" s="69" t="s">
        <v>199</v>
      </c>
      <c r="D1299" s="37"/>
      <c r="E1299" t="s">
        <v>592</v>
      </c>
    </row>
    <row r="1300" spans="1:6" x14ac:dyDescent="0.35">
      <c r="A1300" t="s">
        <v>279</v>
      </c>
      <c r="B1300" s="69" t="s">
        <v>194</v>
      </c>
      <c r="D1300" s="37"/>
      <c r="E1300" t="s">
        <v>592</v>
      </c>
    </row>
    <row r="1301" spans="1:6" x14ac:dyDescent="0.35">
      <c r="A1301" t="s">
        <v>279</v>
      </c>
      <c r="B1301" s="69" t="s">
        <v>144</v>
      </c>
      <c r="D1301" s="37"/>
      <c r="E1301" t="s">
        <v>592</v>
      </c>
    </row>
    <row r="1302" spans="1:6" x14ac:dyDescent="0.35">
      <c r="A1302" t="s">
        <v>279</v>
      </c>
      <c r="B1302" s="69" t="s">
        <v>145</v>
      </c>
      <c r="D1302" s="37"/>
      <c r="E1302" t="s">
        <v>592</v>
      </c>
    </row>
    <row r="1303" spans="1:6" x14ac:dyDescent="0.35">
      <c r="A1303" t="s">
        <v>279</v>
      </c>
      <c r="B1303" s="69" t="s">
        <v>146</v>
      </c>
      <c r="D1303" s="37"/>
      <c r="E1303" t="s">
        <v>592</v>
      </c>
    </row>
    <row r="1304" spans="1:6" x14ac:dyDescent="0.35">
      <c r="A1304" t="s">
        <v>279</v>
      </c>
      <c r="B1304" s="69" t="s">
        <v>147</v>
      </c>
      <c r="D1304" s="37"/>
      <c r="E1304" t="s">
        <v>592</v>
      </c>
    </row>
    <row r="1305" spans="1:6" x14ac:dyDescent="0.35">
      <c r="A1305" t="s">
        <v>280</v>
      </c>
      <c r="B1305" s="69" t="s">
        <v>299</v>
      </c>
      <c r="C1305">
        <v>644.17999999999995</v>
      </c>
      <c r="D1305" s="37">
        <v>4.6759911825887182</v>
      </c>
      <c r="E1305" t="s">
        <v>592</v>
      </c>
      <c r="F1305" t="s">
        <v>625</v>
      </c>
    </row>
    <row r="1306" spans="1:6" x14ac:dyDescent="0.35">
      <c r="A1306" t="s">
        <v>280</v>
      </c>
      <c r="B1306" t="s">
        <v>445</v>
      </c>
      <c r="D1306" s="37"/>
      <c r="E1306" t="s">
        <v>592</v>
      </c>
    </row>
    <row r="1307" spans="1:6" x14ac:dyDescent="0.35">
      <c r="A1307" t="s">
        <v>280</v>
      </c>
      <c r="B1307" s="69" t="s">
        <v>189</v>
      </c>
      <c r="D1307" s="37"/>
      <c r="E1307" t="s">
        <v>592</v>
      </c>
    </row>
    <row r="1308" spans="1:6" x14ac:dyDescent="0.35">
      <c r="A1308" t="s">
        <v>280</v>
      </c>
      <c r="B1308" s="69" t="s">
        <v>190</v>
      </c>
      <c r="D1308" s="37"/>
      <c r="E1308" t="s">
        <v>592</v>
      </c>
    </row>
    <row r="1309" spans="1:6" x14ac:dyDescent="0.35">
      <c r="A1309" t="s">
        <v>280</v>
      </c>
      <c r="B1309" s="69" t="s">
        <v>301</v>
      </c>
      <c r="C1309">
        <v>-176</v>
      </c>
      <c r="D1309" s="37">
        <v>4.7</v>
      </c>
      <c r="E1309" t="s">
        <v>592</v>
      </c>
      <c r="F1309" t="s">
        <v>625</v>
      </c>
    </row>
    <row r="1310" spans="1:6" x14ac:dyDescent="0.35">
      <c r="A1310" t="s">
        <v>280</v>
      </c>
      <c r="B1310" t="s">
        <v>446</v>
      </c>
      <c r="D1310" s="37"/>
    </row>
    <row r="1311" spans="1:6" x14ac:dyDescent="0.35">
      <c r="A1311" t="s">
        <v>280</v>
      </c>
      <c r="B1311" s="69" t="s">
        <v>40</v>
      </c>
      <c r="D1311" s="37"/>
    </row>
    <row r="1312" spans="1:6" x14ac:dyDescent="0.35">
      <c r="A1312" t="s">
        <v>280</v>
      </c>
      <c r="B1312" s="69" t="s">
        <v>303</v>
      </c>
      <c r="D1312" s="37"/>
    </row>
    <row r="1313" spans="1:4" x14ac:dyDescent="0.35">
      <c r="A1313" t="s">
        <v>280</v>
      </c>
      <c r="B1313" s="69" t="s">
        <v>199</v>
      </c>
      <c r="D1313" s="37"/>
    </row>
    <row r="1314" spans="1:4" x14ac:dyDescent="0.35">
      <c r="A1314" t="s">
        <v>280</v>
      </c>
      <c r="B1314" s="69" t="s">
        <v>194</v>
      </c>
      <c r="D1314" s="37"/>
    </row>
    <row r="1315" spans="1:4" x14ac:dyDescent="0.35">
      <c r="A1315" t="s">
        <v>280</v>
      </c>
      <c r="B1315" s="69" t="s">
        <v>144</v>
      </c>
      <c r="D1315" s="37"/>
    </row>
    <row r="1316" spans="1:4" x14ac:dyDescent="0.35">
      <c r="A1316" t="s">
        <v>280</v>
      </c>
      <c r="B1316" s="69" t="s">
        <v>145</v>
      </c>
      <c r="D1316" s="37"/>
    </row>
    <row r="1317" spans="1:4" x14ac:dyDescent="0.35">
      <c r="A1317" t="s">
        <v>280</v>
      </c>
      <c r="B1317" s="69" t="s">
        <v>146</v>
      </c>
      <c r="D1317" s="37"/>
    </row>
    <row r="1318" spans="1:4" x14ac:dyDescent="0.35">
      <c r="A1318" t="s">
        <v>280</v>
      </c>
      <c r="B1318" s="69" t="s">
        <v>147</v>
      </c>
      <c r="D1318" s="37"/>
    </row>
    <row r="1319" spans="1:4" x14ac:dyDescent="0.35">
      <c r="A1319" t="s">
        <v>281</v>
      </c>
      <c r="B1319" s="69" t="s">
        <v>299</v>
      </c>
      <c r="D1319" s="37"/>
    </row>
    <row r="1320" spans="1:4" x14ac:dyDescent="0.35">
      <c r="A1320" t="s">
        <v>281</v>
      </c>
      <c r="B1320" t="s">
        <v>445</v>
      </c>
      <c r="D1320" s="37"/>
    </row>
    <row r="1321" spans="1:4" x14ac:dyDescent="0.35">
      <c r="A1321" t="s">
        <v>281</v>
      </c>
      <c r="B1321" s="69" t="s">
        <v>189</v>
      </c>
      <c r="D1321" s="37"/>
    </row>
    <row r="1322" spans="1:4" x14ac:dyDescent="0.35">
      <c r="A1322" t="s">
        <v>281</v>
      </c>
      <c r="B1322" s="69" t="s">
        <v>190</v>
      </c>
      <c r="D1322" s="37"/>
    </row>
    <row r="1323" spans="1:4" x14ac:dyDescent="0.35">
      <c r="A1323" t="s">
        <v>281</v>
      </c>
      <c r="B1323" s="69" t="s">
        <v>301</v>
      </c>
      <c r="D1323" s="37"/>
    </row>
    <row r="1324" spans="1:4" x14ac:dyDescent="0.35">
      <c r="A1324" t="s">
        <v>281</v>
      </c>
      <c r="B1324" t="s">
        <v>446</v>
      </c>
      <c r="D1324" s="37"/>
    </row>
    <row r="1325" spans="1:4" x14ac:dyDescent="0.35">
      <c r="A1325" t="s">
        <v>281</v>
      </c>
      <c r="B1325" s="69" t="s">
        <v>40</v>
      </c>
      <c r="D1325" s="37"/>
    </row>
    <row r="1326" spans="1:4" x14ac:dyDescent="0.35">
      <c r="A1326" t="s">
        <v>281</v>
      </c>
      <c r="B1326" s="69" t="s">
        <v>303</v>
      </c>
      <c r="D1326" s="37"/>
    </row>
    <row r="1327" spans="1:4" x14ac:dyDescent="0.35">
      <c r="A1327" t="s">
        <v>281</v>
      </c>
      <c r="B1327" s="69" t="s">
        <v>199</v>
      </c>
      <c r="D1327" s="37"/>
    </row>
    <row r="1328" spans="1:4" x14ac:dyDescent="0.35">
      <c r="A1328" t="s">
        <v>281</v>
      </c>
      <c r="B1328" s="69" t="s">
        <v>194</v>
      </c>
      <c r="D1328" s="37"/>
    </row>
    <row r="1329" spans="1:4" x14ac:dyDescent="0.35">
      <c r="A1329" t="s">
        <v>281</v>
      </c>
      <c r="B1329" s="69" t="s">
        <v>144</v>
      </c>
      <c r="D1329" s="37"/>
    </row>
    <row r="1330" spans="1:4" x14ac:dyDescent="0.35">
      <c r="A1330" t="s">
        <v>281</v>
      </c>
      <c r="B1330" s="69" t="s">
        <v>145</v>
      </c>
      <c r="D1330" s="37"/>
    </row>
    <row r="1331" spans="1:4" x14ac:dyDescent="0.35">
      <c r="A1331" t="s">
        <v>281</v>
      </c>
      <c r="B1331" s="69" t="s">
        <v>146</v>
      </c>
      <c r="D1331" s="37"/>
    </row>
    <row r="1332" spans="1:4" x14ac:dyDescent="0.35">
      <c r="A1332" t="s">
        <v>281</v>
      </c>
      <c r="B1332" s="69" t="s">
        <v>147</v>
      </c>
      <c r="D1332" s="37"/>
    </row>
    <row r="1333" spans="1:4" x14ac:dyDescent="0.35">
      <c r="A1333" t="s">
        <v>282</v>
      </c>
      <c r="B1333" s="69" t="s">
        <v>299</v>
      </c>
      <c r="D1333" s="37"/>
    </row>
    <row r="1334" spans="1:4" x14ac:dyDescent="0.35">
      <c r="A1334" t="s">
        <v>282</v>
      </c>
      <c r="B1334" t="s">
        <v>445</v>
      </c>
      <c r="D1334" s="37"/>
    </row>
    <row r="1335" spans="1:4" x14ac:dyDescent="0.35">
      <c r="A1335" t="s">
        <v>282</v>
      </c>
      <c r="B1335" s="69" t="s">
        <v>189</v>
      </c>
      <c r="D1335" s="37"/>
    </row>
    <row r="1336" spans="1:4" x14ac:dyDescent="0.35">
      <c r="A1336" t="s">
        <v>282</v>
      </c>
      <c r="B1336" s="69" t="s">
        <v>190</v>
      </c>
      <c r="D1336" s="37"/>
    </row>
    <row r="1337" spans="1:4" x14ac:dyDescent="0.35">
      <c r="A1337" t="s">
        <v>282</v>
      </c>
      <c r="B1337" s="69" t="s">
        <v>301</v>
      </c>
      <c r="D1337" s="37"/>
    </row>
    <row r="1338" spans="1:4" x14ac:dyDescent="0.35">
      <c r="A1338" t="s">
        <v>282</v>
      </c>
      <c r="B1338" t="s">
        <v>446</v>
      </c>
      <c r="D1338" s="37"/>
    </row>
    <row r="1339" spans="1:4" x14ac:dyDescent="0.35">
      <c r="A1339" t="s">
        <v>282</v>
      </c>
      <c r="B1339" s="69" t="s">
        <v>40</v>
      </c>
      <c r="D1339" s="37"/>
    </row>
    <row r="1340" spans="1:4" x14ac:dyDescent="0.35">
      <c r="A1340" t="s">
        <v>282</v>
      </c>
      <c r="B1340" s="69" t="s">
        <v>303</v>
      </c>
      <c r="D1340" s="37"/>
    </row>
    <row r="1341" spans="1:4" x14ac:dyDescent="0.35">
      <c r="A1341" t="s">
        <v>282</v>
      </c>
      <c r="B1341" s="69" t="s">
        <v>199</v>
      </c>
      <c r="D1341" s="37"/>
    </row>
    <row r="1342" spans="1:4" x14ac:dyDescent="0.35">
      <c r="A1342" t="s">
        <v>282</v>
      </c>
      <c r="B1342" s="69" t="s">
        <v>194</v>
      </c>
      <c r="D1342" s="37"/>
    </row>
    <row r="1343" spans="1:4" x14ac:dyDescent="0.35">
      <c r="A1343" t="s">
        <v>282</v>
      </c>
      <c r="B1343" s="69" t="s">
        <v>144</v>
      </c>
      <c r="D1343" s="37"/>
    </row>
    <row r="1344" spans="1:4" x14ac:dyDescent="0.35">
      <c r="A1344" t="s">
        <v>282</v>
      </c>
      <c r="B1344" s="69" t="s">
        <v>145</v>
      </c>
      <c r="D1344" s="37"/>
    </row>
    <row r="1345" spans="1:4" x14ac:dyDescent="0.35">
      <c r="A1345" t="s">
        <v>282</v>
      </c>
      <c r="B1345" s="69" t="s">
        <v>146</v>
      </c>
      <c r="D1345" s="37"/>
    </row>
    <row r="1346" spans="1:4" x14ac:dyDescent="0.35">
      <c r="A1346" t="s">
        <v>282</v>
      </c>
      <c r="B1346" s="69" t="s">
        <v>147</v>
      </c>
      <c r="D1346" s="37"/>
    </row>
    <row r="1347" spans="1:4" x14ac:dyDescent="0.35">
      <c r="A1347" t="s">
        <v>283</v>
      </c>
      <c r="B1347" s="69" t="s">
        <v>299</v>
      </c>
      <c r="D1347" s="37"/>
    </row>
    <row r="1348" spans="1:4" x14ac:dyDescent="0.35">
      <c r="A1348" t="s">
        <v>283</v>
      </c>
      <c r="B1348" t="s">
        <v>445</v>
      </c>
      <c r="D1348" s="37"/>
    </row>
    <row r="1349" spans="1:4" x14ac:dyDescent="0.35">
      <c r="A1349" t="s">
        <v>283</v>
      </c>
      <c r="B1349" s="69" t="s">
        <v>189</v>
      </c>
      <c r="D1349" s="37"/>
    </row>
    <row r="1350" spans="1:4" x14ac:dyDescent="0.35">
      <c r="A1350" t="s">
        <v>283</v>
      </c>
      <c r="B1350" s="69" t="s">
        <v>190</v>
      </c>
      <c r="D1350" s="37"/>
    </row>
    <row r="1351" spans="1:4" x14ac:dyDescent="0.35">
      <c r="A1351" t="s">
        <v>283</v>
      </c>
      <c r="B1351" s="69" t="s">
        <v>301</v>
      </c>
      <c r="D1351" s="37"/>
    </row>
    <row r="1352" spans="1:4" x14ac:dyDescent="0.35">
      <c r="A1352" t="s">
        <v>283</v>
      </c>
      <c r="B1352" t="s">
        <v>446</v>
      </c>
      <c r="D1352" s="37"/>
    </row>
    <row r="1353" spans="1:4" x14ac:dyDescent="0.35">
      <c r="A1353" t="s">
        <v>283</v>
      </c>
      <c r="B1353" s="69" t="s">
        <v>40</v>
      </c>
      <c r="D1353" s="37"/>
    </row>
    <row r="1354" spans="1:4" x14ac:dyDescent="0.35">
      <c r="A1354" t="s">
        <v>283</v>
      </c>
      <c r="B1354" s="69" t="s">
        <v>303</v>
      </c>
      <c r="D1354" s="37"/>
    </row>
    <row r="1355" spans="1:4" x14ac:dyDescent="0.35">
      <c r="A1355" t="s">
        <v>283</v>
      </c>
      <c r="B1355" s="69" t="s">
        <v>199</v>
      </c>
      <c r="D1355" s="37"/>
    </row>
    <row r="1356" spans="1:4" x14ac:dyDescent="0.35">
      <c r="A1356" t="s">
        <v>283</v>
      </c>
      <c r="B1356" s="69" t="s">
        <v>194</v>
      </c>
      <c r="D1356" s="37"/>
    </row>
    <row r="1357" spans="1:4" x14ac:dyDescent="0.35">
      <c r="A1357" t="s">
        <v>283</v>
      </c>
      <c r="B1357" s="69" t="s">
        <v>144</v>
      </c>
      <c r="D1357" s="37"/>
    </row>
    <row r="1358" spans="1:4" x14ac:dyDescent="0.35">
      <c r="A1358" t="s">
        <v>283</v>
      </c>
      <c r="B1358" s="69" t="s">
        <v>145</v>
      </c>
      <c r="D1358" s="37"/>
    </row>
    <row r="1359" spans="1:4" x14ac:dyDescent="0.35">
      <c r="A1359" t="s">
        <v>283</v>
      </c>
      <c r="B1359" s="69" t="s">
        <v>146</v>
      </c>
      <c r="D1359" s="37"/>
    </row>
    <row r="1360" spans="1:4" x14ac:dyDescent="0.35">
      <c r="A1360" t="s">
        <v>283</v>
      </c>
      <c r="B1360" s="69" t="s">
        <v>147</v>
      </c>
      <c r="D1360" s="37"/>
    </row>
    <row r="1361" spans="1:4" x14ac:dyDescent="0.35">
      <c r="A1361" t="s">
        <v>284</v>
      </c>
      <c r="B1361" s="69" t="s">
        <v>299</v>
      </c>
      <c r="D1361" s="37"/>
    </row>
    <row r="1362" spans="1:4" x14ac:dyDescent="0.35">
      <c r="A1362" t="s">
        <v>284</v>
      </c>
      <c r="B1362" t="s">
        <v>445</v>
      </c>
      <c r="D1362" s="37"/>
    </row>
    <row r="1363" spans="1:4" x14ac:dyDescent="0.35">
      <c r="A1363" t="s">
        <v>284</v>
      </c>
      <c r="B1363" s="69" t="s">
        <v>189</v>
      </c>
      <c r="D1363" s="37"/>
    </row>
    <row r="1364" spans="1:4" x14ac:dyDescent="0.35">
      <c r="A1364" t="s">
        <v>284</v>
      </c>
      <c r="B1364" s="69" t="s">
        <v>190</v>
      </c>
      <c r="D1364" s="37"/>
    </row>
    <row r="1365" spans="1:4" x14ac:dyDescent="0.35">
      <c r="A1365" t="s">
        <v>284</v>
      </c>
      <c r="B1365" s="69" t="s">
        <v>301</v>
      </c>
      <c r="D1365" s="37"/>
    </row>
    <row r="1366" spans="1:4" x14ac:dyDescent="0.35">
      <c r="A1366" t="s">
        <v>284</v>
      </c>
      <c r="B1366" t="s">
        <v>446</v>
      </c>
      <c r="D1366" s="37"/>
    </row>
    <row r="1367" spans="1:4" x14ac:dyDescent="0.35">
      <c r="A1367" t="s">
        <v>284</v>
      </c>
      <c r="B1367" s="69" t="s">
        <v>40</v>
      </c>
      <c r="D1367" s="37"/>
    </row>
    <row r="1368" spans="1:4" x14ac:dyDescent="0.35">
      <c r="A1368" t="s">
        <v>284</v>
      </c>
      <c r="B1368" s="69" t="s">
        <v>303</v>
      </c>
      <c r="D1368" s="37"/>
    </row>
    <row r="1369" spans="1:4" x14ac:dyDescent="0.35">
      <c r="A1369" t="s">
        <v>284</v>
      </c>
      <c r="B1369" s="69" t="s">
        <v>199</v>
      </c>
      <c r="D1369" s="37"/>
    </row>
    <row r="1370" spans="1:4" x14ac:dyDescent="0.35">
      <c r="A1370" t="s">
        <v>284</v>
      </c>
      <c r="B1370" s="69" t="s">
        <v>194</v>
      </c>
      <c r="D1370" s="37"/>
    </row>
    <row r="1371" spans="1:4" x14ac:dyDescent="0.35">
      <c r="A1371" t="s">
        <v>284</v>
      </c>
      <c r="B1371" s="69" t="s">
        <v>144</v>
      </c>
      <c r="D1371" s="37"/>
    </row>
    <row r="1372" spans="1:4" x14ac:dyDescent="0.35">
      <c r="A1372" t="s">
        <v>284</v>
      </c>
      <c r="B1372" s="69" t="s">
        <v>145</v>
      </c>
      <c r="D1372" s="37"/>
    </row>
    <row r="1373" spans="1:4" x14ac:dyDescent="0.35">
      <c r="A1373" t="s">
        <v>284</v>
      </c>
      <c r="B1373" s="69" t="s">
        <v>146</v>
      </c>
      <c r="D1373" s="37"/>
    </row>
    <row r="1374" spans="1:4" x14ac:dyDescent="0.35">
      <c r="A1374" t="s">
        <v>284</v>
      </c>
      <c r="B1374" s="69" t="s">
        <v>147</v>
      </c>
      <c r="D1374" s="37"/>
    </row>
    <row r="1375" spans="1:4" x14ac:dyDescent="0.35">
      <c r="A1375" t="s">
        <v>285</v>
      </c>
      <c r="B1375" s="69" t="s">
        <v>299</v>
      </c>
      <c r="D1375" s="37"/>
    </row>
    <row r="1376" spans="1:4" x14ac:dyDescent="0.35">
      <c r="A1376" t="s">
        <v>285</v>
      </c>
      <c r="B1376" t="s">
        <v>445</v>
      </c>
      <c r="D1376" s="37"/>
    </row>
    <row r="1377" spans="1:4" x14ac:dyDescent="0.35">
      <c r="A1377" t="s">
        <v>285</v>
      </c>
      <c r="B1377" s="69" t="s">
        <v>189</v>
      </c>
      <c r="D1377" s="37"/>
    </row>
    <row r="1378" spans="1:4" x14ac:dyDescent="0.35">
      <c r="A1378" t="s">
        <v>285</v>
      </c>
      <c r="B1378" s="69" t="s">
        <v>190</v>
      </c>
      <c r="D1378" s="37"/>
    </row>
    <row r="1379" spans="1:4" x14ac:dyDescent="0.35">
      <c r="A1379" t="s">
        <v>285</v>
      </c>
      <c r="B1379" s="69" t="s">
        <v>301</v>
      </c>
      <c r="D1379" s="37"/>
    </row>
    <row r="1380" spans="1:4" x14ac:dyDescent="0.35">
      <c r="A1380" t="s">
        <v>285</v>
      </c>
      <c r="B1380" t="s">
        <v>446</v>
      </c>
      <c r="D1380" s="37"/>
    </row>
    <row r="1381" spans="1:4" x14ac:dyDescent="0.35">
      <c r="A1381" t="s">
        <v>285</v>
      </c>
      <c r="B1381" s="69" t="s">
        <v>40</v>
      </c>
      <c r="D1381" s="37"/>
    </row>
    <row r="1382" spans="1:4" x14ac:dyDescent="0.35">
      <c r="A1382" t="s">
        <v>285</v>
      </c>
      <c r="B1382" s="69" t="s">
        <v>303</v>
      </c>
      <c r="D1382" s="37"/>
    </row>
    <row r="1383" spans="1:4" x14ac:dyDescent="0.35">
      <c r="A1383" t="s">
        <v>285</v>
      </c>
      <c r="B1383" s="69" t="s">
        <v>199</v>
      </c>
      <c r="D1383" s="37"/>
    </row>
    <row r="1384" spans="1:4" x14ac:dyDescent="0.35">
      <c r="A1384" t="s">
        <v>285</v>
      </c>
      <c r="B1384" s="69" t="s">
        <v>194</v>
      </c>
      <c r="D1384" s="37"/>
    </row>
    <row r="1385" spans="1:4" x14ac:dyDescent="0.35">
      <c r="A1385" t="s">
        <v>285</v>
      </c>
      <c r="B1385" s="69" t="s">
        <v>144</v>
      </c>
      <c r="D1385" s="37"/>
    </row>
    <row r="1386" spans="1:4" x14ac:dyDescent="0.35">
      <c r="A1386" t="s">
        <v>285</v>
      </c>
      <c r="B1386" s="69" t="s">
        <v>145</v>
      </c>
      <c r="D1386" s="37"/>
    </row>
    <row r="1387" spans="1:4" x14ac:dyDescent="0.35">
      <c r="A1387" t="s">
        <v>285</v>
      </c>
      <c r="B1387" s="69" t="s">
        <v>146</v>
      </c>
      <c r="D1387" s="37"/>
    </row>
    <row r="1388" spans="1:4" x14ac:dyDescent="0.35">
      <c r="A1388" t="s">
        <v>285</v>
      </c>
      <c r="B1388" s="69" t="s">
        <v>147</v>
      </c>
      <c r="D1388" s="37"/>
    </row>
    <row r="1389" spans="1:4" x14ac:dyDescent="0.35">
      <c r="A1389" t="s">
        <v>286</v>
      </c>
      <c r="B1389" s="69" t="s">
        <v>299</v>
      </c>
      <c r="D1389" s="37"/>
    </row>
    <row r="1390" spans="1:4" x14ac:dyDescent="0.35">
      <c r="A1390" t="s">
        <v>286</v>
      </c>
      <c r="B1390" t="s">
        <v>445</v>
      </c>
      <c r="D1390" s="37"/>
    </row>
    <row r="1391" spans="1:4" x14ac:dyDescent="0.35">
      <c r="A1391" t="s">
        <v>286</v>
      </c>
      <c r="B1391" s="69" t="s">
        <v>189</v>
      </c>
      <c r="D1391" s="37"/>
    </row>
    <row r="1392" spans="1:4" x14ac:dyDescent="0.35">
      <c r="A1392" t="s">
        <v>286</v>
      </c>
      <c r="B1392" s="69" t="s">
        <v>190</v>
      </c>
      <c r="D1392" s="37"/>
    </row>
    <row r="1393" spans="1:4" x14ac:dyDescent="0.35">
      <c r="A1393" t="s">
        <v>286</v>
      </c>
      <c r="B1393" s="69" t="s">
        <v>301</v>
      </c>
      <c r="D1393" s="37"/>
    </row>
    <row r="1394" spans="1:4" x14ac:dyDescent="0.35">
      <c r="A1394" t="s">
        <v>286</v>
      </c>
      <c r="B1394" t="s">
        <v>446</v>
      </c>
      <c r="D1394" s="37"/>
    </row>
    <row r="1395" spans="1:4" x14ac:dyDescent="0.35">
      <c r="A1395" t="s">
        <v>286</v>
      </c>
      <c r="B1395" s="69" t="s">
        <v>40</v>
      </c>
      <c r="D1395" s="37"/>
    </row>
    <row r="1396" spans="1:4" x14ac:dyDescent="0.35">
      <c r="A1396" t="s">
        <v>286</v>
      </c>
      <c r="B1396" s="69" t="s">
        <v>303</v>
      </c>
      <c r="D1396" s="37"/>
    </row>
    <row r="1397" spans="1:4" x14ac:dyDescent="0.35">
      <c r="A1397" t="s">
        <v>286</v>
      </c>
      <c r="B1397" s="69" t="s">
        <v>199</v>
      </c>
      <c r="D1397" s="37"/>
    </row>
    <row r="1398" spans="1:4" x14ac:dyDescent="0.35">
      <c r="A1398" t="s">
        <v>286</v>
      </c>
      <c r="B1398" s="69" t="s">
        <v>194</v>
      </c>
      <c r="D1398" s="37"/>
    </row>
    <row r="1399" spans="1:4" x14ac:dyDescent="0.35">
      <c r="A1399" t="s">
        <v>286</v>
      </c>
      <c r="B1399" s="69" t="s">
        <v>144</v>
      </c>
      <c r="D1399" s="37"/>
    </row>
    <row r="1400" spans="1:4" x14ac:dyDescent="0.35">
      <c r="A1400" t="s">
        <v>286</v>
      </c>
      <c r="B1400" s="69" t="s">
        <v>145</v>
      </c>
      <c r="D1400" s="37"/>
    </row>
    <row r="1401" spans="1:4" x14ac:dyDescent="0.35">
      <c r="A1401" t="s">
        <v>286</v>
      </c>
      <c r="B1401" s="69" t="s">
        <v>146</v>
      </c>
      <c r="D1401" s="37"/>
    </row>
    <row r="1402" spans="1:4" x14ac:dyDescent="0.35">
      <c r="A1402" t="s">
        <v>286</v>
      </c>
      <c r="B1402" s="69" t="s">
        <v>147</v>
      </c>
      <c r="D1402" s="37"/>
    </row>
    <row r="1403" spans="1:4" x14ac:dyDescent="0.35">
      <c r="A1403" t="s">
        <v>287</v>
      </c>
      <c r="B1403" s="69" t="s">
        <v>299</v>
      </c>
      <c r="D1403" s="37"/>
    </row>
    <row r="1404" spans="1:4" x14ac:dyDescent="0.35">
      <c r="A1404" t="s">
        <v>287</v>
      </c>
      <c r="B1404" t="s">
        <v>445</v>
      </c>
      <c r="D1404" s="37"/>
    </row>
    <row r="1405" spans="1:4" x14ac:dyDescent="0.35">
      <c r="A1405" t="s">
        <v>287</v>
      </c>
      <c r="B1405" s="69" t="s">
        <v>189</v>
      </c>
      <c r="D1405" s="37"/>
    </row>
    <row r="1406" spans="1:4" x14ac:dyDescent="0.35">
      <c r="A1406" t="s">
        <v>287</v>
      </c>
      <c r="B1406" s="69" t="s">
        <v>190</v>
      </c>
      <c r="D1406" s="37"/>
    </row>
    <row r="1407" spans="1:4" x14ac:dyDescent="0.35">
      <c r="A1407" t="s">
        <v>287</v>
      </c>
      <c r="B1407" s="69" t="s">
        <v>301</v>
      </c>
      <c r="D1407" s="37"/>
    </row>
    <row r="1408" spans="1:4" x14ac:dyDescent="0.35">
      <c r="A1408" t="s">
        <v>287</v>
      </c>
      <c r="B1408" t="s">
        <v>446</v>
      </c>
      <c r="D1408" s="37"/>
    </row>
    <row r="1409" spans="1:4" x14ac:dyDescent="0.35">
      <c r="A1409" t="s">
        <v>287</v>
      </c>
      <c r="B1409" s="69" t="s">
        <v>40</v>
      </c>
      <c r="D1409" s="37"/>
    </row>
    <row r="1410" spans="1:4" x14ac:dyDescent="0.35">
      <c r="A1410" t="s">
        <v>287</v>
      </c>
      <c r="B1410" s="69" t="s">
        <v>303</v>
      </c>
      <c r="D1410" s="37"/>
    </row>
    <row r="1411" spans="1:4" x14ac:dyDescent="0.35">
      <c r="A1411" t="s">
        <v>287</v>
      </c>
      <c r="B1411" s="69" t="s">
        <v>199</v>
      </c>
      <c r="D1411" s="37"/>
    </row>
    <row r="1412" spans="1:4" x14ac:dyDescent="0.35">
      <c r="A1412" t="s">
        <v>287</v>
      </c>
      <c r="B1412" s="69" t="s">
        <v>194</v>
      </c>
      <c r="D1412" s="37"/>
    </row>
    <row r="1413" spans="1:4" x14ac:dyDescent="0.35">
      <c r="A1413" t="s">
        <v>287</v>
      </c>
      <c r="B1413" s="69" t="s">
        <v>144</v>
      </c>
      <c r="D1413" s="37"/>
    </row>
    <row r="1414" spans="1:4" x14ac:dyDescent="0.35">
      <c r="A1414" t="s">
        <v>287</v>
      </c>
      <c r="B1414" s="69" t="s">
        <v>145</v>
      </c>
      <c r="D1414" s="37"/>
    </row>
    <row r="1415" spans="1:4" x14ac:dyDescent="0.35">
      <c r="A1415" t="s">
        <v>287</v>
      </c>
      <c r="B1415" s="69" t="s">
        <v>146</v>
      </c>
      <c r="D1415" s="37"/>
    </row>
    <row r="1416" spans="1:4" x14ac:dyDescent="0.35">
      <c r="A1416" t="s">
        <v>287</v>
      </c>
      <c r="B1416" s="69" t="s">
        <v>147</v>
      </c>
      <c r="D1416" s="37"/>
    </row>
    <row r="1417" spans="1:4" x14ac:dyDescent="0.35">
      <c r="A1417" t="s">
        <v>288</v>
      </c>
      <c r="B1417" s="69" t="s">
        <v>299</v>
      </c>
      <c r="D1417" s="37"/>
    </row>
    <row r="1418" spans="1:4" x14ac:dyDescent="0.35">
      <c r="A1418" t="s">
        <v>288</v>
      </c>
      <c r="B1418" t="s">
        <v>445</v>
      </c>
      <c r="D1418" s="37"/>
    </row>
    <row r="1419" spans="1:4" x14ac:dyDescent="0.35">
      <c r="A1419" t="s">
        <v>288</v>
      </c>
      <c r="B1419" s="69" t="s">
        <v>189</v>
      </c>
      <c r="D1419" s="37"/>
    </row>
    <row r="1420" spans="1:4" x14ac:dyDescent="0.35">
      <c r="A1420" t="s">
        <v>288</v>
      </c>
      <c r="B1420" s="69" t="s">
        <v>190</v>
      </c>
      <c r="D1420" s="37"/>
    </row>
    <row r="1421" spans="1:4" x14ac:dyDescent="0.35">
      <c r="A1421" t="s">
        <v>288</v>
      </c>
      <c r="B1421" s="69" t="s">
        <v>301</v>
      </c>
      <c r="D1421" s="37"/>
    </row>
    <row r="1422" spans="1:4" x14ac:dyDescent="0.35">
      <c r="A1422" t="s">
        <v>288</v>
      </c>
      <c r="B1422" t="s">
        <v>446</v>
      </c>
      <c r="D1422" s="37"/>
    </row>
    <row r="1423" spans="1:4" x14ac:dyDescent="0.35">
      <c r="A1423" t="s">
        <v>288</v>
      </c>
      <c r="B1423" s="69" t="s">
        <v>40</v>
      </c>
      <c r="D1423" s="37"/>
    </row>
    <row r="1424" spans="1:4" x14ac:dyDescent="0.35">
      <c r="A1424" t="s">
        <v>288</v>
      </c>
      <c r="B1424" s="69" t="s">
        <v>303</v>
      </c>
      <c r="D1424" s="37"/>
    </row>
    <row r="1425" spans="1:4" x14ac:dyDescent="0.35">
      <c r="A1425" t="s">
        <v>288</v>
      </c>
      <c r="B1425" s="69" t="s">
        <v>199</v>
      </c>
      <c r="D1425" s="37"/>
    </row>
    <row r="1426" spans="1:4" x14ac:dyDescent="0.35">
      <c r="A1426" t="s">
        <v>288</v>
      </c>
      <c r="B1426" s="69" t="s">
        <v>194</v>
      </c>
      <c r="D1426" s="37"/>
    </row>
    <row r="1427" spans="1:4" x14ac:dyDescent="0.35">
      <c r="A1427" t="s">
        <v>288</v>
      </c>
      <c r="B1427" s="69" t="s">
        <v>144</v>
      </c>
      <c r="D1427" s="37"/>
    </row>
    <row r="1428" spans="1:4" x14ac:dyDescent="0.35">
      <c r="A1428" t="s">
        <v>288</v>
      </c>
      <c r="B1428" s="69" t="s">
        <v>145</v>
      </c>
      <c r="D1428" s="37"/>
    </row>
    <row r="1429" spans="1:4" x14ac:dyDescent="0.35">
      <c r="A1429" t="s">
        <v>288</v>
      </c>
      <c r="B1429" s="69" t="s">
        <v>146</v>
      </c>
      <c r="D1429" s="37"/>
    </row>
    <row r="1430" spans="1:4" x14ac:dyDescent="0.35">
      <c r="A1430" t="s">
        <v>288</v>
      </c>
      <c r="B1430" s="69" t="s">
        <v>147</v>
      </c>
      <c r="D1430" s="37"/>
    </row>
    <row r="1431" spans="1:4" x14ac:dyDescent="0.35">
      <c r="A1431" t="s">
        <v>289</v>
      </c>
      <c r="B1431" s="69" t="s">
        <v>299</v>
      </c>
      <c r="D1431" s="37"/>
    </row>
    <row r="1432" spans="1:4" x14ac:dyDescent="0.35">
      <c r="A1432" t="s">
        <v>289</v>
      </c>
      <c r="B1432" t="s">
        <v>445</v>
      </c>
      <c r="D1432" s="37"/>
    </row>
    <row r="1433" spans="1:4" x14ac:dyDescent="0.35">
      <c r="A1433" t="s">
        <v>289</v>
      </c>
      <c r="B1433" s="69" t="s">
        <v>189</v>
      </c>
      <c r="D1433" s="37"/>
    </row>
    <row r="1434" spans="1:4" x14ac:dyDescent="0.35">
      <c r="A1434" t="s">
        <v>289</v>
      </c>
      <c r="B1434" s="69" t="s">
        <v>190</v>
      </c>
      <c r="D1434" s="37"/>
    </row>
    <row r="1435" spans="1:4" x14ac:dyDescent="0.35">
      <c r="A1435" t="s">
        <v>289</v>
      </c>
      <c r="B1435" s="69" t="s">
        <v>301</v>
      </c>
      <c r="D1435" s="37"/>
    </row>
    <row r="1436" spans="1:4" x14ac:dyDescent="0.35">
      <c r="A1436" t="s">
        <v>289</v>
      </c>
      <c r="B1436" t="s">
        <v>446</v>
      </c>
      <c r="D1436" s="37"/>
    </row>
    <row r="1437" spans="1:4" x14ac:dyDescent="0.35">
      <c r="A1437" t="s">
        <v>289</v>
      </c>
      <c r="B1437" s="69" t="s">
        <v>40</v>
      </c>
      <c r="D1437" s="37"/>
    </row>
    <row r="1438" spans="1:4" x14ac:dyDescent="0.35">
      <c r="A1438" t="s">
        <v>289</v>
      </c>
      <c r="B1438" s="69" t="s">
        <v>303</v>
      </c>
      <c r="D1438" s="37"/>
    </row>
    <row r="1439" spans="1:4" x14ac:dyDescent="0.35">
      <c r="A1439" t="s">
        <v>289</v>
      </c>
      <c r="B1439" s="69" t="s">
        <v>199</v>
      </c>
      <c r="D1439" s="37"/>
    </row>
    <row r="1440" spans="1:4" x14ac:dyDescent="0.35">
      <c r="A1440" t="s">
        <v>289</v>
      </c>
      <c r="B1440" s="69" t="s">
        <v>194</v>
      </c>
      <c r="D1440" s="37"/>
    </row>
    <row r="1441" spans="1:4" x14ac:dyDescent="0.35">
      <c r="A1441" t="s">
        <v>289</v>
      </c>
      <c r="B1441" s="69" t="s">
        <v>144</v>
      </c>
      <c r="D1441" s="37"/>
    </row>
    <row r="1442" spans="1:4" x14ac:dyDescent="0.35">
      <c r="A1442" t="s">
        <v>289</v>
      </c>
      <c r="B1442" s="69" t="s">
        <v>145</v>
      </c>
      <c r="D1442" s="37"/>
    </row>
    <row r="1443" spans="1:4" x14ac:dyDescent="0.35">
      <c r="A1443" t="s">
        <v>289</v>
      </c>
      <c r="B1443" s="69" t="s">
        <v>146</v>
      </c>
      <c r="D1443" s="37"/>
    </row>
    <row r="1444" spans="1:4" x14ac:dyDescent="0.35">
      <c r="A1444" t="s">
        <v>289</v>
      </c>
      <c r="B1444" s="69" t="s">
        <v>147</v>
      </c>
      <c r="D1444" s="37"/>
    </row>
    <row r="1445" spans="1:4" x14ac:dyDescent="0.35">
      <c r="A1445" t="s">
        <v>290</v>
      </c>
      <c r="B1445" s="69" t="s">
        <v>299</v>
      </c>
      <c r="D1445" s="37"/>
    </row>
    <row r="1446" spans="1:4" x14ac:dyDescent="0.35">
      <c r="A1446" t="s">
        <v>290</v>
      </c>
      <c r="B1446" t="s">
        <v>445</v>
      </c>
      <c r="D1446" s="37"/>
    </row>
    <row r="1447" spans="1:4" x14ac:dyDescent="0.35">
      <c r="A1447" t="s">
        <v>290</v>
      </c>
      <c r="B1447" s="69" t="s">
        <v>189</v>
      </c>
      <c r="D1447" s="37"/>
    </row>
    <row r="1448" spans="1:4" x14ac:dyDescent="0.35">
      <c r="A1448" t="s">
        <v>290</v>
      </c>
      <c r="B1448" s="69" t="s">
        <v>190</v>
      </c>
      <c r="D1448" s="37"/>
    </row>
    <row r="1449" spans="1:4" x14ac:dyDescent="0.35">
      <c r="A1449" t="s">
        <v>290</v>
      </c>
      <c r="B1449" s="69" t="s">
        <v>301</v>
      </c>
      <c r="D1449" s="37"/>
    </row>
    <row r="1450" spans="1:4" x14ac:dyDescent="0.35">
      <c r="A1450" t="s">
        <v>290</v>
      </c>
      <c r="B1450" t="s">
        <v>446</v>
      </c>
      <c r="D1450" s="37"/>
    </row>
    <row r="1451" spans="1:4" x14ac:dyDescent="0.35">
      <c r="A1451" t="s">
        <v>290</v>
      </c>
      <c r="B1451" s="69" t="s">
        <v>40</v>
      </c>
      <c r="D1451" s="37"/>
    </row>
    <row r="1452" spans="1:4" x14ac:dyDescent="0.35">
      <c r="A1452" t="s">
        <v>290</v>
      </c>
      <c r="B1452" s="69" t="s">
        <v>303</v>
      </c>
      <c r="D1452" s="37"/>
    </row>
    <row r="1453" spans="1:4" x14ac:dyDescent="0.35">
      <c r="A1453" t="s">
        <v>290</v>
      </c>
      <c r="B1453" s="69" t="s">
        <v>199</v>
      </c>
      <c r="D1453" s="37"/>
    </row>
    <row r="1454" spans="1:4" x14ac:dyDescent="0.35">
      <c r="A1454" t="s">
        <v>290</v>
      </c>
      <c r="B1454" s="69" t="s">
        <v>194</v>
      </c>
      <c r="D1454" s="37"/>
    </row>
    <row r="1455" spans="1:4" x14ac:dyDescent="0.35">
      <c r="A1455" t="s">
        <v>290</v>
      </c>
      <c r="B1455" s="69" t="s">
        <v>144</v>
      </c>
      <c r="D1455" s="37"/>
    </row>
    <row r="1456" spans="1:4" x14ac:dyDescent="0.35">
      <c r="A1456" t="s">
        <v>290</v>
      </c>
      <c r="B1456" s="69" t="s">
        <v>145</v>
      </c>
      <c r="D1456" s="37"/>
    </row>
    <row r="1457" spans="1:4" x14ac:dyDescent="0.35">
      <c r="A1457" t="s">
        <v>290</v>
      </c>
      <c r="B1457" s="69" t="s">
        <v>146</v>
      </c>
      <c r="D1457" s="37"/>
    </row>
    <row r="1458" spans="1:4" x14ac:dyDescent="0.35">
      <c r="A1458" t="s">
        <v>290</v>
      </c>
      <c r="B1458" s="69" t="s">
        <v>147</v>
      </c>
      <c r="D1458" s="37"/>
    </row>
    <row r="1459" spans="1:4" x14ac:dyDescent="0.35">
      <c r="A1459" t="s">
        <v>291</v>
      </c>
      <c r="B1459" s="69" t="s">
        <v>299</v>
      </c>
      <c r="D1459" s="37"/>
    </row>
    <row r="1460" spans="1:4" x14ac:dyDescent="0.35">
      <c r="A1460" t="s">
        <v>291</v>
      </c>
      <c r="B1460" t="s">
        <v>445</v>
      </c>
      <c r="D1460" s="37"/>
    </row>
    <row r="1461" spans="1:4" x14ac:dyDescent="0.35">
      <c r="A1461" t="s">
        <v>291</v>
      </c>
      <c r="B1461" s="69" t="s">
        <v>189</v>
      </c>
      <c r="D1461" s="37"/>
    </row>
    <row r="1462" spans="1:4" x14ac:dyDescent="0.35">
      <c r="A1462" t="s">
        <v>291</v>
      </c>
      <c r="B1462" s="69" t="s">
        <v>190</v>
      </c>
      <c r="D1462" s="37"/>
    </row>
    <row r="1463" spans="1:4" x14ac:dyDescent="0.35">
      <c r="A1463" t="s">
        <v>291</v>
      </c>
      <c r="B1463" s="69" t="s">
        <v>301</v>
      </c>
      <c r="D1463" s="37"/>
    </row>
    <row r="1464" spans="1:4" x14ac:dyDescent="0.35">
      <c r="A1464" t="s">
        <v>291</v>
      </c>
      <c r="B1464" t="s">
        <v>446</v>
      </c>
      <c r="D1464" s="37"/>
    </row>
    <row r="1465" spans="1:4" x14ac:dyDescent="0.35">
      <c r="A1465" t="s">
        <v>291</v>
      </c>
      <c r="B1465" s="69" t="s">
        <v>40</v>
      </c>
      <c r="D1465" s="37"/>
    </row>
    <row r="1466" spans="1:4" x14ac:dyDescent="0.35">
      <c r="A1466" t="s">
        <v>291</v>
      </c>
      <c r="B1466" s="69" t="s">
        <v>303</v>
      </c>
      <c r="D1466" s="37"/>
    </row>
    <row r="1467" spans="1:4" x14ac:dyDescent="0.35">
      <c r="A1467" t="s">
        <v>291</v>
      </c>
      <c r="B1467" s="69" t="s">
        <v>199</v>
      </c>
      <c r="D1467" s="37"/>
    </row>
    <row r="1468" spans="1:4" x14ac:dyDescent="0.35">
      <c r="A1468" t="s">
        <v>291</v>
      </c>
      <c r="B1468" s="69" t="s">
        <v>194</v>
      </c>
      <c r="D1468" s="37"/>
    </row>
    <row r="1469" spans="1:4" x14ac:dyDescent="0.35">
      <c r="A1469" t="s">
        <v>291</v>
      </c>
      <c r="B1469" s="69" t="s">
        <v>144</v>
      </c>
      <c r="D1469" s="37"/>
    </row>
    <row r="1470" spans="1:4" x14ac:dyDescent="0.35">
      <c r="A1470" t="s">
        <v>291</v>
      </c>
      <c r="B1470" s="69" t="s">
        <v>145</v>
      </c>
      <c r="D1470" s="37"/>
    </row>
    <row r="1471" spans="1:4" x14ac:dyDescent="0.35">
      <c r="A1471" t="s">
        <v>291</v>
      </c>
      <c r="B1471" s="69" t="s">
        <v>146</v>
      </c>
      <c r="D1471" s="37"/>
    </row>
    <row r="1472" spans="1:4" x14ac:dyDescent="0.35">
      <c r="A1472" t="s">
        <v>291</v>
      </c>
      <c r="B1472" s="69" t="s">
        <v>147</v>
      </c>
      <c r="D1472" s="37"/>
    </row>
    <row r="1473" spans="1:4" x14ac:dyDescent="0.35">
      <c r="A1473" t="s">
        <v>292</v>
      </c>
      <c r="B1473" s="69" t="s">
        <v>299</v>
      </c>
      <c r="D1473" s="37"/>
    </row>
    <row r="1474" spans="1:4" x14ac:dyDescent="0.35">
      <c r="A1474" t="s">
        <v>292</v>
      </c>
      <c r="B1474" t="s">
        <v>445</v>
      </c>
      <c r="D1474" s="37"/>
    </row>
    <row r="1475" spans="1:4" x14ac:dyDescent="0.35">
      <c r="A1475" t="s">
        <v>292</v>
      </c>
      <c r="B1475" s="69" t="s">
        <v>189</v>
      </c>
      <c r="D1475" s="37"/>
    </row>
    <row r="1476" spans="1:4" x14ac:dyDescent="0.35">
      <c r="A1476" t="s">
        <v>292</v>
      </c>
      <c r="B1476" s="69" t="s">
        <v>190</v>
      </c>
      <c r="D1476" s="37"/>
    </row>
    <row r="1477" spans="1:4" x14ac:dyDescent="0.35">
      <c r="A1477" t="s">
        <v>292</v>
      </c>
      <c r="B1477" s="69" t="s">
        <v>301</v>
      </c>
      <c r="D1477" s="37"/>
    </row>
    <row r="1478" spans="1:4" x14ac:dyDescent="0.35">
      <c r="A1478" t="s">
        <v>292</v>
      </c>
      <c r="B1478" t="s">
        <v>446</v>
      </c>
      <c r="D1478" s="37"/>
    </row>
    <row r="1479" spans="1:4" x14ac:dyDescent="0.35">
      <c r="A1479" t="s">
        <v>292</v>
      </c>
      <c r="B1479" s="69" t="s">
        <v>40</v>
      </c>
      <c r="D1479" s="37"/>
    </row>
    <row r="1480" spans="1:4" x14ac:dyDescent="0.35">
      <c r="A1480" t="s">
        <v>292</v>
      </c>
      <c r="B1480" s="69" t="s">
        <v>303</v>
      </c>
      <c r="D1480" s="37"/>
    </row>
    <row r="1481" spans="1:4" x14ac:dyDescent="0.35">
      <c r="A1481" t="s">
        <v>292</v>
      </c>
      <c r="B1481" s="69" t="s">
        <v>199</v>
      </c>
      <c r="D1481" s="37"/>
    </row>
    <row r="1482" spans="1:4" x14ac:dyDescent="0.35">
      <c r="A1482" t="s">
        <v>292</v>
      </c>
      <c r="B1482" s="69" t="s">
        <v>194</v>
      </c>
      <c r="D1482" s="37"/>
    </row>
    <row r="1483" spans="1:4" x14ac:dyDescent="0.35">
      <c r="A1483" t="s">
        <v>292</v>
      </c>
      <c r="B1483" s="69" t="s">
        <v>144</v>
      </c>
      <c r="D1483" s="37"/>
    </row>
    <row r="1484" spans="1:4" x14ac:dyDescent="0.35">
      <c r="A1484" t="s">
        <v>292</v>
      </c>
      <c r="B1484" s="69" t="s">
        <v>145</v>
      </c>
      <c r="D1484" s="37"/>
    </row>
    <row r="1485" spans="1:4" x14ac:dyDescent="0.35">
      <c r="A1485" t="s">
        <v>292</v>
      </c>
      <c r="B1485" s="69" t="s">
        <v>146</v>
      </c>
      <c r="D1485" s="37"/>
    </row>
    <row r="1486" spans="1:4" x14ac:dyDescent="0.35">
      <c r="A1486" t="s">
        <v>292</v>
      </c>
      <c r="B1486" s="69" t="s">
        <v>147</v>
      </c>
      <c r="D1486" s="37"/>
    </row>
    <row r="1487" spans="1:4" x14ac:dyDescent="0.35">
      <c r="A1487" t="s">
        <v>293</v>
      </c>
      <c r="B1487" s="69" t="s">
        <v>299</v>
      </c>
      <c r="D1487" s="37"/>
    </row>
    <row r="1488" spans="1:4" x14ac:dyDescent="0.35">
      <c r="A1488" t="s">
        <v>293</v>
      </c>
      <c r="B1488" t="s">
        <v>445</v>
      </c>
      <c r="D1488" s="37"/>
    </row>
    <row r="1489" spans="1:4" x14ac:dyDescent="0.35">
      <c r="A1489" t="s">
        <v>293</v>
      </c>
      <c r="B1489" s="69" t="s">
        <v>189</v>
      </c>
      <c r="D1489" s="37"/>
    </row>
    <row r="1490" spans="1:4" x14ac:dyDescent="0.35">
      <c r="A1490" t="s">
        <v>293</v>
      </c>
      <c r="B1490" s="69" t="s">
        <v>190</v>
      </c>
      <c r="D1490" s="37"/>
    </row>
    <row r="1491" spans="1:4" x14ac:dyDescent="0.35">
      <c r="A1491" t="s">
        <v>293</v>
      </c>
      <c r="B1491" s="69" t="s">
        <v>301</v>
      </c>
      <c r="D1491" s="37"/>
    </row>
    <row r="1492" spans="1:4" x14ac:dyDescent="0.35">
      <c r="A1492" t="s">
        <v>293</v>
      </c>
      <c r="B1492" t="s">
        <v>446</v>
      </c>
      <c r="D1492" s="37"/>
    </row>
    <row r="1493" spans="1:4" x14ac:dyDescent="0.35">
      <c r="A1493" t="s">
        <v>293</v>
      </c>
      <c r="B1493" s="69" t="s">
        <v>40</v>
      </c>
      <c r="D1493" s="37"/>
    </row>
    <row r="1494" spans="1:4" x14ac:dyDescent="0.35">
      <c r="A1494" t="s">
        <v>293</v>
      </c>
      <c r="B1494" s="69" t="s">
        <v>303</v>
      </c>
      <c r="D1494" s="37"/>
    </row>
    <row r="1495" spans="1:4" x14ac:dyDescent="0.35">
      <c r="A1495" t="s">
        <v>293</v>
      </c>
      <c r="B1495" s="69" t="s">
        <v>199</v>
      </c>
      <c r="D1495" s="37"/>
    </row>
    <row r="1496" spans="1:4" x14ac:dyDescent="0.35">
      <c r="A1496" t="s">
        <v>293</v>
      </c>
      <c r="B1496" s="69" t="s">
        <v>194</v>
      </c>
      <c r="D1496" s="37"/>
    </row>
    <row r="1497" spans="1:4" x14ac:dyDescent="0.35">
      <c r="A1497" t="s">
        <v>293</v>
      </c>
      <c r="B1497" s="69" t="s">
        <v>144</v>
      </c>
      <c r="D1497" s="37"/>
    </row>
    <row r="1498" spans="1:4" x14ac:dyDescent="0.35">
      <c r="A1498" t="s">
        <v>293</v>
      </c>
      <c r="B1498" s="69" t="s">
        <v>145</v>
      </c>
      <c r="D1498" s="37"/>
    </row>
    <row r="1499" spans="1:4" x14ac:dyDescent="0.35">
      <c r="A1499" t="s">
        <v>293</v>
      </c>
      <c r="B1499" s="69" t="s">
        <v>146</v>
      </c>
      <c r="D1499" s="37"/>
    </row>
    <row r="1500" spans="1:4" x14ac:dyDescent="0.35">
      <c r="A1500" t="s">
        <v>293</v>
      </c>
      <c r="B1500" s="69" t="s">
        <v>147</v>
      </c>
      <c r="D1500" s="37"/>
    </row>
    <row r="1501" spans="1:4" x14ac:dyDescent="0.35">
      <c r="A1501" t="s">
        <v>294</v>
      </c>
      <c r="B1501" s="69" t="s">
        <v>299</v>
      </c>
      <c r="D1501" s="37"/>
    </row>
    <row r="1502" spans="1:4" x14ac:dyDescent="0.35">
      <c r="A1502" t="s">
        <v>294</v>
      </c>
      <c r="B1502" t="s">
        <v>445</v>
      </c>
      <c r="D1502" s="37"/>
    </row>
    <row r="1503" spans="1:4" x14ac:dyDescent="0.35">
      <c r="A1503" t="s">
        <v>294</v>
      </c>
      <c r="B1503" s="69" t="s">
        <v>189</v>
      </c>
      <c r="D1503" s="37"/>
    </row>
    <row r="1504" spans="1:4" x14ac:dyDescent="0.35">
      <c r="A1504" t="s">
        <v>294</v>
      </c>
      <c r="B1504" s="69" t="s">
        <v>190</v>
      </c>
      <c r="D1504" s="37"/>
    </row>
    <row r="1505" spans="1:4" x14ac:dyDescent="0.35">
      <c r="A1505" t="s">
        <v>294</v>
      </c>
      <c r="B1505" s="69" t="s">
        <v>301</v>
      </c>
      <c r="D1505" s="37"/>
    </row>
    <row r="1506" spans="1:4" x14ac:dyDescent="0.35">
      <c r="A1506" t="s">
        <v>294</v>
      </c>
      <c r="B1506" t="s">
        <v>446</v>
      </c>
      <c r="D1506" s="37"/>
    </row>
    <row r="1507" spans="1:4" x14ac:dyDescent="0.35">
      <c r="A1507" t="s">
        <v>294</v>
      </c>
      <c r="B1507" s="69" t="s">
        <v>40</v>
      </c>
      <c r="D1507" s="37"/>
    </row>
    <row r="1508" spans="1:4" x14ac:dyDescent="0.35">
      <c r="A1508" t="s">
        <v>294</v>
      </c>
      <c r="B1508" s="69" t="s">
        <v>303</v>
      </c>
      <c r="D1508" s="37"/>
    </row>
    <row r="1509" spans="1:4" x14ac:dyDescent="0.35">
      <c r="A1509" t="s">
        <v>294</v>
      </c>
      <c r="B1509" s="69" t="s">
        <v>199</v>
      </c>
      <c r="D1509" s="37"/>
    </row>
    <row r="1510" spans="1:4" x14ac:dyDescent="0.35">
      <c r="A1510" t="s">
        <v>294</v>
      </c>
      <c r="B1510" s="69" t="s">
        <v>194</v>
      </c>
      <c r="D1510" s="37"/>
    </row>
    <row r="1511" spans="1:4" x14ac:dyDescent="0.35">
      <c r="A1511" t="s">
        <v>294</v>
      </c>
      <c r="B1511" s="69" t="s">
        <v>144</v>
      </c>
      <c r="D1511" s="37"/>
    </row>
    <row r="1512" spans="1:4" x14ac:dyDescent="0.35">
      <c r="A1512" t="s">
        <v>294</v>
      </c>
      <c r="B1512" s="69" t="s">
        <v>145</v>
      </c>
      <c r="D1512" s="37"/>
    </row>
    <row r="1513" spans="1:4" x14ac:dyDescent="0.35">
      <c r="A1513" t="s">
        <v>294</v>
      </c>
      <c r="B1513" s="69" t="s">
        <v>146</v>
      </c>
      <c r="D1513" s="37"/>
    </row>
    <row r="1514" spans="1:4" x14ac:dyDescent="0.35">
      <c r="A1514" t="s">
        <v>294</v>
      </c>
      <c r="B1514" s="69" t="s">
        <v>147</v>
      </c>
      <c r="D1514" s="37"/>
    </row>
    <row r="1515" spans="1:4" x14ac:dyDescent="0.35">
      <c r="A1515" t="s">
        <v>295</v>
      </c>
      <c r="B1515" s="69" t="s">
        <v>299</v>
      </c>
      <c r="D1515" s="37"/>
    </row>
    <row r="1516" spans="1:4" x14ac:dyDescent="0.35">
      <c r="A1516" t="s">
        <v>295</v>
      </c>
      <c r="B1516" t="s">
        <v>445</v>
      </c>
      <c r="D1516" s="37"/>
    </row>
    <row r="1517" spans="1:4" x14ac:dyDescent="0.35">
      <c r="A1517" t="s">
        <v>295</v>
      </c>
      <c r="B1517" s="69" t="s">
        <v>189</v>
      </c>
      <c r="D1517" s="37"/>
    </row>
    <row r="1518" spans="1:4" x14ac:dyDescent="0.35">
      <c r="A1518" t="s">
        <v>295</v>
      </c>
      <c r="B1518" s="69" t="s">
        <v>190</v>
      </c>
      <c r="D1518" s="37"/>
    </row>
    <row r="1519" spans="1:4" x14ac:dyDescent="0.35">
      <c r="A1519" t="s">
        <v>295</v>
      </c>
      <c r="B1519" s="69" t="s">
        <v>301</v>
      </c>
      <c r="D1519" s="37"/>
    </row>
    <row r="1520" spans="1:4" x14ac:dyDescent="0.35">
      <c r="A1520" t="s">
        <v>295</v>
      </c>
      <c r="B1520" t="s">
        <v>446</v>
      </c>
      <c r="D1520" s="37"/>
    </row>
    <row r="1521" spans="1:4" x14ac:dyDescent="0.35">
      <c r="A1521" t="s">
        <v>295</v>
      </c>
      <c r="B1521" s="69" t="s">
        <v>40</v>
      </c>
      <c r="D1521" s="37"/>
    </row>
    <row r="1522" spans="1:4" x14ac:dyDescent="0.35">
      <c r="A1522" t="s">
        <v>295</v>
      </c>
      <c r="B1522" s="69" t="s">
        <v>303</v>
      </c>
      <c r="D1522" s="37"/>
    </row>
    <row r="1523" spans="1:4" x14ac:dyDescent="0.35">
      <c r="A1523" t="s">
        <v>295</v>
      </c>
      <c r="B1523" s="69" t="s">
        <v>199</v>
      </c>
      <c r="D1523" s="37"/>
    </row>
    <row r="1524" spans="1:4" x14ac:dyDescent="0.35">
      <c r="A1524" t="s">
        <v>295</v>
      </c>
      <c r="B1524" s="69" t="s">
        <v>194</v>
      </c>
      <c r="D1524" s="37"/>
    </row>
    <row r="1525" spans="1:4" x14ac:dyDescent="0.35">
      <c r="A1525" t="s">
        <v>295</v>
      </c>
      <c r="B1525" s="69" t="s">
        <v>144</v>
      </c>
      <c r="D1525" s="37"/>
    </row>
    <row r="1526" spans="1:4" x14ac:dyDescent="0.35">
      <c r="A1526" t="s">
        <v>295</v>
      </c>
      <c r="B1526" s="69" t="s">
        <v>145</v>
      </c>
      <c r="D1526" s="37"/>
    </row>
    <row r="1527" spans="1:4" x14ac:dyDescent="0.35">
      <c r="A1527" t="s">
        <v>295</v>
      </c>
      <c r="B1527" s="69" t="s">
        <v>146</v>
      </c>
      <c r="D1527" s="37"/>
    </row>
    <row r="1528" spans="1:4" x14ac:dyDescent="0.35">
      <c r="A1528" t="s">
        <v>295</v>
      </c>
      <c r="B1528" s="69" t="s">
        <v>147</v>
      </c>
      <c r="D1528" s="37"/>
    </row>
    <row r="1529" spans="1:4" x14ac:dyDescent="0.35">
      <c r="A1529" t="s">
        <v>296</v>
      </c>
      <c r="B1529" s="69" t="s">
        <v>299</v>
      </c>
      <c r="D1529" s="37"/>
    </row>
    <row r="1530" spans="1:4" x14ac:dyDescent="0.35">
      <c r="A1530" t="s">
        <v>296</v>
      </c>
      <c r="B1530" t="s">
        <v>445</v>
      </c>
      <c r="D1530" s="37"/>
    </row>
    <row r="1531" spans="1:4" x14ac:dyDescent="0.35">
      <c r="A1531" t="s">
        <v>296</v>
      </c>
      <c r="B1531" s="69" t="s">
        <v>189</v>
      </c>
      <c r="D1531" s="37"/>
    </row>
    <row r="1532" spans="1:4" x14ac:dyDescent="0.35">
      <c r="A1532" t="s">
        <v>296</v>
      </c>
      <c r="B1532" s="69" t="s">
        <v>190</v>
      </c>
      <c r="D1532" s="37"/>
    </row>
    <row r="1533" spans="1:4" x14ac:dyDescent="0.35">
      <c r="A1533" t="s">
        <v>296</v>
      </c>
      <c r="B1533" s="69" t="s">
        <v>301</v>
      </c>
      <c r="D1533" s="37"/>
    </row>
    <row r="1534" spans="1:4" x14ac:dyDescent="0.35">
      <c r="A1534" t="s">
        <v>296</v>
      </c>
      <c r="B1534" t="s">
        <v>446</v>
      </c>
      <c r="D1534" s="37"/>
    </row>
    <row r="1535" spans="1:4" x14ac:dyDescent="0.35">
      <c r="A1535" t="s">
        <v>296</v>
      </c>
      <c r="B1535" s="69" t="s">
        <v>40</v>
      </c>
      <c r="D1535" s="37"/>
    </row>
    <row r="1536" spans="1:4" x14ac:dyDescent="0.35">
      <c r="A1536" t="s">
        <v>296</v>
      </c>
      <c r="B1536" s="69" t="s">
        <v>303</v>
      </c>
      <c r="D1536" s="37"/>
    </row>
    <row r="1537" spans="1:4" x14ac:dyDescent="0.35">
      <c r="A1537" t="s">
        <v>296</v>
      </c>
      <c r="B1537" s="69" t="s">
        <v>199</v>
      </c>
      <c r="D1537" s="37"/>
    </row>
    <row r="1538" spans="1:4" x14ac:dyDescent="0.35">
      <c r="A1538" t="s">
        <v>296</v>
      </c>
      <c r="B1538" s="69" t="s">
        <v>194</v>
      </c>
      <c r="D1538" s="37"/>
    </row>
    <row r="1539" spans="1:4" x14ac:dyDescent="0.35">
      <c r="A1539" t="s">
        <v>296</v>
      </c>
      <c r="B1539" s="69" t="s">
        <v>144</v>
      </c>
      <c r="D1539" s="37"/>
    </row>
    <row r="1540" spans="1:4" x14ac:dyDescent="0.35">
      <c r="A1540" t="s">
        <v>296</v>
      </c>
      <c r="B1540" s="69" t="s">
        <v>145</v>
      </c>
      <c r="D1540" s="37"/>
    </row>
    <row r="1541" spans="1:4" x14ac:dyDescent="0.35">
      <c r="A1541" t="s">
        <v>296</v>
      </c>
      <c r="B1541" s="69" t="s">
        <v>146</v>
      </c>
      <c r="D1541" s="37"/>
    </row>
    <row r="1542" spans="1:4" x14ac:dyDescent="0.35">
      <c r="A1542" t="s">
        <v>296</v>
      </c>
      <c r="B1542" s="69" t="s">
        <v>147</v>
      </c>
      <c r="D1542" s="37"/>
    </row>
    <row r="1543" spans="1:4" x14ac:dyDescent="0.35">
      <c r="A1543" t="s">
        <v>297</v>
      </c>
      <c r="B1543" s="69" t="s">
        <v>299</v>
      </c>
      <c r="D1543" s="37"/>
    </row>
    <row r="1544" spans="1:4" x14ac:dyDescent="0.35">
      <c r="A1544" t="s">
        <v>297</v>
      </c>
      <c r="B1544" t="s">
        <v>445</v>
      </c>
      <c r="D1544" s="37"/>
    </row>
    <row r="1545" spans="1:4" x14ac:dyDescent="0.35">
      <c r="A1545" t="s">
        <v>297</v>
      </c>
      <c r="B1545" s="69" t="s">
        <v>189</v>
      </c>
      <c r="D1545" s="37"/>
    </row>
    <row r="1546" spans="1:4" x14ac:dyDescent="0.35">
      <c r="A1546" t="s">
        <v>297</v>
      </c>
      <c r="B1546" s="69" t="s">
        <v>190</v>
      </c>
      <c r="D1546" s="37"/>
    </row>
    <row r="1547" spans="1:4" x14ac:dyDescent="0.35">
      <c r="A1547" t="s">
        <v>297</v>
      </c>
      <c r="B1547" s="69" t="s">
        <v>301</v>
      </c>
      <c r="D1547" s="37"/>
    </row>
    <row r="1548" spans="1:4" x14ac:dyDescent="0.35">
      <c r="A1548" t="s">
        <v>297</v>
      </c>
      <c r="B1548" t="s">
        <v>446</v>
      </c>
      <c r="D1548" s="37"/>
    </row>
    <row r="1549" spans="1:4" x14ac:dyDescent="0.35">
      <c r="A1549" t="s">
        <v>297</v>
      </c>
      <c r="B1549" s="69" t="s">
        <v>40</v>
      </c>
      <c r="D1549" s="37"/>
    </row>
    <row r="1550" spans="1:4" x14ac:dyDescent="0.35">
      <c r="A1550" t="s">
        <v>297</v>
      </c>
      <c r="B1550" s="69" t="s">
        <v>303</v>
      </c>
      <c r="D1550" s="37"/>
    </row>
    <row r="1551" spans="1:4" x14ac:dyDescent="0.35">
      <c r="A1551" t="s">
        <v>297</v>
      </c>
      <c r="B1551" s="69" t="s">
        <v>199</v>
      </c>
      <c r="D1551" s="37"/>
    </row>
    <row r="1552" spans="1:4" x14ac:dyDescent="0.35">
      <c r="A1552" t="s">
        <v>297</v>
      </c>
      <c r="B1552" s="69" t="s">
        <v>194</v>
      </c>
      <c r="D1552" s="37"/>
    </row>
    <row r="1553" spans="1:4" x14ac:dyDescent="0.35">
      <c r="A1553" t="s">
        <v>297</v>
      </c>
      <c r="B1553" s="69" t="s">
        <v>144</v>
      </c>
      <c r="D1553" s="37"/>
    </row>
    <row r="1554" spans="1:4" x14ac:dyDescent="0.35">
      <c r="A1554" t="s">
        <v>297</v>
      </c>
      <c r="B1554" s="69" t="s">
        <v>145</v>
      </c>
      <c r="D1554" s="37"/>
    </row>
    <row r="1555" spans="1:4" x14ac:dyDescent="0.35">
      <c r="A1555" t="s">
        <v>297</v>
      </c>
      <c r="B1555" s="69" t="s">
        <v>146</v>
      </c>
      <c r="D1555" s="37"/>
    </row>
    <row r="1556" spans="1:4" x14ac:dyDescent="0.3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U87:U193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
</file>

<file path=customXml/item2.xml>�� �  �  �  �  �  �  
</file>

<file path=customXml/item3.xml>�� 
</file>

<file path=customXml/item4.xml>�� 
</file>

<file path=customXml/item5.xml>�� 
</file>

<file path=customXml/item6.xml>�� 
</file>

<file path=customXml/item7.xml>�� �  �  
</file>

<file path=customXml/item8.xml>�� 
</file>

<file path=customXml/item9.xml>�� 
</file>

<file path=customXml/item10.xml>�� 
</file>

<file path=customXml/item11.xml>�� �  �  
</file>

<file path=customXml/item12.xml>�� �  �  �  �  �  �  
</file>

<file path=customXml/item13.xml>�� 
</file>

<file path=customXml/item14.xml>�� 
</file>

<file path=customXml/item15.xml>�� �  �  
</file>

<file path=customXml/item16.xml>�� �  �  
</file>

<file path=customXml/item17.xml>�� �  �  
</file>

<file path=customXml/item18.xml>�� 
</file>

<file path=customXml/item19.xml>�� 
</file>

<file path=customXml/item20.xml>�� 
</file>

<file path=customXml/item21.xml>�� �  �  
</file>

<file path=customXml/item22.xml>�� �  �  
</file>

<file path=customXml/item23.xml>�� �  �  
</file>

<file path=customXml/item24.xml>�� �  �  � " �  �  � " 
</file>

<file path=customXml/item25.xml>�� �  �  
</file>

<file path=customXml/item26.xml>�� 
</file>

<file path=customXml/item27.xml>�� �  �  
</file>

<file path=customXml/item28.xml>�� �  �  �  �  �  �  
</file>

<file path=customXml/item29.xml>�� 
</file>

<file path=customXml/item30.xml>�� 
</file>

<file path=customXml/item31.xml>�� 
</file>

<file path=customXml/item32.xml>�� �  �  
</file>

<file path=customXml/item33.xml>�� �  �  �  �  �  �  
</file>

<file path=customXml/item34.xml>�� �  �  
</file>

<file path=customXml/item35.xml>�� �  �  
</file>

<file path=customXml/item36.xml>�� �  �  
</file>

<file path=customXml/item37.xml>�� 
</file>

<file path=customXml/item38.xml>�� � " �  �  � " �  �  �  �  �  �  �  �  �  
</file>

<file path=customXml/item39.xml>�� �  �  
</file>

<file path=customXml/item40.xml>�� 
</file>

<file path=customXml/item41.xml>�� 
</file>

<file path=customXml/item42.xml>�� �  �  �  �  �  �  
</file>

<file path=customXml/item43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Props1.xml><?xml version="1.0" encoding="utf-8"?>
<ds:datastoreItem xmlns:ds="http://schemas.openxmlformats.org/officeDocument/2006/customXml" ds:itemID="{E42E9CE4-D197-4EB4-8467-534962689E55}">
  <ds:schemaRefs/>
</ds:datastoreItem>
</file>

<file path=customXml/itemProps2.xml><?xml version="1.0" encoding="utf-8"?>
<ds:datastoreItem xmlns:ds="http://schemas.openxmlformats.org/officeDocument/2006/customXml" ds:itemID="{C70F9AA7-8E3C-429D-B21C-1F71FD4B3DCB}">
  <ds:schemaRefs/>
</ds:datastoreItem>
</file>

<file path=customXml/itemProps3.xml><?xml version="1.0" encoding="utf-8"?>
<ds:datastoreItem xmlns:ds="http://schemas.openxmlformats.org/officeDocument/2006/customXml" ds:itemID="{D4A8C9F8-65C8-4F59-BE63-BDEF91D7F620}">
  <ds:schemaRefs/>
</ds:datastoreItem>
</file>

<file path=customXml/itemProps4.xml><?xml version="1.0" encoding="utf-8"?>
<ds:datastoreItem xmlns:ds="http://schemas.openxmlformats.org/officeDocument/2006/customXml" ds:itemID="{0F8A396E-6B73-4475-AC61-4AE18329EEBB}">
  <ds:schemaRefs/>
</ds:datastoreItem>
</file>

<file path=customXml/itemProps5.xml><?xml version="1.0" encoding="utf-8"?>
<ds:datastoreItem xmlns:ds="http://schemas.openxmlformats.org/officeDocument/2006/customXml" ds:itemID="{0D0F800C-55F0-4B8D-B65D-1956604BBC4A}">
  <ds:schemaRefs/>
</ds:datastoreItem>
</file>

<file path=customXml/itemProps6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7.xml><?xml version="1.0" encoding="utf-8"?>
<ds:datastoreItem xmlns:ds="http://schemas.openxmlformats.org/officeDocument/2006/customXml" ds:itemID="{576E00CA-C4C3-46B3-AD1F-3EE26A173CA0}">
  <ds:schemaRefs/>
</ds:datastoreItem>
</file>

<file path=customXml/itemProps8.xml><?xml version="1.0" encoding="utf-8"?>
<ds:datastoreItem xmlns:ds="http://schemas.openxmlformats.org/officeDocument/2006/customXml" ds:itemID="{38769107-2822-48BA-A163-23A336FF9020}">
  <ds:schemaRefs/>
</ds:datastoreItem>
</file>

<file path=customXml/itemProps9.xml><?xml version="1.0" encoding="utf-8"?>
<ds:datastoreItem xmlns:ds="http://schemas.openxmlformats.org/officeDocument/2006/customXml" ds:itemID="{0DA15B66-50BD-4C34-A4A6-F7200DCB8044}">
  <ds:schemaRefs/>
</ds:datastoreItem>
</file>

<file path=customXml/itemProps10.xml><?xml version="1.0" encoding="utf-8"?>
<ds:datastoreItem xmlns:ds="http://schemas.openxmlformats.org/officeDocument/2006/customXml" ds:itemID="{AF00B4FA-D750-4F58-976F-B1151798FCDA}">
  <ds:schemaRefs/>
</ds:datastoreItem>
</file>

<file path=customXml/itemProps11.xml><?xml version="1.0" encoding="utf-8"?>
<ds:datastoreItem xmlns:ds="http://schemas.openxmlformats.org/officeDocument/2006/customXml" ds:itemID="{58C5A15C-C954-4888-9E99-C9BE9F56A850}">
  <ds:schemaRefs/>
</ds:datastoreItem>
</file>

<file path=customXml/itemProps12.xml><?xml version="1.0" encoding="utf-8"?>
<ds:datastoreItem xmlns:ds="http://schemas.openxmlformats.org/officeDocument/2006/customXml" ds:itemID="{42EFE6AE-9086-4C6F-9C8C-626EDF456519}">
  <ds:schemaRefs/>
</ds:datastoreItem>
</file>

<file path=customXml/itemProps13.xml><?xml version="1.0" encoding="utf-8"?>
<ds:datastoreItem xmlns:ds="http://schemas.openxmlformats.org/officeDocument/2006/customXml" ds:itemID="{136BC35F-9388-485C-BB16-B371643FE435}">
  <ds:schemaRefs/>
</ds:datastoreItem>
</file>

<file path=customXml/itemProps14.xml><?xml version="1.0" encoding="utf-8"?>
<ds:datastoreItem xmlns:ds="http://schemas.openxmlformats.org/officeDocument/2006/customXml" ds:itemID="{0DC66C4B-A148-4DD1-B5EB-3A2D106727DF}">
  <ds:schemaRefs/>
</ds:datastoreItem>
</file>

<file path=customXml/itemProps15.xml><?xml version="1.0" encoding="utf-8"?>
<ds:datastoreItem xmlns:ds="http://schemas.openxmlformats.org/officeDocument/2006/customXml" ds:itemID="{E058C73B-9365-4D9A-8A29-1987F1A3A56A}">
  <ds:schemaRefs/>
</ds:datastoreItem>
</file>

<file path=customXml/itemProps16.xml><?xml version="1.0" encoding="utf-8"?>
<ds:datastoreItem xmlns:ds="http://schemas.openxmlformats.org/officeDocument/2006/customXml" ds:itemID="{D7859309-649C-46A5-96A5-04CD5F423E3E}">
  <ds:schemaRefs/>
</ds:datastoreItem>
</file>

<file path=customXml/itemProps17.xml><?xml version="1.0" encoding="utf-8"?>
<ds:datastoreItem xmlns:ds="http://schemas.openxmlformats.org/officeDocument/2006/customXml" ds:itemID="{D7088BC6-4E39-4F1E-988A-F9FFB3578E1C}">
  <ds:schemaRefs/>
</ds:datastoreItem>
</file>

<file path=customXml/itemProps18.xml><?xml version="1.0" encoding="utf-8"?>
<ds:datastoreItem xmlns:ds="http://schemas.openxmlformats.org/officeDocument/2006/customXml" ds:itemID="{AAA6D46D-94C8-435F-92BE-B0CE8187092B}">
  <ds:schemaRefs/>
</ds:datastoreItem>
</file>

<file path=customXml/itemProps19.xml><?xml version="1.0" encoding="utf-8"?>
<ds:datastoreItem xmlns:ds="http://schemas.openxmlformats.org/officeDocument/2006/customXml" ds:itemID="{3D6AAB0A-D745-4EF9-8920-462D32D02F66}">
  <ds:schemaRefs/>
</ds:datastoreItem>
</file>

<file path=customXml/itemProps20.xml><?xml version="1.0" encoding="utf-8"?>
<ds:datastoreItem xmlns:ds="http://schemas.openxmlformats.org/officeDocument/2006/customXml" ds:itemID="{44BF2F49-E257-447F-8217-77E758993462}">
  <ds:schemaRefs/>
</ds:datastoreItem>
</file>

<file path=customXml/itemProps21.xml><?xml version="1.0" encoding="utf-8"?>
<ds:datastoreItem xmlns:ds="http://schemas.openxmlformats.org/officeDocument/2006/customXml" ds:itemID="{D5875026-8E73-444A-9706-8E0661E28F32}">
  <ds:schemaRefs/>
</ds:datastoreItem>
</file>

<file path=customXml/itemProps22.xml><?xml version="1.0" encoding="utf-8"?>
<ds:datastoreItem xmlns:ds="http://schemas.openxmlformats.org/officeDocument/2006/customXml" ds:itemID="{FB430F26-BF72-44F7-9E97-4C1A78416478}">
  <ds:schemaRefs/>
</ds:datastoreItem>
</file>

<file path=customXml/itemProps23.xml><?xml version="1.0" encoding="utf-8"?>
<ds:datastoreItem xmlns:ds="http://schemas.openxmlformats.org/officeDocument/2006/customXml" ds:itemID="{80CE0626-995F-476B-8796-91621794F8FE}">
  <ds:schemaRefs/>
</ds:datastoreItem>
</file>

<file path=customXml/itemProps24.xml><?xml version="1.0" encoding="utf-8"?>
<ds:datastoreItem xmlns:ds="http://schemas.openxmlformats.org/officeDocument/2006/customXml" ds:itemID="{FE306E6F-BDAA-4C78-A106-4D765B75F10A}">
  <ds:schemaRefs/>
</ds:datastoreItem>
</file>

<file path=customXml/itemProps25.xml><?xml version="1.0" encoding="utf-8"?>
<ds:datastoreItem xmlns:ds="http://schemas.openxmlformats.org/officeDocument/2006/customXml" ds:itemID="{399578CE-DEC7-43C4-AD8D-8631A5846A02}">
  <ds:schemaRefs/>
</ds:datastoreItem>
</file>

<file path=customXml/itemProps26.xml><?xml version="1.0" encoding="utf-8"?>
<ds:datastoreItem xmlns:ds="http://schemas.openxmlformats.org/officeDocument/2006/customXml" ds:itemID="{3CF7F571-4A9D-4573-88B7-3891E2B72BE1}">
  <ds:schemaRefs/>
</ds:datastoreItem>
</file>

<file path=customXml/itemProps27.xml><?xml version="1.0" encoding="utf-8"?>
<ds:datastoreItem xmlns:ds="http://schemas.openxmlformats.org/officeDocument/2006/customXml" ds:itemID="{0AF7685A-2129-416C-AC48-9001AC69EFCA}">
  <ds:schemaRefs/>
</ds:datastoreItem>
</file>

<file path=customXml/itemProps28.xml><?xml version="1.0" encoding="utf-8"?>
<ds:datastoreItem xmlns:ds="http://schemas.openxmlformats.org/officeDocument/2006/customXml" ds:itemID="{24674DA1-37AC-4C3F-BEEB-C8467C11CDC6}">
  <ds:schemaRefs/>
</ds:datastoreItem>
</file>

<file path=customXml/itemProps29.xml><?xml version="1.0" encoding="utf-8"?>
<ds:datastoreItem xmlns:ds="http://schemas.openxmlformats.org/officeDocument/2006/customXml" ds:itemID="{ECDD45EF-8224-43D8-97F8-789B8EF9A376}">
  <ds:schemaRefs/>
</ds:datastoreItem>
</file>

<file path=customXml/itemProps30.xml><?xml version="1.0" encoding="utf-8"?>
<ds:datastoreItem xmlns:ds="http://schemas.openxmlformats.org/officeDocument/2006/customXml" ds:itemID="{86599E87-849E-4849-A3C2-2BC620D6D4FD}">
  <ds:schemaRefs/>
</ds:datastoreItem>
</file>

<file path=customXml/itemProps31.xml><?xml version="1.0" encoding="utf-8"?>
<ds:datastoreItem xmlns:ds="http://schemas.openxmlformats.org/officeDocument/2006/customXml" ds:itemID="{8C3FFE2C-E90E-4852-A5A5-7873D01B38F4}">
  <ds:schemaRefs/>
</ds:datastoreItem>
</file>

<file path=customXml/itemProps32.xml><?xml version="1.0" encoding="utf-8"?>
<ds:datastoreItem xmlns:ds="http://schemas.openxmlformats.org/officeDocument/2006/customXml" ds:itemID="{3FB8461E-CFB0-4846-845E-BC1FC2AF0553}">
  <ds:schemaRefs/>
</ds:datastoreItem>
</file>

<file path=customXml/itemProps33.xml><?xml version="1.0" encoding="utf-8"?>
<ds:datastoreItem xmlns:ds="http://schemas.openxmlformats.org/officeDocument/2006/customXml" ds:itemID="{37DEE629-B61E-4141-B534-57A0D3F7F2C6}">
  <ds:schemaRefs/>
</ds:datastoreItem>
</file>

<file path=customXml/itemProps34.xml><?xml version="1.0" encoding="utf-8"?>
<ds:datastoreItem xmlns:ds="http://schemas.openxmlformats.org/officeDocument/2006/customXml" ds:itemID="{BB63E957-2D86-41A0-8397-0E6140EE51AC}">
  <ds:schemaRefs/>
</ds:datastoreItem>
</file>

<file path=customXml/itemProps35.xml><?xml version="1.0" encoding="utf-8"?>
<ds:datastoreItem xmlns:ds="http://schemas.openxmlformats.org/officeDocument/2006/customXml" ds:itemID="{97EE2AB5-5F6C-45F8-88C3-9FC861A8BBC8}">
  <ds:schemaRefs/>
</ds:datastoreItem>
</file>

<file path=customXml/itemProps36.xml><?xml version="1.0" encoding="utf-8"?>
<ds:datastoreItem xmlns:ds="http://schemas.openxmlformats.org/officeDocument/2006/customXml" ds:itemID="{F7F2D8D3-6B47-4721-B350-FF2E73B5D918}">
  <ds:schemaRefs/>
</ds:datastoreItem>
</file>

<file path=customXml/itemProps37.xml><?xml version="1.0" encoding="utf-8"?>
<ds:datastoreItem xmlns:ds="http://schemas.openxmlformats.org/officeDocument/2006/customXml" ds:itemID="{F1516354-154F-45FC-AB74-D2997451C5F2}">
  <ds:schemaRefs/>
</ds:datastoreItem>
</file>

<file path=customXml/itemProps38.xml><?xml version="1.0" encoding="utf-8"?>
<ds:datastoreItem xmlns:ds="http://schemas.openxmlformats.org/officeDocument/2006/customXml" ds:itemID="{0FC8A381-A41B-44C6-8105-90B3E5B2B4F5}">
  <ds:schemaRefs/>
</ds:datastoreItem>
</file>

<file path=customXml/itemProps39.xml><?xml version="1.0" encoding="utf-8"?>
<ds:datastoreItem xmlns:ds="http://schemas.openxmlformats.org/officeDocument/2006/customXml" ds:itemID="{8145BEDB-BE79-4B7C-84C7-6107E158EEEC}">
  <ds:schemaRefs/>
</ds:datastoreItem>
</file>

<file path=customXml/itemProps40.xml><?xml version="1.0" encoding="utf-8"?>
<ds:datastoreItem xmlns:ds="http://schemas.openxmlformats.org/officeDocument/2006/customXml" ds:itemID="{2E4FFDB4-FD66-4A97-A407-9EA7C4024AE7}">
  <ds:schemaRefs/>
</ds:datastoreItem>
</file>

<file path=customXml/itemProps41.xml><?xml version="1.0" encoding="utf-8"?>
<ds:datastoreItem xmlns:ds="http://schemas.openxmlformats.org/officeDocument/2006/customXml" ds:itemID="{B3542EF0-6536-40CE-B935-E0CF55315232}">
  <ds:schemaRefs/>
</ds:datastoreItem>
</file>

<file path=customXml/itemProps42.xml><?xml version="1.0" encoding="utf-8"?>
<ds:datastoreItem xmlns:ds="http://schemas.openxmlformats.org/officeDocument/2006/customXml" ds:itemID="{47AF4F71-C261-4A58-90A0-2859C2D3B2B5}">
  <ds:schemaRefs/>
</ds:datastoreItem>
</file>

<file path=customXml/itemProps43.xml><?xml version="1.0" encoding="utf-8"?>
<ds:datastoreItem xmlns:ds="http://schemas.openxmlformats.org/officeDocument/2006/customXml" ds:itemID="{2CA1005C-E2AA-439F-870A-00F826EFD91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Marcos Colasante</cp:lastModifiedBy>
  <cp:revision/>
  <cp:lastPrinted>2026-01-08T09:24:35Z</cp:lastPrinted>
  <dcterms:created xsi:type="dcterms:W3CDTF">2013-01-08T09:28:33Z</dcterms:created>
  <dcterms:modified xsi:type="dcterms:W3CDTF">2026-10-01T07:02:51Z</dcterms:modified>
  <cp:category/>
  <cp:contentStatus/>
</cp:coreProperties>
</file>