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6D1F524-743E-426B-925D-06D721ED18CF}" xr6:coauthVersionLast="47" xr6:coauthVersionMax="47" xr10:uidLastSave="{00000000-0000-0000-0000-000000000000}"/>
  <bookViews>
    <workbookView xWindow="-120" yWindow="-120" windowWidth="29040" windowHeight="15840" activeTab="1" xr2:uid="{811FDA0C-40ED-4D4A-89BE-80408C09279F}"/>
  </bookViews>
  <sheets>
    <sheet name="Main" sheetId="2" r:id="rId1"/>
    <sheet name="Model" sheetId="1" r:id="rId2"/>
  </sheets>
  <definedNames>
    <definedName name="TR">Model!$AF$88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02" i="1" l="1"/>
  <c r="AA102" i="1"/>
  <c r="AB102" i="1"/>
  <c r="Z103" i="1"/>
  <c r="AA103" i="1"/>
  <c r="AB103" i="1"/>
  <c r="AF92" i="1"/>
  <c r="Q123" i="1"/>
  <c r="S108" i="1"/>
  <c r="T108" i="1"/>
  <c r="U108" i="1"/>
  <c r="V108" i="1"/>
  <c r="W108" i="1"/>
  <c r="X108" i="1"/>
  <c r="Y108" i="1"/>
  <c r="Z108" i="1"/>
  <c r="AA108" i="1"/>
  <c r="AB108" i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DC108" i="1" s="1"/>
  <c r="DD108" i="1" s="1"/>
  <c r="DE108" i="1" s="1"/>
  <c r="DF108" i="1" s="1"/>
  <c r="DG108" i="1" s="1"/>
  <c r="DH108" i="1" s="1"/>
  <c r="DI108" i="1" s="1"/>
  <c r="DJ108" i="1" s="1"/>
  <c r="DK108" i="1" s="1"/>
  <c r="DL108" i="1" s="1"/>
  <c r="DM108" i="1" s="1"/>
  <c r="DN108" i="1" s="1"/>
  <c r="R108" i="1"/>
  <c r="S106" i="1"/>
  <c r="T106" i="1"/>
  <c r="U106" i="1"/>
  <c r="V106" i="1"/>
  <c r="W106" i="1"/>
  <c r="X106" i="1"/>
  <c r="Y106" i="1"/>
  <c r="Z106" i="1"/>
  <c r="AA106" i="1"/>
  <c r="AB106" i="1"/>
  <c r="R106" i="1"/>
  <c r="T107" i="1"/>
  <c r="U107" i="1" s="1"/>
  <c r="V107" i="1" s="1"/>
  <c r="W107" i="1" s="1"/>
  <c r="X107" i="1" s="1"/>
  <c r="Y107" i="1" s="1"/>
  <c r="Z107" i="1" s="1"/>
  <c r="AA107" i="1" s="1"/>
  <c r="AB107" i="1" s="1"/>
  <c r="S107" i="1"/>
  <c r="Z105" i="1"/>
  <c r="AA105" i="1" s="1"/>
  <c r="AB105" i="1" s="1"/>
  <c r="S105" i="1"/>
  <c r="T105" i="1"/>
  <c r="U105" i="1" s="1"/>
  <c r="V105" i="1" s="1"/>
  <c r="W105" i="1" s="1"/>
  <c r="X105" i="1" s="1"/>
  <c r="Y105" i="1" s="1"/>
  <c r="R105" i="1"/>
  <c r="S26" i="1"/>
  <c r="T26" i="1" s="1"/>
  <c r="U26" i="1" s="1"/>
  <c r="V26" i="1" s="1"/>
  <c r="W26" i="1" s="1"/>
  <c r="X26" i="1" s="1"/>
  <c r="Y26" i="1" s="1"/>
  <c r="Z26" i="1" s="1"/>
  <c r="AA26" i="1" s="1"/>
  <c r="AB26" i="1" s="1"/>
  <c r="T12" i="1"/>
  <c r="U12" i="1" s="1"/>
  <c r="V12" i="1" s="1"/>
  <c r="W12" i="1" s="1"/>
  <c r="X12" i="1" s="1"/>
  <c r="Y12" i="1" s="1"/>
  <c r="Z12" i="1" s="1"/>
  <c r="AA12" i="1" s="1"/>
  <c r="AB12" i="1" s="1"/>
  <c r="T13" i="1"/>
  <c r="U13" i="1" s="1"/>
  <c r="V13" i="1" s="1"/>
  <c r="W13" i="1" s="1"/>
  <c r="X13" i="1" s="1"/>
  <c r="Y13" i="1" s="1"/>
  <c r="Z13" i="1" s="1"/>
  <c r="AA13" i="1" s="1"/>
  <c r="AB13" i="1" s="1"/>
  <c r="T11" i="1"/>
  <c r="U11" i="1" s="1"/>
  <c r="V11" i="1" s="1"/>
  <c r="W11" i="1" s="1"/>
  <c r="X11" i="1" s="1"/>
  <c r="Y11" i="1" s="1"/>
  <c r="Z11" i="1" s="1"/>
  <c r="AA11" i="1" s="1"/>
  <c r="AB11" i="1" s="1"/>
  <c r="T14" i="1"/>
  <c r="U14" i="1" s="1"/>
  <c r="V14" i="1" s="1"/>
  <c r="W14" i="1" s="1"/>
  <c r="X14" i="1" s="1"/>
  <c r="Y14" i="1" s="1"/>
  <c r="Z14" i="1" s="1"/>
  <c r="S14" i="1"/>
  <c r="S34" i="1"/>
  <c r="T34" i="1" s="1"/>
  <c r="R5" i="1"/>
  <c r="R30" i="1" s="1"/>
  <c r="S8" i="1"/>
  <c r="T8" i="1" s="1"/>
  <c r="U8" i="1" s="1"/>
  <c r="V8" i="1" s="1"/>
  <c r="W8" i="1" s="1"/>
  <c r="X8" i="1" s="1"/>
  <c r="Y8" i="1" s="1"/>
  <c r="Z8" i="1" s="1"/>
  <c r="AA8" i="1" s="1"/>
  <c r="AB8" i="1" s="1"/>
  <c r="R8" i="1"/>
  <c r="R7" i="1"/>
  <c r="S7" i="1" s="1"/>
  <c r="T7" i="1" s="1"/>
  <c r="U7" i="1" s="1"/>
  <c r="V7" i="1" s="1"/>
  <c r="W7" i="1" s="1"/>
  <c r="X7" i="1" s="1"/>
  <c r="Y7" i="1" s="1"/>
  <c r="Z7" i="1" s="1"/>
  <c r="AA7" i="1" s="1"/>
  <c r="AB7" i="1" s="1"/>
  <c r="S6" i="1"/>
  <c r="T6" i="1" s="1"/>
  <c r="U6" i="1" s="1"/>
  <c r="V6" i="1" s="1"/>
  <c r="W6" i="1" s="1"/>
  <c r="X6" i="1" s="1"/>
  <c r="Y6" i="1" s="1"/>
  <c r="Z6" i="1" s="1"/>
  <c r="R6" i="1"/>
  <c r="Q122" i="1"/>
  <c r="Q115" i="1"/>
  <c r="Q108" i="1"/>
  <c r="Q4" i="1"/>
  <c r="P155" i="1"/>
  <c r="O155" i="1"/>
  <c r="O4" i="1"/>
  <c r="O10" i="1" s="1"/>
  <c r="P4" i="1"/>
  <c r="P10" i="1" s="1"/>
  <c r="O159" i="1"/>
  <c r="P159" i="1"/>
  <c r="O137" i="1"/>
  <c r="P137" i="1"/>
  <c r="O143" i="1"/>
  <c r="O151" i="1" s="1"/>
  <c r="P143" i="1"/>
  <c r="P151" i="1" s="1"/>
  <c r="E124" i="1"/>
  <c r="E122" i="1"/>
  <c r="E116" i="1"/>
  <c r="E115" i="1"/>
  <c r="R78" i="1"/>
  <c r="F30" i="1"/>
  <c r="F78" i="1"/>
  <c r="C27" i="1"/>
  <c r="E27" i="1"/>
  <c r="F31" i="1"/>
  <c r="F75" i="1" s="1"/>
  <c r="F32" i="1"/>
  <c r="F76" i="1" s="1"/>
  <c r="F33" i="1"/>
  <c r="F77" i="1" s="1"/>
  <c r="O17" i="1"/>
  <c r="O18" i="1"/>
  <c r="O19" i="1"/>
  <c r="O20" i="1"/>
  <c r="P20" i="1"/>
  <c r="P19" i="1"/>
  <c r="P18" i="1"/>
  <c r="P17" i="1"/>
  <c r="C11" i="1"/>
  <c r="C12" i="1"/>
  <c r="C13" i="1"/>
  <c r="C14" i="1"/>
  <c r="E12" i="1"/>
  <c r="E13" i="1"/>
  <c r="E14" i="1"/>
  <c r="E11" i="1"/>
  <c r="C17" i="1"/>
  <c r="C18" i="1"/>
  <c r="C19" i="1"/>
  <c r="C20" i="1"/>
  <c r="E18" i="1"/>
  <c r="E19" i="1"/>
  <c r="E20" i="1"/>
  <c r="E17" i="1"/>
  <c r="C23" i="1"/>
  <c r="C24" i="1"/>
  <c r="C25" i="1"/>
  <c r="C26" i="1"/>
  <c r="E24" i="1"/>
  <c r="E25" i="1"/>
  <c r="E26" i="1"/>
  <c r="E23" i="1"/>
  <c r="D8" i="1"/>
  <c r="D7" i="1"/>
  <c r="D6" i="1"/>
  <c r="D5" i="1"/>
  <c r="D78" i="1"/>
  <c r="D77" i="1"/>
  <c r="D76" i="1"/>
  <c r="D75" i="1"/>
  <c r="D74" i="1"/>
  <c r="R87" i="1"/>
  <c r="R94" i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R93" i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R86" i="1"/>
  <c r="R85" i="1"/>
  <c r="O35" i="1"/>
  <c r="O34" i="1"/>
  <c r="O27" i="1" s="1"/>
  <c r="O33" i="1"/>
  <c r="O26" i="1" s="1"/>
  <c r="O32" i="1"/>
  <c r="O25" i="1" s="1"/>
  <c r="O31" i="1"/>
  <c r="O24" i="1" s="1"/>
  <c r="O30" i="1"/>
  <c r="O23" i="1" s="1"/>
  <c r="I20" i="2"/>
  <c r="G20" i="2"/>
  <c r="F20" i="2"/>
  <c r="E20" i="2"/>
  <c r="D20" i="2"/>
  <c r="C20" i="2"/>
  <c r="H19" i="2"/>
  <c r="J19" i="2" s="1"/>
  <c r="H18" i="2"/>
  <c r="J18" i="2" s="1"/>
  <c r="H17" i="2"/>
  <c r="J17" i="2" s="1"/>
  <c r="H16" i="2"/>
  <c r="J16" i="2" s="1"/>
  <c r="H15" i="2"/>
  <c r="J15" i="2" s="1"/>
  <c r="H14" i="2"/>
  <c r="P35" i="1"/>
  <c r="P34" i="1"/>
  <c r="D34" i="1" s="1"/>
  <c r="P33" i="1"/>
  <c r="D33" i="1" s="1"/>
  <c r="P32" i="1"/>
  <c r="P25" i="1" s="1"/>
  <c r="P31" i="1"/>
  <c r="P24" i="1" s="1"/>
  <c r="P30" i="1"/>
  <c r="D30" i="1" s="1"/>
  <c r="D10" i="2"/>
  <c r="E10" i="2"/>
  <c r="F10" i="2"/>
  <c r="G10" i="2"/>
  <c r="H10" i="2"/>
  <c r="I10" i="2"/>
  <c r="J10" i="2"/>
  <c r="C10" i="2"/>
  <c r="J9" i="2"/>
  <c r="J8" i="2"/>
  <c r="J7" i="2"/>
  <c r="J6" i="2"/>
  <c r="J5" i="2"/>
  <c r="J4" i="2"/>
  <c r="H9" i="2"/>
  <c r="H8" i="2"/>
  <c r="H7" i="2"/>
  <c r="H6" i="2"/>
  <c r="H5" i="2"/>
  <c r="H4" i="2"/>
  <c r="P108" i="1"/>
  <c r="O108" i="1"/>
  <c r="O124" i="1"/>
  <c r="P124" i="1"/>
  <c r="O122" i="1"/>
  <c r="P122" i="1"/>
  <c r="O115" i="1"/>
  <c r="P115" i="1"/>
  <c r="O116" i="1"/>
  <c r="P116" i="1"/>
  <c r="P84" i="1"/>
  <c r="P92" i="1" s="1"/>
  <c r="P95" i="1" s="1"/>
  <c r="P97" i="1" s="1"/>
  <c r="P103" i="1" s="1"/>
  <c r="O84" i="1"/>
  <c r="O92" i="1" s="1"/>
  <c r="O95" i="1" s="1"/>
  <c r="O97" i="1" s="1"/>
  <c r="O103" i="1" s="1"/>
  <c r="P2" i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F90" i="1" l="1"/>
  <c r="U34" i="1"/>
  <c r="U78" i="1" s="1"/>
  <c r="T78" i="1"/>
  <c r="S78" i="1"/>
  <c r="Z32" i="1"/>
  <c r="Z76" i="1" s="1"/>
  <c r="Z31" i="1"/>
  <c r="Z75" i="1" s="1"/>
  <c r="Z33" i="1"/>
  <c r="Z77" i="1" s="1"/>
  <c r="AA14" i="1"/>
  <c r="V34" i="1"/>
  <c r="V78" i="1" s="1"/>
  <c r="S5" i="1"/>
  <c r="T5" i="1" s="1"/>
  <c r="U5" i="1" s="1"/>
  <c r="V5" i="1" s="1"/>
  <c r="W5" i="1" s="1"/>
  <c r="X5" i="1" s="1"/>
  <c r="Y5" i="1" s="1"/>
  <c r="Z5" i="1" s="1"/>
  <c r="AA5" i="1" s="1"/>
  <c r="AB5" i="1" s="1"/>
  <c r="AA6" i="1"/>
  <c r="E126" i="1"/>
  <c r="D20" i="1"/>
  <c r="P160" i="1"/>
  <c r="P156" i="1" s="1"/>
  <c r="P157" i="1" s="1"/>
  <c r="P44" i="1"/>
  <c r="P45" i="1"/>
  <c r="P46" i="1"/>
  <c r="P47" i="1"/>
  <c r="O44" i="1"/>
  <c r="O45" i="1"/>
  <c r="O46" i="1"/>
  <c r="O47" i="1"/>
  <c r="P141" i="1"/>
  <c r="Q20" i="1"/>
  <c r="O160" i="1"/>
  <c r="O156" i="1" s="1"/>
  <c r="O157" i="1" s="1"/>
  <c r="Q27" i="1"/>
  <c r="F19" i="1"/>
  <c r="R4" i="1"/>
  <c r="D27" i="1"/>
  <c r="Q13" i="1"/>
  <c r="Q11" i="1"/>
  <c r="Q18" i="1"/>
  <c r="F20" i="1"/>
  <c r="E120" i="1"/>
  <c r="E128" i="1" s="1"/>
  <c r="F18" i="1"/>
  <c r="Q12" i="1"/>
  <c r="F74" i="1"/>
  <c r="P27" i="1"/>
  <c r="D11" i="1"/>
  <c r="D14" i="1"/>
  <c r="Q19" i="1"/>
  <c r="P11" i="1"/>
  <c r="P14" i="1"/>
  <c r="D18" i="1"/>
  <c r="D19" i="1"/>
  <c r="P13" i="1"/>
  <c r="P12" i="1"/>
  <c r="O14" i="1"/>
  <c r="P23" i="1"/>
  <c r="O13" i="1"/>
  <c r="O12" i="1"/>
  <c r="D23" i="1"/>
  <c r="O11" i="1"/>
  <c r="P26" i="1"/>
  <c r="D26" i="1"/>
  <c r="D17" i="1"/>
  <c r="D32" i="1"/>
  <c r="D13" i="1" s="1"/>
  <c r="O79" i="1"/>
  <c r="D31" i="1"/>
  <c r="D12" i="1" s="1"/>
  <c r="O120" i="1"/>
  <c r="P111" i="1"/>
  <c r="P120" i="1"/>
  <c r="P126" i="1"/>
  <c r="O126" i="1"/>
  <c r="H20" i="2"/>
  <c r="J14" i="2"/>
  <c r="J20" i="2" s="1"/>
  <c r="O111" i="1"/>
  <c r="P99" i="1"/>
  <c r="O99" i="1"/>
  <c r="O101" i="1"/>
  <c r="O102" i="1"/>
  <c r="P101" i="1"/>
  <c r="P102" i="1"/>
  <c r="Z4" i="1" l="1"/>
  <c r="Z30" i="1"/>
  <c r="AA31" i="1"/>
  <c r="AA75" i="1" s="1"/>
  <c r="AB31" i="1"/>
  <c r="AB75" i="1" s="1"/>
  <c r="AA32" i="1"/>
  <c r="AA76" i="1" s="1"/>
  <c r="AB32" i="1"/>
  <c r="AB76" i="1" s="1"/>
  <c r="AB30" i="1"/>
  <c r="AA30" i="1"/>
  <c r="AA33" i="1"/>
  <c r="AB14" i="1"/>
  <c r="AB33" i="1" s="1"/>
  <c r="W34" i="1"/>
  <c r="W78" i="1" s="1"/>
  <c r="AA4" i="1"/>
  <c r="AB6" i="1"/>
  <c r="AB4" i="1" s="1"/>
  <c r="P161" i="1"/>
  <c r="P163" i="1" s="1"/>
  <c r="O161" i="1"/>
  <c r="O163" i="1" s="1"/>
  <c r="Q17" i="1"/>
  <c r="R74" i="1"/>
  <c r="R17" i="1" s="1"/>
  <c r="Q25" i="1"/>
  <c r="R32" i="1"/>
  <c r="R76" i="1" s="1"/>
  <c r="R19" i="1" s="1"/>
  <c r="S4" i="1"/>
  <c r="T32" i="1"/>
  <c r="T76" i="1" s="1"/>
  <c r="S30" i="1"/>
  <c r="S74" i="1" s="1"/>
  <c r="S32" i="1"/>
  <c r="Q24" i="1"/>
  <c r="Q26" i="1"/>
  <c r="Q14" i="1"/>
  <c r="S31" i="1"/>
  <c r="F17" i="1"/>
  <c r="R31" i="1"/>
  <c r="R75" i="1" s="1"/>
  <c r="R18" i="1" s="1"/>
  <c r="D25" i="1"/>
  <c r="D24" i="1"/>
  <c r="P128" i="1"/>
  <c r="O128" i="1"/>
  <c r="Q35" i="1"/>
  <c r="P112" i="1"/>
  <c r="AB77" i="1" l="1"/>
  <c r="AB74" i="1"/>
  <c r="S76" i="1"/>
  <c r="S19" i="1" s="1"/>
  <c r="S75" i="1"/>
  <c r="S18" i="1" s="1"/>
  <c r="AA74" i="1"/>
  <c r="Z74" i="1"/>
  <c r="AA77" i="1"/>
  <c r="X34" i="1"/>
  <c r="X78" i="1" s="1"/>
  <c r="T4" i="1"/>
  <c r="S17" i="1"/>
  <c r="Q23" i="1"/>
  <c r="T30" i="1"/>
  <c r="T74" i="1" s="1"/>
  <c r="R33" i="1"/>
  <c r="R77" i="1" s="1"/>
  <c r="Q79" i="1"/>
  <c r="T31" i="1"/>
  <c r="U32" i="1"/>
  <c r="U76" i="1" s="1"/>
  <c r="T19" i="1"/>
  <c r="T75" i="1" l="1"/>
  <c r="T18" i="1" s="1"/>
  <c r="Y34" i="1"/>
  <c r="Q84" i="1"/>
  <c r="Q92" i="1" s="1"/>
  <c r="Q102" i="1" s="1"/>
  <c r="Q10" i="1"/>
  <c r="U4" i="1"/>
  <c r="T17" i="1"/>
  <c r="R20" i="1"/>
  <c r="S33" i="1"/>
  <c r="S77" i="1" s="1"/>
  <c r="U31" i="1"/>
  <c r="R35" i="1"/>
  <c r="R79" i="1" s="1"/>
  <c r="U30" i="1"/>
  <c r="U74" i="1" s="1"/>
  <c r="V32" i="1"/>
  <c r="V76" i="1" s="1"/>
  <c r="U19" i="1"/>
  <c r="Z34" i="1" l="1"/>
  <c r="Y78" i="1"/>
  <c r="Q95" i="1"/>
  <c r="Q97" i="1" s="1"/>
  <c r="U75" i="1"/>
  <c r="U18" i="1" s="1"/>
  <c r="V4" i="1"/>
  <c r="Q99" i="1"/>
  <c r="Q103" i="1"/>
  <c r="R92" i="1"/>
  <c r="V31" i="1"/>
  <c r="V30" i="1"/>
  <c r="V74" i="1" s="1"/>
  <c r="S35" i="1"/>
  <c r="S79" i="1" s="1"/>
  <c r="T33" i="1"/>
  <c r="T77" i="1" s="1"/>
  <c r="W32" i="1"/>
  <c r="W76" i="1" s="1"/>
  <c r="U17" i="1"/>
  <c r="W4" i="1"/>
  <c r="R82" i="1"/>
  <c r="V19" i="1"/>
  <c r="V75" i="1" l="1"/>
  <c r="V18" i="1" s="1"/>
  <c r="AA34" i="1"/>
  <c r="Z78" i="1"/>
  <c r="Z35" i="1"/>
  <c r="Z79" i="1" s="1"/>
  <c r="R95" i="1"/>
  <c r="R96" i="1" s="1"/>
  <c r="R97" i="1" s="1"/>
  <c r="R102" i="1"/>
  <c r="R83" i="1"/>
  <c r="R84" i="1" s="1"/>
  <c r="R10" i="1"/>
  <c r="V17" i="1"/>
  <c r="U33" i="1"/>
  <c r="U77" i="1" s="1"/>
  <c r="S20" i="1"/>
  <c r="W30" i="1"/>
  <c r="W74" i="1" s="1"/>
  <c r="T35" i="1"/>
  <c r="T79" i="1" s="1"/>
  <c r="Y32" i="1"/>
  <c r="Y76" i="1" s="1"/>
  <c r="X32" i="1"/>
  <c r="X76" i="1" s="1"/>
  <c r="S82" i="1"/>
  <c r="S92" i="1"/>
  <c r="X4" i="1"/>
  <c r="W31" i="1"/>
  <c r="W19" i="1"/>
  <c r="W75" i="1" l="1"/>
  <c r="W18" i="1" s="1"/>
  <c r="Z92" i="1"/>
  <c r="Z95" i="1" s="1"/>
  <c r="Z96" i="1" s="1"/>
  <c r="Z97" i="1" s="1"/>
  <c r="Z99" i="1" s="1"/>
  <c r="Z82" i="1"/>
  <c r="Z10" i="1" s="1"/>
  <c r="AB34" i="1"/>
  <c r="AA78" i="1"/>
  <c r="AA35" i="1"/>
  <c r="AA79" i="1" s="1"/>
  <c r="AA82" i="1"/>
  <c r="AA10" i="1" s="1"/>
  <c r="S95" i="1"/>
  <c r="S96" i="1" s="1"/>
  <c r="S97" i="1" s="1"/>
  <c r="S102" i="1"/>
  <c r="R99" i="1"/>
  <c r="R103" i="1"/>
  <c r="S10" i="1"/>
  <c r="W17" i="1"/>
  <c r="T82" i="1"/>
  <c r="T92" i="1"/>
  <c r="U35" i="1"/>
  <c r="U79" i="1" s="1"/>
  <c r="U92" i="1" s="1"/>
  <c r="T20" i="1"/>
  <c r="Y31" i="1"/>
  <c r="X31" i="1"/>
  <c r="V33" i="1"/>
  <c r="V77" i="1" s="1"/>
  <c r="X30" i="1"/>
  <c r="X74" i="1" s="1"/>
  <c r="Y19" i="1"/>
  <c r="X19" i="1"/>
  <c r="X75" i="1" l="1"/>
  <c r="X18" i="1" s="1"/>
  <c r="AA92" i="1"/>
  <c r="AA95" i="1" s="1"/>
  <c r="AA96" i="1" s="1"/>
  <c r="AA97" i="1" s="1"/>
  <c r="AA99" i="1" s="1"/>
  <c r="AB78" i="1"/>
  <c r="AB35" i="1"/>
  <c r="AB79" i="1" s="1"/>
  <c r="AB82" i="1"/>
  <c r="AB10" i="1" s="1"/>
  <c r="Y75" i="1"/>
  <c r="Y18" i="1" s="1"/>
  <c r="T95" i="1"/>
  <c r="T96" i="1" s="1"/>
  <c r="T97" i="1" s="1"/>
  <c r="T102" i="1"/>
  <c r="S99" i="1"/>
  <c r="S103" i="1"/>
  <c r="T10" i="1"/>
  <c r="Y30" i="1"/>
  <c r="Y74" i="1" s="1"/>
  <c r="Y4" i="1"/>
  <c r="V35" i="1"/>
  <c r="V79" i="1" s="1"/>
  <c r="W33" i="1"/>
  <c r="W77" i="1" s="1"/>
  <c r="X17" i="1"/>
  <c r="U82" i="1"/>
  <c r="U20" i="1"/>
  <c r="AB92" i="1" l="1"/>
  <c r="AB95" i="1" s="1"/>
  <c r="AB96" i="1" s="1"/>
  <c r="AB97" i="1" s="1"/>
  <c r="AB99" i="1" s="1"/>
  <c r="U95" i="1"/>
  <c r="U96" i="1" s="1"/>
  <c r="U97" i="1" s="1"/>
  <c r="U102" i="1"/>
  <c r="V82" i="1"/>
  <c r="T99" i="1"/>
  <c r="T103" i="1"/>
  <c r="U10" i="1"/>
  <c r="V10" i="1"/>
  <c r="W35" i="1"/>
  <c r="W79" i="1" s="1"/>
  <c r="Y33" i="1"/>
  <c r="X33" i="1"/>
  <c r="X77" i="1" s="1"/>
  <c r="Y17" i="1"/>
  <c r="V20" i="1"/>
  <c r="V92" i="1"/>
  <c r="Y77" i="1" l="1"/>
  <c r="V95" i="1"/>
  <c r="V96" i="1" s="1"/>
  <c r="V97" i="1" s="1"/>
  <c r="V102" i="1"/>
  <c r="W82" i="1"/>
  <c r="U99" i="1"/>
  <c r="U103" i="1"/>
  <c r="Y35" i="1"/>
  <c r="X35" i="1"/>
  <c r="X79" i="1" s="1"/>
  <c r="W20" i="1"/>
  <c r="W92" i="1"/>
  <c r="Y82" i="1" l="1"/>
  <c r="Y10" i="1" s="1"/>
  <c r="Y79" i="1"/>
  <c r="Y92" i="1"/>
  <c r="Y20" i="1"/>
  <c r="W10" i="1"/>
  <c r="Y102" i="1"/>
  <c r="W95" i="1"/>
  <c r="W96" i="1" s="1"/>
  <c r="W97" i="1" s="1"/>
  <c r="W102" i="1"/>
  <c r="V99" i="1"/>
  <c r="V103" i="1"/>
  <c r="X92" i="1"/>
  <c r="X82" i="1"/>
  <c r="X20" i="1"/>
  <c r="Y95" i="1" l="1"/>
  <c r="Y96" i="1" s="1"/>
  <c r="Y97" i="1" s="1"/>
  <c r="Y99" i="1" s="1"/>
  <c r="X95" i="1"/>
  <c r="X96" i="1" s="1"/>
  <c r="X97" i="1" s="1"/>
  <c r="X102" i="1"/>
  <c r="W99" i="1"/>
  <c r="W103" i="1"/>
  <c r="X10" i="1"/>
  <c r="Y103" i="1" l="1"/>
  <c r="X99" i="1"/>
  <c r="X103" i="1"/>
</calcChain>
</file>

<file path=xl/sharedStrings.xml><?xml version="1.0" encoding="utf-8"?>
<sst xmlns="http://schemas.openxmlformats.org/spreadsheetml/2006/main" count="169" uniqueCount="90">
  <si>
    <t>Revenue</t>
  </si>
  <si>
    <t>COGS</t>
  </si>
  <si>
    <t>Profit</t>
  </si>
  <si>
    <t>Selling</t>
  </si>
  <si>
    <t>R&amp;D</t>
  </si>
  <si>
    <t>Other Income</t>
  </si>
  <si>
    <t>Other Expense</t>
  </si>
  <si>
    <t>Equity</t>
  </si>
  <si>
    <t>EBIT</t>
  </si>
  <si>
    <t>Interest Income</t>
  </si>
  <si>
    <t>Interest Expense</t>
  </si>
  <si>
    <t>Pretax</t>
  </si>
  <si>
    <t>Taxes</t>
  </si>
  <si>
    <t>Net Income</t>
  </si>
  <si>
    <t>Equity, net</t>
  </si>
  <si>
    <t>Finance, net</t>
  </si>
  <si>
    <t>Gross Margin</t>
  </si>
  <si>
    <t>EBIT Margin</t>
  </si>
  <si>
    <t>Net Margin</t>
  </si>
  <si>
    <t>Minority</t>
  </si>
  <si>
    <t>Company Income</t>
  </si>
  <si>
    <t>Cash</t>
  </si>
  <si>
    <t>Securities</t>
  </si>
  <si>
    <t>AR (Finance)</t>
  </si>
  <si>
    <t>AR (Trade)</t>
  </si>
  <si>
    <t>PP&amp;E</t>
  </si>
  <si>
    <t>Assets</t>
  </si>
  <si>
    <t>Debt</t>
  </si>
  <si>
    <t>AP (Trade)</t>
  </si>
  <si>
    <t>AP (Finance)</t>
  </si>
  <si>
    <t>Liabilities</t>
  </si>
  <si>
    <t>Pension</t>
  </si>
  <si>
    <t>NAV</t>
  </si>
  <si>
    <t>CFFO</t>
  </si>
  <si>
    <t>CapEx</t>
  </si>
  <si>
    <t>AR-AP</t>
  </si>
  <si>
    <t>Change</t>
  </si>
  <si>
    <t>Trucks NA</t>
  </si>
  <si>
    <t>Mercedes</t>
  </si>
  <si>
    <t>Trucks Asia</t>
  </si>
  <si>
    <t>Daimler Buses</t>
  </si>
  <si>
    <t>Financial Service</t>
  </si>
  <si>
    <t>Europe</t>
  </si>
  <si>
    <t>NA</t>
  </si>
  <si>
    <t>Asia</t>
  </si>
  <si>
    <t>Latin America</t>
  </si>
  <si>
    <t>Other Markets</t>
  </si>
  <si>
    <t>Other Revenue</t>
  </si>
  <si>
    <t>Financials</t>
  </si>
  <si>
    <t>Total</t>
  </si>
  <si>
    <t>Recon</t>
  </si>
  <si>
    <t>Reconsiliation</t>
  </si>
  <si>
    <t>Terminal</t>
  </si>
  <si>
    <t>Discount</t>
  </si>
  <si>
    <t>NPV</t>
  </si>
  <si>
    <t>Shares</t>
  </si>
  <si>
    <t>Price</t>
  </si>
  <si>
    <t>H1 23</t>
  </si>
  <si>
    <t>H2 23</t>
  </si>
  <si>
    <t>H1 24</t>
  </si>
  <si>
    <t>H2 24</t>
  </si>
  <si>
    <t>Units</t>
  </si>
  <si>
    <t>Revenue/Unit</t>
  </si>
  <si>
    <t>EBIT/Unit</t>
  </si>
  <si>
    <t>COGS:</t>
  </si>
  <si>
    <t>Good Prices</t>
  </si>
  <si>
    <t>D&amp;A</t>
  </si>
  <si>
    <t>Refinancing</t>
  </si>
  <si>
    <t>Impairment</t>
  </si>
  <si>
    <t>Other Costs</t>
  </si>
  <si>
    <t>Employee Costs:</t>
  </si>
  <si>
    <t>Salaries</t>
  </si>
  <si>
    <t>Social Securities</t>
  </si>
  <si>
    <t>Pensions</t>
  </si>
  <si>
    <t>Employees:</t>
  </si>
  <si>
    <t>Mercedes Trucks</t>
  </si>
  <si>
    <t>HQ</t>
  </si>
  <si>
    <t>Salary/Employee</t>
  </si>
  <si>
    <t>HQ Salary (Est.)</t>
  </si>
  <si>
    <t>Financial (Est.)</t>
  </si>
  <si>
    <t>G&amp;A Salary</t>
  </si>
  <si>
    <t>COGS Salary</t>
  </si>
  <si>
    <t>Material Cost</t>
  </si>
  <si>
    <t>Material/Unit</t>
  </si>
  <si>
    <t>Gross Profit</t>
  </si>
  <si>
    <t>G&amp;A</t>
  </si>
  <si>
    <t>Industrial (Est.)</t>
  </si>
  <si>
    <t>German Salary</t>
  </si>
  <si>
    <t xml:space="preserve">Avg German </t>
  </si>
  <si>
    <t>FCFE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</si>
</sst>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9" fontId="0" fillId="0" borderId="0" xfId="1" applyFont="1"/>
    <xf numFmtId="3" fontId="2" fillId="0" borderId="0" xfId="0" applyNumberFormat="1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2" fontId="0" fillId="0" borderId="0" xfId="1" applyNumberFormat="1" applyFont="1"/>
    <xf numFmtId="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39414</xdr:rowOff>
    </xdr:from>
    <xdr:to>
      <xdr:col>19</xdr:col>
      <xdr:colOff>390524</xdr:colOff>
      <xdr:row>62</xdr:row>
      <xdr:rowOff>178816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2CFDC-0505-6FBD-BBCA-B9A37C7DB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20914"/>
          <a:ext cx="14329869" cy="756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41672</xdr:colOff>
      <xdr:row>4</xdr:row>
      <xdr:rowOff>11906</xdr:rowOff>
    </xdr:from>
    <xdr:to>
      <xdr:col>17</xdr:col>
      <xdr:colOff>47625</xdr:colOff>
      <xdr:row>110</xdr:row>
      <xdr:rowOff>5953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3CCC720-884F-D6A8-8AE5-C96E5FA4422D}"/>
            </a:ext>
          </a:extLst>
        </xdr:cNvPr>
        <xdr:cNvCxnSpPr/>
      </xdr:nvCxnSpPr>
      <xdr:spPr>
        <a:xfrm flipH="1">
          <a:off x="10406063" y="773906"/>
          <a:ext cx="5953" cy="201870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3D19-7912-4CB0-BDA5-DD0FA7FD46AC}">
  <dimension ref="B3:J20"/>
  <sheetViews>
    <sheetView topLeftCell="A45" zoomScale="145" zoomScaleNormal="145" workbookViewId="0">
      <selection activeCell="C22" sqref="C22"/>
    </sheetView>
  </sheetViews>
  <sheetFormatPr defaultRowHeight="15" x14ac:dyDescent="0.25"/>
  <cols>
    <col min="2" max="2" width="13.140625" bestFit="1" customWidth="1"/>
    <col min="3" max="9" width="13.5703125" customWidth="1"/>
  </cols>
  <sheetData>
    <row r="3" spans="2:10" x14ac:dyDescent="0.25">
      <c r="B3" s="4">
        <v>2023</v>
      </c>
      <c r="C3" t="s">
        <v>37</v>
      </c>
      <c r="D3" t="s">
        <v>38</v>
      </c>
      <c r="E3" t="s">
        <v>39</v>
      </c>
      <c r="F3" t="s">
        <v>40</v>
      </c>
      <c r="G3" t="s">
        <v>48</v>
      </c>
      <c r="H3" t="s">
        <v>49</v>
      </c>
      <c r="I3" t="s">
        <v>50</v>
      </c>
    </row>
    <row r="4" spans="2:10" x14ac:dyDescent="0.25">
      <c r="B4" t="s">
        <v>42</v>
      </c>
      <c r="C4">
        <v>180</v>
      </c>
      <c r="D4">
        <v>14397</v>
      </c>
      <c r="E4">
        <v>480</v>
      </c>
      <c r="F4">
        <v>3039</v>
      </c>
      <c r="G4">
        <v>104</v>
      </c>
      <c r="H4">
        <f t="shared" ref="H4:H9" si="0">+SUM(C4:G4)</f>
        <v>18200</v>
      </c>
      <c r="I4">
        <v>1046</v>
      </c>
      <c r="J4">
        <f t="shared" ref="J4:J9" si="1">+H4-I4</f>
        <v>17154</v>
      </c>
    </row>
    <row r="5" spans="2:10" x14ac:dyDescent="0.25">
      <c r="B5" t="s">
        <v>43</v>
      </c>
      <c r="C5">
        <v>22964</v>
      </c>
      <c r="D5">
        <v>1197</v>
      </c>
      <c r="E5">
        <v>108</v>
      </c>
      <c r="F5">
        <v>440</v>
      </c>
      <c r="G5">
        <v>37</v>
      </c>
      <c r="H5">
        <f t="shared" si="0"/>
        <v>24746</v>
      </c>
      <c r="I5">
        <v>1288</v>
      </c>
      <c r="J5">
        <f t="shared" si="1"/>
        <v>23458</v>
      </c>
    </row>
    <row r="6" spans="2:10" x14ac:dyDescent="0.25">
      <c r="B6" t="s">
        <v>44</v>
      </c>
      <c r="C6">
        <v>6</v>
      </c>
      <c r="D6">
        <v>1953</v>
      </c>
      <c r="E6">
        <v>5721</v>
      </c>
      <c r="F6">
        <v>94</v>
      </c>
      <c r="G6">
        <v>15</v>
      </c>
      <c r="H6">
        <f t="shared" si="0"/>
        <v>7789</v>
      </c>
      <c r="I6">
        <v>716</v>
      </c>
      <c r="J6">
        <f t="shared" si="1"/>
        <v>7073</v>
      </c>
    </row>
    <row r="7" spans="2:10" x14ac:dyDescent="0.25">
      <c r="B7" t="s">
        <v>45</v>
      </c>
      <c r="C7">
        <v>122</v>
      </c>
      <c r="D7">
        <v>2281</v>
      </c>
      <c r="E7">
        <v>171</v>
      </c>
      <c r="F7">
        <v>700</v>
      </c>
      <c r="G7">
        <v>21</v>
      </c>
      <c r="H7">
        <f t="shared" si="0"/>
        <v>3295</v>
      </c>
      <c r="I7">
        <v>249</v>
      </c>
      <c r="J7">
        <f t="shared" si="1"/>
        <v>3046</v>
      </c>
    </row>
    <row r="8" spans="2:10" x14ac:dyDescent="0.25">
      <c r="B8" t="s">
        <v>46</v>
      </c>
      <c r="C8">
        <v>190</v>
      </c>
      <c r="D8">
        <v>1157</v>
      </c>
      <c r="E8">
        <v>533</v>
      </c>
      <c r="F8">
        <v>102</v>
      </c>
      <c r="G8">
        <v>39</v>
      </c>
      <c r="H8">
        <f t="shared" si="0"/>
        <v>2021</v>
      </c>
      <c r="I8">
        <v>42</v>
      </c>
      <c r="J8">
        <f t="shared" si="1"/>
        <v>1979</v>
      </c>
    </row>
    <row r="9" spans="2:10" x14ac:dyDescent="0.25">
      <c r="B9" t="s">
        <v>47</v>
      </c>
      <c r="C9">
        <v>29</v>
      </c>
      <c r="D9">
        <v>652</v>
      </c>
      <c r="E9">
        <v>47</v>
      </c>
      <c r="F9">
        <v>192</v>
      </c>
      <c r="G9">
        <v>2458</v>
      </c>
      <c r="H9">
        <f t="shared" si="0"/>
        <v>3378</v>
      </c>
      <c r="I9">
        <v>199</v>
      </c>
      <c r="J9">
        <f t="shared" si="1"/>
        <v>3179</v>
      </c>
    </row>
    <row r="10" spans="2:10" x14ac:dyDescent="0.25">
      <c r="B10" t="s">
        <v>49</v>
      </c>
      <c r="C10">
        <f>+SUM(C4:C9)</f>
        <v>23491</v>
      </c>
      <c r="D10">
        <f t="shared" ref="D10:J10" si="2">+SUM(D4:D9)</f>
        <v>21637</v>
      </c>
      <c r="E10">
        <f t="shared" si="2"/>
        <v>7060</v>
      </c>
      <c r="F10">
        <f t="shared" si="2"/>
        <v>4567</v>
      </c>
      <c r="G10">
        <f t="shared" si="2"/>
        <v>2674</v>
      </c>
      <c r="H10">
        <f t="shared" si="2"/>
        <v>59429</v>
      </c>
      <c r="I10">
        <f t="shared" si="2"/>
        <v>3540</v>
      </c>
      <c r="J10">
        <f t="shared" si="2"/>
        <v>55889</v>
      </c>
    </row>
    <row r="13" spans="2:10" x14ac:dyDescent="0.25">
      <c r="B13" s="4">
        <v>2022</v>
      </c>
      <c r="C13" t="s">
        <v>37</v>
      </c>
      <c r="D13" t="s">
        <v>38</v>
      </c>
      <c r="E13" t="s">
        <v>39</v>
      </c>
      <c r="F13" t="s">
        <v>40</v>
      </c>
      <c r="G13" t="s">
        <v>48</v>
      </c>
      <c r="H13" t="s">
        <v>49</v>
      </c>
      <c r="I13" t="s">
        <v>50</v>
      </c>
    </row>
    <row r="14" spans="2:10" x14ac:dyDescent="0.25">
      <c r="B14" t="s">
        <v>42</v>
      </c>
      <c r="C14">
        <v>207</v>
      </c>
      <c r="D14">
        <v>12213</v>
      </c>
      <c r="E14">
        <v>381</v>
      </c>
      <c r="F14">
        <v>2456</v>
      </c>
      <c r="G14">
        <v>42</v>
      </c>
      <c r="H14">
        <f t="shared" ref="H14:H19" si="3">+SUM(C14:G14)</f>
        <v>15299</v>
      </c>
      <c r="I14">
        <v>864</v>
      </c>
      <c r="J14">
        <f t="shared" ref="J14:J19" si="4">+H14-I14</f>
        <v>14435</v>
      </c>
    </row>
    <row r="15" spans="2:10" x14ac:dyDescent="0.25">
      <c r="B15" t="s">
        <v>43</v>
      </c>
      <c r="C15">
        <v>21408</v>
      </c>
      <c r="D15">
        <v>1182</v>
      </c>
      <c r="E15">
        <v>130</v>
      </c>
      <c r="F15">
        <v>256</v>
      </c>
      <c r="G15">
        <v>46</v>
      </c>
      <c r="H15">
        <f t="shared" si="3"/>
        <v>23022</v>
      </c>
      <c r="I15">
        <v>1285</v>
      </c>
      <c r="J15">
        <f t="shared" si="4"/>
        <v>21737</v>
      </c>
    </row>
    <row r="16" spans="2:10" x14ac:dyDescent="0.25">
      <c r="B16" t="s">
        <v>44</v>
      </c>
      <c r="C16">
        <v>8</v>
      </c>
      <c r="D16">
        <v>1905</v>
      </c>
      <c r="E16">
        <v>5166</v>
      </c>
      <c r="F16">
        <v>62</v>
      </c>
      <c r="G16">
        <v>17</v>
      </c>
      <c r="H16">
        <f t="shared" si="3"/>
        <v>7158</v>
      </c>
      <c r="I16">
        <v>689</v>
      </c>
      <c r="J16">
        <f t="shared" si="4"/>
        <v>6469</v>
      </c>
    </row>
    <row r="17" spans="2:10" x14ac:dyDescent="0.25">
      <c r="B17" t="s">
        <v>45</v>
      </c>
      <c r="C17">
        <v>175</v>
      </c>
      <c r="D17">
        <v>3442</v>
      </c>
      <c r="E17">
        <v>222</v>
      </c>
      <c r="F17">
        <v>643</v>
      </c>
      <c r="G17">
        <v>22</v>
      </c>
      <c r="H17">
        <f t="shared" si="3"/>
        <v>4504</v>
      </c>
      <c r="I17">
        <v>253</v>
      </c>
      <c r="J17">
        <f t="shared" si="4"/>
        <v>4251</v>
      </c>
    </row>
    <row r="18" spans="2:10" x14ac:dyDescent="0.25">
      <c r="B18" t="s">
        <v>46</v>
      </c>
      <c r="C18">
        <v>187</v>
      </c>
      <c r="D18">
        <v>908</v>
      </c>
      <c r="E18">
        <v>567</v>
      </c>
      <c r="F18">
        <v>77</v>
      </c>
      <c r="G18">
        <v>49</v>
      </c>
      <c r="H18">
        <f t="shared" si="3"/>
        <v>1788</v>
      </c>
      <c r="I18">
        <v>48</v>
      </c>
      <c r="J18">
        <f t="shared" si="4"/>
        <v>1740</v>
      </c>
    </row>
    <row r="19" spans="2:10" x14ac:dyDescent="0.25">
      <c r="B19" t="s">
        <v>47</v>
      </c>
      <c r="C19">
        <v>54</v>
      </c>
      <c r="D19">
        <v>563</v>
      </c>
      <c r="E19">
        <v>33</v>
      </c>
      <c r="F19">
        <v>195</v>
      </c>
      <c r="G19">
        <v>1583</v>
      </c>
      <c r="H19">
        <f t="shared" si="3"/>
        <v>2428</v>
      </c>
      <c r="I19">
        <v>115</v>
      </c>
      <c r="J19">
        <f t="shared" si="4"/>
        <v>2313</v>
      </c>
    </row>
    <row r="20" spans="2:10" x14ac:dyDescent="0.25">
      <c r="B20" t="s">
        <v>49</v>
      </c>
      <c r="C20">
        <f>+SUM(C14:C19)</f>
        <v>22039</v>
      </c>
      <c r="D20">
        <f t="shared" ref="D20" si="5">+SUM(D14:D19)</f>
        <v>20213</v>
      </c>
      <c r="E20">
        <f t="shared" ref="E20" si="6">+SUM(E14:E19)</f>
        <v>6499</v>
      </c>
      <c r="F20">
        <f t="shared" ref="F20" si="7">+SUM(F14:F19)</f>
        <v>3689</v>
      </c>
      <c r="G20">
        <f t="shared" ref="G20" si="8">+SUM(G14:G19)</f>
        <v>1759</v>
      </c>
      <c r="H20">
        <f t="shared" ref="H20" si="9">+SUM(H14:H19)</f>
        <v>54199</v>
      </c>
      <c r="I20">
        <f t="shared" ref="I20" si="10">+SUM(I14:I19)</f>
        <v>3254</v>
      </c>
      <c r="J20">
        <f t="shared" ref="J20" si="11">+SUM(J14:J19)</f>
        <v>50945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A808-4CAF-483F-B77A-DD3EAF854CA8}">
  <dimension ref="B2:DN164"/>
  <sheetViews>
    <sheetView tabSelected="1" zoomScale="160" zoomScaleNormal="160" workbookViewId="0">
      <pane xSplit="2" ySplit="2" topLeftCell="O89" activePane="bottomRight" state="frozen"/>
      <selection pane="topRight" activeCell="C1" sqref="C1"/>
      <selection pane="bottomLeft" activeCell="A3" sqref="A3"/>
      <selection pane="bottomRight" activeCell="Y102" sqref="Y102:AB103"/>
    </sheetView>
  </sheetViews>
  <sheetFormatPr defaultRowHeight="15" x14ac:dyDescent="0.25"/>
  <cols>
    <col min="1" max="1" width="2.85546875" style="1" customWidth="1"/>
    <col min="2" max="2" width="16" style="1" bestFit="1" customWidth="1"/>
    <col min="3" max="16384" width="9.140625" style="1"/>
  </cols>
  <sheetData>
    <row r="2" spans="2:28" customFormat="1" x14ac:dyDescent="0.25">
      <c r="C2" t="s">
        <v>57</v>
      </c>
      <c r="D2" t="s">
        <v>58</v>
      </c>
      <c r="E2" t="s">
        <v>59</v>
      </c>
      <c r="F2" t="s">
        <v>60</v>
      </c>
      <c r="O2">
        <v>2022</v>
      </c>
      <c r="P2">
        <f>+O2+1</f>
        <v>2023</v>
      </c>
      <c r="Q2">
        <f t="shared" ref="Q2:Y2" si="0">+P2+1</f>
        <v>2024</v>
      </c>
      <c r="R2">
        <f t="shared" si="0"/>
        <v>2025</v>
      </c>
      <c r="S2">
        <f t="shared" si="0"/>
        <v>2026</v>
      </c>
      <c r="T2">
        <f t="shared" si="0"/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  <c r="Z2">
        <f t="shared" ref="Z2" si="1">+Y2+1</f>
        <v>2033</v>
      </c>
      <c r="AA2">
        <f t="shared" ref="AA2" si="2">+Z2+1</f>
        <v>2034</v>
      </c>
      <c r="AB2">
        <f t="shared" ref="AB2" si="3">+AA2+1</f>
        <v>2035</v>
      </c>
    </row>
    <row r="4" spans="2:28" s="3" customFormat="1" x14ac:dyDescent="0.25">
      <c r="B4" s="3" t="s">
        <v>61</v>
      </c>
      <c r="O4" s="3">
        <f>+SUM(O5:O8)</f>
        <v>533156</v>
      </c>
      <c r="P4" s="3">
        <f>+SUM(P5:P8)</f>
        <v>540864</v>
      </c>
      <c r="Q4" s="3">
        <f>+SUM(Q5:Q8)</f>
        <v>468785</v>
      </c>
      <c r="R4" s="3">
        <f t="shared" ref="R4:AB4" si="4">+SUM(R5:R8)</f>
        <v>424698.8</v>
      </c>
      <c r="S4" s="3">
        <f t="shared" si="4"/>
        <v>453496.56579999998</v>
      </c>
      <c r="T4" s="3">
        <f t="shared" si="4"/>
        <v>561567.26933600008</v>
      </c>
      <c r="U4" s="3">
        <f t="shared" si="4"/>
        <v>584304.92889027996</v>
      </c>
      <c r="V4" s="3">
        <f t="shared" si="4"/>
        <v>588948.81726213265</v>
      </c>
      <c r="W4" s="3">
        <f t="shared" si="4"/>
        <v>606973.14343854634</v>
      </c>
      <c r="X4" s="3">
        <f t="shared" si="4"/>
        <v>622302.78213200835</v>
      </c>
      <c r="Y4" s="3">
        <f t="shared" si="4"/>
        <v>638072.72018424026</v>
      </c>
      <c r="Z4" s="3">
        <f t="shared" si="4"/>
        <v>654296.74476705852</v>
      </c>
      <c r="AA4" s="3">
        <f t="shared" si="4"/>
        <v>670575.91751193244</v>
      </c>
      <c r="AB4" s="3">
        <f t="shared" si="4"/>
        <v>687309.20791661099</v>
      </c>
    </row>
    <row r="5" spans="2:28" x14ac:dyDescent="0.25">
      <c r="B5" s="1" t="s">
        <v>37</v>
      </c>
      <c r="C5" s="1">
        <v>99509</v>
      </c>
      <c r="D5" s="1">
        <f>+P5-C5</f>
        <v>95505</v>
      </c>
      <c r="E5" s="1">
        <v>94450</v>
      </c>
      <c r="F5" s="1">
        <v>93000</v>
      </c>
      <c r="O5" s="1">
        <v>186779</v>
      </c>
      <c r="P5" s="1">
        <v>195014</v>
      </c>
      <c r="Q5" s="1">
        <v>190428</v>
      </c>
      <c r="R5" s="1">
        <f>+Q5*0.75</f>
        <v>142821</v>
      </c>
      <c r="S5" s="1">
        <f>+R5*1.125</f>
        <v>160673.625</v>
      </c>
      <c r="T5" s="1">
        <f>+S5*1.6</f>
        <v>257077.80000000002</v>
      </c>
      <c r="U5" s="1">
        <f>+T5*1.04</f>
        <v>267360.91200000001</v>
      </c>
      <c r="V5" s="1">
        <f>+U5*0.97</f>
        <v>259340.08464000002</v>
      </c>
      <c r="W5" s="1">
        <f>+V5*1.02</f>
        <v>264526.88633280003</v>
      </c>
      <c r="X5" s="1">
        <f>+W5*1.015</f>
        <v>268494.78962779202</v>
      </c>
      <c r="Y5" s="1">
        <f t="shared" ref="Y5:AB5" si="5">+X5*1.015</f>
        <v>272522.2114722089</v>
      </c>
      <c r="Z5" s="1">
        <f t="shared" si="5"/>
        <v>276610.04464429204</v>
      </c>
      <c r="AA5" s="1">
        <f t="shared" si="5"/>
        <v>280759.19531395641</v>
      </c>
      <c r="AB5" s="1">
        <f t="shared" si="5"/>
        <v>284970.58324366575</v>
      </c>
    </row>
    <row r="6" spans="2:28" x14ac:dyDescent="0.25">
      <c r="B6" s="1" t="s">
        <v>75</v>
      </c>
      <c r="C6" s="1">
        <v>73728</v>
      </c>
      <c r="D6" s="1">
        <f>+P6-C6</f>
        <v>84783</v>
      </c>
      <c r="E6" s="1">
        <v>62489</v>
      </c>
      <c r="F6" s="1">
        <v>60000</v>
      </c>
      <c r="O6" s="1">
        <v>166369</v>
      </c>
      <c r="P6" s="1">
        <v>158511</v>
      </c>
      <c r="Q6" s="1">
        <v>126477</v>
      </c>
      <c r="R6" s="1">
        <f>+Q6*0.96</f>
        <v>121417.92</v>
      </c>
      <c r="S6" s="1">
        <f>+R6*1.035</f>
        <v>125667.54719999999</v>
      </c>
      <c r="T6" s="1">
        <f t="shared" ref="T6:AB6" si="6">+S6*1.035</f>
        <v>130065.91135199998</v>
      </c>
      <c r="U6" s="1">
        <f t="shared" si="6"/>
        <v>134618.21824931997</v>
      </c>
      <c r="V6" s="1">
        <f t="shared" si="6"/>
        <v>139329.85588804615</v>
      </c>
      <c r="W6" s="1">
        <f t="shared" si="6"/>
        <v>144206.40084412775</v>
      </c>
      <c r="X6" s="1">
        <f t="shared" si="6"/>
        <v>149253.6248736722</v>
      </c>
      <c r="Y6" s="1">
        <f t="shared" si="6"/>
        <v>154477.50174425071</v>
      </c>
      <c r="Z6" s="1">
        <f t="shared" si="6"/>
        <v>159884.21430529948</v>
      </c>
      <c r="AA6" s="1">
        <f t="shared" si="6"/>
        <v>165480.16180598494</v>
      </c>
      <c r="AB6" s="1">
        <f t="shared" si="6"/>
        <v>171271.96746919441</v>
      </c>
    </row>
    <row r="7" spans="2:28" x14ac:dyDescent="0.25">
      <c r="B7" s="1" t="s">
        <v>39</v>
      </c>
      <c r="C7" s="1">
        <v>80307</v>
      </c>
      <c r="D7" s="1">
        <f>+P7-C7</f>
        <v>80864</v>
      </c>
      <c r="E7" s="1">
        <v>65799</v>
      </c>
      <c r="F7" s="1">
        <v>60000</v>
      </c>
      <c r="O7" s="1">
        <v>155967</v>
      </c>
      <c r="P7" s="1">
        <v>161171</v>
      </c>
      <c r="Q7" s="1">
        <v>125234</v>
      </c>
      <c r="R7" s="1">
        <f>+Q7*1.06</f>
        <v>132748.04</v>
      </c>
      <c r="S7" s="1">
        <f t="shared" ref="S7" si="7">+R7*1.04</f>
        <v>138057.96160000001</v>
      </c>
      <c r="T7" s="1">
        <f t="shared" ref="T7" si="8">+S7*1.04</f>
        <v>143580.28006400002</v>
      </c>
      <c r="U7" s="1">
        <f t="shared" ref="U7" si="9">+T7*1.04</f>
        <v>149323.49126656001</v>
      </c>
      <c r="V7" s="1">
        <f t="shared" ref="V7" si="10">+U7*1.04</f>
        <v>155296.43091722243</v>
      </c>
      <c r="W7" s="1">
        <f t="shared" ref="W7" si="11">+V7*1.04</f>
        <v>161508.28815391133</v>
      </c>
      <c r="X7" s="1">
        <f>+W7*1.03</f>
        <v>166353.53679852869</v>
      </c>
      <c r="Y7" s="1">
        <f t="shared" ref="Y7:AB7" si="12">+X7*1.03</f>
        <v>171344.14290248454</v>
      </c>
      <c r="Z7" s="1">
        <f t="shared" si="12"/>
        <v>176484.46718955907</v>
      </c>
      <c r="AA7" s="1">
        <f t="shared" si="12"/>
        <v>181779.00120524585</v>
      </c>
      <c r="AB7" s="1">
        <f t="shared" si="12"/>
        <v>187232.37124140322</v>
      </c>
    </row>
    <row r="8" spans="2:28" x14ac:dyDescent="0.25">
      <c r="B8" s="1" t="s">
        <v>40</v>
      </c>
      <c r="C8" s="1">
        <v>11751</v>
      </c>
      <c r="D8" s="1">
        <f>+P8-C8</f>
        <v>14417</v>
      </c>
      <c r="E8" s="1">
        <v>12252</v>
      </c>
      <c r="F8" s="1">
        <v>15000</v>
      </c>
      <c r="O8" s="1">
        <v>24041</v>
      </c>
      <c r="P8" s="1">
        <v>26168</v>
      </c>
      <c r="Q8" s="1">
        <v>26646</v>
      </c>
      <c r="R8" s="1">
        <f>+Q8*1.04</f>
        <v>27711.84</v>
      </c>
      <c r="S8" s="1">
        <f>+R8*1.05</f>
        <v>29097.432000000001</v>
      </c>
      <c r="T8" s="1">
        <f>+S8*1.06</f>
        <v>30843.277920000004</v>
      </c>
      <c r="U8" s="1">
        <f>+T8*1.07</f>
        <v>33002.307374400007</v>
      </c>
      <c r="V8" s="1">
        <f>+U8*1.06</f>
        <v>34982.445816864012</v>
      </c>
      <c r="W8" s="1">
        <f>+V8*1.05</f>
        <v>36731.568107707215</v>
      </c>
      <c r="X8" s="1">
        <f>+W8*1.04</f>
        <v>38200.830832015505</v>
      </c>
      <c r="Y8" s="1">
        <f t="shared" ref="Y8:Z8" si="13">+X8*1.04</f>
        <v>39728.864065296126</v>
      </c>
      <c r="Z8" s="1">
        <f t="shared" si="13"/>
        <v>41318.018627907972</v>
      </c>
      <c r="AA8" s="1">
        <f>+Z8*1.03</f>
        <v>42557.559186745209</v>
      </c>
      <c r="AB8" s="1">
        <f>+AA8*1.03</f>
        <v>43834.285962347567</v>
      </c>
    </row>
    <row r="9" spans="2:28" x14ac:dyDescent="0.25">
      <c r="E9" s="5"/>
    </row>
    <row r="10" spans="2:28" s="3" customFormat="1" x14ac:dyDescent="0.25">
      <c r="B10" s="3" t="s">
        <v>62</v>
      </c>
      <c r="O10" s="3">
        <f t="shared" ref="O10:AB10" si="14">+O82/O4 *1000000</f>
        <v>95553.646587490337</v>
      </c>
      <c r="P10" s="3">
        <f t="shared" si="14"/>
        <v>103334.66453674121</v>
      </c>
      <c r="Q10" s="3">
        <f t="shared" si="14"/>
        <v>115355.65344454281</v>
      </c>
      <c r="R10" s="3">
        <f t="shared" si="14"/>
        <v>111520.76457748408</v>
      </c>
      <c r="S10" s="3">
        <f t="shared" si="14"/>
        <v>113864.15582972545</v>
      </c>
      <c r="T10" s="3">
        <f t="shared" si="14"/>
        <v>119569.57695712942</v>
      </c>
      <c r="U10" s="3">
        <f t="shared" si="14"/>
        <v>123437.84464675032</v>
      </c>
      <c r="V10" s="3">
        <f t="shared" si="14"/>
        <v>127035.91030876776</v>
      </c>
      <c r="W10" s="3">
        <f t="shared" si="14"/>
        <v>130938.3675720992</v>
      </c>
      <c r="X10" s="3">
        <f t="shared" si="14"/>
        <v>135086.23332832113</v>
      </c>
      <c r="Y10" s="3">
        <f t="shared" si="14"/>
        <v>139370.62750428868</v>
      </c>
      <c r="Z10" s="3">
        <f>+Z82/Z4 *1000000</f>
        <v>143798.31660334821</v>
      </c>
      <c r="AA10" s="3">
        <f t="shared" si="14"/>
        <v>148275.30470137476</v>
      </c>
      <c r="AB10" s="3">
        <f t="shared" si="14"/>
        <v>152894.51325597332</v>
      </c>
    </row>
    <row r="11" spans="2:28" x14ac:dyDescent="0.25">
      <c r="B11" s="1" t="s">
        <v>37</v>
      </c>
      <c r="C11" s="1">
        <f t="shared" ref="C11:D11" si="15">+C30/C5 *1000000</f>
        <v>118361.15326251896</v>
      </c>
      <c r="D11" s="1">
        <f t="shared" si="15"/>
        <v>122642.79357101722</v>
      </c>
      <c r="E11" s="1">
        <f>+E30/E5 *1000000</f>
        <v>125177.34250926416</v>
      </c>
      <c r="F11" s="1">
        <v>125000</v>
      </c>
      <c r="O11" s="1">
        <f t="shared" ref="O11:Q14" si="16">+O30/O5 *1000000</f>
        <v>117995.06368488962</v>
      </c>
      <c r="P11" s="1">
        <f t="shared" si="16"/>
        <v>120458.01839867908</v>
      </c>
      <c r="Q11" s="1">
        <f t="shared" si="16"/>
        <v>124881.84510681202</v>
      </c>
      <c r="R11" s="1">
        <v>135000</v>
      </c>
      <c r="S11" s="1">
        <v>135000</v>
      </c>
      <c r="T11" s="1">
        <f>+S11*1.03</f>
        <v>139050</v>
      </c>
      <c r="U11" s="1">
        <f t="shared" ref="U11:AB11" si="17">+T11*1.03</f>
        <v>143221.5</v>
      </c>
      <c r="V11" s="1">
        <f t="shared" si="17"/>
        <v>147518.14499999999</v>
      </c>
      <c r="W11" s="1">
        <f t="shared" si="17"/>
        <v>151943.68935</v>
      </c>
      <c r="X11" s="1">
        <f t="shared" si="17"/>
        <v>156502.0000305</v>
      </c>
      <c r="Y11" s="1">
        <f t="shared" si="17"/>
        <v>161197.06003141499</v>
      </c>
      <c r="Z11" s="1">
        <f t="shared" si="17"/>
        <v>166032.97183235743</v>
      </c>
      <c r="AA11" s="1">
        <f t="shared" si="17"/>
        <v>171013.96098732817</v>
      </c>
      <c r="AB11" s="1">
        <f t="shared" si="17"/>
        <v>176144.37981694803</v>
      </c>
    </row>
    <row r="12" spans="2:28" x14ac:dyDescent="0.25">
      <c r="B12" s="1" t="s">
        <v>38</v>
      </c>
      <c r="C12" s="1">
        <f t="shared" ref="C12:D14" si="18">+C31/C6 *1000000</f>
        <v>142998.58940972222</v>
      </c>
      <c r="D12" s="1">
        <f t="shared" si="18"/>
        <v>130851.70376136726</v>
      </c>
      <c r="E12" s="1">
        <f>+E31/E6 *1000000</f>
        <v>150554.49759157613</v>
      </c>
      <c r="F12" s="1">
        <v>150000</v>
      </c>
      <c r="O12" s="1">
        <f t="shared" si="16"/>
        <v>121494.99005223329</v>
      </c>
      <c r="P12" s="1">
        <f t="shared" si="16"/>
        <v>136501.56771454346</v>
      </c>
      <c r="Q12" s="1">
        <f t="shared" si="16"/>
        <v>150976.06679475319</v>
      </c>
      <c r="R12" s="1">
        <v>130000</v>
      </c>
      <c r="S12" s="1">
        <v>135000</v>
      </c>
      <c r="T12" s="1">
        <f t="shared" ref="T12:AB12" si="19">+S12*1.03</f>
        <v>139050</v>
      </c>
      <c r="U12" s="1">
        <f t="shared" si="19"/>
        <v>143221.5</v>
      </c>
      <c r="V12" s="1">
        <f t="shared" si="19"/>
        <v>147518.14499999999</v>
      </c>
      <c r="W12" s="1">
        <f t="shared" si="19"/>
        <v>151943.68935</v>
      </c>
      <c r="X12" s="1">
        <f t="shared" si="19"/>
        <v>156502.0000305</v>
      </c>
      <c r="Y12" s="1">
        <f t="shared" si="19"/>
        <v>161197.06003141499</v>
      </c>
      <c r="Z12" s="1">
        <f t="shared" si="19"/>
        <v>166032.97183235743</v>
      </c>
      <c r="AA12" s="1">
        <f t="shared" si="19"/>
        <v>171013.96098732817</v>
      </c>
      <c r="AB12" s="1">
        <f t="shared" si="19"/>
        <v>176144.37981694803</v>
      </c>
    </row>
    <row r="13" spans="2:28" x14ac:dyDescent="0.25">
      <c r="B13" s="1" t="s">
        <v>39</v>
      </c>
      <c r="C13" s="1">
        <f t="shared" si="18"/>
        <v>42922.783817101874</v>
      </c>
      <c r="D13" s="1">
        <f t="shared" si="18"/>
        <v>44679.956470122677</v>
      </c>
      <c r="E13" s="1">
        <f>+E32/E7 *1000000</f>
        <v>44286.387331114449</v>
      </c>
      <c r="F13" s="1">
        <v>44000</v>
      </c>
      <c r="O13" s="1">
        <f t="shared" si="16"/>
        <v>41669.071021434022</v>
      </c>
      <c r="P13" s="1">
        <f t="shared" si="16"/>
        <v>43804.406499928642</v>
      </c>
      <c r="Q13" s="1">
        <f t="shared" si="16"/>
        <v>48796.652666208858</v>
      </c>
      <c r="R13" s="1">
        <v>46000</v>
      </c>
      <c r="S13" s="1">
        <v>45000</v>
      </c>
      <c r="T13" s="1">
        <f t="shared" ref="T13:AB13" si="20">+S13*1.03</f>
        <v>46350</v>
      </c>
      <c r="U13" s="1">
        <f t="shared" si="20"/>
        <v>47740.5</v>
      </c>
      <c r="V13" s="1">
        <f t="shared" si="20"/>
        <v>49172.715000000004</v>
      </c>
      <c r="W13" s="1">
        <f t="shared" si="20"/>
        <v>50647.896450000007</v>
      </c>
      <c r="X13" s="1">
        <f t="shared" si="20"/>
        <v>52167.33334350001</v>
      </c>
      <c r="Y13" s="1">
        <f t="shared" si="20"/>
        <v>53732.353343805014</v>
      </c>
      <c r="Z13" s="1">
        <f t="shared" si="20"/>
        <v>55344.323944119169</v>
      </c>
      <c r="AA13" s="1">
        <f t="shared" si="20"/>
        <v>57004.653662442746</v>
      </c>
      <c r="AB13" s="1">
        <f t="shared" si="20"/>
        <v>58714.793272316027</v>
      </c>
    </row>
    <row r="14" spans="2:28" x14ac:dyDescent="0.25">
      <c r="B14" s="1" t="s">
        <v>40</v>
      </c>
      <c r="C14" s="1">
        <f t="shared" si="18"/>
        <v>164071.14288145691</v>
      </c>
      <c r="D14" s="1">
        <f t="shared" si="18"/>
        <v>183047.79080252477</v>
      </c>
      <c r="E14" s="1">
        <f>+E33/E8 *1000000</f>
        <v>199314.39764936338</v>
      </c>
      <c r="F14" s="1">
        <v>200000</v>
      </c>
      <c r="O14" s="1">
        <f t="shared" si="16"/>
        <v>153446.19608169378</v>
      </c>
      <c r="P14" s="1">
        <f t="shared" si="16"/>
        <v>174526.13879547539</v>
      </c>
      <c r="Q14" s="1">
        <f t="shared" si="16"/>
        <v>196915.10920963748</v>
      </c>
      <c r="R14" s="1">
        <v>213000</v>
      </c>
      <c r="S14" s="1">
        <f>+R14*1.06</f>
        <v>225780</v>
      </c>
      <c r="T14" s="1">
        <f>+S14*1.05</f>
        <v>237069</v>
      </c>
      <c r="U14" s="1">
        <f t="shared" ref="U14:AB14" si="21">+T14*1.05</f>
        <v>248922.45</v>
      </c>
      <c r="V14" s="1">
        <f t="shared" si="21"/>
        <v>261368.57250000001</v>
      </c>
      <c r="W14" s="1">
        <f t="shared" si="21"/>
        <v>274437.00112500001</v>
      </c>
      <c r="X14" s="1">
        <f t="shared" si="21"/>
        <v>288158.85118125001</v>
      </c>
      <c r="Y14" s="1">
        <f t="shared" si="21"/>
        <v>302566.79374031251</v>
      </c>
      <c r="Z14" s="1">
        <f t="shared" si="21"/>
        <v>317695.13342732814</v>
      </c>
      <c r="AA14" s="1">
        <f t="shared" si="21"/>
        <v>333579.89009869454</v>
      </c>
      <c r="AB14" s="1">
        <f t="shared" si="21"/>
        <v>350258.8846036293</v>
      </c>
    </row>
    <row r="15" spans="2:28" x14ac:dyDescent="0.25">
      <c r="P15" s="5"/>
      <c r="Q15" s="5"/>
      <c r="R15" s="5"/>
    </row>
    <row r="16" spans="2:28" s="3" customFormat="1" x14ac:dyDescent="0.25">
      <c r="B16" s="3" t="s">
        <v>63</v>
      </c>
    </row>
    <row r="17" spans="2:28" x14ac:dyDescent="0.25">
      <c r="B17" s="1" t="s">
        <v>37</v>
      </c>
      <c r="C17" s="1">
        <f t="shared" ref="C17:F20" si="22">+C74/C5 *1000000</f>
        <v>14651.941030459557</v>
      </c>
      <c r="D17" s="1">
        <f t="shared" si="22"/>
        <v>14962.567404847914</v>
      </c>
      <c r="E17" s="1">
        <f t="shared" si="22"/>
        <v>16919.004764425623</v>
      </c>
      <c r="F17" s="1">
        <f t="shared" si="22"/>
        <v>16875</v>
      </c>
      <c r="O17" s="1">
        <f t="shared" ref="O17:Y17" si="23">+O74/O5 *1000000</f>
        <v>12720.916162951937</v>
      </c>
      <c r="P17" s="1">
        <f t="shared" si="23"/>
        <v>14804.065349154418</v>
      </c>
      <c r="Q17" s="1">
        <f t="shared" si="23"/>
        <v>15795.996387085932</v>
      </c>
      <c r="R17" s="1">
        <f>+R74/R5 *1000000</f>
        <v>16874.999999999996</v>
      </c>
      <c r="S17" s="1">
        <f t="shared" si="23"/>
        <v>16875</v>
      </c>
      <c r="T17" s="1">
        <f t="shared" si="23"/>
        <v>17381.249999999996</v>
      </c>
      <c r="U17" s="1">
        <f t="shared" si="23"/>
        <v>17902.6875</v>
      </c>
      <c r="V17" s="1">
        <f t="shared" si="23"/>
        <v>18439.768124999999</v>
      </c>
      <c r="W17" s="1">
        <f t="shared" si="23"/>
        <v>18992.96116875</v>
      </c>
      <c r="X17" s="1">
        <f t="shared" si="23"/>
        <v>19562.7500038125</v>
      </c>
      <c r="Y17" s="1">
        <f t="shared" si="23"/>
        <v>20149.632503926874</v>
      </c>
    </row>
    <row r="18" spans="2:28" x14ac:dyDescent="0.25">
      <c r="B18" s="1" t="s">
        <v>38</v>
      </c>
      <c r="C18" s="1">
        <f t="shared" si="22"/>
        <v>12858.072916666666</v>
      </c>
      <c r="D18" s="1">
        <f t="shared" si="22"/>
        <v>12856.350919406012</v>
      </c>
      <c r="E18" s="1">
        <f t="shared" si="22"/>
        <v>10033.765942805934</v>
      </c>
      <c r="F18" s="1">
        <f t="shared" si="22"/>
        <v>10500.000000000002</v>
      </c>
      <c r="O18" s="1">
        <f t="shared" ref="O18:Y18" si="24">+O75/O6 *1000000</f>
        <v>7140.7533855465863</v>
      </c>
      <c r="P18" s="1">
        <f t="shared" si="24"/>
        <v>12857.151869586338</v>
      </c>
      <c r="Q18" s="1">
        <f t="shared" si="24"/>
        <v>8554.9151229077215</v>
      </c>
      <c r="R18" s="1">
        <f t="shared" si="24"/>
        <v>7800</v>
      </c>
      <c r="S18" s="1">
        <f t="shared" si="24"/>
        <v>8100.0000000000009</v>
      </c>
      <c r="T18" s="1">
        <f t="shared" si="24"/>
        <v>8343</v>
      </c>
      <c r="U18" s="1">
        <f t="shared" si="24"/>
        <v>8593.2899999999991</v>
      </c>
      <c r="V18" s="1">
        <f t="shared" si="24"/>
        <v>8851.0886999999966</v>
      </c>
      <c r="W18" s="1">
        <f t="shared" si="24"/>
        <v>9116.6213609999995</v>
      </c>
      <c r="X18" s="1">
        <f t="shared" si="24"/>
        <v>9390.1200018299987</v>
      </c>
      <c r="Y18" s="1">
        <f t="shared" si="24"/>
        <v>9671.8236018848966</v>
      </c>
    </row>
    <row r="19" spans="2:28" x14ac:dyDescent="0.25">
      <c r="B19" s="1" t="s">
        <v>39</v>
      </c>
      <c r="C19" s="1">
        <f t="shared" si="22"/>
        <v>2129.3287011094922</v>
      </c>
      <c r="D19" s="1">
        <f t="shared" si="22"/>
        <v>1966.2643450732094</v>
      </c>
      <c r="E19" s="1">
        <f t="shared" si="22"/>
        <v>-501.5273788355446</v>
      </c>
      <c r="F19" s="1">
        <f t="shared" si="22"/>
        <v>-440</v>
      </c>
      <c r="O19" s="1">
        <f t="shared" ref="O19:Y19" si="25">+O76/O7 *1000000</f>
        <v>1032.2696467842557</v>
      </c>
      <c r="P19" s="1">
        <f t="shared" si="25"/>
        <v>2047.5147514130952</v>
      </c>
      <c r="Q19" s="1">
        <f t="shared" si="25"/>
        <v>503.05827490936969</v>
      </c>
      <c r="R19" s="1">
        <f t="shared" si="25"/>
        <v>920</v>
      </c>
      <c r="S19" s="1">
        <f t="shared" si="25"/>
        <v>900.00000000000011</v>
      </c>
      <c r="T19" s="1">
        <f t="shared" si="25"/>
        <v>1158.75</v>
      </c>
      <c r="U19" s="1">
        <f t="shared" si="25"/>
        <v>1432.2150000000001</v>
      </c>
      <c r="V19" s="1">
        <f t="shared" si="25"/>
        <v>1475.18145</v>
      </c>
      <c r="W19" s="1">
        <f t="shared" si="25"/>
        <v>1519.4368935000002</v>
      </c>
      <c r="X19" s="1">
        <f t="shared" si="25"/>
        <v>1565.0200003050002</v>
      </c>
      <c r="Y19" s="1">
        <f t="shared" si="25"/>
        <v>1611.9706003141503</v>
      </c>
    </row>
    <row r="20" spans="2:28" x14ac:dyDescent="0.25">
      <c r="B20" s="1" t="s">
        <v>40</v>
      </c>
      <c r="C20" s="1">
        <f t="shared" si="22"/>
        <v>3574.1639009446008</v>
      </c>
      <c r="D20" s="1">
        <f t="shared" si="22"/>
        <v>11930.359991676492</v>
      </c>
      <c r="E20" s="1">
        <f t="shared" si="22"/>
        <v>14201.762977473065</v>
      </c>
      <c r="F20" s="1">
        <f t="shared" si="22"/>
        <v>15000</v>
      </c>
      <c r="O20" s="1">
        <f t="shared" ref="O20:Y20" si="26">+O77/O8 *1000000</f>
        <v>-2162.9715902000753</v>
      </c>
      <c r="P20" s="1">
        <f t="shared" si="26"/>
        <v>8177.9272393763376</v>
      </c>
      <c r="Q20" s="1">
        <f t="shared" si="26"/>
        <v>16024.919312467162</v>
      </c>
      <c r="R20" s="1">
        <f t="shared" si="26"/>
        <v>17040</v>
      </c>
      <c r="S20" s="1">
        <f t="shared" si="26"/>
        <v>18513.96</v>
      </c>
      <c r="T20" s="1">
        <f t="shared" si="26"/>
        <v>19913.796000000002</v>
      </c>
      <c r="U20" s="1">
        <f t="shared" si="26"/>
        <v>21407.330700000006</v>
      </c>
      <c r="V20" s="1">
        <f t="shared" si="26"/>
        <v>23000.434380000002</v>
      </c>
      <c r="W20" s="1">
        <f t="shared" si="26"/>
        <v>24699.330101250005</v>
      </c>
      <c r="X20" s="1">
        <f t="shared" si="26"/>
        <v>26510.614308675005</v>
      </c>
      <c r="Y20" s="1">
        <f t="shared" si="26"/>
        <v>28441.27861158938</v>
      </c>
    </row>
    <row r="22" spans="2:28" s="3" customFormat="1" x14ac:dyDescent="0.25">
      <c r="B22" s="3" t="s">
        <v>17</v>
      </c>
    </row>
    <row r="23" spans="2:28" s="7" customFormat="1" x14ac:dyDescent="0.25">
      <c r="B23" s="7" t="s">
        <v>37</v>
      </c>
      <c r="C23" s="7">
        <f t="shared" ref="C23:E27" si="27">+C74/C30</f>
        <v>0.12379011716760061</v>
      </c>
      <c r="D23" s="7">
        <f t="shared" si="27"/>
        <v>0.12200119525313755</v>
      </c>
      <c r="E23" s="7">
        <f t="shared" si="27"/>
        <v>0.13516028080859341</v>
      </c>
      <c r="F23" s="7">
        <v>0.13500000000000001</v>
      </c>
      <c r="O23" s="7">
        <f t="shared" ref="O23:Q27" si="28">+O74/O30</f>
        <v>0.10780888425064658</v>
      </c>
      <c r="P23" s="7">
        <f t="shared" si="28"/>
        <v>0.12289813119918266</v>
      </c>
      <c r="Q23" s="7">
        <f t="shared" si="28"/>
        <v>0.12648753206341196</v>
      </c>
      <c r="R23" s="7">
        <v>0.125</v>
      </c>
      <c r="S23" s="7">
        <v>0.125</v>
      </c>
      <c r="T23" s="7">
        <v>0.125</v>
      </c>
      <c r="U23" s="7">
        <v>0.125</v>
      </c>
      <c r="V23" s="7">
        <v>0.125</v>
      </c>
      <c r="W23" s="7">
        <v>0.125</v>
      </c>
      <c r="X23" s="7">
        <v>0.125</v>
      </c>
      <c r="Y23" s="7">
        <v>0.125</v>
      </c>
      <c r="Z23" s="7">
        <v>0.125</v>
      </c>
      <c r="AA23" s="7">
        <v>0.125</v>
      </c>
      <c r="AB23" s="7">
        <v>0.125</v>
      </c>
    </row>
    <row r="24" spans="2:28" s="7" customFormat="1" x14ac:dyDescent="0.25">
      <c r="B24" s="7" t="s">
        <v>38</v>
      </c>
      <c r="C24" s="7">
        <f t="shared" si="27"/>
        <v>8.9917480792943191E-2</v>
      </c>
      <c r="D24" s="7">
        <f t="shared" si="27"/>
        <v>9.8251307012799716E-2</v>
      </c>
      <c r="E24" s="7">
        <f t="shared" si="27"/>
        <v>6.6645408163265307E-2</v>
      </c>
      <c r="F24" s="7">
        <v>7.0000000000000007E-2</v>
      </c>
      <c r="O24" s="7">
        <f t="shared" si="28"/>
        <v>5.877405630040073E-2</v>
      </c>
      <c r="P24" s="7">
        <f t="shared" si="28"/>
        <v>9.4190507001894908E-2</v>
      </c>
      <c r="Q24" s="7">
        <f t="shared" si="28"/>
        <v>5.6664048180151874E-2</v>
      </c>
      <c r="R24" s="7">
        <v>0.06</v>
      </c>
      <c r="S24" s="7">
        <v>0.06</v>
      </c>
      <c r="T24" s="7">
        <v>0.06</v>
      </c>
      <c r="U24" s="7">
        <v>0.06</v>
      </c>
      <c r="V24" s="7">
        <v>0.06</v>
      </c>
      <c r="W24" s="7">
        <v>0.06</v>
      </c>
      <c r="X24" s="7">
        <v>0.06</v>
      </c>
      <c r="Y24" s="7">
        <v>0.06</v>
      </c>
      <c r="Z24" s="7">
        <v>0.06</v>
      </c>
      <c r="AA24" s="7">
        <v>0.06</v>
      </c>
      <c r="AB24" s="7">
        <v>0.06</v>
      </c>
    </row>
    <row r="25" spans="2:28" s="7" customFormat="1" x14ac:dyDescent="0.25">
      <c r="B25" s="7" t="s">
        <v>39</v>
      </c>
      <c r="C25" s="7">
        <f t="shared" si="27"/>
        <v>4.960835509138381E-2</v>
      </c>
      <c r="D25" s="7">
        <f t="shared" si="27"/>
        <v>4.4007749792416277E-2</v>
      </c>
      <c r="E25" s="7">
        <f t="shared" si="27"/>
        <v>-1.1324639670555936E-2</v>
      </c>
      <c r="F25" s="7">
        <v>-0.01</v>
      </c>
      <c r="O25" s="7">
        <f t="shared" si="28"/>
        <v>2.4773042006462534E-2</v>
      </c>
      <c r="P25" s="7">
        <f t="shared" si="28"/>
        <v>4.6742209631728045E-2</v>
      </c>
      <c r="Q25" s="7">
        <f t="shared" si="28"/>
        <v>1.0309278350515464E-2</v>
      </c>
      <c r="R25" s="7">
        <v>0.02</v>
      </c>
      <c r="S25" s="7">
        <v>0.02</v>
      </c>
      <c r="T25" s="7">
        <v>2.5000000000000001E-2</v>
      </c>
      <c r="U25" s="7">
        <v>0.03</v>
      </c>
      <c r="V25" s="7">
        <v>0.03</v>
      </c>
      <c r="W25" s="7">
        <v>0.03</v>
      </c>
      <c r="X25" s="7">
        <v>0.03</v>
      </c>
      <c r="Y25" s="7">
        <v>0.03</v>
      </c>
      <c r="Z25" s="7">
        <v>0.03</v>
      </c>
      <c r="AA25" s="7">
        <v>0.03</v>
      </c>
      <c r="AB25" s="7">
        <v>0.03</v>
      </c>
    </row>
    <row r="26" spans="2:28" s="7" customFormat="1" x14ac:dyDescent="0.25">
      <c r="B26" s="7" t="s">
        <v>40</v>
      </c>
      <c r="C26" s="7">
        <f t="shared" si="27"/>
        <v>2.1784232365145227E-2</v>
      </c>
      <c r="D26" s="7">
        <f t="shared" si="27"/>
        <v>6.5176203107237596E-2</v>
      </c>
      <c r="E26" s="7">
        <f t="shared" si="27"/>
        <v>7.125307125307126E-2</v>
      </c>
      <c r="F26" s="7">
        <v>7.4999999999999997E-2</v>
      </c>
      <c r="O26" s="7">
        <f t="shared" si="28"/>
        <v>-1.4095960965031174E-2</v>
      </c>
      <c r="P26" s="7">
        <f t="shared" si="28"/>
        <v>4.68578935844099E-2</v>
      </c>
      <c r="Q26" s="7">
        <f t="shared" si="28"/>
        <v>8.1379836096817232E-2</v>
      </c>
      <c r="R26" s="7">
        <v>0.08</v>
      </c>
      <c r="S26" s="7">
        <f>+R26+0.002</f>
        <v>8.2000000000000003E-2</v>
      </c>
      <c r="T26" s="7">
        <f t="shared" ref="T26:AB26" si="29">+S26+0.002</f>
        <v>8.4000000000000005E-2</v>
      </c>
      <c r="U26" s="7">
        <f t="shared" si="29"/>
        <v>8.6000000000000007E-2</v>
      </c>
      <c r="V26" s="7">
        <f t="shared" si="29"/>
        <v>8.8000000000000009E-2</v>
      </c>
      <c r="W26" s="7">
        <f t="shared" si="29"/>
        <v>9.0000000000000011E-2</v>
      </c>
      <c r="X26" s="7">
        <f t="shared" si="29"/>
        <v>9.2000000000000012E-2</v>
      </c>
      <c r="Y26" s="7">
        <f t="shared" si="29"/>
        <v>9.4000000000000014E-2</v>
      </c>
      <c r="Z26" s="7">
        <f t="shared" si="29"/>
        <v>9.6000000000000016E-2</v>
      </c>
      <c r="AA26" s="7">
        <f t="shared" si="29"/>
        <v>9.8000000000000018E-2</v>
      </c>
      <c r="AB26" s="7">
        <f t="shared" si="29"/>
        <v>0.10000000000000002</v>
      </c>
    </row>
    <row r="27" spans="2:28" s="7" customFormat="1" x14ac:dyDescent="0.25">
      <c r="B27" s="1" t="s">
        <v>41</v>
      </c>
      <c r="C27" s="7">
        <f t="shared" si="27"/>
        <v>7.9581993569131829E-2</v>
      </c>
      <c r="D27" s="7">
        <f t="shared" si="27"/>
        <v>6.0839160839160841E-2</v>
      </c>
      <c r="E27" s="7">
        <f t="shared" si="27"/>
        <v>3.7888198757763975E-2</v>
      </c>
      <c r="F27" s="7">
        <v>3.5000000000000003E-2</v>
      </c>
      <c r="O27" s="7">
        <f t="shared" si="28"/>
        <v>0.17623649801023308</v>
      </c>
      <c r="P27" s="7">
        <f t="shared" si="28"/>
        <v>6.9558713537771127E-2</v>
      </c>
      <c r="Q27" s="7">
        <f t="shared" si="28"/>
        <v>3.1793641271745651E-2</v>
      </c>
      <c r="R27" s="7">
        <v>3.5000000000000003E-2</v>
      </c>
      <c r="S27" s="7">
        <v>3.5000000000000003E-2</v>
      </c>
      <c r="T27" s="7">
        <v>3.5000000000000003E-2</v>
      </c>
      <c r="U27" s="7">
        <v>3.5000000000000003E-2</v>
      </c>
      <c r="V27" s="7">
        <v>3.5000000000000003E-2</v>
      </c>
      <c r="W27" s="7">
        <v>3.5000000000000003E-2</v>
      </c>
      <c r="X27" s="7">
        <v>3.5000000000000003E-2</v>
      </c>
      <c r="Y27" s="7">
        <v>3.5000000000000003E-2</v>
      </c>
      <c r="Z27" s="7">
        <v>3.5000000000000003E-2</v>
      </c>
      <c r="AA27" s="7">
        <v>3.5000000000000003E-2</v>
      </c>
      <c r="AB27" s="7">
        <v>3.5000000000000003E-2</v>
      </c>
    </row>
    <row r="29" spans="2:28" x14ac:dyDescent="0.25">
      <c r="B29" s="3" t="s">
        <v>0</v>
      </c>
    </row>
    <row r="30" spans="2:28" x14ac:dyDescent="0.25">
      <c r="B30" s="1" t="s">
        <v>37</v>
      </c>
      <c r="C30" s="1">
        <v>11778</v>
      </c>
      <c r="D30" s="1">
        <f>+P30-C30</f>
        <v>11713</v>
      </c>
      <c r="E30" s="1">
        <v>11823</v>
      </c>
      <c r="F30" s="1">
        <f>+F11*F5/1000000</f>
        <v>11625</v>
      </c>
      <c r="M30" s="7"/>
      <c r="O30" s="1">
        <f>+Main!C20</f>
        <v>22039</v>
      </c>
      <c r="P30" s="1">
        <f>+Main!C10</f>
        <v>23491</v>
      </c>
      <c r="Q30" s="1">
        <v>23781</v>
      </c>
      <c r="R30" s="1">
        <f>+R5*R11/1000000</f>
        <v>19280.834999999999</v>
      </c>
      <c r="S30" s="1">
        <f t="shared" ref="S30:Y30" si="30">+S5*S11/1000000</f>
        <v>21690.939375000002</v>
      </c>
      <c r="T30" s="1">
        <f t="shared" si="30"/>
        <v>35746.668089999999</v>
      </c>
      <c r="U30" s="1">
        <f t="shared" si="30"/>
        <v>38291.830858008005</v>
      </c>
      <c r="V30" s="1">
        <f t="shared" si="30"/>
        <v>38257.368210235793</v>
      </c>
      <c r="W30" s="1">
        <f t="shared" si="30"/>
        <v>40193.19104167373</v>
      </c>
      <c r="X30" s="1">
        <f t="shared" si="30"/>
        <v>42019.971574517796</v>
      </c>
      <c r="Y30" s="1">
        <f t="shared" si="30"/>
        <v>43929.779282579628</v>
      </c>
      <c r="Z30" s="1">
        <f t="shared" ref="Z30:AB30" si="31">+Z5*Z11/1000000</f>
        <v>45926.38775097287</v>
      </c>
      <c r="AA30" s="1">
        <f t="shared" si="31"/>
        <v>48013.742074254595</v>
      </c>
      <c r="AB30" s="1">
        <f t="shared" si="31"/>
        <v>50195.966651529467</v>
      </c>
    </row>
    <row r="31" spans="2:28" x14ac:dyDescent="0.25">
      <c r="B31" s="1" t="s">
        <v>38</v>
      </c>
      <c r="C31" s="1">
        <v>10543</v>
      </c>
      <c r="D31" s="1">
        <f>+P31-C31</f>
        <v>11094</v>
      </c>
      <c r="E31" s="1">
        <v>9408</v>
      </c>
      <c r="F31" s="1">
        <f>+F12*F6/1000000</f>
        <v>9000</v>
      </c>
      <c r="M31" s="7"/>
      <c r="O31" s="1">
        <f>+Main!D20</f>
        <v>20213</v>
      </c>
      <c r="P31" s="1">
        <f>+Main!D10</f>
        <v>21637</v>
      </c>
      <c r="Q31" s="1">
        <v>19095</v>
      </c>
      <c r="R31" s="1">
        <f t="shared" ref="R31:Y31" si="32">+R6*R12/1000000</f>
        <v>15784.329599999999</v>
      </c>
      <c r="S31" s="1">
        <f t="shared" si="32"/>
        <v>16965.118871999999</v>
      </c>
      <c r="T31" s="1">
        <f t="shared" si="32"/>
        <v>18085.664973495597</v>
      </c>
      <c r="U31" s="1">
        <f t="shared" si="32"/>
        <v>19280.22314499498</v>
      </c>
      <c r="V31" s="1">
        <f t="shared" si="32"/>
        <v>20553.681883721893</v>
      </c>
      <c r="W31" s="1">
        <f t="shared" si="32"/>
        <v>21911.252572141722</v>
      </c>
      <c r="X31" s="1">
        <f t="shared" si="32"/>
        <v>23358.490804531681</v>
      </c>
      <c r="Y31" s="1">
        <f t="shared" si="32"/>
        <v>24901.319122170993</v>
      </c>
      <c r="Z31" s="1">
        <f t="shared" ref="Z31:AB31" si="33">+Z6*Z12/1000000</f>
        <v>26546.051250190387</v>
      </c>
      <c r="AA31" s="1">
        <f t="shared" si="33"/>
        <v>28299.417935265461</v>
      </c>
      <c r="AB31" s="1">
        <f t="shared" si="33"/>
        <v>30168.594489889747</v>
      </c>
    </row>
    <row r="32" spans="2:28" x14ac:dyDescent="0.25">
      <c r="B32" s="1" t="s">
        <v>39</v>
      </c>
      <c r="C32" s="1">
        <v>3447</v>
      </c>
      <c r="D32" s="1">
        <f>+P32-C32</f>
        <v>3613</v>
      </c>
      <c r="E32" s="1">
        <v>2914</v>
      </c>
      <c r="F32" s="1">
        <f>+F13*F7/1000000</f>
        <v>2640</v>
      </c>
      <c r="M32" s="7"/>
      <c r="O32" s="1">
        <f>+Main!E20</f>
        <v>6499</v>
      </c>
      <c r="P32" s="1">
        <f>+Main!E10</f>
        <v>7060</v>
      </c>
      <c r="Q32" s="1">
        <v>6111</v>
      </c>
      <c r="R32" s="1">
        <f t="shared" ref="R32:Y32" si="34">+R7*R13/1000000</f>
        <v>6106.4098400000003</v>
      </c>
      <c r="S32" s="1">
        <f t="shared" si="34"/>
        <v>6212.6082720000004</v>
      </c>
      <c r="T32" s="1">
        <f t="shared" si="34"/>
        <v>6654.9459809664013</v>
      </c>
      <c r="U32" s="1">
        <f t="shared" si="34"/>
        <v>7128.7781348112085</v>
      </c>
      <c r="V32" s="1">
        <f t="shared" si="34"/>
        <v>7636.3471380097671</v>
      </c>
      <c r="W32" s="1">
        <f t="shared" si="34"/>
        <v>8180.0550542360643</v>
      </c>
      <c r="X32" s="1">
        <f t="shared" si="34"/>
        <v>8678.2204070390417</v>
      </c>
      <c r="Y32" s="1">
        <f t="shared" si="34"/>
        <v>9206.7240298277193</v>
      </c>
      <c r="Z32" s="1">
        <f t="shared" ref="Z32:AB32" si="35">+Z7*Z13/1000000</f>
        <v>9767.4135232442277</v>
      </c>
      <c r="AA32" s="1">
        <f t="shared" si="35"/>
        <v>10362.249006809803</v>
      </c>
      <c r="AB32" s="1">
        <f t="shared" si="35"/>
        <v>10993.309971324517</v>
      </c>
    </row>
    <row r="33" spans="2:28" x14ac:dyDescent="0.25">
      <c r="B33" s="1" t="s">
        <v>40</v>
      </c>
      <c r="C33" s="1">
        <v>1928</v>
      </c>
      <c r="D33" s="1">
        <f>+P33-C33</f>
        <v>2639</v>
      </c>
      <c r="E33" s="1">
        <v>2442</v>
      </c>
      <c r="F33" s="1">
        <f>+F14*F8/1000000</f>
        <v>3000</v>
      </c>
      <c r="M33" s="7"/>
      <c r="O33" s="1">
        <f>+Main!F20</f>
        <v>3689</v>
      </c>
      <c r="P33" s="1">
        <f>+Main!F10</f>
        <v>4567</v>
      </c>
      <c r="Q33" s="1">
        <v>5247</v>
      </c>
      <c r="R33" s="1">
        <f t="shared" ref="R33:Y33" si="36">+R8*R14/1000000</f>
        <v>5902.6219199999996</v>
      </c>
      <c r="S33" s="1">
        <f t="shared" si="36"/>
        <v>6569.6181969600002</v>
      </c>
      <c r="T33" s="1">
        <f t="shared" si="36"/>
        <v>7311.985053216481</v>
      </c>
      <c r="U33" s="1">
        <f t="shared" si="36"/>
        <v>8215.0152072887176</v>
      </c>
      <c r="V33" s="1">
        <f t="shared" si="36"/>
        <v>9143.3119257123435</v>
      </c>
      <c r="W33" s="1">
        <f t="shared" si="36"/>
        <v>10080.50139809786</v>
      </c>
      <c r="X33" s="1">
        <f t="shared" si="36"/>
        <v>11007.907526722862</v>
      </c>
      <c r="Y33" s="1">
        <f t="shared" si="36"/>
        <v>12020.635019181365</v>
      </c>
      <c r="Z33" s="1">
        <f t="shared" ref="Z33:AB33" si="37">+Z8*Z14/1000000</f>
        <v>13126.533440946052</v>
      </c>
      <c r="AA33" s="1">
        <f t="shared" si="37"/>
        <v>14196.345916383156</v>
      </c>
      <c r="AB33" s="1">
        <f t="shared" si="37"/>
        <v>15353.348108568383</v>
      </c>
    </row>
    <row r="34" spans="2:28" x14ac:dyDescent="0.25">
      <c r="B34" s="1" t="s">
        <v>41</v>
      </c>
      <c r="C34" s="1">
        <v>1244</v>
      </c>
      <c r="D34" s="1">
        <f>+P34-C34</f>
        <v>1430</v>
      </c>
      <c r="E34" s="1">
        <v>1610</v>
      </c>
      <c r="F34" s="1">
        <v>1700</v>
      </c>
      <c r="M34" s="7"/>
      <c r="O34" s="1">
        <f>+Main!G20</f>
        <v>1759</v>
      </c>
      <c r="P34" s="1">
        <f>+Main!G10</f>
        <v>2674</v>
      </c>
      <c r="Q34" s="1">
        <v>3334</v>
      </c>
      <c r="R34" s="1">
        <v>3500</v>
      </c>
      <c r="S34" s="1">
        <f>+R34+200</f>
        <v>3700</v>
      </c>
      <c r="T34" s="1">
        <f t="shared" ref="T34:AB34" si="38">+S34+200</f>
        <v>3900</v>
      </c>
      <c r="U34" s="1">
        <f t="shared" si="38"/>
        <v>4100</v>
      </c>
      <c r="V34" s="1">
        <f t="shared" si="38"/>
        <v>4300</v>
      </c>
      <c r="W34" s="1">
        <f t="shared" si="38"/>
        <v>4500</v>
      </c>
      <c r="X34" s="1">
        <f t="shared" si="38"/>
        <v>4700</v>
      </c>
      <c r="Y34" s="1">
        <f t="shared" si="38"/>
        <v>4900</v>
      </c>
      <c r="Z34" s="1">
        <f>+Y34+200</f>
        <v>5100</v>
      </c>
      <c r="AA34" s="1">
        <f t="shared" si="38"/>
        <v>5300</v>
      </c>
      <c r="AB34" s="1">
        <f t="shared" si="38"/>
        <v>5500</v>
      </c>
    </row>
    <row r="35" spans="2:28" x14ac:dyDescent="0.25">
      <c r="B35" s="1" t="s">
        <v>51</v>
      </c>
      <c r="M35" s="7"/>
      <c r="O35" s="1">
        <f>-Main!I20</f>
        <v>-3254</v>
      </c>
      <c r="P35" s="1">
        <f>-Main!I10</f>
        <v>-3540</v>
      </c>
      <c r="Q35" s="1">
        <f>-0.0635*SUM(Q30:Q34)</f>
        <v>-3655.5680000000002</v>
      </c>
      <c r="R35" s="1">
        <f t="shared" ref="R35:AB35" si="39">-0.0635*SUM(R30:R34)</f>
        <v>-3211.4614688599995</v>
      </c>
      <c r="S35" s="1">
        <f t="shared" si="39"/>
        <v>-3501.2810794634602</v>
      </c>
      <c r="T35" s="1">
        <f t="shared" si="39"/>
        <v>-4552.9032702025834</v>
      </c>
      <c r="U35" s="1">
        <f t="shared" si="39"/>
        <v>-4890.506306414035</v>
      </c>
      <c r="V35" s="1">
        <f t="shared" si="39"/>
        <v>-5073.0600315126676</v>
      </c>
      <c r="W35" s="1">
        <f t="shared" si="39"/>
        <v>-5388.9275042004847</v>
      </c>
      <c r="X35" s="1">
        <f t="shared" si="39"/>
        <v>-5700.051484863523</v>
      </c>
      <c r="Y35" s="1">
        <f t="shared" si="39"/>
        <v>-6029.8620483137411</v>
      </c>
      <c r="Z35" s="1">
        <f t="shared" si="39"/>
        <v>-6379.6155087999505</v>
      </c>
      <c r="AA35" s="1">
        <f t="shared" si="39"/>
        <v>-6741.9064382272763</v>
      </c>
      <c r="AB35" s="1">
        <f t="shared" si="39"/>
        <v>-7125.4124205533199</v>
      </c>
    </row>
    <row r="36" spans="2:28" x14ac:dyDescent="0.25">
      <c r="M36" s="7"/>
    </row>
    <row r="37" spans="2:28" x14ac:dyDescent="0.25">
      <c r="B37" s="3" t="s">
        <v>1</v>
      </c>
      <c r="M37" s="7"/>
    </row>
    <row r="38" spans="2:28" x14ac:dyDescent="0.25">
      <c r="B38" s="1" t="s">
        <v>37</v>
      </c>
      <c r="M38" s="7"/>
      <c r="O38" s="1">
        <v>18178</v>
      </c>
      <c r="P38" s="1">
        <v>18922</v>
      </c>
    </row>
    <row r="39" spans="2:28" x14ac:dyDescent="0.25">
      <c r="B39" s="1" t="s">
        <v>38</v>
      </c>
      <c r="M39" s="7"/>
      <c r="O39" s="1">
        <v>16533</v>
      </c>
      <c r="P39" s="1">
        <v>16750</v>
      </c>
    </row>
    <row r="40" spans="2:28" x14ac:dyDescent="0.25">
      <c r="B40" s="1" t="s">
        <v>39</v>
      </c>
      <c r="M40" s="7"/>
      <c r="O40" s="1">
        <v>5353</v>
      </c>
      <c r="P40" s="1">
        <v>5732</v>
      </c>
    </row>
    <row r="41" spans="2:28" x14ac:dyDescent="0.25">
      <c r="B41" s="1" t="s">
        <v>40</v>
      </c>
      <c r="M41" s="7"/>
      <c r="O41" s="1">
        <v>3261</v>
      </c>
      <c r="P41" s="1">
        <v>3846</v>
      </c>
    </row>
    <row r="42" spans="2:28" x14ac:dyDescent="0.25">
      <c r="M42" s="7"/>
    </row>
    <row r="43" spans="2:28" x14ac:dyDescent="0.25">
      <c r="B43" s="3" t="s">
        <v>84</v>
      </c>
      <c r="M43" s="7"/>
    </row>
    <row r="44" spans="2:28" x14ac:dyDescent="0.25">
      <c r="B44" s="1" t="s">
        <v>37</v>
      </c>
      <c r="M44" s="7"/>
      <c r="O44" s="1">
        <f t="shared" ref="O44:P47" si="40">+O30-O38</f>
        <v>3861</v>
      </c>
      <c r="P44" s="1">
        <f t="shared" si="40"/>
        <v>4569</v>
      </c>
      <c r="R44" s="7"/>
      <c r="S44" s="7"/>
    </row>
    <row r="45" spans="2:28" x14ac:dyDescent="0.25">
      <c r="B45" s="1" t="s">
        <v>38</v>
      </c>
      <c r="M45" s="7"/>
      <c r="O45" s="1">
        <f t="shared" si="40"/>
        <v>3680</v>
      </c>
      <c r="P45" s="1">
        <f t="shared" si="40"/>
        <v>4887</v>
      </c>
      <c r="R45" s="7"/>
      <c r="S45" s="7"/>
    </row>
    <row r="46" spans="2:28" x14ac:dyDescent="0.25">
      <c r="B46" s="1" t="s">
        <v>39</v>
      </c>
      <c r="M46" s="7"/>
      <c r="O46" s="1">
        <f t="shared" si="40"/>
        <v>1146</v>
      </c>
      <c r="P46" s="1">
        <f t="shared" si="40"/>
        <v>1328</v>
      </c>
      <c r="R46" s="7"/>
      <c r="S46" s="7"/>
    </row>
    <row r="47" spans="2:28" x14ac:dyDescent="0.25">
      <c r="B47" s="1" t="s">
        <v>40</v>
      </c>
      <c r="M47" s="7"/>
      <c r="O47" s="1">
        <f t="shared" si="40"/>
        <v>428</v>
      </c>
      <c r="P47" s="1">
        <f t="shared" si="40"/>
        <v>721</v>
      </c>
      <c r="R47" s="7"/>
      <c r="S47" s="7"/>
    </row>
    <row r="48" spans="2:28" x14ac:dyDescent="0.25">
      <c r="M48" s="7"/>
    </row>
    <row r="49" spans="2:17" x14ac:dyDescent="0.25">
      <c r="B49" s="3" t="s">
        <v>3</v>
      </c>
      <c r="M49" s="7"/>
    </row>
    <row r="50" spans="2:17" x14ac:dyDescent="0.25">
      <c r="B50" s="1" t="s">
        <v>37</v>
      </c>
      <c r="M50" s="7"/>
      <c r="O50" s="1">
        <v>432</v>
      </c>
      <c r="P50" s="1">
        <v>420</v>
      </c>
    </row>
    <row r="51" spans="2:17" x14ac:dyDescent="0.25">
      <c r="B51" s="1" t="s">
        <v>38</v>
      </c>
      <c r="M51" s="7"/>
      <c r="O51" s="1">
        <v>1586</v>
      </c>
      <c r="P51" s="1">
        <v>1590</v>
      </c>
    </row>
    <row r="52" spans="2:17" x14ac:dyDescent="0.25">
      <c r="B52" s="1" t="s">
        <v>39</v>
      </c>
      <c r="M52" s="7"/>
      <c r="O52" s="1">
        <v>658</v>
      </c>
      <c r="P52" s="1">
        <v>615</v>
      </c>
    </row>
    <row r="53" spans="2:17" x14ac:dyDescent="0.25">
      <c r="B53" s="1" t="s">
        <v>40</v>
      </c>
      <c r="M53" s="7"/>
      <c r="O53" s="1">
        <v>247</v>
      </c>
      <c r="P53" s="1">
        <v>263</v>
      </c>
    </row>
    <row r="54" spans="2:17" x14ac:dyDescent="0.25">
      <c r="M54" s="7"/>
    </row>
    <row r="55" spans="2:17" x14ac:dyDescent="0.25">
      <c r="B55" s="3" t="s">
        <v>85</v>
      </c>
      <c r="M55" s="7"/>
    </row>
    <row r="56" spans="2:17" x14ac:dyDescent="0.25">
      <c r="B56" s="1" t="s">
        <v>37</v>
      </c>
      <c r="M56" s="7"/>
      <c r="O56" s="1">
        <v>609</v>
      </c>
      <c r="P56" s="1">
        <v>750</v>
      </c>
    </row>
    <row r="57" spans="2:17" x14ac:dyDescent="0.25">
      <c r="B57" s="1" t="s">
        <v>38</v>
      </c>
      <c r="M57" s="7"/>
      <c r="O57" s="1">
        <v>724</v>
      </c>
      <c r="P57" s="1">
        <v>1045</v>
      </c>
    </row>
    <row r="58" spans="2:17" x14ac:dyDescent="0.25">
      <c r="B58" s="1" t="s">
        <v>39</v>
      </c>
      <c r="M58" s="7"/>
      <c r="O58" s="1">
        <v>243</v>
      </c>
      <c r="P58" s="1">
        <v>292</v>
      </c>
    </row>
    <row r="59" spans="2:17" x14ac:dyDescent="0.25">
      <c r="B59" s="1" t="s">
        <v>40</v>
      </c>
      <c r="M59" s="7"/>
      <c r="O59" s="1">
        <v>221</v>
      </c>
      <c r="P59" s="1">
        <v>198</v>
      </c>
    </row>
    <row r="60" spans="2:17" x14ac:dyDescent="0.25">
      <c r="M60" s="7"/>
    </row>
    <row r="61" spans="2:17" x14ac:dyDescent="0.25">
      <c r="B61" s="3" t="s">
        <v>4</v>
      </c>
      <c r="M61" s="7"/>
    </row>
    <row r="62" spans="2:17" x14ac:dyDescent="0.25">
      <c r="B62" s="1" t="s">
        <v>37</v>
      </c>
      <c r="M62" s="7"/>
      <c r="O62" s="1">
        <v>599</v>
      </c>
      <c r="P62" s="1">
        <v>663</v>
      </c>
      <c r="Q62" s="1">
        <v>721</v>
      </c>
    </row>
    <row r="63" spans="2:17" x14ac:dyDescent="0.25">
      <c r="B63" s="1" t="s">
        <v>38</v>
      </c>
      <c r="M63" s="7"/>
      <c r="O63" s="1">
        <v>616</v>
      </c>
      <c r="P63" s="1">
        <v>801</v>
      </c>
      <c r="Q63" s="1">
        <v>784</v>
      </c>
    </row>
    <row r="64" spans="2:17" x14ac:dyDescent="0.25">
      <c r="B64" s="1" t="s">
        <v>39</v>
      </c>
      <c r="M64" s="7"/>
      <c r="O64" s="1">
        <v>161</v>
      </c>
      <c r="P64" s="1">
        <v>179</v>
      </c>
      <c r="Q64" s="1">
        <v>157</v>
      </c>
    </row>
    <row r="65" spans="2:28" x14ac:dyDescent="0.25">
      <c r="B65" s="1" t="s">
        <v>40</v>
      </c>
      <c r="M65" s="7"/>
      <c r="O65" s="1">
        <v>134</v>
      </c>
      <c r="P65" s="1">
        <v>172</v>
      </c>
      <c r="Q65" s="1">
        <v>193</v>
      </c>
    </row>
    <row r="66" spans="2:28" x14ac:dyDescent="0.25">
      <c r="M66" s="7"/>
    </row>
    <row r="67" spans="2:28" x14ac:dyDescent="0.25">
      <c r="B67" s="3" t="s">
        <v>5</v>
      </c>
      <c r="M67" s="7"/>
    </row>
    <row r="68" spans="2:28" x14ac:dyDescent="0.25">
      <c r="B68" s="1" t="s">
        <v>37</v>
      </c>
      <c r="M68" s="7"/>
      <c r="O68" s="1">
        <v>155</v>
      </c>
      <c r="P68" s="1">
        <v>126</v>
      </c>
    </row>
    <row r="69" spans="2:28" x14ac:dyDescent="0.25">
      <c r="B69" s="1" t="s">
        <v>38</v>
      </c>
      <c r="M69" s="7"/>
      <c r="O69" s="1">
        <v>433</v>
      </c>
      <c r="P69" s="1">
        <v>482</v>
      </c>
    </row>
    <row r="70" spans="2:28" x14ac:dyDescent="0.25">
      <c r="B70" s="1" t="s">
        <v>39</v>
      </c>
      <c r="M70" s="7"/>
      <c r="O70" s="1">
        <v>77</v>
      </c>
      <c r="P70" s="1">
        <v>69</v>
      </c>
    </row>
    <row r="71" spans="2:28" x14ac:dyDescent="0.25">
      <c r="B71" s="1" t="s">
        <v>40</v>
      </c>
      <c r="M71" s="7"/>
      <c r="O71" s="1">
        <v>123</v>
      </c>
      <c r="P71" s="1">
        <v>120</v>
      </c>
    </row>
    <row r="72" spans="2:28" x14ac:dyDescent="0.25">
      <c r="O72" s="6"/>
      <c r="P72" s="6"/>
    </row>
    <row r="73" spans="2:28" x14ac:dyDescent="0.25">
      <c r="B73" s="3" t="s">
        <v>8</v>
      </c>
      <c r="O73" s="6"/>
      <c r="P73" s="6"/>
    </row>
    <row r="74" spans="2:28" x14ac:dyDescent="0.25">
      <c r="B74" s="1" t="s">
        <v>37</v>
      </c>
      <c r="C74" s="1">
        <v>1458</v>
      </c>
      <c r="D74" s="1">
        <f>+P74-C74</f>
        <v>1429</v>
      </c>
      <c r="E74" s="1">
        <v>1598</v>
      </c>
      <c r="F74" s="1">
        <f>+F30*F23</f>
        <v>1569.375</v>
      </c>
      <c r="O74" s="1">
        <v>2376</v>
      </c>
      <c r="P74" s="1">
        <v>2887</v>
      </c>
      <c r="Q74" s="1">
        <v>3008</v>
      </c>
      <c r="R74" s="1">
        <f t="shared" ref="R74:R78" si="41">+R30*R23</f>
        <v>2410.1043749999999</v>
      </c>
      <c r="S74" s="1">
        <f t="shared" ref="S74:AB74" si="42">+S30*S23</f>
        <v>2711.3674218750002</v>
      </c>
      <c r="T74" s="1">
        <f t="shared" si="42"/>
        <v>4468.3335112499999</v>
      </c>
      <c r="U74" s="1">
        <f t="shared" si="42"/>
        <v>4786.4788572510006</v>
      </c>
      <c r="V74" s="1">
        <f t="shared" si="42"/>
        <v>4782.1710262794741</v>
      </c>
      <c r="W74" s="1">
        <f t="shared" si="42"/>
        <v>5024.1488802092163</v>
      </c>
      <c r="X74" s="1">
        <f t="shared" si="42"/>
        <v>5252.4964468147245</v>
      </c>
      <c r="Y74" s="1">
        <f t="shared" si="42"/>
        <v>5491.2224103224535</v>
      </c>
      <c r="Z74" s="1">
        <f t="shared" si="42"/>
        <v>5740.7984688716087</v>
      </c>
      <c r="AA74" s="1">
        <f t="shared" si="42"/>
        <v>6001.7177592818243</v>
      </c>
      <c r="AB74" s="1">
        <f t="shared" si="42"/>
        <v>6274.4958314411833</v>
      </c>
    </row>
    <row r="75" spans="2:28" x14ac:dyDescent="0.25">
      <c r="B75" s="1" t="s">
        <v>38</v>
      </c>
      <c r="C75" s="1">
        <v>948</v>
      </c>
      <c r="D75" s="1">
        <f>+P75-C75</f>
        <v>1090</v>
      </c>
      <c r="E75" s="1">
        <v>627</v>
      </c>
      <c r="F75" s="1">
        <f>+F31*F24</f>
        <v>630.00000000000011</v>
      </c>
      <c r="O75" s="1">
        <v>1188</v>
      </c>
      <c r="P75" s="1">
        <v>2038</v>
      </c>
      <c r="Q75" s="1">
        <v>1082</v>
      </c>
      <c r="R75" s="1">
        <f t="shared" si="41"/>
        <v>947.05977599999994</v>
      </c>
      <c r="S75" s="1">
        <f t="shared" ref="S75:AB75" si="43">+S31*S24</f>
        <v>1017.90713232</v>
      </c>
      <c r="T75" s="1">
        <f t="shared" si="43"/>
        <v>1085.1398984097359</v>
      </c>
      <c r="U75" s="1">
        <f t="shared" si="43"/>
        <v>1156.8133886996986</v>
      </c>
      <c r="V75" s="1">
        <f t="shared" si="43"/>
        <v>1233.2209130233134</v>
      </c>
      <c r="W75" s="1">
        <f t="shared" si="43"/>
        <v>1314.6751543285034</v>
      </c>
      <c r="X75" s="1">
        <f t="shared" si="43"/>
        <v>1401.5094482719007</v>
      </c>
      <c r="Y75" s="1">
        <f t="shared" si="43"/>
        <v>1494.0791473302595</v>
      </c>
      <c r="Z75" s="1">
        <f t="shared" si="43"/>
        <v>1592.7630750114231</v>
      </c>
      <c r="AA75" s="1">
        <f t="shared" si="43"/>
        <v>1697.9650761159276</v>
      </c>
      <c r="AB75" s="1">
        <f t="shared" si="43"/>
        <v>1810.1156693933847</v>
      </c>
    </row>
    <row r="76" spans="2:28" x14ac:dyDescent="0.25">
      <c r="B76" s="1" t="s">
        <v>39</v>
      </c>
      <c r="C76" s="1">
        <v>171</v>
      </c>
      <c r="D76" s="1">
        <f>+P76-C76</f>
        <v>159</v>
      </c>
      <c r="E76" s="1">
        <v>-33</v>
      </c>
      <c r="F76" s="1">
        <f>+F32*F25</f>
        <v>-26.400000000000002</v>
      </c>
      <c r="O76" s="1">
        <v>161</v>
      </c>
      <c r="P76" s="1">
        <v>330</v>
      </c>
      <c r="Q76" s="1">
        <v>63</v>
      </c>
      <c r="R76" s="1">
        <f t="shared" si="41"/>
        <v>122.12819680000001</v>
      </c>
      <c r="S76" s="1">
        <f t="shared" ref="S76:AB76" si="44">+S32*S25</f>
        <v>124.25216544000001</v>
      </c>
      <c r="T76" s="1">
        <f t="shared" si="44"/>
        <v>166.37364952416004</v>
      </c>
      <c r="U76" s="1">
        <f t="shared" si="44"/>
        <v>213.86334404433626</v>
      </c>
      <c r="V76" s="1">
        <f t="shared" si="44"/>
        <v>229.09041414029301</v>
      </c>
      <c r="W76" s="1">
        <f t="shared" si="44"/>
        <v>245.40165162708192</v>
      </c>
      <c r="X76" s="1">
        <f t="shared" si="44"/>
        <v>260.34661221117125</v>
      </c>
      <c r="Y76" s="1">
        <f t="shared" si="44"/>
        <v>276.20172089483157</v>
      </c>
      <c r="Z76" s="1">
        <f t="shared" si="44"/>
        <v>293.0224056973268</v>
      </c>
      <c r="AA76" s="1">
        <f t="shared" si="44"/>
        <v>310.86747020429408</v>
      </c>
      <c r="AB76" s="1">
        <f t="shared" si="44"/>
        <v>329.79929913973552</v>
      </c>
    </row>
    <row r="77" spans="2:28" x14ac:dyDescent="0.25">
      <c r="B77" s="1" t="s">
        <v>40</v>
      </c>
      <c r="C77" s="1">
        <v>42</v>
      </c>
      <c r="D77" s="1">
        <f>+P77-C77</f>
        <v>172</v>
      </c>
      <c r="E77" s="1">
        <v>174</v>
      </c>
      <c r="F77" s="1">
        <f>+F33*F26</f>
        <v>225</v>
      </c>
      <c r="O77" s="1">
        <v>-52</v>
      </c>
      <c r="P77" s="1">
        <v>214</v>
      </c>
      <c r="Q77" s="1">
        <v>427</v>
      </c>
      <c r="R77" s="1">
        <f t="shared" si="41"/>
        <v>472.2097536</v>
      </c>
      <c r="S77" s="1">
        <f t="shared" ref="S77:AB77" si="45">+S33*S26</f>
        <v>538.70869215072003</v>
      </c>
      <c r="T77" s="1">
        <f t="shared" si="45"/>
        <v>614.20674447018439</v>
      </c>
      <c r="U77" s="1">
        <f t="shared" si="45"/>
        <v>706.49130782682982</v>
      </c>
      <c r="V77" s="1">
        <f t="shared" si="45"/>
        <v>804.61144946268632</v>
      </c>
      <c r="W77" s="1">
        <f t="shared" si="45"/>
        <v>907.24512582880755</v>
      </c>
      <c r="X77" s="1">
        <f t="shared" si="45"/>
        <v>1012.7274924585034</v>
      </c>
      <c r="Y77" s="1">
        <f t="shared" si="45"/>
        <v>1129.9396918030486</v>
      </c>
      <c r="Z77" s="1">
        <f t="shared" si="45"/>
        <v>1260.1472103308213</v>
      </c>
      <c r="AA77" s="1">
        <f t="shared" si="45"/>
        <v>1391.2418998055496</v>
      </c>
      <c r="AB77" s="1">
        <f t="shared" si="45"/>
        <v>1535.3348108568387</v>
      </c>
    </row>
    <row r="78" spans="2:28" x14ac:dyDescent="0.25">
      <c r="B78" s="1" t="s">
        <v>41</v>
      </c>
      <c r="C78" s="1">
        <v>99</v>
      </c>
      <c r="D78" s="1">
        <f>+P78-C78</f>
        <v>87</v>
      </c>
      <c r="E78" s="1">
        <v>61</v>
      </c>
      <c r="F78" s="1">
        <f>+F34*F27</f>
        <v>59.500000000000007</v>
      </c>
      <c r="O78" s="1">
        <v>310</v>
      </c>
      <c r="P78" s="1">
        <v>186</v>
      </c>
      <c r="Q78" s="1">
        <v>106</v>
      </c>
      <c r="R78" s="1">
        <f t="shared" si="41"/>
        <v>122.50000000000001</v>
      </c>
      <c r="S78" s="1">
        <f t="shared" ref="S78:AB78" si="46">+S34*S27</f>
        <v>129.5</v>
      </c>
      <c r="T78" s="1">
        <f t="shared" si="46"/>
        <v>136.5</v>
      </c>
      <c r="U78" s="1">
        <f t="shared" si="46"/>
        <v>143.5</v>
      </c>
      <c r="V78" s="1">
        <f t="shared" si="46"/>
        <v>150.50000000000003</v>
      </c>
      <c r="W78" s="1">
        <f t="shared" si="46"/>
        <v>157.50000000000003</v>
      </c>
      <c r="X78" s="1">
        <f t="shared" si="46"/>
        <v>164.50000000000003</v>
      </c>
      <c r="Y78" s="1">
        <f t="shared" si="46"/>
        <v>171.50000000000003</v>
      </c>
      <c r="Z78" s="1">
        <f t="shared" si="46"/>
        <v>178.50000000000003</v>
      </c>
      <c r="AA78" s="1">
        <f t="shared" si="46"/>
        <v>185.50000000000003</v>
      </c>
      <c r="AB78" s="1">
        <f t="shared" si="46"/>
        <v>192.50000000000003</v>
      </c>
    </row>
    <row r="79" spans="2:28" x14ac:dyDescent="0.25">
      <c r="B79" s="1" t="s">
        <v>51</v>
      </c>
      <c r="O79" s="1">
        <f>+O92-SUM(O74:O78)</f>
        <v>-487</v>
      </c>
      <c r="P79" s="1">
        <v>-471</v>
      </c>
      <c r="Q79" s="1">
        <f t="shared" ref="Q79:R79" si="47">+Q35*0.15</f>
        <v>-548.33519999999999</v>
      </c>
      <c r="R79" s="1">
        <f t="shared" si="47"/>
        <v>-481.71922032899988</v>
      </c>
      <c r="S79" s="1">
        <f t="shared" ref="S79:AB79" si="48">+S35*0.15</f>
        <v>-525.19216191951898</v>
      </c>
      <c r="T79" s="1">
        <f t="shared" si="48"/>
        <v>-682.93549053038748</v>
      </c>
      <c r="U79" s="1">
        <f t="shared" si="48"/>
        <v>-733.57594596210527</v>
      </c>
      <c r="V79" s="1">
        <f t="shared" si="48"/>
        <v>-760.95900472690016</v>
      </c>
      <c r="W79" s="1">
        <f t="shared" si="48"/>
        <v>-808.33912563007266</v>
      </c>
      <c r="X79" s="1">
        <f t="shared" si="48"/>
        <v>-855.00772272952838</v>
      </c>
      <c r="Y79" s="1">
        <f t="shared" si="48"/>
        <v>-904.47930724706112</v>
      </c>
      <c r="Z79" s="1">
        <f t="shared" si="48"/>
        <v>-956.9423263199925</v>
      </c>
      <c r="AA79" s="1">
        <f t="shared" si="48"/>
        <v>-1011.2859657340914</v>
      </c>
      <c r="AB79" s="1">
        <f t="shared" si="48"/>
        <v>-1068.8118630829979</v>
      </c>
    </row>
    <row r="80" spans="2:28" x14ac:dyDescent="0.25">
      <c r="O80" s="6"/>
    </row>
    <row r="81" spans="2:32" x14ac:dyDescent="0.25">
      <c r="O81" s="6"/>
    </row>
    <row r="82" spans="2:32" s="3" customFormat="1" x14ac:dyDescent="0.25">
      <c r="B82" s="3" t="s">
        <v>0</v>
      </c>
      <c r="O82" s="3">
        <v>50945</v>
      </c>
      <c r="P82" s="3">
        <v>55890</v>
      </c>
      <c r="Q82" s="3">
        <v>54077</v>
      </c>
      <c r="R82" s="3">
        <f t="shared" ref="R82:AB82" si="49">+SUM(R30:R35)</f>
        <v>47362.734891139997</v>
      </c>
      <c r="S82" s="3">
        <f t="shared" si="49"/>
        <v>51637.003636496542</v>
      </c>
      <c r="T82" s="3">
        <f t="shared" si="49"/>
        <v>67146.360827475888</v>
      </c>
      <c r="U82" s="3">
        <f t="shared" si="49"/>
        <v>72125.341038688872</v>
      </c>
      <c r="V82" s="3">
        <f t="shared" si="49"/>
        <v>74817.649126167133</v>
      </c>
      <c r="W82" s="3">
        <f t="shared" si="49"/>
        <v>79476.07256194888</v>
      </c>
      <c r="X82" s="3">
        <f t="shared" si="49"/>
        <v>84064.538827947865</v>
      </c>
      <c r="Y82" s="3">
        <f t="shared" si="49"/>
        <v>88928.595405445973</v>
      </c>
      <c r="Z82" s="3">
        <f>+SUM(Z30:Z35)</f>
        <v>94086.770456553597</v>
      </c>
      <c r="AA82" s="3">
        <f t="shared" si="49"/>
        <v>99429.848494485734</v>
      </c>
      <c r="AB82" s="3">
        <f t="shared" si="49"/>
        <v>105085.8068007588</v>
      </c>
    </row>
    <row r="83" spans="2:32" x14ac:dyDescent="0.25">
      <c r="B83" s="1" t="s">
        <v>1</v>
      </c>
      <c r="O83" s="1">
        <v>41513</v>
      </c>
      <c r="P83" s="1">
        <v>43968</v>
      </c>
      <c r="Q83" s="1">
        <v>42879</v>
      </c>
      <c r="R83" s="1">
        <f t="shared" ref="R83" si="50">+R82*0.78</f>
        <v>36942.933215089201</v>
      </c>
    </row>
    <row r="84" spans="2:32" x14ac:dyDescent="0.25">
      <c r="B84" s="1" t="s">
        <v>2</v>
      </c>
      <c r="O84" s="1">
        <f>+O82-O83</f>
        <v>9432</v>
      </c>
      <c r="P84" s="1">
        <f>+P82-P83</f>
        <v>11922</v>
      </c>
      <c r="Q84" s="1">
        <f>+Q82-Q83</f>
        <v>11198</v>
      </c>
      <c r="R84" s="1">
        <f t="shared" ref="R84" si="51">+R82-R83</f>
        <v>10419.801676050796</v>
      </c>
    </row>
    <row r="85" spans="2:32" x14ac:dyDescent="0.25">
      <c r="B85" s="1" t="s">
        <v>3</v>
      </c>
      <c r="O85" s="1">
        <v>2928</v>
      </c>
      <c r="P85" s="1">
        <v>2890</v>
      </c>
      <c r="Q85" s="1">
        <v>3009</v>
      </c>
      <c r="R85" s="1">
        <f t="shared" ref="R85" si="52">+Q85*0.995</f>
        <v>2993.9549999999999</v>
      </c>
    </row>
    <row r="86" spans="2:32" x14ac:dyDescent="0.25">
      <c r="B86" s="1" t="s">
        <v>85</v>
      </c>
      <c r="O86" s="1">
        <v>1957</v>
      </c>
      <c r="P86" s="1">
        <v>2413</v>
      </c>
      <c r="Q86" s="1">
        <v>2582</v>
      </c>
      <c r="R86" s="1">
        <f t="shared" ref="R86" si="53">+Q86*1.04</f>
        <v>2685.28</v>
      </c>
    </row>
    <row r="87" spans="2:32" x14ac:dyDescent="0.25">
      <c r="B87" s="1" t="s">
        <v>4</v>
      </c>
      <c r="O87" s="1">
        <v>1618</v>
      </c>
      <c r="P87" s="1">
        <v>1757</v>
      </c>
      <c r="Q87" s="1">
        <v>1671</v>
      </c>
      <c r="R87" s="1">
        <f t="shared" ref="R87" si="54">+Q87*1.04</f>
        <v>1737.8400000000001</v>
      </c>
    </row>
    <row r="88" spans="2:32" x14ac:dyDescent="0.25">
      <c r="B88" s="1" t="s">
        <v>5</v>
      </c>
      <c r="O88" s="1">
        <v>880</v>
      </c>
      <c r="P88" s="1">
        <v>664</v>
      </c>
      <c r="Q88" s="1">
        <v>696</v>
      </c>
      <c r="R88" s="1">
        <v>500</v>
      </c>
      <c r="AE88" s="2" t="s">
        <v>52</v>
      </c>
      <c r="AF88" s="2">
        <v>0.01</v>
      </c>
    </row>
    <row r="89" spans="2:32" x14ac:dyDescent="0.25">
      <c r="B89" s="1" t="s">
        <v>6</v>
      </c>
      <c r="O89" s="1">
        <v>177</v>
      </c>
      <c r="P89" s="1">
        <v>101</v>
      </c>
      <c r="Q89" s="1">
        <v>417</v>
      </c>
      <c r="R89" s="1">
        <v>150</v>
      </c>
      <c r="AE89" s="2" t="s">
        <v>53</v>
      </c>
      <c r="AF89" s="2">
        <v>0.1</v>
      </c>
    </row>
    <row r="90" spans="2:32" x14ac:dyDescent="0.25">
      <c r="B90" s="1" t="s">
        <v>14</v>
      </c>
      <c r="O90" s="1">
        <v>-226</v>
      </c>
      <c r="P90" s="1">
        <v>-109</v>
      </c>
      <c r="Q90" s="1">
        <v>-603</v>
      </c>
      <c r="R90" s="1">
        <v>-50</v>
      </c>
      <c r="AE90" s="1" t="s">
        <v>54</v>
      </c>
      <c r="AF90" s="1">
        <f>NPV(AF89,R108:DO108)</f>
        <v>47920.737700612721</v>
      </c>
    </row>
    <row r="91" spans="2:32" x14ac:dyDescent="0.25">
      <c r="B91" s="1" t="s">
        <v>15</v>
      </c>
      <c r="O91" s="1">
        <v>90</v>
      </c>
      <c r="P91" s="1">
        <v>-132</v>
      </c>
      <c r="Q91" s="1">
        <v>-19</v>
      </c>
      <c r="R91" s="1">
        <v>50</v>
      </c>
      <c r="AE91" s="1" t="s">
        <v>55</v>
      </c>
      <c r="AF91" s="1">
        <v>804.093614</v>
      </c>
    </row>
    <row r="92" spans="2:32" x14ac:dyDescent="0.25">
      <c r="B92" s="1" t="s">
        <v>8</v>
      </c>
      <c r="O92" s="1">
        <f>+O84-O85-O86-O87+O88-O89+O90+O91</f>
        <v>3496</v>
      </c>
      <c r="P92" s="1">
        <f t="shared" ref="P92:Q92" si="55">+P84-P85-P86-P87+P88-P89+P90+P91</f>
        <v>5184</v>
      </c>
      <c r="Q92" s="1">
        <f t="shared" si="55"/>
        <v>3593</v>
      </c>
      <c r="R92" s="1">
        <f>+SUM(R74:R79)</f>
        <v>3592.2828810709998</v>
      </c>
      <c r="S92" s="1">
        <f t="shared" ref="S92:AB92" si="56">+SUM(S74:S79)</f>
        <v>3996.5432498662012</v>
      </c>
      <c r="T92" s="1">
        <f t="shared" si="56"/>
        <v>5787.618313123693</v>
      </c>
      <c r="U92" s="1">
        <f>+SUM(U74:U79)</f>
        <v>6273.5709518597605</v>
      </c>
      <c r="V92" s="1">
        <f t="shared" si="56"/>
        <v>6438.6347981788667</v>
      </c>
      <c r="W92" s="1">
        <f t="shared" si="56"/>
        <v>6840.6316863635366</v>
      </c>
      <c r="X92" s="1">
        <f t="shared" si="56"/>
        <v>7236.5722770267712</v>
      </c>
      <c r="Y92" s="1">
        <f>+SUM(Y74:Y79)</f>
        <v>7658.4636631035328</v>
      </c>
      <c r="Z92" s="1">
        <f t="shared" si="56"/>
        <v>8108.2888335911875</v>
      </c>
      <c r="AA92" s="1">
        <f t="shared" si="56"/>
        <v>8576.0062396735048</v>
      </c>
      <c r="AB92" s="1">
        <f t="shared" si="56"/>
        <v>9073.433747748144</v>
      </c>
      <c r="AE92" s="1" t="s">
        <v>56</v>
      </c>
      <c r="AF92" s="8">
        <f>+AF90/AF91</f>
        <v>59.595968511960749</v>
      </c>
    </row>
    <row r="93" spans="2:32" x14ac:dyDescent="0.25">
      <c r="B93" s="1" t="s">
        <v>9</v>
      </c>
      <c r="O93" s="1">
        <v>198</v>
      </c>
      <c r="P93" s="1">
        <v>384</v>
      </c>
      <c r="Q93" s="1">
        <v>430</v>
      </c>
      <c r="R93" s="1">
        <f>+Q93*0.98</f>
        <v>421.4</v>
      </c>
      <c r="S93" s="1">
        <f t="shared" ref="S93:Y93" si="57">+R93*0.98</f>
        <v>412.97199999999998</v>
      </c>
      <c r="T93" s="1">
        <f t="shared" si="57"/>
        <v>404.71256</v>
      </c>
      <c r="U93" s="1">
        <f t="shared" si="57"/>
        <v>396.61830879999997</v>
      </c>
      <c r="V93" s="1">
        <f t="shared" si="57"/>
        <v>388.68594262399995</v>
      </c>
      <c r="W93" s="1">
        <f t="shared" si="57"/>
        <v>380.91222377151996</v>
      </c>
      <c r="X93" s="1">
        <f t="shared" si="57"/>
        <v>373.29397929608956</v>
      </c>
      <c r="Y93" s="1">
        <f t="shared" si="57"/>
        <v>365.82809971016775</v>
      </c>
      <c r="Z93" s="1">
        <f t="shared" ref="Z93" si="58">+Y93*0.98</f>
        <v>358.51153771596438</v>
      </c>
      <c r="AA93" s="1">
        <f t="shared" ref="AA93" si="59">+Z93*0.98</f>
        <v>351.3413069616451</v>
      </c>
      <c r="AB93" s="1">
        <f t="shared" ref="AB93" si="60">+AA93*0.98</f>
        <v>344.31448082241218</v>
      </c>
    </row>
    <row r="94" spans="2:32" x14ac:dyDescent="0.25">
      <c r="B94" s="1" t="s">
        <v>10</v>
      </c>
      <c r="O94" s="1">
        <v>245</v>
      </c>
      <c r="P94" s="1">
        <v>241</v>
      </c>
      <c r="Q94" s="1">
        <v>220</v>
      </c>
      <c r="R94" s="1">
        <f>+Q94*1.02</f>
        <v>224.4</v>
      </c>
      <c r="S94" s="1">
        <f t="shared" ref="S94:Y94" si="61">+R94*1.02</f>
        <v>228.88800000000001</v>
      </c>
      <c r="T94" s="1">
        <f t="shared" si="61"/>
        <v>233.46576000000002</v>
      </c>
      <c r="U94" s="1">
        <f t="shared" si="61"/>
        <v>238.13507520000002</v>
      </c>
      <c r="V94" s="1">
        <f t="shared" si="61"/>
        <v>242.89777670400002</v>
      </c>
      <c r="W94" s="1">
        <f t="shared" si="61"/>
        <v>247.75573223808001</v>
      </c>
      <c r="X94" s="1">
        <f t="shared" si="61"/>
        <v>252.71084688284162</v>
      </c>
      <c r="Y94" s="1">
        <f t="shared" si="61"/>
        <v>257.76506382049848</v>
      </c>
      <c r="Z94" s="1">
        <f t="shared" ref="Z94" si="62">+Y94*1.02</f>
        <v>262.92036509690848</v>
      </c>
      <c r="AA94" s="1">
        <f t="shared" ref="AA94" si="63">+Z94*1.02</f>
        <v>268.17877239884666</v>
      </c>
      <c r="AB94" s="1">
        <f t="shared" ref="AB94" si="64">+AA94*1.02</f>
        <v>273.54234784682359</v>
      </c>
    </row>
    <row r="95" spans="2:32" x14ac:dyDescent="0.25">
      <c r="B95" s="1" t="s">
        <v>11</v>
      </c>
      <c r="O95" s="1">
        <f>+O92-O94+O93</f>
        <v>3449</v>
      </c>
      <c r="P95" s="1">
        <f t="shared" ref="P95:Q95" si="65">+P92-P94+P93</f>
        <v>5327</v>
      </c>
      <c r="Q95" s="1">
        <f t="shared" si="65"/>
        <v>3803</v>
      </c>
      <c r="R95" s="1">
        <f t="shared" ref="R95" si="66">+R92-R94+R93</f>
        <v>3789.2828810709998</v>
      </c>
      <c r="S95" s="1">
        <f t="shared" ref="S95" si="67">+S92-S94+S93</f>
        <v>4180.6272498662011</v>
      </c>
      <c r="T95" s="1">
        <f t="shared" ref="T95" si="68">+T92-T94+T93</f>
        <v>5958.8651131236929</v>
      </c>
      <c r="U95" s="1">
        <f t="shared" ref="U95" si="69">+U92-U94+U93</f>
        <v>6432.0541854597604</v>
      </c>
      <c r="V95" s="1">
        <f t="shared" ref="V95" si="70">+V92-V94+V93</f>
        <v>6584.4229640988669</v>
      </c>
      <c r="W95" s="1">
        <f t="shared" ref="W95" si="71">+W92-W94+W93</f>
        <v>6973.7881778969768</v>
      </c>
      <c r="X95" s="1">
        <f t="shared" ref="X95" si="72">+X92-X94+X93</f>
        <v>7357.155409440019</v>
      </c>
      <c r="Y95" s="1">
        <f t="shared" ref="Y95:AB95" si="73">+Y92-Y94+Y93</f>
        <v>7766.5266989932015</v>
      </c>
      <c r="Z95" s="1">
        <f t="shared" si="73"/>
        <v>8203.8800062102437</v>
      </c>
      <c r="AA95" s="1">
        <f t="shared" si="73"/>
        <v>8659.1687742363029</v>
      </c>
      <c r="AB95" s="1">
        <f t="shared" si="73"/>
        <v>9144.2058807237318</v>
      </c>
    </row>
    <row r="96" spans="2:32" x14ac:dyDescent="0.25">
      <c r="B96" s="1" t="s">
        <v>12</v>
      </c>
      <c r="O96" s="1">
        <v>686</v>
      </c>
      <c r="P96" s="1">
        <v>1355</v>
      </c>
      <c r="Q96" s="1">
        <v>736</v>
      </c>
      <c r="R96" s="1">
        <f t="shared" ref="R96:Y96" si="74">+R95*0.25</f>
        <v>947.32072026774995</v>
      </c>
      <c r="S96" s="1">
        <f t="shared" si="74"/>
        <v>1045.1568124665503</v>
      </c>
      <c r="T96" s="1">
        <f t="shared" si="74"/>
        <v>1489.7162782809232</v>
      </c>
      <c r="U96" s="1">
        <f t="shared" si="74"/>
        <v>1608.0135463649401</v>
      </c>
      <c r="V96" s="1">
        <f t="shared" si="74"/>
        <v>1646.1057410247167</v>
      </c>
      <c r="W96" s="1">
        <f t="shared" si="74"/>
        <v>1743.4470444742442</v>
      </c>
      <c r="X96" s="1">
        <f t="shared" si="74"/>
        <v>1839.2888523600047</v>
      </c>
      <c r="Y96" s="1">
        <f t="shared" si="74"/>
        <v>1941.6316747483004</v>
      </c>
      <c r="Z96" s="1">
        <f t="shared" ref="Z96:AB96" si="75">+Z95*0.25</f>
        <v>2050.9700015525609</v>
      </c>
      <c r="AA96" s="1">
        <f t="shared" si="75"/>
        <v>2164.7921935590757</v>
      </c>
      <c r="AB96" s="1">
        <f t="shared" si="75"/>
        <v>2286.0514701809329</v>
      </c>
    </row>
    <row r="97" spans="2:118" x14ac:dyDescent="0.25">
      <c r="B97" s="1" t="s">
        <v>13</v>
      </c>
      <c r="O97" s="1">
        <f>+O95-O96</f>
        <v>2763</v>
      </c>
      <c r="P97" s="1">
        <f t="shared" ref="P97:Q97" si="76">+P95-P96</f>
        <v>3972</v>
      </c>
      <c r="Q97" s="1">
        <f t="shared" si="76"/>
        <v>3067</v>
      </c>
      <c r="R97" s="1">
        <f t="shared" ref="R97" si="77">+R95-R96</f>
        <v>2841.9621608032498</v>
      </c>
      <c r="S97" s="1">
        <f t="shared" ref="S97" si="78">+S95-S96</f>
        <v>3135.470437399651</v>
      </c>
      <c r="T97" s="1">
        <f t="shared" ref="T97" si="79">+T95-T96</f>
        <v>4469.1488348427702</v>
      </c>
      <c r="U97" s="1">
        <f t="shared" ref="U97" si="80">+U95-U96</f>
        <v>4824.0406390948201</v>
      </c>
      <c r="V97" s="1">
        <f t="shared" ref="V97" si="81">+V95-V96</f>
        <v>4938.3172230741502</v>
      </c>
      <c r="W97" s="1">
        <f t="shared" ref="W97" si="82">+W95-W96</f>
        <v>5230.341133422733</v>
      </c>
      <c r="X97" s="1">
        <f t="shared" ref="X97" si="83">+X95-X96</f>
        <v>5517.866557080014</v>
      </c>
      <c r="Y97" s="1">
        <f t="shared" ref="Y97:AB97" si="84">+Y95-Y96</f>
        <v>5824.8950242449009</v>
      </c>
      <c r="Z97" s="1">
        <f t="shared" si="84"/>
        <v>6152.9100046576823</v>
      </c>
      <c r="AA97" s="1">
        <f t="shared" si="84"/>
        <v>6494.3765806772271</v>
      </c>
      <c r="AB97" s="1">
        <f t="shared" si="84"/>
        <v>6858.1544105427984</v>
      </c>
    </row>
    <row r="98" spans="2:118" x14ac:dyDescent="0.25">
      <c r="B98" s="1" t="s">
        <v>19</v>
      </c>
      <c r="O98" s="1">
        <v>98</v>
      </c>
      <c r="P98" s="1">
        <v>196</v>
      </c>
      <c r="Q98" s="1">
        <v>166</v>
      </c>
      <c r="R98" s="1">
        <v>180</v>
      </c>
      <c r="S98" s="1">
        <v>180</v>
      </c>
      <c r="T98" s="1">
        <v>180</v>
      </c>
      <c r="U98" s="1">
        <v>180</v>
      </c>
      <c r="V98" s="1">
        <v>180</v>
      </c>
      <c r="W98" s="1">
        <v>180</v>
      </c>
      <c r="X98" s="1">
        <v>180</v>
      </c>
      <c r="Y98" s="1">
        <v>180</v>
      </c>
      <c r="Z98" s="1">
        <v>180</v>
      </c>
      <c r="AA98" s="1">
        <v>180</v>
      </c>
      <c r="AB98" s="1">
        <v>180</v>
      </c>
    </row>
    <row r="99" spans="2:118" s="3" customFormat="1" x14ac:dyDescent="0.25">
      <c r="B99" s="3" t="s">
        <v>20</v>
      </c>
      <c r="O99" s="3">
        <f>+O97-O98</f>
        <v>2665</v>
      </c>
      <c r="P99" s="3">
        <f>+P97-P98</f>
        <v>3776</v>
      </c>
      <c r="Q99" s="3">
        <f>+Q97-Q98</f>
        <v>2901</v>
      </c>
      <c r="R99" s="3">
        <f t="shared" ref="R99:AB99" si="85">+R97-R98</f>
        <v>2661.9621608032498</v>
      </c>
      <c r="S99" s="3">
        <f t="shared" si="85"/>
        <v>2955.470437399651</v>
      </c>
      <c r="T99" s="3">
        <f t="shared" si="85"/>
        <v>4289.1488348427702</v>
      </c>
      <c r="U99" s="3">
        <f t="shared" si="85"/>
        <v>4644.0406390948201</v>
      </c>
      <c r="V99" s="3">
        <f t="shared" si="85"/>
        <v>4758.3172230741502</v>
      </c>
      <c r="W99" s="3">
        <f t="shared" si="85"/>
        <v>5050.341133422733</v>
      </c>
      <c r="X99" s="3">
        <f t="shared" si="85"/>
        <v>5337.866557080014</v>
      </c>
      <c r="Y99" s="3">
        <f t="shared" si="85"/>
        <v>5644.8950242449009</v>
      </c>
      <c r="Z99" s="3">
        <f t="shared" si="85"/>
        <v>5972.9100046576823</v>
      </c>
      <c r="AA99" s="3">
        <f t="shared" si="85"/>
        <v>6314.3765806772271</v>
      </c>
      <c r="AB99" s="3">
        <f t="shared" si="85"/>
        <v>6678.1544105427984</v>
      </c>
    </row>
    <row r="100" spans="2:118" x14ac:dyDescent="0.25">
      <c r="O100" s="5"/>
      <c r="P100" s="5"/>
    </row>
    <row r="101" spans="2:118" s="2" customFormat="1" x14ac:dyDescent="0.25">
      <c r="B101" s="2" t="s">
        <v>16</v>
      </c>
      <c r="O101" s="2">
        <f>+O84/O82</f>
        <v>0.1851408381587987</v>
      </c>
      <c r="P101" s="2">
        <f>+P84/P82</f>
        <v>0.2133118625872249</v>
      </c>
    </row>
    <row r="102" spans="2:118" s="2" customFormat="1" x14ac:dyDescent="0.25">
      <c r="B102" s="2" t="s">
        <v>17</v>
      </c>
      <c r="O102" s="2">
        <f>+O92/O82</f>
        <v>6.8623024830699778E-2</v>
      </c>
      <c r="P102" s="2">
        <f>+P92/P82</f>
        <v>9.2753623188405798E-2</v>
      </c>
      <c r="Q102" s="2">
        <f>+Q92/Q82</f>
        <v>6.644229524566822E-2</v>
      </c>
      <c r="R102" s="2">
        <f t="shared" ref="R102:Y102" si="86">+R92/R82</f>
        <v>7.584618771123787E-2</v>
      </c>
      <c r="S102" s="2">
        <f t="shared" si="86"/>
        <v>7.7396885342151861E-2</v>
      </c>
      <c r="T102" s="2">
        <f t="shared" si="86"/>
        <v>8.6194072795609117E-2</v>
      </c>
      <c r="U102" s="2">
        <f t="shared" si="86"/>
        <v>8.6981508323053111E-2</v>
      </c>
      <c r="V102" s="2">
        <f t="shared" si="86"/>
        <v>8.6057699932822182E-2</v>
      </c>
      <c r="W102" s="2">
        <f t="shared" si="86"/>
        <v>8.6071586904744174E-2</v>
      </c>
      <c r="X102" s="2">
        <f t="shared" si="86"/>
        <v>8.6083530319932239E-2</v>
      </c>
      <c r="Y102" s="2">
        <f t="shared" si="86"/>
        <v>8.6119246887762374E-2</v>
      </c>
      <c r="Z102" s="2">
        <f t="shared" ref="Z102:AB102" si="87">+Z92/Z82</f>
        <v>8.6178841023514016E-2</v>
      </c>
      <c r="AA102" s="2">
        <f t="shared" si="87"/>
        <v>8.6251828495435362E-2</v>
      </c>
      <c r="AB102" s="2">
        <f t="shared" si="87"/>
        <v>8.6343094505152776E-2</v>
      </c>
    </row>
    <row r="103" spans="2:118" s="2" customFormat="1" x14ac:dyDescent="0.25">
      <c r="B103" s="2" t="s">
        <v>18</v>
      </c>
      <c r="O103" s="2">
        <f>+O97/O82</f>
        <v>5.4234959269800764E-2</v>
      </c>
      <c r="P103" s="2">
        <f>+P97/P82</f>
        <v>7.1068169618894256E-2</v>
      </c>
      <c r="Q103" s="2">
        <f>+Q97/Q82</f>
        <v>5.6715424302383639E-2</v>
      </c>
      <c r="R103" s="2">
        <f t="shared" ref="R103:Y103" si="88">+R97/R82</f>
        <v>6.0004181923516565E-2</v>
      </c>
      <c r="S103" s="2">
        <f t="shared" si="88"/>
        <v>6.072138614920581E-2</v>
      </c>
      <c r="T103" s="2">
        <f t="shared" si="88"/>
        <v>6.6558317975350667E-2</v>
      </c>
      <c r="U103" s="2">
        <f t="shared" si="88"/>
        <v>6.6884129345151366E-2</v>
      </c>
      <c r="V103" s="2">
        <f t="shared" si="88"/>
        <v>6.6004709861259142E-2</v>
      </c>
      <c r="W103" s="2">
        <f t="shared" si="88"/>
        <v>6.5810261690345373E-2</v>
      </c>
      <c r="X103" s="2">
        <f t="shared" si="88"/>
        <v>6.563845628622611E-2</v>
      </c>
      <c r="Y103" s="2">
        <f t="shared" si="88"/>
        <v>6.550080992157653E-2</v>
      </c>
      <c r="Z103" s="2">
        <f t="shared" ref="Z103:AB103" si="89">+Z97/Z82</f>
        <v>6.5396122906555804E-2</v>
      </c>
      <c r="AA103" s="2">
        <f t="shared" si="89"/>
        <v>6.5316166915786844E-2</v>
      </c>
      <c r="AB103" s="2">
        <f t="shared" si="89"/>
        <v>6.5262423340820538E-2</v>
      </c>
    </row>
    <row r="105" spans="2:118" x14ac:dyDescent="0.25">
      <c r="B105" s="1" t="s">
        <v>66</v>
      </c>
      <c r="P105" s="1">
        <v>1133</v>
      </c>
      <c r="Q105" s="1">
        <v>1153</v>
      </c>
      <c r="R105" s="1">
        <f>+Q105+20</f>
        <v>1173</v>
      </c>
      <c r="S105" s="1">
        <f t="shared" ref="S105:AB105" si="90">+R105+20</f>
        <v>1193</v>
      </c>
      <c r="T105" s="1">
        <f t="shared" si="90"/>
        <v>1213</v>
      </c>
      <c r="U105" s="1">
        <f t="shared" si="90"/>
        <v>1233</v>
      </c>
      <c r="V105" s="1">
        <f t="shared" si="90"/>
        <v>1253</v>
      </c>
      <c r="W105" s="1">
        <f t="shared" si="90"/>
        <v>1273</v>
      </c>
      <c r="X105" s="1">
        <f t="shared" si="90"/>
        <v>1293</v>
      </c>
      <c r="Y105" s="1">
        <f t="shared" si="90"/>
        <v>1313</v>
      </c>
      <c r="Z105" s="1">
        <f t="shared" si="90"/>
        <v>1333</v>
      </c>
      <c r="AA105" s="1">
        <f t="shared" si="90"/>
        <v>1353</v>
      </c>
      <c r="AB105" s="1">
        <f t="shared" si="90"/>
        <v>1373</v>
      </c>
    </row>
    <row r="106" spans="2:118" x14ac:dyDescent="0.25">
      <c r="B106" s="1" t="s">
        <v>33</v>
      </c>
      <c r="O106" s="1">
        <v>-523</v>
      </c>
      <c r="P106" s="1">
        <v>386</v>
      </c>
      <c r="Q106" s="1">
        <v>1555</v>
      </c>
      <c r="R106" s="1">
        <f>+R105+R99</f>
        <v>3834.9621608032498</v>
      </c>
      <c r="S106" s="1">
        <f t="shared" ref="S106:AB106" si="91">+S105+S99</f>
        <v>4148.470437399651</v>
      </c>
      <c r="T106" s="1">
        <f t="shared" si="91"/>
        <v>5502.1488348427702</v>
      </c>
      <c r="U106" s="1">
        <f t="shared" si="91"/>
        <v>5877.0406390948201</v>
      </c>
      <c r="V106" s="1">
        <f t="shared" si="91"/>
        <v>6011.3172230741502</v>
      </c>
      <c r="W106" s="1">
        <f t="shared" si="91"/>
        <v>6323.341133422733</v>
      </c>
      <c r="X106" s="1">
        <f t="shared" si="91"/>
        <v>6630.866557080014</v>
      </c>
      <c r="Y106" s="1">
        <f t="shared" si="91"/>
        <v>6957.8950242449009</v>
      </c>
      <c r="Z106" s="1">
        <f t="shared" si="91"/>
        <v>7305.9100046576823</v>
      </c>
      <c r="AA106" s="1">
        <f t="shared" si="91"/>
        <v>7667.3765806772271</v>
      </c>
      <c r="AB106" s="1">
        <f t="shared" si="91"/>
        <v>8051.1544105427984</v>
      </c>
    </row>
    <row r="107" spans="2:118" x14ac:dyDescent="0.25">
      <c r="B107" s="1" t="s">
        <v>34</v>
      </c>
      <c r="O107" s="1">
        <v>523</v>
      </c>
      <c r="P107" s="1">
        <v>1026</v>
      </c>
      <c r="Q107" s="1">
        <v>1417</v>
      </c>
      <c r="R107" s="1">
        <v>1500</v>
      </c>
      <c r="S107" s="1">
        <f>+R107*1.05</f>
        <v>1575</v>
      </c>
      <c r="T107" s="1">
        <f t="shared" ref="T107:AB107" si="92">+S107*1.05</f>
        <v>1653.75</v>
      </c>
      <c r="U107" s="1">
        <f t="shared" si="92"/>
        <v>1736.4375</v>
      </c>
      <c r="V107" s="1">
        <f t="shared" si="92"/>
        <v>1823.2593750000001</v>
      </c>
      <c r="W107" s="1">
        <f t="shared" si="92"/>
        <v>1914.4223437500002</v>
      </c>
      <c r="X107" s="1">
        <f t="shared" si="92"/>
        <v>2010.1434609375003</v>
      </c>
      <c r="Y107" s="1">
        <f t="shared" si="92"/>
        <v>2110.6506339843754</v>
      </c>
      <c r="Z107" s="1">
        <f t="shared" si="92"/>
        <v>2216.1831656835943</v>
      </c>
      <c r="AA107" s="1">
        <f t="shared" si="92"/>
        <v>2326.9923239677742</v>
      </c>
      <c r="AB107" s="1">
        <f t="shared" si="92"/>
        <v>2443.3419401661631</v>
      </c>
    </row>
    <row r="108" spans="2:118" x14ac:dyDescent="0.25">
      <c r="B108" s="1" t="s">
        <v>89</v>
      </c>
      <c r="O108" s="1">
        <f>+O106-O107</f>
        <v>-1046</v>
      </c>
      <c r="P108" s="1">
        <f>+P106-P107</f>
        <v>-640</v>
      </c>
      <c r="Q108" s="1">
        <f>+Q106-Q107</f>
        <v>138</v>
      </c>
      <c r="R108" s="1">
        <f>+R106-R107</f>
        <v>2334.9621608032498</v>
      </c>
      <c r="S108" s="1">
        <f t="shared" ref="S108:AB108" si="93">+S106-S107</f>
        <v>2573.470437399651</v>
      </c>
      <c r="T108" s="1">
        <f t="shared" si="93"/>
        <v>3848.3988348427702</v>
      </c>
      <c r="U108" s="1">
        <f t="shared" si="93"/>
        <v>4140.6031390948201</v>
      </c>
      <c r="V108" s="1">
        <f t="shared" si="93"/>
        <v>4188.0578480741497</v>
      </c>
      <c r="W108" s="1">
        <f t="shared" si="93"/>
        <v>4408.9187896727326</v>
      </c>
      <c r="X108" s="1">
        <f t="shared" si="93"/>
        <v>4620.7230961425139</v>
      </c>
      <c r="Y108" s="1">
        <f t="shared" si="93"/>
        <v>4847.2443902605255</v>
      </c>
      <c r="Z108" s="1">
        <f t="shared" si="93"/>
        <v>5089.7268389740875</v>
      </c>
      <c r="AA108" s="1">
        <f t="shared" si="93"/>
        <v>5340.3842567094525</v>
      </c>
      <c r="AB108" s="1">
        <f t="shared" si="93"/>
        <v>5607.8124703766352</v>
      </c>
      <c r="AC108" s="3">
        <f t="shared" ref="AC108" si="94">+AB108*(1+TR)</f>
        <v>5663.8905950804019</v>
      </c>
      <c r="AD108" s="3">
        <f t="shared" ref="AD108" si="95">+AC108*(1+TR)</f>
        <v>5720.5295010312057</v>
      </c>
      <c r="AE108" s="3">
        <f t="shared" ref="AE108" si="96">+AD108*(1+TR)</f>
        <v>5777.7347960415182</v>
      </c>
      <c r="AF108" s="3">
        <f t="shared" ref="AF108" si="97">+AE108*(1+TR)</f>
        <v>5835.5121440019338</v>
      </c>
      <c r="AG108" s="3">
        <f t="shared" ref="AG108" si="98">+AF108*(1+TR)</f>
        <v>5893.8672654419534</v>
      </c>
      <c r="AH108" s="3">
        <f t="shared" ref="AH108" si="99">+AG108*(1+TR)</f>
        <v>5952.8059380963732</v>
      </c>
      <c r="AI108" s="3">
        <f t="shared" ref="AI108" si="100">+AH108*(1+TR)</f>
        <v>6012.3339974773371</v>
      </c>
      <c r="AJ108" s="3">
        <f t="shared" ref="AJ108" si="101">+AI108*(1+TR)</f>
        <v>6072.4573374521106</v>
      </c>
      <c r="AK108" s="3">
        <f t="shared" ref="AK108" si="102">+AJ108*(1+TR)</f>
        <v>6133.1819108266318</v>
      </c>
      <c r="AL108" s="3">
        <f t="shared" ref="AL108" si="103">+AK108*(1+TR)</f>
        <v>6194.513729934898</v>
      </c>
      <c r="AM108" s="3">
        <f t="shared" ref="AM108" si="104">+AL108*(1+TR)</f>
        <v>6256.458867234247</v>
      </c>
      <c r="AN108" s="3">
        <f t="shared" ref="AN108" si="105">+AM108*(1+TR)</f>
        <v>6319.0234559065893</v>
      </c>
      <c r="AO108" s="3">
        <f t="shared" ref="AO108" si="106">+AN108*(1+TR)</f>
        <v>6382.2136904656554</v>
      </c>
      <c r="AP108" s="3">
        <f t="shared" ref="AP108" si="107">+AO108*(1+TR)</f>
        <v>6446.0358273703123</v>
      </c>
      <c r="AQ108" s="3">
        <f t="shared" ref="AQ108" si="108">+AP108*(1+TR)</f>
        <v>6510.4961856440159</v>
      </c>
      <c r="AR108" s="3">
        <f t="shared" ref="AR108" si="109">+AQ108*(1+TR)</f>
        <v>6575.6011475004561</v>
      </c>
      <c r="AS108" s="3">
        <f t="shared" ref="AS108" si="110">+AR108*(1+TR)</f>
        <v>6641.3571589754611</v>
      </c>
      <c r="AT108" s="3">
        <f t="shared" ref="AT108" si="111">+AS108*(1+TR)</f>
        <v>6707.7707305652157</v>
      </c>
      <c r="AU108" s="3">
        <f t="shared" ref="AU108" si="112">+AT108*(1+TR)</f>
        <v>6774.8484378708681</v>
      </c>
      <c r="AV108" s="3">
        <f t="shared" ref="AV108" si="113">+AU108*(1+TR)</f>
        <v>6842.5969222495769</v>
      </c>
      <c r="AW108" s="3">
        <f t="shared" ref="AW108" si="114">+AV108*(1+TR)</f>
        <v>6911.0228914720728</v>
      </c>
      <c r="AX108" s="3">
        <f t="shared" ref="AX108" si="115">+AW108*(1+TR)</f>
        <v>6980.133120386794</v>
      </c>
      <c r="AY108" s="3">
        <f t="shared" ref="AY108" si="116">+AX108*(1+TR)</f>
        <v>7049.9344515906623</v>
      </c>
      <c r="AZ108" s="3">
        <f t="shared" ref="AZ108" si="117">+AY108*(1+TR)</f>
        <v>7120.4337961065694</v>
      </c>
      <c r="BA108" s="3">
        <f t="shared" ref="BA108" si="118">+AZ108*(1+TR)</f>
        <v>7191.6381340676353</v>
      </c>
      <c r="BB108" s="3">
        <f t="shared" ref="BB108" si="119">+BA108*(1+TR)</f>
        <v>7263.554515408312</v>
      </c>
      <c r="BC108" s="3">
        <f t="shared" ref="BC108" si="120">+BB108*(1+TR)</f>
        <v>7336.190060562395</v>
      </c>
      <c r="BD108" s="3">
        <f t="shared" ref="BD108" si="121">+BC108*(1+TR)</f>
        <v>7409.5519611680193</v>
      </c>
      <c r="BE108" s="3">
        <f t="shared" ref="BE108" si="122">+BD108*(1+TR)</f>
        <v>7483.6474807796994</v>
      </c>
      <c r="BF108" s="3">
        <f t="shared" ref="BF108" si="123">+BE108*(1+TR)</f>
        <v>7558.4839555874969</v>
      </c>
      <c r="BG108" s="3">
        <f t="shared" ref="BG108" si="124">+BF108*(1+TR)</f>
        <v>7634.068795143372</v>
      </c>
      <c r="BH108" s="3">
        <f t="shared" ref="BH108" si="125">+BG108*(1+TR)</f>
        <v>7710.4094830948061</v>
      </c>
      <c r="BI108" s="3">
        <f t="shared" ref="BI108" si="126">+BH108*(1+TR)</f>
        <v>7787.5135779257544</v>
      </c>
      <c r="BJ108" s="3">
        <f t="shared" ref="BJ108" si="127">+BI108*(1+TR)</f>
        <v>7865.3887137050124</v>
      </c>
      <c r="BK108" s="3">
        <f t="shared" ref="BK108" si="128">+BJ108*(1+TR)</f>
        <v>7944.0426008420627</v>
      </c>
      <c r="BL108" s="3">
        <f t="shared" ref="BL108" si="129">+BK108*(1+TR)</f>
        <v>8023.4830268504838</v>
      </c>
      <c r="BM108" s="3">
        <f t="shared" ref="BM108" si="130">+BL108*(1+TR)</f>
        <v>8103.7178571189888</v>
      </c>
      <c r="BN108" s="3">
        <f t="shared" ref="BN108" si="131">+BM108*(1+TR)</f>
        <v>8184.7550356901784</v>
      </c>
      <c r="BO108" s="3">
        <f t="shared" ref="BO108" si="132">+BN108*(1+TR)</f>
        <v>8266.60258604708</v>
      </c>
      <c r="BP108" s="3">
        <f t="shared" ref="BP108" si="133">+BO108*(1+TR)</f>
        <v>8349.2686119075515</v>
      </c>
      <c r="BQ108" s="3">
        <f t="shared" ref="BQ108" si="134">+BP108*(1+TR)</f>
        <v>8432.7612980266276</v>
      </c>
      <c r="BR108" s="3">
        <f t="shared" ref="BR108" si="135">+BQ108*(1+TR)</f>
        <v>8517.0889110068947</v>
      </c>
      <c r="BS108" s="3">
        <f t="shared" ref="BS108" si="136">+BR108*(1+TR)</f>
        <v>8602.2598001169645</v>
      </c>
      <c r="BT108" s="3">
        <f t="shared" ref="BT108" si="137">+BS108*(1+TR)</f>
        <v>8688.2823981181336</v>
      </c>
      <c r="BU108" s="3">
        <f t="shared" ref="BU108" si="138">+BT108*(1+TR)</f>
        <v>8775.1652220993146</v>
      </c>
      <c r="BV108" s="3">
        <f t="shared" ref="BV108" si="139">+BU108*(1+TR)</f>
        <v>8862.9168743203081</v>
      </c>
      <c r="BW108" s="3">
        <f t="shared" ref="BW108" si="140">+BV108*(1+TR)</f>
        <v>8951.5460430635121</v>
      </c>
      <c r="BX108" s="3">
        <f t="shared" ref="BX108" si="141">+BW108*(1+TR)</f>
        <v>9041.0615034941475</v>
      </c>
      <c r="BY108" s="3">
        <f t="shared" ref="BY108" si="142">+BX108*(1+TR)</f>
        <v>9131.4721185290891</v>
      </c>
      <c r="BZ108" s="3">
        <f t="shared" ref="BZ108" si="143">+BY108*(1+TR)</f>
        <v>9222.7868397143793</v>
      </c>
      <c r="CA108" s="3">
        <f t="shared" ref="CA108" si="144">+BZ108*(1+TR)</f>
        <v>9315.0147081115229</v>
      </c>
      <c r="CB108" s="3">
        <f t="shared" ref="CB108" si="145">+CA108*(1+TR)</f>
        <v>9408.1648551926373</v>
      </c>
      <c r="CC108" s="3">
        <f t="shared" ref="CC108" si="146">+CB108*(1+TR)</f>
        <v>9502.2465037445636</v>
      </c>
      <c r="CD108" s="3">
        <f t="shared" ref="CD108" si="147">+CC108*(1+TR)</f>
        <v>9597.2689687820093</v>
      </c>
      <c r="CE108" s="3">
        <f t="shared" ref="CE108" si="148">+CD108*(1+TR)</f>
        <v>9693.2416584698294</v>
      </c>
      <c r="CF108" s="3">
        <f t="shared" ref="CF108" si="149">+CE108*(1+TR)</f>
        <v>9790.1740750545287</v>
      </c>
      <c r="CG108" s="3">
        <f t="shared" ref="CG108" si="150">+CF108*(1+TR)</f>
        <v>9888.0758158050739</v>
      </c>
      <c r="CH108" s="3">
        <f t="shared" ref="CH108" si="151">+CG108*(1+TR)</f>
        <v>9986.9565739631253</v>
      </c>
      <c r="CI108" s="3">
        <f t="shared" ref="CI108" si="152">+CH108*(1+TR)</f>
        <v>10086.826139702756</v>
      </c>
      <c r="CJ108" s="3">
        <f t="shared" ref="CJ108" si="153">+CI108*(1+TR)</f>
        <v>10187.694401099783</v>
      </c>
      <c r="CK108" s="3">
        <f t="shared" ref="CK108" si="154">+CJ108*(1+TR)</f>
        <v>10289.57134511078</v>
      </c>
      <c r="CL108" s="3">
        <f t="shared" ref="CL108" si="155">+CK108*(1+TR)</f>
        <v>10392.467058561888</v>
      </c>
      <c r="CM108" s="3">
        <f t="shared" ref="CM108" si="156">+CL108*(1+TR)</f>
        <v>10496.391729147506</v>
      </c>
      <c r="CN108" s="3">
        <f t="shared" ref="CN108" si="157">+CM108*(1+TR)</f>
        <v>10601.355646438982</v>
      </c>
      <c r="CO108" s="3">
        <f t="shared" ref="CO108" si="158">+CN108*(1+TR)</f>
        <v>10707.369202903372</v>
      </c>
      <c r="CP108" s="3">
        <f t="shared" ref="CP108" si="159">+CO108*(1+TR)</f>
        <v>10814.442894932406</v>
      </c>
      <c r="CQ108" s="3">
        <f t="shared" ref="CQ108" si="160">+CP108*(1+TR)</f>
        <v>10922.587323881731</v>
      </c>
      <c r="CR108" s="3">
        <f t="shared" ref="CR108" si="161">+CQ108*(1+TR)</f>
        <v>11031.813197120549</v>
      </c>
      <c r="CS108" s="3">
        <f t="shared" ref="CS108" si="162">+CR108*(1+TR)</f>
        <v>11142.131329091755</v>
      </c>
      <c r="CT108" s="3">
        <f t="shared" ref="CT108" si="163">+CS108*(1+TR)</f>
        <v>11253.552642382672</v>
      </c>
      <c r="CU108" s="3">
        <f t="shared" ref="CU108" si="164">+CT108*(1+TR)</f>
        <v>11366.088168806498</v>
      </c>
      <c r="CV108" s="3">
        <f t="shared" ref="CV108" si="165">+CU108*(1+TR)</f>
        <v>11479.749050494564</v>
      </c>
      <c r="CW108" s="3">
        <f t="shared" ref="CW108" si="166">+CV108*(1+TR)</f>
        <v>11594.546540999509</v>
      </c>
      <c r="CX108" s="3">
        <f t="shared" ref="CX108" si="167">+CW108*(1+TR)</f>
        <v>11710.492006409504</v>
      </c>
      <c r="CY108" s="3">
        <f t="shared" ref="CY108" si="168">+CX108*(1+TR)</f>
        <v>11827.5969264736</v>
      </c>
      <c r="CZ108" s="3">
        <f t="shared" ref="CZ108" si="169">+CY108*(1+TR)</f>
        <v>11945.872895738336</v>
      </c>
      <c r="DA108" s="3">
        <f t="shared" ref="DA108" si="170">+CZ108*(1+TR)</f>
        <v>12065.331624695718</v>
      </c>
      <c r="DB108" s="3">
        <f t="shared" ref="DB108" si="171">+DA108*(1+TR)</f>
        <v>12185.984940942675</v>
      </c>
      <c r="DC108" s="3">
        <f t="shared" ref="DC108" si="172">+DB108*(1+TR)</f>
        <v>12307.844790352103</v>
      </c>
      <c r="DD108" s="3">
        <f t="shared" ref="DD108" si="173">+DC108*(1+TR)</f>
        <v>12430.923238255624</v>
      </c>
      <c r="DE108" s="3">
        <f t="shared" ref="DE108" si="174">+DD108*(1+TR)</f>
        <v>12555.232470638181</v>
      </c>
      <c r="DF108" s="3">
        <f t="shared" ref="DF108" si="175">+DE108*(1+TR)</f>
        <v>12680.784795344562</v>
      </c>
      <c r="DG108" s="3">
        <f t="shared" ref="DG108" si="176">+DF108*(1+TR)</f>
        <v>12807.592643298007</v>
      </c>
      <c r="DH108" s="3">
        <f t="shared" ref="DH108" si="177">+DG108*(1+TR)</f>
        <v>12935.668569730988</v>
      </c>
      <c r="DI108" s="3">
        <f t="shared" ref="DI108" si="178">+DH108*(1+TR)</f>
        <v>13065.025255428298</v>
      </c>
      <c r="DJ108" s="3">
        <f t="shared" ref="DJ108" si="179">+DI108*(1+TR)</f>
        <v>13195.675507982582</v>
      </c>
      <c r="DK108" s="3">
        <f t="shared" ref="DK108" si="180">+DJ108*(1+TR)</f>
        <v>13327.632263062407</v>
      </c>
      <c r="DL108" s="3">
        <f t="shared" ref="DL108" si="181">+DK108*(1+TR)</f>
        <v>13460.908585693031</v>
      </c>
      <c r="DM108" s="3">
        <f t="shared" ref="DM108" si="182">+DL108*(1+TR)</f>
        <v>13595.51767154996</v>
      </c>
      <c r="DN108" s="3">
        <f t="shared" ref="DN108" si="183">+DM108*(1+TR)</f>
        <v>13731.472848265459</v>
      </c>
    </row>
    <row r="111" spans="2:118" x14ac:dyDescent="0.25">
      <c r="B111" s="1" t="s">
        <v>35</v>
      </c>
      <c r="O111" s="1">
        <f>+O117+O116-O123-O124</f>
        <v>11910</v>
      </c>
      <c r="P111" s="1">
        <f>+P117+P116-P123-P124</f>
        <v>16412</v>
      </c>
      <c r="AB111" s="2"/>
    </row>
    <row r="112" spans="2:118" x14ac:dyDescent="0.25">
      <c r="B112" s="1" t="s">
        <v>36</v>
      </c>
      <c r="P112" s="1">
        <f>+P111-O111</f>
        <v>4502</v>
      </c>
    </row>
    <row r="113" spans="2:28" x14ac:dyDescent="0.25">
      <c r="AB113" s="10"/>
    </row>
    <row r="114" spans="2:28" x14ac:dyDescent="0.25">
      <c r="B114" s="1" t="s">
        <v>21</v>
      </c>
      <c r="E114" s="1">
        <v>7834</v>
      </c>
      <c r="O114" s="1">
        <v>5944</v>
      </c>
      <c r="P114" s="1">
        <v>7067</v>
      </c>
      <c r="Q114" s="1">
        <v>6553</v>
      </c>
    </row>
    <row r="115" spans="2:28" x14ac:dyDescent="0.25">
      <c r="B115" s="1" t="s">
        <v>22</v>
      </c>
      <c r="E115" s="1">
        <f>1739+82</f>
        <v>1821</v>
      </c>
      <c r="O115" s="1">
        <f>1124+21</f>
        <v>1145</v>
      </c>
      <c r="P115" s="1">
        <f>1751+57</f>
        <v>1808</v>
      </c>
      <c r="Q115" s="1">
        <f>2185+91</f>
        <v>2276</v>
      </c>
    </row>
    <row r="116" spans="2:28" x14ac:dyDescent="0.25">
      <c r="B116" s="1" t="s">
        <v>23</v>
      </c>
      <c r="E116" s="1">
        <f>13477+14373</f>
        <v>27850</v>
      </c>
      <c r="O116" s="1">
        <f>10066+12359</f>
        <v>22425</v>
      </c>
      <c r="P116" s="1">
        <f>12147+14067</f>
        <v>26214</v>
      </c>
    </row>
    <row r="117" spans="2:28" x14ac:dyDescent="0.25">
      <c r="B117" s="1" t="s">
        <v>24</v>
      </c>
      <c r="E117" s="1">
        <v>4329</v>
      </c>
      <c r="O117" s="1">
        <v>4577</v>
      </c>
      <c r="P117" s="1">
        <v>5245</v>
      </c>
    </row>
    <row r="118" spans="2:28" x14ac:dyDescent="0.25">
      <c r="B118" s="1" t="s">
        <v>7</v>
      </c>
      <c r="E118" s="1">
        <v>873</v>
      </c>
      <c r="O118" s="1">
        <v>1073</v>
      </c>
      <c r="P118" s="1">
        <v>1051</v>
      </c>
    </row>
    <row r="119" spans="2:28" x14ac:dyDescent="0.25">
      <c r="B119" s="1" t="s">
        <v>25</v>
      </c>
      <c r="E119" s="1">
        <v>7835</v>
      </c>
      <c r="O119" s="1">
        <v>7993</v>
      </c>
      <c r="P119" s="1">
        <v>7979</v>
      </c>
      <c r="Q119" s="1">
        <v>8413</v>
      </c>
    </row>
    <row r="120" spans="2:28" s="3" customFormat="1" x14ac:dyDescent="0.25">
      <c r="B120" s="3" t="s">
        <v>26</v>
      </c>
      <c r="E120" s="3">
        <f>+SUM(E114:E119)</f>
        <v>50542</v>
      </c>
      <c r="O120" s="3">
        <f>+SUM(O114:O119)</f>
        <v>43157</v>
      </c>
      <c r="P120" s="3">
        <f>+SUM(P114:P119)</f>
        <v>49364</v>
      </c>
    </row>
    <row r="121" spans="2:28" x14ac:dyDescent="0.25">
      <c r="P121" s="7"/>
    </row>
    <row r="122" spans="2:28" x14ac:dyDescent="0.25">
      <c r="B122" s="1" t="s">
        <v>27</v>
      </c>
      <c r="E122" s="1">
        <f>18560+10700</f>
        <v>29260</v>
      </c>
      <c r="O122" s="1">
        <f>7511+13328</f>
        <v>20839</v>
      </c>
      <c r="P122" s="1">
        <f>8602+17125</f>
        <v>25727</v>
      </c>
      <c r="Q122" s="1">
        <f>18373+10293</f>
        <v>28666</v>
      </c>
    </row>
    <row r="123" spans="2:28" x14ac:dyDescent="0.25">
      <c r="B123" s="1" t="s">
        <v>28</v>
      </c>
      <c r="E123" s="1">
        <v>5279</v>
      </c>
      <c r="O123" s="1">
        <v>5317</v>
      </c>
      <c r="P123" s="1">
        <v>5059</v>
      </c>
      <c r="Q123" s="7">
        <f>+Q94/Q122</f>
        <v>7.6745970836531079E-3</v>
      </c>
    </row>
    <row r="124" spans="2:28" x14ac:dyDescent="0.25">
      <c r="B124" s="1" t="s">
        <v>29</v>
      </c>
      <c r="E124" s="1">
        <f>2685+1690+2209+2859</f>
        <v>9443</v>
      </c>
      <c r="O124" s="1">
        <f>2743+2110+2716+2206</f>
        <v>9775</v>
      </c>
      <c r="P124" s="1">
        <f>2870+1814+2784+2520</f>
        <v>9988</v>
      </c>
    </row>
    <row r="125" spans="2:28" x14ac:dyDescent="0.25">
      <c r="B125" s="1" t="s">
        <v>31</v>
      </c>
      <c r="E125" s="1">
        <v>1044</v>
      </c>
      <c r="O125" s="1">
        <v>1147</v>
      </c>
      <c r="P125" s="1">
        <v>1212</v>
      </c>
    </row>
    <row r="126" spans="2:28" s="3" customFormat="1" x14ac:dyDescent="0.25">
      <c r="B126" s="3" t="s">
        <v>30</v>
      </c>
      <c r="E126" s="3">
        <f>+SUM(E122:E125)</f>
        <v>45026</v>
      </c>
      <c r="O126" s="3">
        <f>+SUM(O122:O125)</f>
        <v>37078</v>
      </c>
      <c r="P126" s="3">
        <f>+SUM(P122:P125)</f>
        <v>41986</v>
      </c>
    </row>
    <row r="128" spans="2:28" x14ac:dyDescent="0.25">
      <c r="B128" s="1" t="s">
        <v>32</v>
      </c>
      <c r="E128" s="1">
        <f>+E120-E126</f>
        <v>5516</v>
      </c>
      <c r="O128" s="1">
        <f>+O120-O126</f>
        <v>6079</v>
      </c>
      <c r="P128" s="1">
        <f>+P120-P126</f>
        <v>7378</v>
      </c>
    </row>
    <row r="130" spans="2:16" x14ac:dyDescent="0.25">
      <c r="B130" s="3" t="s">
        <v>64</v>
      </c>
    </row>
    <row r="131" spans="2:16" x14ac:dyDescent="0.25">
      <c r="B131" s="1" t="s">
        <v>65</v>
      </c>
      <c r="O131" s="1">
        <v>38717</v>
      </c>
      <c r="P131" s="1">
        <v>40273</v>
      </c>
    </row>
    <row r="132" spans="2:16" x14ac:dyDescent="0.25">
      <c r="B132" s="1" t="s">
        <v>66</v>
      </c>
      <c r="O132" s="1">
        <v>716</v>
      </c>
      <c r="P132" s="1">
        <v>804</v>
      </c>
    </row>
    <row r="133" spans="2:16" x14ac:dyDescent="0.25">
      <c r="B133" s="1" t="s">
        <v>67</v>
      </c>
      <c r="O133" s="1">
        <v>726</v>
      </c>
      <c r="P133" s="1">
        <v>1424</v>
      </c>
    </row>
    <row r="134" spans="2:16" x14ac:dyDescent="0.25">
      <c r="B134" s="1" t="s">
        <v>68</v>
      </c>
      <c r="O134" s="1">
        <v>174</v>
      </c>
      <c r="P134" s="1">
        <v>88</v>
      </c>
    </row>
    <row r="135" spans="2:16" x14ac:dyDescent="0.25">
      <c r="B135" s="1" t="s">
        <v>69</v>
      </c>
      <c r="O135" s="1">
        <v>1180</v>
      </c>
      <c r="P135" s="1">
        <v>1379</v>
      </c>
    </row>
    <row r="137" spans="2:16" x14ac:dyDescent="0.25">
      <c r="B137" s="3" t="s">
        <v>70</v>
      </c>
      <c r="O137" s="3">
        <f>+O138+O139</f>
        <v>7495</v>
      </c>
      <c r="P137" s="3">
        <f>+P138+P139</f>
        <v>7882</v>
      </c>
    </row>
    <row r="138" spans="2:16" x14ac:dyDescent="0.25">
      <c r="B138" s="1" t="s">
        <v>71</v>
      </c>
      <c r="O138" s="1">
        <v>6016</v>
      </c>
      <c r="P138" s="1">
        <v>6325</v>
      </c>
    </row>
    <row r="139" spans="2:16" x14ac:dyDescent="0.25">
      <c r="B139" s="1" t="s">
        <v>72</v>
      </c>
      <c r="O139" s="1">
        <v>1479</v>
      </c>
      <c r="P139" s="1">
        <v>1557</v>
      </c>
    </row>
    <row r="140" spans="2:16" x14ac:dyDescent="0.25">
      <c r="B140" s="1" t="s">
        <v>73</v>
      </c>
      <c r="O140" s="1">
        <v>325</v>
      </c>
      <c r="P140" s="1">
        <v>272</v>
      </c>
    </row>
    <row r="141" spans="2:16" x14ac:dyDescent="0.25">
      <c r="O141" s="7"/>
      <c r="P141" s="7">
        <f>+P137/O137 -1</f>
        <v>5.1634422948632519E-2</v>
      </c>
    </row>
    <row r="142" spans="2:16" x14ac:dyDescent="0.25">
      <c r="O142" s="7"/>
      <c r="P142" s="7"/>
    </row>
    <row r="143" spans="2:16" s="3" customFormat="1" x14ac:dyDescent="0.25">
      <c r="B143" s="3" t="s">
        <v>74</v>
      </c>
      <c r="O143" s="3">
        <f>+SUM(O144:O149)</f>
        <v>108438</v>
      </c>
      <c r="P143" s="3">
        <f>+SUM(P144:P149)</f>
        <v>109933</v>
      </c>
    </row>
    <row r="144" spans="2:16" x14ac:dyDescent="0.25">
      <c r="B144" s="1" t="s">
        <v>37</v>
      </c>
      <c r="O144" s="1">
        <v>27630</v>
      </c>
      <c r="P144" s="1">
        <v>29291</v>
      </c>
    </row>
    <row r="145" spans="2:16" x14ac:dyDescent="0.25">
      <c r="B145" s="1" t="s">
        <v>75</v>
      </c>
      <c r="O145" s="1">
        <v>44278</v>
      </c>
      <c r="P145" s="1">
        <v>42146</v>
      </c>
    </row>
    <row r="146" spans="2:16" x14ac:dyDescent="0.25">
      <c r="B146" s="1" t="s">
        <v>39</v>
      </c>
      <c r="O146" s="1">
        <v>16244</v>
      </c>
      <c r="P146" s="1">
        <v>16904</v>
      </c>
    </row>
    <row r="147" spans="2:16" x14ac:dyDescent="0.25">
      <c r="B147" s="1" t="s">
        <v>40</v>
      </c>
      <c r="O147" s="1">
        <v>16385</v>
      </c>
      <c r="P147" s="1">
        <v>16756</v>
      </c>
    </row>
    <row r="148" spans="2:16" x14ac:dyDescent="0.25">
      <c r="B148" s="1" t="s">
        <v>48</v>
      </c>
      <c r="O148" s="1">
        <v>1577</v>
      </c>
      <c r="P148" s="1">
        <v>1903</v>
      </c>
    </row>
    <row r="149" spans="2:16" x14ac:dyDescent="0.25">
      <c r="B149" s="1" t="s">
        <v>76</v>
      </c>
      <c r="O149" s="1">
        <v>2324</v>
      </c>
      <c r="P149" s="1">
        <v>2933</v>
      </c>
    </row>
    <row r="151" spans="2:16" x14ac:dyDescent="0.25">
      <c r="B151" s="1" t="s">
        <v>77</v>
      </c>
      <c r="O151" s="5">
        <f>+O138/O143 *1000</f>
        <v>55.478706726424321</v>
      </c>
      <c r="P151" s="5">
        <f>+P138/P143 *1000</f>
        <v>57.535044072298582</v>
      </c>
    </row>
    <row r="153" spans="2:16" x14ac:dyDescent="0.25">
      <c r="B153" s="1" t="s">
        <v>78</v>
      </c>
      <c r="O153" s="1">
        <v>30</v>
      </c>
      <c r="P153" s="1">
        <v>30</v>
      </c>
    </row>
    <row r="154" spans="2:16" x14ac:dyDescent="0.25">
      <c r="B154" s="1" t="s">
        <v>79</v>
      </c>
      <c r="O154" s="1">
        <v>45</v>
      </c>
      <c r="P154" s="1">
        <v>45</v>
      </c>
    </row>
    <row r="155" spans="2:16" x14ac:dyDescent="0.25">
      <c r="B155" s="1" t="s">
        <v>86</v>
      </c>
      <c r="O155" s="1">
        <f>(O138-(O153*O149/1000+O154*O148/1000))/(SUM(O144:O147)) *1000</f>
        <v>56.203210346575851</v>
      </c>
      <c r="P155" s="1">
        <f>(P138-(P153*P149/1000+P154*P148/1000))/(SUM(P144:P147)) *1000</f>
        <v>58.530452819776016</v>
      </c>
    </row>
    <row r="156" spans="2:16" x14ac:dyDescent="0.25">
      <c r="B156" s="1" t="s">
        <v>87</v>
      </c>
      <c r="O156" s="1">
        <f>+O145/SUM(O144:O147) *O160</f>
        <v>3100.3564667459368</v>
      </c>
      <c r="P156" s="1">
        <f>+P145/SUM(P144:P147) *P160</f>
        <v>3074.0843538302711</v>
      </c>
    </row>
    <row r="157" spans="2:16" x14ac:dyDescent="0.25">
      <c r="B157" s="1" t="s">
        <v>88</v>
      </c>
      <c r="O157" s="9">
        <f>+O156/O145 *1000</f>
        <v>70.020246324267973</v>
      </c>
      <c r="P157" s="9">
        <f>+P156/P145 *1000</f>
        <v>72.938934983872031</v>
      </c>
    </row>
    <row r="158" spans="2:16" x14ac:dyDescent="0.25">
      <c r="P158" s="6"/>
    </row>
    <row r="159" spans="2:16" x14ac:dyDescent="0.25">
      <c r="B159" s="1" t="s">
        <v>80</v>
      </c>
      <c r="O159" s="1">
        <f>+(O153*O149/1000 +O154*O148/1000)*1.246</f>
        <v>175.29351</v>
      </c>
      <c r="P159" s="1">
        <f>+(P153*P149/1000 +P154*P148/1000)*1.246</f>
        <v>216.33674999999999</v>
      </c>
    </row>
    <row r="160" spans="2:16" x14ac:dyDescent="0.25">
      <c r="B160" s="1" t="s">
        <v>81</v>
      </c>
      <c r="O160" s="1">
        <f>+O137-O159</f>
        <v>7319.7064899999996</v>
      </c>
      <c r="P160" s="1">
        <f>+P137-P159</f>
        <v>7665.6632499999996</v>
      </c>
    </row>
    <row r="161" spans="2:16" x14ac:dyDescent="0.25">
      <c r="B161" s="1" t="s">
        <v>82</v>
      </c>
      <c r="O161" s="1">
        <f>+O83-O160</f>
        <v>34193.293510000003</v>
      </c>
      <c r="P161" s="1">
        <f>+P83-P160</f>
        <v>36302.336750000002</v>
      </c>
    </row>
    <row r="163" spans="2:16" x14ac:dyDescent="0.25">
      <c r="B163" s="1" t="s">
        <v>83</v>
      </c>
      <c r="O163" s="5">
        <f>+O161/O4 *1000</f>
        <v>64.13374980305953</v>
      </c>
      <c r="P163" s="5">
        <f>+P161/P4 *1000</f>
        <v>67.119158882824522</v>
      </c>
    </row>
    <row r="164" spans="2:16" x14ac:dyDescent="0.25">
      <c r="P16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Model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2024-09-09T17:37:38Z</dcterms:created>
  <dcterms:modified xsi:type="dcterms:W3CDTF">2026-02-14T21:56:57Z</dcterms:modified>
</cp:coreProperties>
</file>