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3" r:id="rId1"/>
    <sheet name="siMPHOSPH9" sheetId="10" r:id="rId2"/>
    <sheet name="siKCNK16" sheetId="11" r:id="rId3"/>
  </sheets>
  <externalReferences>
    <externalReference r:id="rId4"/>
  </externalReferences>
  <definedNames>
    <definedName name="_xlnm.Print_Area" localSheetId="2">siKCNK16!$A$1:$Q$83</definedName>
    <definedName name="_xlnm.Print_Area" localSheetId="1">siMPHOSPH9!$A$1:$Q$83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D55" i="10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B16" i="11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E22" i="3" l="1"/>
  <c r="D55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F22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<sst xmlns="http://schemas.openxmlformats.org/spreadsheetml/2006/main" count="306" uniqueCount="46">
  <si>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</si>
  <si>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</si>
  <si>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</si>
  <si>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</si>
  <si>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</si>
  <si>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</si>
  <si>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</si>
  <si>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</si>
  <si>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</si>
  <si>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</si>
  <si>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</si>
  <si>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</si>
  <si>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</si>
  <si>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</si>
  <si>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</si>
  <si>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</si>
  <si>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</si>
  <si>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</si>
  <si>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</si>
  <si>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</si>
  <si>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</si>
  <si>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</si>
  <si>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</si>
  <si>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</si>
  <si>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</si>
  <si>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</si>
  <si>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</si>
  <si>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</si>
  <si>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</si>
  <si>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</si>
  <si>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</si>
  <si>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</si>
  <si>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</si>
  <si>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</si>
  <si>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</si>
  <si>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</si>
  <si>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</si>
  <si>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</si>
  <si>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</si>
  <si>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</si>
  <si>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</si>
  <si>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</si>
  <si>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</si>
  <si>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Ana Ortalli</t>
  </si>
  <si>
    <t>lost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</si>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</sst>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6" borderId="0" xfId="0" applyFill="1"/>
    <xf numFmtId="0" fontId="0" fillId="5" borderId="0" xfId="0" applyFill="1"/>
    <xf numFmtId="0" fontId="0" fillId="0" borderId="0" xfId="0" applyProtection="1">
      <protection locked="0"/>
    </xf>
    <xf numFmtId="0" fontId="0" fillId="5" borderId="0" xfId="0" applyFill="1" applyBorder="1"/>
    <xf numFmtId="0" fontId="0" fillId="5" borderId="12" xfId="0" applyFill="1" applyBorder="1"/>
    <xf numFmtId="0" fontId="0" fillId="7" borderId="0" xfId="0" applyFill="1"/>
    <xf numFmtId="0" fontId="0" fillId="7" borderId="0" xfId="0" applyFill="1" applyBorder="1"/>
    <xf numFmtId="0" fontId="0" fillId="7" borderId="12" xfId="0" applyFill="1" applyBorder="1"/>
    <xf numFmtId="0" fontId="0" fillId="8" borderId="0" xfId="0" applyFill="1"/>
    <xf numFmtId="0" fontId="0" fillId="8" borderId="0" xfId="0" applyFill="1" applyBorder="1"/>
    <xf numFmtId="0" fontId="0" fillId="8" borderId="12" xfId="0" applyFill="1" applyBorder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-0.93367407463796226</c:v>
                </c:pt>
                <c:pt idx="2">
                  <c:v>-0.52360317327466988</c:v>
                </c:pt>
                <c:pt idx="3">
                  <c:v>1.6197353512438967E-2</c:v>
                </c:pt>
                <c:pt idx="4">
                  <c:v>0.3077099234048068</c:v>
                </c:pt>
              </c:numCache>
            </c:numRef>
          </c:yVal>
        </c:ser>
        <c:axId val="80656640"/>
        <c:axId val="80666624"/>
      </c:scatterChart>
      <c:valAx>
        <c:axId val="8065664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666624"/>
        <c:crosses val="autoZero"/>
        <c:crossBetween val="midCat"/>
      </c:valAx>
      <c:valAx>
        <c:axId val="8066662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065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0.21147995372094916</c:v>
                  </c:pt>
                  <c:pt idx="1">
                    <c:v>0.43943854357944989</c:v>
                  </c:pt>
                  <c:pt idx="2">
                    <c:v>1.4299981880178874</c:v>
                  </c:pt>
                  <c:pt idx="3">
                    <c:v>1.8203741725080989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0.21147995372094916</c:v>
                  </c:pt>
                  <c:pt idx="1">
                    <c:v>0.43943854357944989</c:v>
                  </c:pt>
                  <c:pt idx="2">
                    <c:v>1.4299981880178874</c:v>
                  </c:pt>
                  <c:pt idx="3">
                    <c:v>1.8203741725080989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0.77267432050870166</c:v>
                </c:pt>
                <c:pt idx="1">
                  <c:v>1.194677472555089</c:v>
                </c:pt>
                <c:pt idx="2">
                  <c:v>3.5152355045432864</c:v>
                </c:pt>
                <c:pt idx="3">
                  <c:v>6.1536549055513001</c:v>
                </c:pt>
              </c:numCache>
            </c:numRef>
          </c:val>
        </c:ser>
        <c:axId val="80712448"/>
        <c:axId val="80713984"/>
      </c:barChart>
      <c:catAx>
        <c:axId val="80712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0713984"/>
        <c:crosses val="autoZero"/>
        <c:auto val="1"/>
        <c:lblAlgn val="ctr"/>
        <c:lblOffset val="100"/>
      </c:catAx>
      <c:valAx>
        <c:axId val="807139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0712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0.15255458400177496</c:v>
                  </c:pt>
                  <c:pt idx="1">
                    <c:v>0.24145215458735192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0.15255458400177496</c:v>
                  </c:pt>
                  <c:pt idx="1">
                    <c:v>0.24145215458735192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1.5233738452857979</c:v>
                </c:pt>
                <c:pt idx="1">
                  <c:v>1.8046372597250038</c:v>
                </c:pt>
              </c:numCache>
            </c:numRef>
          </c:val>
        </c:ser>
        <c:axId val="81332864"/>
        <c:axId val="81355520"/>
      </c:barChart>
      <c:catAx>
        <c:axId val="81332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1355520"/>
        <c:crosses val="autoZero"/>
        <c:auto val="1"/>
        <c:lblAlgn val="ctr"/>
        <c:lblOffset val="100"/>
      </c:catAx>
      <c:valAx>
        <c:axId val="8135552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1332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siMPHOSPH9!$G$9:$G$13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siMPHOSPH9!$H$9:$H$13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-0.93367407463796226</c:v>
                </c:pt>
                <c:pt idx="2">
                  <c:v>-0.52360317327466988</c:v>
                </c:pt>
                <c:pt idx="3">
                  <c:v>1.6197353512438967E-2</c:v>
                </c:pt>
                <c:pt idx="4">
                  <c:v>0.3077099234048068</c:v>
                </c:pt>
              </c:numCache>
            </c:numRef>
          </c:yVal>
        </c:ser>
        <c:axId val="64234240"/>
        <c:axId val="64249856"/>
      </c:scatterChart>
      <c:valAx>
        <c:axId val="6423424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4249856"/>
        <c:crosses val="autoZero"/>
        <c:crossBetween val="midCat"/>
      </c:valAx>
      <c:valAx>
        <c:axId val="6424985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234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siMPHOSPH9!$C$65:$C$68</c:f>
                <c:numCache>
                  <c:formatCode>General</c:formatCode>
                  <c:ptCount val="4"/>
                  <c:pt idx="0">
                    <c:v>0.44081837398177925</c:v>
                  </c:pt>
                  <c:pt idx="1">
                    <c:v>0.53128873517085828</c:v>
                  </c:pt>
                  <c:pt idx="2">
                    <c:v>0.19180283031598278</c:v>
                  </c:pt>
                  <c:pt idx="3">
                    <c:v>0.51128343242897512</c:v>
                  </c:pt>
                </c:numCache>
              </c:numRef>
            </c:plus>
            <c:minus>
              <c:numRef>
                <c:f>siMPHOSPH9!$C$65:$C$68</c:f>
                <c:numCache>
                  <c:formatCode>General</c:formatCode>
                  <c:ptCount val="4"/>
                  <c:pt idx="0">
                    <c:v>0.44081837398177925</c:v>
                  </c:pt>
                  <c:pt idx="1">
                    <c:v>0.53128873517085828</c:v>
                  </c:pt>
                  <c:pt idx="2">
                    <c:v>0.19180283031598278</c:v>
                  </c:pt>
                  <c:pt idx="3">
                    <c:v>0.51128343242897512</c:v>
                  </c:pt>
                </c:numCache>
              </c:numRef>
            </c:minus>
          </c:errBars>
          <c:cat>
            <c:strRef>
              <c:f>(siMPHOSPH9!$A$65,siMPHOSPH9!$A$66,siMPHOSPH9!$A$67,siMPHOSPH9!$A$68)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siMPHOSPH9!$B$65:$B$68</c:f>
              <c:numCache>
                <c:formatCode>0.0</c:formatCode>
                <c:ptCount val="4"/>
                <c:pt idx="0">
                  <c:v>0.88485367885929378</c:v>
                </c:pt>
                <c:pt idx="1">
                  <c:v>1.8471888509954717</c:v>
                </c:pt>
                <c:pt idx="2">
                  <c:v>3.3184733798452597</c:v>
                </c:pt>
                <c:pt idx="3">
                  <c:v>6.4485290072169503</c:v>
                </c:pt>
              </c:numCache>
            </c:numRef>
          </c:val>
        </c:ser>
        <c:axId val="64558592"/>
        <c:axId val="64560512"/>
      </c:barChart>
      <c:catAx>
        <c:axId val="64558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560512"/>
        <c:crosses val="autoZero"/>
        <c:auto val="1"/>
        <c:lblAlgn val="ctr"/>
        <c:lblOffset val="100"/>
      </c:catAx>
      <c:valAx>
        <c:axId val="645605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558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4"/>
          <c:y val="2.720080182307739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siMPHOSPH9!$O$58:$O$59</c:f>
                <c:numCache>
                  <c:formatCode>General</c:formatCode>
                  <c:ptCount val="2"/>
                  <c:pt idx="0">
                    <c:v>0.95192209982915765</c:v>
                  </c:pt>
                  <c:pt idx="1">
                    <c:v>0.10663508340299939</c:v>
                  </c:pt>
                </c:numCache>
              </c:numRef>
            </c:plus>
            <c:minus>
              <c:numRef>
                <c:f>siMPHOSPH9!$O$58:$O$59</c:f>
                <c:numCache>
                  <c:formatCode>General</c:formatCode>
                  <c:ptCount val="2"/>
                  <c:pt idx="0">
                    <c:v>0.95192209982915765</c:v>
                  </c:pt>
                  <c:pt idx="1">
                    <c:v>0.10663508340299939</c:v>
                  </c:pt>
                </c:numCache>
              </c:numRef>
            </c:minus>
          </c:errBars>
          <c:cat>
            <c:strRef>
              <c:f>siMPHOSPH9!$M$58:$M$59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siMPHOSPH9!$N$58:$N$59</c:f>
              <c:numCache>
                <c:formatCode>0.0</c:formatCode>
                <c:ptCount val="2"/>
                <c:pt idx="0">
                  <c:v>2.3291727698474749</c:v>
                </c:pt>
                <c:pt idx="1">
                  <c:v>1.9433126584802813</c:v>
                </c:pt>
              </c:numCache>
            </c:numRef>
          </c:val>
        </c:ser>
        <c:axId val="64723200"/>
        <c:axId val="64831488"/>
      </c:barChart>
      <c:catAx>
        <c:axId val="647232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831488"/>
        <c:crosses val="autoZero"/>
        <c:auto val="1"/>
        <c:lblAlgn val="ctr"/>
        <c:lblOffset val="100"/>
      </c:catAx>
      <c:valAx>
        <c:axId val="648314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7232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siKCNK16!$G$9:$G$13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siKCNK16!$H$9:$H$13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-0.93367407463796226</c:v>
                </c:pt>
                <c:pt idx="2">
                  <c:v>-0.52360317327466988</c:v>
                </c:pt>
                <c:pt idx="3">
                  <c:v>1.6197353512438967E-2</c:v>
                </c:pt>
                <c:pt idx="4">
                  <c:v>0.3077099234048068</c:v>
                </c:pt>
              </c:numCache>
            </c:numRef>
          </c:yVal>
        </c:ser>
        <c:axId val="88979328"/>
        <c:axId val="88980864"/>
      </c:scatterChart>
      <c:valAx>
        <c:axId val="8897932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8980864"/>
        <c:crosses val="autoZero"/>
        <c:crossBetween val="midCat"/>
      </c:valAx>
      <c:valAx>
        <c:axId val="8898086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8979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siKCNK16!$C$65:$C$68</c:f>
                <c:numCache>
                  <c:formatCode>General</c:formatCode>
                  <c:ptCount val="4"/>
                  <c:pt idx="0">
                    <c:v>0.24740564461325834</c:v>
                  </c:pt>
                  <c:pt idx="1">
                    <c:v>0.16573078840731947</c:v>
                  </c:pt>
                  <c:pt idx="2">
                    <c:v>0.77134259150163043</c:v>
                  </c:pt>
                  <c:pt idx="3">
                    <c:v>0.63775776656177574</c:v>
                  </c:pt>
                </c:numCache>
              </c:numRef>
            </c:plus>
            <c:minus>
              <c:numRef>
                <c:f>siKCNK16!$C$65:$C$68</c:f>
                <c:numCache>
                  <c:formatCode>General</c:formatCode>
                  <c:ptCount val="4"/>
                  <c:pt idx="0">
                    <c:v>0.24740564461325834</c:v>
                  </c:pt>
                  <c:pt idx="1">
                    <c:v>0.16573078840731947</c:v>
                  </c:pt>
                  <c:pt idx="2">
                    <c:v>0.77134259150163043</c:v>
                  </c:pt>
                  <c:pt idx="3">
                    <c:v>0.63775776656177574</c:v>
                  </c:pt>
                </c:numCache>
              </c:numRef>
            </c:minus>
          </c:errBars>
          <c:cat>
            <c:strRef>
              <c:f>(siKCNK16!$A$65,siKCNK16!$A$66,siKCNK16!$A$67,siKCNK16!$A$68)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siKCNK16!$B$65:$B$68</c:f>
              <c:numCache>
                <c:formatCode>0.0</c:formatCode>
                <c:ptCount val="4"/>
                <c:pt idx="0">
                  <c:v>0.73879523411117598</c:v>
                </c:pt>
                <c:pt idx="1">
                  <c:v>1.2688041217409605</c:v>
                </c:pt>
                <c:pt idx="2">
                  <c:v>2.6643973954412368</c:v>
                </c:pt>
                <c:pt idx="3">
                  <c:v>5.961622681979982</c:v>
                </c:pt>
              </c:numCache>
            </c:numRef>
          </c:val>
        </c:ser>
        <c:axId val="89049728"/>
        <c:axId val="89059712"/>
      </c:barChart>
      <c:catAx>
        <c:axId val="8904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059712"/>
        <c:crosses val="autoZero"/>
        <c:auto val="1"/>
        <c:lblAlgn val="ctr"/>
        <c:lblOffset val="100"/>
      </c:catAx>
      <c:valAx>
        <c:axId val="890597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049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9"/>
          <c:y val="2.720080182307741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siKCNK16!$O$58:$O$59</c:f>
                <c:numCache>
                  <c:formatCode>General</c:formatCode>
                  <c:ptCount val="2"/>
                  <c:pt idx="0">
                    <c:v>0.87890241280679327</c:v>
                  </c:pt>
                  <c:pt idx="1">
                    <c:v>0.47693884849068263</c:v>
                  </c:pt>
                </c:numCache>
              </c:numRef>
            </c:plus>
            <c:minus>
              <c:numRef>
                <c:f>siKCNK16!$O$58:$O$59</c:f>
                <c:numCache>
                  <c:formatCode>General</c:formatCode>
                  <c:ptCount val="2"/>
                  <c:pt idx="0">
                    <c:v>0.87890241280679327</c:v>
                  </c:pt>
                  <c:pt idx="1">
                    <c:v>0.47693884849068263</c:v>
                  </c:pt>
                </c:numCache>
              </c:numRef>
            </c:minus>
          </c:errBars>
          <c:cat>
            <c:strRef>
              <c:f>siKCNK16!$M$58:$M$59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siKCNK16!$N$58:$N$59</c:f>
              <c:numCache>
                <c:formatCode>0.0</c:formatCode>
                <c:ptCount val="2"/>
                <c:pt idx="0">
                  <c:v>1.9103356312849835</c:v>
                </c:pt>
                <c:pt idx="1">
                  <c:v>2.3238325074846071</c:v>
                </c:pt>
              </c:numCache>
            </c:numRef>
          </c:val>
        </c:ser>
        <c:axId val="89092480"/>
        <c:axId val="89094016"/>
      </c:barChart>
      <c:catAx>
        <c:axId val="89092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094016"/>
        <c:crosses val="autoZero"/>
        <c:auto val="1"/>
        <c:lblAlgn val="ctr"/>
        <c:lblOffset val="100"/>
      </c:catAx>
      <c:valAx>
        <c:axId val="8909401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092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A46" sqref="A4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42283</v>
      </c>
    </row>
    <row r="2" spans="1:20">
      <c r="A2" s="1" t="s">
        <v>1</v>
      </c>
      <c r="B2" s="2">
        <v>91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 t="s">
        <v>44</v>
      </c>
      <c r="F3" s="10" t="s">
        <v>44</v>
      </c>
    </row>
    <row r="4" spans="1:20" ht="15">
      <c r="D4" s="10" t="s">
        <v>42</v>
      </c>
      <c r="E4" s="66">
        <v>150528</v>
      </c>
      <c r="F4" s="66">
        <v>129360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5.8999999999999997E-2</v>
      </c>
      <c r="D8" s="64">
        <v>5.8000000000000003E-2</v>
      </c>
      <c r="E8" s="11">
        <f t="shared" ref="E8:E13" si="0">AVERAGE(C8:D8)</f>
        <v>5.8499999999999996E-2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4">
        <v>9.2999999999999999E-2</v>
      </c>
      <c r="D9" s="64">
        <v>8.7999999999999995E-2</v>
      </c>
      <c r="E9" s="11">
        <f t="shared" si="0"/>
        <v>9.0499999999999997E-2</v>
      </c>
      <c r="F9" s="12">
        <f>(E9-$E$8)</f>
        <v>3.2000000000000001E-2</v>
      </c>
      <c r="G9" s="12">
        <f>LOG(B9)</f>
        <v>-0.85930071603316016</v>
      </c>
      <c r="H9" s="12">
        <f>LOG(F9)</f>
        <v>-1.494850021680094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4">
        <v>0.17799999999999999</v>
      </c>
      <c r="D10" s="64">
        <v>0.17199999999999999</v>
      </c>
      <c r="E10" s="11">
        <f t="shared" si="0"/>
        <v>0.17499999999999999</v>
      </c>
      <c r="F10" s="12">
        <f>(E10-$E$8)</f>
        <v>0.11649999999999999</v>
      </c>
      <c r="G10" s="12">
        <f>LOG(B10)</f>
        <v>-0.34053853694765485</v>
      </c>
      <c r="H10" s="12">
        <f>LOG(F10)</f>
        <v>-0.93367407463796226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4">
        <v>0.36799999999999999</v>
      </c>
      <c r="D11" s="64">
        <v>0.34799999999999998</v>
      </c>
      <c r="E11" s="11">
        <f t="shared" si="0"/>
        <v>0.35799999999999998</v>
      </c>
      <c r="F11" s="12">
        <f>(E11-$E$8)</f>
        <v>0.29949999999999999</v>
      </c>
      <c r="G11" s="12">
        <f>LOG(B11)</f>
        <v>0.13103255300924463</v>
      </c>
      <c r="H11" s="12">
        <f>LOG(F11)</f>
        <v>-0.52360317327466988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4">
        <v>1.1759999999999999</v>
      </c>
      <c r="D12" s="64">
        <v>1.0169999999999999</v>
      </c>
      <c r="E12" s="11">
        <f t="shared" si="0"/>
        <v>1.0964999999999998</v>
      </c>
      <c r="F12" s="12">
        <f>(E12-$E$8)</f>
        <v>1.0379999999999998</v>
      </c>
      <c r="G12" s="12">
        <f>LOG(B12)</f>
        <v>0.65110938868757939</v>
      </c>
      <c r="H12" s="12">
        <f>LOG(F12)</f>
        <v>1.6197353512438967E-2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4">
        <v>2.0169999999999999</v>
      </c>
      <c r="D13" s="64">
        <v>2.1619999999999999</v>
      </c>
      <c r="E13" s="11">
        <f t="shared" si="0"/>
        <v>2.0895000000000001</v>
      </c>
      <c r="F13" s="12">
        <f>(E13-$E$8)</f>
        <v>2.0310000000000001</v>
      </c>
      <c r="G13" s="12">
        <f>LOG(B13)</f>
        <v>0.96868593733159802</v>
      </c>
      <c r="H13" s="12">
        <f>LOG(F13)</f>
        <v>0.3077099234048068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0.98113354991756296</v>
      </c>
      <c r="N15"/>
    </row>
    <row r="16" spans="1:20" ht="15">
      <c r="A16" s="5" t="s">
        <v>11</v>
      </c>
      <c r="B16" s="11">
        <f>INTERCEPT(H9:H13,G9:G13)</f>
        <v>-0.63376268386275392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0.34499999999999997</v>
      </c>
      <c r="C22" s="65">
        <v>0.36599999999999999</v>
      </c>
      <c r="D22" s="27">
        <f t="shared" ref="D22:D27" si="2">AVERAGE(B22:C22)</f>
        <v>0.35549999999999998</v>
      </c>
      <c r="E22" s="27">
        <f>D22-E$8</f>
        <v>0.29699999999999999</v>
      </c>
      <c r="F22" s="27">
        <f>LOG(E22)</f>
        <v>-0.52724355068278772</v>
      </c>
      <c r="G22" s="28">
        <f>(F22-$B$16)/$B$15</f>
        <v>0.10856741489363622</v>
      </c>
      <c r="H22" s="28">
        <f>10^G22</f>
        <v>1.2840070695324246</v>
      </c>
      <c r="I22" s="29">
        <v>500</v>
      </c>
      <c r="J22" s="30">
        <f>(H22*I22)</f>
        <v>642.00353476621228</v>
      </c>
      <c r="K22" s="31">
        <f>(0.05*J22/1000)*1000</f>
        <v>32.100176738310616</v>
      </c>
      <c r="L22" s="32">
        <f>K22+K40+K50</f>
        <v>32.626055798238724</v>
      </c>
      <c r="M22" s="33">
        <f>(L22*1000000/50000)/1000</f>
        <v>0.65252111596477447</v>
      </c>
      <c r="N22" s="34"/>
    </row>
    <row r="23" spans="1:17" ht="15">
      <c r="B23" s="65">
        <v>0.29599999999999999</v>
      </c>
      <c r="C23" s="65">
        <v>0.34100000000000003</v>
      </c>
      <c r="D23" s="27">
        <f t="shared" si="2"/>
        <v>0.31850000000000001</v>
      </c>
      <c r="E23" s="27">
        <f t="shared" ref="E23:E27" si="3">D23-E$8</f>
        <v>0.26</v>
      </c>
      <c r="F23" s="27">
        <f t="shared" ref="F23:F27" si="4">LOG(E23)</f>
        <v>-0.58502665202918203</v>
      </c>
      <c r="G23" s="28">
        <f t="shared" ref="G23:G27" si="5">(F23-$B$16)/$B$15</f>
        <v>4.9673188566089502E-2</v>
      </c>
      <c r="H23" s="28">
        <f t="shared" ref="H23:H27" si="6">10^G23</f>
        <v>1.1211744405250799</v>
      </c>
      <c r="I23" s="29">
        <v>500</v>
      </c>
      <c r="J23" s="30">
        <f t="shared" ref="J23:J27" si="7">(H23*I23)</f>
        <v>560.58722026253997</v>
      </c>
      <c r="K23" s="31">
        <f t="shared" ref="K23:K27" si="8">(0.05*J23/1000)*1000</f>
        <v>28.029361013127001</v>
      </c>
      <c r="L23" s="32">
        <f>K23+K41+K51</f>
        <v>28.473866493483158</v>
      </c>
      <c r="M23" s="33">
        <f t="shared" ref="M23:M27" si="9">(L23*1000000/50000)/1000</f>
        <v>0.56947732986966304</v>
      </c>
      <c r="N23" s="34"/>
    </row>
    <row r="24" spans="1:17" ht="15">
      <c r="B24" s="65">
        <v>0.25700000000000001</v>
      </c>
      <c r="C24" s="65">
        <v>0.30399999999999999</v>
      </c>
      <c r="D24" s="27">
        <f t="shared" si="2"/>
        <v>0.28049999999999997</v>
      </c>
      <c r="E24" s="27">
        <f t="shared" si="3"/>
        <v>0.22199999999999998</v>
      </c>
      <c r="F24" s="27">
        <f t="shared" si="4"/>
        <v>-0.65364702554936138</v>
      </c>
      <c r="G24" s="28">
        <f t="shared" si="5"/>
        <v>-2.026670241607597E-2</v>
      </c>
      <c r="H24" s="28">
        <f t="shared" si="6"/>
        <v>0.95440630033112805</v>
      </c>
      <c r="I24" s="29">
        <v>500</v>
      </c>
      <c r="J24" s="30">
        <f t="shared" si="7"/>
        <v>477.20315016556401</v>
      </c>
      <c r="K24" s="31">
        <f t="shared" si="8"/>
        <v>23.860157508278203</v>
      </c>
      <c r="L24" s="32">
        <f t="shared" ref="L24:L27" si="10">K24+K42+K52</f>
        <v>24.52215350981696</v>
      </c>
      <c r="M24" s="33">
        <f t="shared" si="9"/>
        <v>0.4904430701963392</v>
      </c>
      <c r="N24" s="34"/>
    </row>
    <row r="25" spans="1:17" ht="15">
      <c r="A25" s="1" t="s">
        <v>26</v>
      </c>
      <c r="B25" s="65">
        <v>0.34</v>
      </c>
      <c r="C25" s="65">
        <v>0.36499999999999999</v>
      </c>
      <c r="D25" s="27">
        <f t="shared" si="2"/>
        <v>0.35250000000000004</v>
      </c>
      <c r="E25" s="27">
        <f t="shared" si="3"/>
        <v>0.29400000000000004</v>
      </c>
      <c r="F25" s="27">
        <f t="shared" si="4"/>
        <v>-0.53165266958784263</v>
      </c>
      <c r="G25" s="28">
        <f t="shared" si="5"/>
        <v>0.10407351199384711</v>
      </c>
      <c r="H25" s="28">
        <f t="shared" si="6"/>
        <v>1.2707891904678457</v>
      </c>
      <c r="I25" s="29">
        <v>500</v>
      </c>
      <c r="J25" s="30">
        <f t="shared" si="7"/>
        <v>635.39459523392281</v>
      </c>
      <c r="K25" s="31">
        <f t="shared" si="8"/>
        <v>31.769729761696141</v>
      </c>
      <c r="L25" s="32">
        <f t="shared" si="10"/>
        <v>34.308704020746916</v>
      </c>
      <c r="M25" s="33">
        <f t="shared" si="9"/>
        <v>0.68617408041493833</v>
      </c>
      <c r="N25" s="34"/>
    </row>
    <row r="26" spans="1:17" ht="15">
      <c r="B26" s="65">
        <v>0.30099999999999999</v>
      </c>
      <c r="C26" s="65">
        <v>0.28799999999999998</v>
      </c>
      <c r="D26" s="27">
        <f t="shared" si="2"/>
        <v>0.29449999999999998</v>
      </c>
      <c r="E26" s="27">
        <f t="shared" si="3"/>
        <v>0.23599999999999999</v>
      </c>
      <c r="F26" s="27">
        <f t="shared" si="4"/>
        <v>-0.62708799702989348</v>
      </c>
      <c r="G26" s="28">
        <f t="shared" si="5"/>
        <v>6.8030359714243331E-3</v>
      </c>
      <c r="H26" s="28">
        <f t="shared" si="6"/>
        <v>1.0157879017212552</v>
      </c>
      <c r="I26" s="29">
        <v>500</v>
      </c>
      <c r="J26" s="30">
        <f t="shared" si="7"/>
        <v>507.89395086062763</v>
      </c>
      <c r="K26" s="31">
        <f t="shared" si="8"/>
        <v>25.394697543031384</v>
      </c>
      <c r="L26" s="32">
        <f t="shared" si="10"/>
        <v>27.583385866528264</v>
      </c>
      <c r="M26" s="33">
        <f t="shared" si="9"/>
        <v>0.5516677173305653</v>
      </c>
      <c r="N26" s="34"/>
    </row>
    <row r="27" spans="1:17" ht="15">
      <c r="B27" s="65">
        <v>0.21199999999999999</v>
      </c>
      <c r="C27" s="65">
        <v>0.23499999999999999</v>
      </c>
      <c r="D27" s="27">
        <f t="shared" si="2"/>
        <v>0.22349999999999998</v>
      </c>
      <c r="E27" s="27">
        <f t="shared" si="3"/>
        <v>0.16499999999999998</v>
      </c>
      <c r="F27" s="27">
        <f t="shared" si="4"/>
        <v>-0.78251605578609373</v>
      </c>
      <c r="G27" s="28">
        <f t="shared" si="5"/>
        <v>-0.15161378584580906</v>
      </c>
      <c r="H27" s="28">
        <f t="shared" si="6"/>
        <v>0.70532002487061529</v>
      </c>
      <c r="I27" s="29">
        <v>500</v>
      </c>
      <c r="J27" s="30">
        <f t="shared" si="7"/>
        <v>352.66001243530764</v>
      </c>
      <c r="K27" s="31">
        <f t="shared" si="8"/>
        <v>17.633000621765383</v>
      </c>
      <c r="L27" s="32">
        <f t="shared" si="10"/>
        <v>20.261104636305049</v>
      </c>
      <c r="M27" s="33">
        <f t="shared" si="9"/>
        <v>0.40522209272610099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0.34499999999999997</v>
      </c>
      <c r="C31" s="65">
        <v>0.36599999999999999</v>
      </c>
      <c r="D31" s="27">
        <f t="shared" ref="D31:D36" si="11">AVERAGE(B31:C31)</f>
        <v>0.35549999999999998</v>
      </c>
      <c r="E31" s="27">
        <f t="shared" ref="E31:E36" si="12">D31-E$8</f>
        <v>0.29699999999999999</v>
      </c>
      <c r="F31" s="27">
        <f>LOG(E31)</f>
        <v>-0.52724355068278772</v>
      </c>
      <c r="G31" s="28">
        <f>(F31-$B$16)/$B$15</f>
        <v>0.10856741489363622</v>
      </c>
      <c r="H31" s="28">
        <f>10^G31</f>
        <v>1.2840070695324246</v>
      </c>
      <c r="I31" s="29">
        <v>500</v>
      </c>
      <c r="J31" s="30">
        <f>(H31*I31)</f>
        <v>642.00353476621228</v>
      </c>
      <c r="K31" s="31">
        <f>(0.05*J31/1000)*1000</f>
        <v>32.100176738310616</v>
      </c>
      <c r="L31" s="32">
        <f>K31+K50</f>
        <v>32.417364831716178</v>
      </c>
      <c r="M31" s="33">
        <f>(L31*1000000/50000)/1000</f>
        <v>0.64834729663432344</v>
      </c>
      <c r="N31" s="35"/>
      <c r="Q31"/>
    </row>
    <row r="32" spans="1:17" ht="15">
      <c r="B32" s="65">
        <v>0.29599999999999999</v>
      </c>
      <c r="C32" s="65">
        <v>0.34100000000000003</v>
      </c>
      <c r="D32" s="27">
        <f t="shared" si="11"/>
        <v>0.31850000000000001</v>
      </c>
      <c r="E32" s="27">
        <f t="shared" si="12"/>
        <v>0.26</v>
      </c>
      <c r="F32" s="27">
        <f t="shared" ref="F32:F36" si="13">LOG(E32)</f>
        <v>-0.58502665202918203</v>
      </c>
      <c r="G32" s="28">
        <f t="shared" ref="G32:G36" si="14">(F32-$B$16)/$B$15</f>
        <v>4.9673188566089502E-2</v>
      </c>
      <c r="H32" s="28">
        <f t="shared" ref="H32:H36" si="15">10^G32</f>
        <v>1.1211744405250799</v>
      </c>
      <c r="I32" s="29">
        <v>500</v>
      </c>
      <c r="J32" s="30">
        <f t="shared" ref="J32:J36" si="16">(H32*I32)</f>
        <v>560.58722026253997</v>
      </c>
      <c r="K32" s="31">
        <f t="shared" ref="K32:K36" si="17">(0.05*J32/1000)*1000</f>
        <v>28.029361013127001</v>
      </c>
      <c r="L32" s="32">
        <f>K32+K51</f>
        <v>28.285413888753066</v>
      </c>
      <c r="M32" s="33">
        <f t="shared" ref="M32:M36" si="18">(L32*1000000/50000)/1000</f>
        <v>0.56570827777506139</v>
      </c>
      <c r="N32" s="36"/>
      <c r="Q32"/>
    </row>
    <row r="33" spans="1:21" ht="15">
      <c r="B33" s="65">
        <v>0.25700000000000001</v>
      </c>
      <c r="C33" s="65">
        <v>0.30399999999999999</v>
      </c>
      <c r="D33" s="27">
        <f t="shared" si="11"/>
        <v>0.28049999999999997</v>
      </c>
      <c r="E33" s="27">
        <f t="shared" si="12"/>
        <v>0.22199999999999998</v>
      </c>
      <c r="F33" s="27">
        <f t="shared" si="13"/>
        <v>-0.65364702554936138</v>
      </c>
      <c r="G33" s="28">
        <f t="shared" si="14"/>
        <v>-2.026670241607597E-2</v>
      </c>
      <c r="H33" s="28">
        <f t="shared" si="15"/>
        <v>0.95440630033112805</v>
      </c>
      <c r="I33" s="29">
        <v>500</v>
      </c>
      <c r="J33" s="30">
        <f t="shared" si="16"/>
        <v>477.20315016556401</v>
      </c>
      <c r="K33" s="31">
        <f t="shared" si="17"/>
        <v>23.860157508278203</v>
      </c>
      <c r="L33" s="32">
        <f t="shared" ref="L33:L36" si="19">K33+K52</f>
        <v>24.272877539197736</v>
      </c>
      <c r="M33" s="33">
        <f t="shared" si="18"/>
        <v>0.48545755078395475</v>
      </c>
      <c r="N33" s="36"/>
      <c r="Q33"/>
      <c r="R33"/>
      <c r="S33"/>
    </row>
    <row r="34" spans="1:21" ht="15">
      <c r="A34" s="1" t="s">
        <v>26</v>
      </c>
      <c r="B34" s="65">
        <v>0.34</v>
      </c>
      <c r="C34" s="65">
        <v>0.36499999999999999</v>
      </c>
      <c r="D34" s="27">
        <f t="shared" si="11"/>
        <v>0.35250000000000004</v>
      </c>
      <c r="E34" s="27">
        <f t="shared" si="12"/>
        <v>0.29400000000000004</v>
      </c>
      <c r="F34" s="27">
        <f t="shared" si="13"/>
        <v>-0.53165266958784263</v>
      </c>
      <c r="G34" s="28">
        <f t="shared" si="14"/>
        <v>0.10407351199384711</v>
      </c>
      <c r="H34" s="28">
        <f t="shared" si="15"/>
        <v>1.2707891904678457</v>
      </c>
      <c r="I34" s="29">
        <v>500</v>
      </c>
      <c r="J34" s="30">
        <f t="shared" si="16"/>
        <v>635.39459523392281</v>
      </c>
      <c r="K34" s="31">
        <f t="shared" si="17"/>
        <v>31.769729761696141</v>
      </c>
      <c r="L34" s="32">
        <f t="shared" si="19"/>
        <v>33.468722280270867</v>
      </c>
      <c r="M34" s="33">
        <f t="shared" si="18"/>
        <v>0.66937444560541737</v>
      </c>
      <c r="N34" s="36"/>
      <c r="Q34"/>
      <c r="R34"/>
      <c r="S34"/>
    </row>
    <row r="35" spans="1:21" ht="15">
      <c r="B35" s="65">
        <v>0.30099999999999999</v>
      </c>
      <c r="C35" s="65">
        <v>0.28799999999999998</v>
      </c>
      <c r="D35" s="27">
        <f t="shared" si="11"/>
        <v>0.29449999999999998</v>
      </c>
      <c r="E35" s="27">
        <f t="shared" si="12"/>
        <v>0.23599999999999999</v>
      </c>
      <c r="F35" s="27">
        <f t="shared" si="13"/>
        <v>-0.62708799702989348</v>
      </c>
      <c r="G35" s="28">
        <f t="shared" si="14"/>
        <v>6.8030359714243331E-3</v>
      </c>
      <c r="H35" s="28">
        <f t="shared" si="15"/>
        <v>1.0157879017212552</v>
      </c>
      <c r="I35" s="29">
        <v>500</v>
      </c>
      <c r="J35" s="30">
        <f t="shared" si="16"/>
        <v>507.89395086062763</v>
      </c>
      <c r="K35" s="31">
        <f t="shared" si="17"/>
        <v>25.394697543031384</v>
      </c>
      <c r="L35" s="32">
        <f t="shared" si="19"/>
        <v>26.767660358225395</v>
      </c>
      <c r="M35" s="33">
        <f t="shared" si="18"/>
        <v>0.53535320716450796</v>
      </c>
      <c r="N35" s="36"/>
      <c r="Q35"/>
      <c r="R35"/>
      <c r="S35"/>
    </row>
    <row r="36" spans="1:21" ht="15">
      <c r="B36" s="65">
        <v>0.21199999999999999</v>
      </c>
      <c r="C36" s="65">
        <v>0.23499999999999999</v>
      </c>
      <c r="D36" s="27">
        <f t="shared" si="11"/>
        <v>0.22349999999999998</v>
      </c>
      <c r="E36" s="27">
        <f t="shared" si="12"/>
        <v>0.16499999999999998</v>
      </c>
      <c r="F36" s="27">
        <f t="shared" si="13"/>
        <v>-0.78251605578609373</v>
      </c>
      <c r="G36" s="28">
        <f t="shared" si="14"/>
        <v>-0.15161378584580906</v>
      </c>
      <c r="H36" s="28">
        <f t="shared" si="15"/>
        <v>0.70532002487061529</v>
      </c>
      <c r="I36" s="29">
        <v>500</v>
      </c>
      <c r="J36" s="30">
        <f t="shared" si="16"/>
        <v>352.66001243530764</v>
      </c>
      <c r="K36" s="31">
        <f t="shared" si="17"/>
        <v>17.633000621765383</v>
      </c>
      <c r="L36" s="32">
        <f t="shared" si="19"/>
        <v>19.219664801731035</v>
      </c>
      <c r="M36" s="33">
        <f t="shared" si="18"/>
        <v>0.38439329603462069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7">
        <v>8.4000000000000005E-2</v>
      </c>
      <c r="C40" s="67">
        <v>9.6000000000000002E-2</v>
      </c>
      <c r="D40" s="27">
        <f t="shared" ref="D40:D45" si="20">AVERAGE(B40,C40)</f>
        <v>0.09</v>
      </c>
      <c r="E40" s="27">
        <f t="shared" ref="E40:E45" si="21">D40-E$8</f>
        <v>3.15E-2</v>
      </c>
      <c r="F40" s="27">
        <f t="shared" ref="F40:F45" si="22">LOG(E40)</f>
        <v>-1.5016894462103996</v>
      </c>
      <c r="G40" s="28">
        <f t="shared" ref="G40:G45" si="23">(F40-$B$16)/$B$15</f>
        <v>-0.88461633222161329</v>
      </c>
      <c r="H40" s="27">
        <f t="shared" ref="H40:H45" si="24">10^G40</f>
        <v>0.13043185407659169</v>
      </c>
      <c r="I40" s="41">
        <v>16</v>
      </c>
      <c r="J40" s="42">
        <f t="shared" ref="J40:J45" si="25">H40*I40</f>
        <v>2.0869096652254671</v>
      </c>
      <c r="K40" s="30">
        <f>(0.1*J40/1000)*1000</f>
        <v>0.20869096652254671</v>
      </c>
      <c r="L40" s="43">
        <f>K40*100/L22</f>
        <v>0.63964509781109558</v>
      </c>
      <c r="M40" s="30">
        <f>AVERAGE(L40:L42)</f>
        <v>0.77267432050870166</v>
      </c>
      <c r="N40" s="44">
        <f>STDEV(L40:L42)</f>
        <v>0.21147995372094916</v>
      </c>
      <c r="R40"/>
      <c r="S40"/>
      <c r="T40"/>
      <c r="U40"/>
    </row>
    <row r="41" spans="1:21" ht="15">
      <c r="B41" s="67">
        <v>9.1999999999999998E-2</v>
      </c>
      <c r="C41" s="67">
        <v>8.2000000000000003E-2</v>
      </c>
      <c r="D41" s="27">
        <f t="shared" si="20"/>
        <v>8.6999999999999994E-2</v>
      </c>
      <c r="E41" s="27">
        <f t="shared" si="21"/>
        <v>2.8499999999999998E-2</v>
      </c>
      <c r="F41" s="27">
        <f t="shared" si="22"/>
        <v>-1.5451551399914898</v>
      </c>
      <c r="G41" s="28">
        <f t="shared" si="23"/>
        <v>-0.92891783815293349</v>
      </c>
      <c r="H41" s="27">
        <f t="shared" si="24"/>
        <v>0.11778287795630719</v>
      </c>
      <c r="I41" s="41">
        <v>16</v>
      </c>
      <c r="J41" s="42">
        <f t="shared" si="25"/>
        <v>1.8845260473009151</v>
      </c>
      <c r="K41" s="30">
        <f t="shared" ref="K41:K45" si="26">(0.1*J41/1000)*1000</f>
        <v>0.18845260473009151</v>
      </c>
      <c r="L41" s="43">
        <f t="shared" ref="L41:L45" si="27">K41*100/L23</f>
        <v>0.66184409754545581</v>
      </c>
      <c r="M41" s="30"/>
      <c r="N41" s="44"/>
      <c r="R41"/>
      <c r="S41"/>
      <c r="T41"/>
      <c r="U41"/>
    </row>
    <row r="42" spans="1:21" s="17" customFormat="1" ht="15">
      <c r="A42" s="1"/>
      <c r="B42" s="68">
        <v>9.2999999999999999E-2</v>
      </c>
      <c r="C42" s="68">
        <v>9.9000000000000005E-2</v>
      </c>
      <c r="D42" s="27">
        <f t="shared" si="20"/>
        <v>9.6000000000000002E-2</v>
      </c>
      <c r="E42" s="27">
        <f t="shared" si="21"/>
        <v>3.7500000000000006E-2</v>
      </c>
      <c r="F42" s="27">
        <f t="shared" si="22"/>
        <v>-1.4259687322722812</v>
      </c>
      <c r="G42" s="28">
        <f t="shared" si="23"/>
        <v>-0.80743956668905081</v>
      </c>
      <c r="H42" s="27">
        <f t="shared" si="24"/>
        <v>0.15579748163701357</v>
      </c>
      <c r="I42" s="41">
        <v>16</v>
      </c>
      <c r="J42" s="42">
        <f t="shared" si="25"/>
        <v>2.4927597061922171</v>
      </c>
      <c r="K42" s="30">
        <f t="shared" si="26"/>
        <v>0.24927597061922169</v>
      </c>
      <c r="L42" s="43">
        <f t="shared" si="27"/>
        <v>1.0165337661695535</v>
      </c>
      <c r="M42" s="30"/>
      <c r="N42" s="44"/>
      <c r="R42"/>
      <c r="S42"/>
      <c r="T42"/>
      <c r="U42"/>
    </row>
    <row r="43" spans="1:21" ht="15">
      <c r="A43" s="1" t="s">
        <v>34</v>
      </c>
      <c r="B43" s="67">
        <v>0.16500000000000001</v>
      </c>
      <c r="C43" s="67">
        <v>0.19900000000000001</v>
      </c>
      <c r="D43" s="27">
        <f t="shared" si="20"/>
        <v>0.182</v>
      </c>
      <c r="E43" s="27">
        <f t="shared" si="21"/>
        <v>0.1235</v>
      </c>
      <c r="F43" s="27">
        <f t="shared" si="22"/>
        <v>-0.90833304240431545</v>
      </c>
      <c r="G43" s="28">
        <f t="shared" si="23"/>
        <v>-0.27985013718533175</v>
      </c>
      <c r="H43" s="27">
        <f t="shared" si="24"/>
        <v>0.52498858779753399</v>
      </c>
      <c r="I43" s="41">
        <v>16</v>
      </c>
      <c r="J43" s="42">
        <f t="shared" si="25"/>
        <v>8.3998174047605438</v>
      </c>
      <c r="K43" s="30">
        <f t="shared" si="26"/>
        <v>0.83998174047605445</v>
      </c>
      <c r="L43" s="43">
        <f t="shared" si="27"/>
        <v>2.4483050714130927</v>
      </c>
      <c r="M43" s="30">
        <f>AVERAGE(L43:L45)</f>
        <v>3.5152355045432864</v>
      </c>
      <c r="N43" s="44">
        <f>STDEV(L43:L45)</f>
        <v>1.4299981880178874</v>
      </c>
      <c r="R43"/>
      <c r="S43"/>
      <c r="T43"/>
      <c r="U43"/>
    </row>
    <row r="44" spans="1:21" ht="15">
      <c r="A44" s="45"/>
      <c r="B44" s="67">
        <v>0.183</v>
      </c>
      <c r="C44" s="67">
        <v>0.17399999999999999</v>
      </c>
      <c r="D44" s="27">
        <f t="shared" si="20"/>
        <v>0.17849999999999999</v>
      </c>
      <c r="E44" s="27">
        <f t="shared" si="21"/>
        <v>0.12</v>
      </c>
      <c r="F44" s="27">
        <f t="shared" si="22"/>
        <v>-0.92081875395237522</v>
      </c>
      <c r="G44" s="28">
        <f t="shared" si="23"/>
        <v>-0.292575939446511</v>
      </c>
      <c r="H44" s="27">
        <f t="shared" si="24"/>
        <v>0.5098284426892925</v>
      </c>
      <c r="I44" s="41">
        <v>16</v>
      </c>
      <c r="J44" s="42">
        <f t="shared" si="25"/>
        <v>8.1572550830286801</v>
      </c>
      <c r="K44" s="30">
        <f t="shared" si="26"/>
        <v>0.81572550830286805</v>
      </c>
      <c r="L44" s="43">
        <f t="shared" si="27"/>
        <v>2.9573073887666927</v>
      </c>
      <c r="M44" s="30"/>
      <c r="N44" s="44"/>
      <c r="R44"/>
      <c r="S44"/>
      <c r="T44"/>
      <c r="U44"/>
    </row>
    <row r="45" spans="1:21" ht="15">
      <c r="A45" s="46"/>
      <c r="B45" s="68">
        <v>0.20699999999999999</v>
      </c>
      <c r="C45" s="68">
        <v>0.215</v>
      </c>
      <c r="D45" s="27">
        <f t="shared" si="20"/>
        <v>0.21099999999999999</v>
      </c>
      <c r="E45" s="27">
        <f t="shared" si="21"/>
        <v>0.1525</v>
      </c>
      <c r="F45" s="27">
        <f t="shared" si="22"/>
        <v>-0.81673015631719537</v>
      </c>
      <c r="G45" s="28">
        <f t="shared" si="23"/>
        <v>-0.18648579744298296</v>
      </c>
      <c r="H45" s="27">
        <f t="shared" si="24"/>
        <v>0.65089989660875824</v>
      </c>
      <c r="I45" s="41">
        <v>16</v>
      </c>
      <c r="J45" s="42">
        <f t="shared" si="25"/>
        <v>10.414398345740132</v>
      </c>
      <c r="K45" s="30">
        <f t="shared" si="26"/>
        <v>1.0414398345740132</v>
      </c>
      <c r="L45" s="43">
        <f t="shared" si="27"/>
        <v>5.140094053450075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0.104</v>
      </c>
      <c r="C50" s="65">
        <v>0.108</v>
      </c>
      <c r="D50" s="27">
        <f t="shared" ref="D50:D52" si="28">AVERAGE(B50,C50)</f>
        <v>0.106</v>
      </c>
      <c r="E50" s="27">
        <f t="shared" ref="E50:E55" si="29">D50-E$8</f>
        <v>4.7500000000000001E-2</v>
      </c>
      <c r="F50" s="27">
        <f t="shared" ref="F50:F55" si="30">LOG(E50)</f>
        <v>-1.3233063903751334</v>
      </c>
      <c r="G50" s="28">
        <f t="shared" ref="G50:G55" si="31">(F50-$B$16)/$B$15</f>
        <v>-0.7028031062339235</v>
      </c>
      <c r="H50" s="27">
        <f t="shared" ref="H50:H55" si="32">10^G50</f>
        <v>0.19824255837847687</v>
      </c>
      <c r="I50" s="41">
        <v>16</v>
      </c>
      <c r="J50" s="42">
        <f t="shared" ref="J50:J55" si="33">H50*I50</f>
        <v>3.17188093405563</v>
      </c>
      <c r="K50" s="30">
        <f>(0.1*J50/1000)*1000</f>
        <v>0.31718809340556303</v>
      </c>
      <c r="L50" s="43">
        <f t="shared" ref="L50:L55" si="34">K50*100/L31</f>
        <v>0.97845119445130124</v>
      </c>
      <c r="M50" s="30">
        <f>AVERAGE(L50:L52)</f>
        <v>1.194677472555089</v>
      </c>
      <c r="N50" s="44">
        <f>STDEV(L50:L52)</f>
        <v>0.43943854357944989</v>
      </c>
      <c r="O50" s="48">
        <f>L50/L40</f>
        <v>1.529678250954507</v>
      </c>
      <c r="P50" s="30">
        <f>AVERAGE(O50:O52)</f>
        <v>1.5233738452857979</v>
      </c>
      <c r="Q50" s="44">
        <f>STDEV(O50:O52)</f>
        <v>0.15255458400177496</v>
      </c>
      <c r="S50"/>
      <c r="T50"/>
    </row>
    <row r="51" spans="1:25" ht="15">
      <c r="B51" s="65">
        <v>9.5000000000000001E-2</v>
      </c>
      <c r="C51" s="65">
        <v>9.9000000000000005E-2</v>
      </c>
      <c r="D51" s="27">
        <f t="shared" si="28"/>
        <v>9.7000000000000003E-2</v>
      </c>
      <c r="E51" s="27">
        <f t="shared" si="29"/>
        <v>3.8500000000000006E-2</v>
      </c>
      <c r="F51" s="27">
        <f t="shared" si="30"/>
        <v>-1.4145392704914992</v>
      </c>
      <c r="G51" s="28">
        <f t="shared" si="31"/>
        <v>-0.79579032507281788</v>
      </c>
      <c r="H51" s="27">
        <f t="shared" si="32"/>
        <v>0.16003304726629139</v>
      </c>
      <c r="I51" s="41">
        <v>16</v>
      </c>
      <c r="J51" s="42">
        <f t="shared" si="33"/>
        <v>2.5605287562606622</v>
      </c>
      <c r="K51" s="30">
        <f t="shared" ref="K51:K55" si="35">(0.1*J51/1000)*1000</f>
        <v>0.25605287562606621</v>
      </c>
      <c r="L51" s="43">
        <f t="shared" si="34"/>
        <v>0.90524705289137997</v>
      </c>
      <c r="M51" s="30"/>
      <c r="N51" s="44"/>
      <c r="O51" s="2">
        <f t="shared" ref="O51:O55" si="36">L51/L41</f>
        <v>1.3677647896968774</v>
      </c>
      <c r="P51" s="30"/>
      <c r="Q51" s="44"/>
      <c r="S51"/>
      <c r="T51"/>
    </row>
    <row r="52" spans="1:25" ht="15">
      <c r="B52" s="65">
        <v>0.114</v>
      </c>
      <c r="C52" s="65">
        <v>0.126</v>
      </c>
      <c r="D52" s="27">
        <f t="shared" si="28"/>
        <v>0.12</v>
      </c>
      <c r="E52" s="27">
        <f t="shared" si="29"/>
        <v>6.1499999999999999E-2</v>
      </c>
      <c r="F52" s="27">
        <f t="shared" si="30"/>
        <v>-1.2111248842245832</v>
      </c>
      <c r="G52" s="28">
        <f t="shared" si="31"/>
        <v>-0.58846443525485448</v>
      </c>
      <c r="H52" s="27">
        <f t="shared" si="32"/>
        <v>0.25795001932470946</v>
      </c>
      <c r="I52" s="41">
        <v>16</v>
      </c>
      <c r="J52" s="42">
        <f t="shared" si="33"/>
        <v>4.1272003091953513</v>
      </c>
      <c r="K52" s="30">
        <f t="shared" si="35"/>
        <v>0.41272003091953513</v>
      </c>
      <c r="L52" s="43">
        <f t="shared" si="34"/>
        <v>1.700334170322586</v>
      </c>
      <c r="M52" s="30"/>
      <c r="N52" s="44"/>
      <c r="O52" s="2">
        <f t="shared" si="36"/>
        <v>1.6726784952060092</v>
      </c>
      <c r="P52" s="30"/>
      <c r="Q52" s="44"/>
      <c r="S52"/>
      <c r="T52"/>
    </row>
    <row r="53" spans="1:25" ht="15">
      <c r="A53" s="1" t="s">
        <v>26</v>
      </c>
      <c r="B53" s="65">
        <v>0.32600000000000001</v>
      </c>
      <c r="C53" s="65">
        <v>0.28399999999999997</v>
      </c>
      <c r="D53" s="27">
        <f>AVERAGE(B53:C53)</f>
        <v>0.30499999999999999</v>
      </c>
      <c r="E53" s="27">
        <f t="shared" si="29"/>
        <v>0.2465</v>
      </c>
      <c r="F53" s="27">
        <f t="shared" si="30"/>
        <v>-0.60818307638675118</v>
      </c>
      <c r="G53" s="28">
        <f t="shared" si="31"/>
        <v>2.6071483824146056E-2</v>
      </c>
      <c r="H53" s="27">
        <f t="shared" si="32"/>
        <v>1.061870324109202</v>
      </c>
      <c r="I53" s="41">
        <v>16</v>
      </c>
      <c r="J53" s="42">
        <f t="shared" si="33"/>
        <v>16.989925185747232</v>
      </c>
      <c r="K53" s="30">
        <f t="shared" si="35"/>
        <v>1.6989925185747232</v>
      </c>
      <c r="L53" s="43">
        <f t="shared" si="34"/>
        <v>5.0763590684674718</v>
      </c>
      <c r="M53" s="30">
        <f>AVERAGE(L53:L55)</f>
        <v>6.1536549055513001</v>
      </c>
      <c r="N53" s="44">
        <f>STDEV(L53:L55)</f>
        <v>1.8203741725080989</v>
      </c>
      <c r="O53" s="2">
        <f t="shared" si="36"/>
        <v>2.0734176993464053</v>
      </c>
      <c r="P53" s="30">
        <f>AVERAGE(O53:O55)</f>
        <v>1.8046372597250038</v>
      </c>
      <c r="Q53" s="44">
        <f>STDEV(O53:O55)</f>
        <v>0.24145215458735192</v>
      </c>
      <c r="S53"/>
      <c r="T53"/>
    </row>
    <row r="54" spans="1:25" ht="15">
      <c r="A54" s="45"/>
      <c r="B54" s="65">
        <v>0.252</v>
      </c>
      <c r="C54" s="65">
        <v>0.26500000000000001</v>
      </c>
      <c r="D54" s="27">
        <f>AVERAGE(B54:C54)</f>
        <v>0.25850000000000001</v>
      </c>
      <c r="E54" s="27">
        <f t="shared" si="29"/>
        <v>0.2</v>
      </c>
      <c r="F54" s="27">
        <f t="shared" si="30"/>
        <v>-0.69897000433601875</v>
      </c>
      <c r="G54" s="28">
        <f t="shared" si="31"/>
        <v>-6.6461207527500912E-2</v>
      </c>
      <c r="H54" s="27">
        <f t="shared" si="32"/>
        <v>0.85810175949625656</v>
      </c>
      <c r="I54" s="41">
        <v>16</v>
      </c>
      <c r="J54" s="42">
        <f t="shared" si="33"/>
        <v>13.729628151940105</v>
      </c>
      <c r="K54" s="30">
        <f t="shared" si="35"/>
        <v>1.3729628151940105</v>
      </c>
      <c r="L54" s="43">
        <f t="shared" si="34"/>
        <v>5.1291849822508482</v>
      </c>
      <c r="M54" s="30"/>
      <c r="N54" s="44"/>
      <c r="O54" s="2">
        <f t="shared" si="36"/>
        <v>1.734410498460192</v>
      </c>
      <c r="P54" s="30"/>
      <c r="Q54" s="44"/>
      <c r="S54"/>
      <c r="T54"/>
    </row>
    <row r="55" spans="1:25" ht="15">
      <c r="A55" s="46"/>
      <c r="B55" s="65">
        <v>0.26500000000000001</v>
      </c>
      <c r="C55" s="65">
        <v>0.313</v>
      </c>
      <c r="D55" s="27">
        <f>AVERAGE(B55:C55)</f>
        <v>0.28900000000000003</v>
      </c>
      <c r="E55" s="27">
        <f t="shared" si="29"/>
        <v>0.23050000000000004</v>
      </c>
      <c r="F55" s="27">
        <f t="shared" si="30"/>
        <v>-0.63732907027433294</v>
      </c>
      <c r="G55" s="28">
        <f t="shared" si="31"/>
        <v>-3.6349653030198401E-3</v>
      </c>
      <c r="H55" s="27">
        <f t="shared" si="32"/>
        <v>0.99166511247853173</v>
      </c>
      <c r="I55" s="41">
        <v>16</v>
      </c>
      <c r="J55" s="42">
        <f t="shared" si="33"/>
        <v>15.866641799656508</v>
      </c>
      <c r="K55" s="30">
        <f t="shared" si="35"/>
        <v>1.5866641799656509</v>
      </c>
      <c r="L55" s="43">
        <f t="shared" si="34"/>
        <v>8.2554206659355813</v>
      </c>
      <c r="M55" s="30"/>
      <c r="N55" s="44"/>
      <c r="O55" s="2">
        <f t="shared" si="36"/>
        <v>1.6060835813684133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1.5233738452857979</v>
      </c>
      <c r="O58" s="30">
        <f>Q50</f>
        <v>0.15255458400177496</v>
      </c>
    </row>
    <row r="59" spans="1:25" ht="15">
      <c r="D59"/>
      <c r="E59"/>
      <c r="G59"/>
      <c r="M59" s="2" t="s">
        <v>26</v>
      </c>
      <c r="N59" s="30">
        <f>P53</f>
        <v>1.8046372597250038</v>
      </c>
      <c r="O59" s="30">
        <f>Q53</f>
        <v>0.24145215458735192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0.77267432050870166</v>
      </c>
      <c r="C65" s="30">
        <f>N40</f>
        <v>0.21147995372094916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1.194677472555089</v>
      </c>
      <c r="C66" s="30">
        <f>N50</f>
        <v>0.43943854357944989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3.5152355045432864</v>
      </c>
      <c r="C67" s="30">
        <f>N43</f>
        <v>1.4299981880178874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6.1536549055513001</v>
      </c>
      <c r="C68" s="30">
        <f>N53</f>
        <v>1.8203741725080989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25" zoomScale="80" zoomScaleNormal="80" workbookViewId="0">
      <selection activeCell="A61" sqref="A61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42283</v>
      </c>
    </row>
    <row r="2" spans="1:20">
      <c r="A2" s="1" t="s">
        <v>1</v>
      </c>
      <c r="B2" s="2">
        <v>91</v>
      </c>
      <c r="C2" s="3"/>
      <c r="E2" s="4" t="s">
        <v>40</v>
      </c>
    </row>
    <row r="3" spans="1:20">
      <c r="A3" s="1" t="s">
        <v>2</v>
      </c>
      <c r="B3" s="2" t="s">
        <v>45</v>
      </c>
      <c r="D3" s="10" t="s">
        <v>41</v>
      </c>
      <c r="E3" s="10" t="s">
        <v>44</v>
      </c>
      <c r="F3" s="10" t="s">
        <v>44</v>
      </c>
    </row>
    <row r="4" spans="1:20" ht="15">
      <c r="D4" s="10" t="s">
        <v>42</v>
      </c>
      <c r="E4" s="66">
        <v>150528</v>
      </c>
      <c r="F4" s="66">
        <v>129360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5.8999999999999997E-2</v>
      </c>
      <c r="D8" s="64">
        <v>5.8000000000000003E-2</v>
      </c>
      <c r="E8" s="11">
        <f t="shared" ref="E8:E13" si="0">AVERAGE(C8:D8)</f>
        <v>5.8499999999999996E-2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4">
        <v>9.2999999999999999E-2</v>
      </c>
      <c r="D9" s="64">
        <v>8.7999999999999995E-2</v>
      </c>
      <c r="E9" s="11">
        <f t="shared" si="0"/>
        <v>9.0499999999999997E-2</v>
      </c>
      <c r="F9" s="12">
        <f>(E9-$E$8)</f>
        <v>3.2000000000000001E-2</v>
      </c>
      <c r="G9" s="12">
        <f>LOG(B9)</f>
        <v>-0.85930071603316016</v>
      </c>
      <c r="H9" s="12">
        <f>LOG(F9)</f>
        <v>-1.494850021680094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4">
        <v>0.17799999999999999</v>
      </c>
      <c r="D10" s="64">
        <v>0.17199999999999999</v>
      </c>
      <c r="E10" s="11">
        <f t="shared" si="0"/>
        <v>0.17499999999999999</v>
      </c>
      <c r="F10" s="12">
        <f>(E10-$E$8)</f>
        <v>0.11649999999999999</v>
      </c>
      <c r="G10" s="12">
        <f>LOG(B10)</f>
        <v>-0.34053853694765485</v>
      </c>
      <c r="H10" s="12">
        <f>LOG(F10)</f>
        <v>-0.93367407463796226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4">
        <v>0.36799999999999999</v>
      </c>
      <c r="D11" s="64">
        <v>0.34799999999999998</v>
      </c>
      <c r="E11" s="11">
        <f t="shared" si="0"/>
        <v>0.35799999999999998</v>
      </c>
      <c r="F11" s="12">
        <f>(E11-$E$8)</f>
        <v>0.29949999999999999</v>
      </c>
      <c r="G11" s="12">
        <f>LOG(B11)</f>
        <v>0.13103255300924463</v>
      </c>
      <c r="H11" s="12">
        <f>LOG(F11)</f>
        <v>-0.52360317327466988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4">
        <v>1.1759999999999999</v>
      </c>
      <c r="D12" s="64">
        <v>1.0169999999999999</v>
      </c>
      <c r="E12" s="11">
        <f t="shared" si="0"/>
        <v>1.0964999999999998</v>
      </c>
      <c r="F12" s="12">
        <f>(E12-$E$8)</f>
        <v>1.0379999999999998</v>
      </c>
      <c r="G12" s="12">
        <f>LOG(B12)</f>
        <v>0.65110938868757939</v>
      </c>
      <c r="H12" s="12">
        <f>LOG(F12)</f>
        <v>1.6197353512438967E-2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4">
        <v>2.0169999999999999</v>
      </c>
      <c r="D13" s="64">
        <v>2.1619999999999999</v>
      </c>
      <c r="E13" s="11">
        <f t="shared" si="0"/>
        <v>2.0895000000000001</v>
      </c>
      <c r="F13" s="12">
        <f>(E13-$E$8)</f>
        <v>2.0310000000000001</v>
      </c>
      <c r="G13" s="12">
        <f>LOG(B13)</f>
        <v>0.96868593733159802</v>
      </c>
      <c r="H13" s="12">
        <f>LOG(F13)</f>
        <v>0.3077099234048068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0.98113354991756296</v>
      </c>
      <c r="N15"/>
    </row>
    <row r="16" spans="1:20" ht="15">
      <c r="A16" s="5" t="s">
        <v>11</v>
      </c>
      <c r="B16" s="11">
        <f>INTERCEPT(H9:H13,G9:G13)</f>
        <v>-0.63376268386275392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9">
        <v>0.43099999999999999</v>
      </c>
      <c r="C22" s="69">
        <v>0.41499999999999998</v>
      </c>
      <c r="D22" s="27">
        <f t="shared" ref="D22:D27" si="2">AVERAGE(B22:C22)</f>
        <v>0.42299999999999999</v>
      </c>
      <c r="E22" s="27">
        <f>D22-E$8</f>
        <v>0.36449999999999999</v>
      </c>
      <c r="F22" s="27">
        <f>LOG(E22)</f>
        <v>-0.43830246734600659</v>
      </c>
      <c r="G22" s="28">
        <f>(F22-$B$16)/$B$15</f>
        <v>0.19921876744829523</v>
      </c>
      <c r="H22" s="28">
        <f>10^G22</f>
        <v>1.5820447630474248</v>
      </c>
      <c r="I22" s="29">
        <v>500</v>
      </c>
      <c r="J22" s="30">
        <f>(H22*I22)</f>
        <v>791.0223815237124</v>
      </c>
      <c r="K22" s="31">
        <f>(0.05*J22/1000)*1000</f>
        <v>39.551119076185621</v>
      </c>
      <c r="L22" s="32">
        <f>K22+K40+K50</f>
        <v>40.427078211775417</v>
      </c>
      <c r="M22" s="33">
        <f>(L22*1000000/50000)/1000</f>
        <v>0.80854156423550827</v>
      </c>
      <c r="N22" s="34"/>
    </row>
    <row r="23" spans="1:17" ht="15">
      <c r="B23" s="69">
        <v>0.48699999999999999</v>
      </c>
      <c r="C23" s="69">
        <v>0.41799999999999998</v>
      </c>
      <c r="D23" s="27">
        <f t="shared" si="2"/>
        <v>0.45250000000000001</v>
      </c>
      <c r="E23" s="27">
        <f t="shared" ref="E23:E27" si="3">D23-E$8</f>
        <v>0.39400000000000002</v>
      </c>
      <c r="F23" s="27">
        <f t="shared" ref="F23:F27" si="4">LOG(E23)</f>
        <v>-0.40450377817442584</v>
      </c>
      <c r="G23" s="28">
        <f t="shared" ref="G23:G27" si="5">(F23-$B$16)/$B$15</f>
        <v>0.2336673796422423</v>
      </c>
      <c r="H23" s="28">
        <f t="shared" ref="H23:H27" si="6">10^G23</f>
        <v>1.7126451130012619</v>
      </c>
      <c r="I23" s="29">
        <v>500</v>
      </c>
      <c r="J23" s="30">
        <f t="shared" ref="J23:J27" si="7">(H23*I23)</f>
        <v>856.32255650063098</v>
      </c>
      <c r="K23" s="31">
        <f t="shared" ref="K23:K27" si="8">(0.05*J23/1000)*1000</f>
        <v>42.81612782503155</v>
      </c>
      <c r="L23" s="32">
        <f>K23+K41+K51</f>
        <v>43.782689508673982</v>
      </c>
      <c r="M23" s="33">
        <f t="shared" ref="M23:M27" si="9">(L23*1000000/50000)/1000</f>
        <v>0.87565379017347955</v>
      </c>
      <c r="N23" s="34"/>
    </row>
    <row r="24" spans="1:17" ht="15">
      <c r="B24" s="69">
        <v>0.24199999999999999</v>
      </c>
      <c r="C24" s="69">
        <v>0.26200000000000001</v>
      </c>
      <c r="D24" s="27">
        <f t="shared" si="2"/>
        <v>0.252</v>
      </c>
      <c r="E24" s="27">
        <f t="shared" si="3"/>
        <v>0.19350000000000001</v>
      </c>
      <c r="F24" s="27">
        <f t="shared" si="4"/>
        <v>-0.71331903064506974</v>
      </c>
      <c r="G24" s="28">
        <f t="shared" si="5"/>
        <v>-8.1086154671808269E-2</v>
      </c>
      <c r="H24" s="28">
        <f t="shared" si="6"/>
        <v>0.82968615932254564</v>
      </c>
      <c r="I24" s="29">
        <v>500</v>
      </c>
      <c r="J24" s="30">
        <f t="shared" si="7"/>
        <v>414.84307966127284</v>
      </c>
      <c r="K24" s="31">
        <f t="shared" si="8"/>
        <v>20.742153983063645</v>
      </c>
      <c r="L24" s="32">
        <f t="shared" ref="L24:L27" si="10">K24+K42+K52</f>
        <v>21.554515341827923</v>
      </c>
      <c r="M24" s="33">
        <f t="shared" si="9"/>
        <v>0.43109030683655847</v>
      </c>
      <c r="N24" s="34"/>
    </row>
    <row r="25" spans="1:17" ht="15">
      <c r="A25" s="1" t="s">
        <v>26</v>
      </c>
      <c r="B25" s="69">
        <v>0.41</v>
      </c>
      <c r="C25" s="69">
        <v>0.38500000000000001</v>
      </c>
      <c r="D25" s="27">
        <f t="shared" si="2"/>
        <v>0.39749999999999996</v>
      </c>
      <c r="E25" s="27">
        <f t="shared" si="3"/>
        <v>0.33899999999999997</v>
      </c>
      <c r="F25" s="27">
        <f t="shared" si="4"/>
        <v>-0.4698003017969179</v>
      </c>
      <c r="G25" s="28">
        <f t="shared" si="5"/>
        <v>0.16711525365696903</v>
      </c>
      <c r="H25" s="28">
        <f t="shared" si="6"/>
        <v>1.4693161550168814</v>
      </c>
      <c r="I25" s="29">
        <v>500</v>
      </c>
      <c r="J25" s="30">
        <f t="shared" si="7"/>
        <v>734.65807750844067</v>
      </c>
      <c r="K25" s="31">
        <f t="shared" si="8"/>
        <v>36.732903875422032</v>
      </c>
      <c r="L25" s="32">
        <f t="shared" si="10"/>
        <v>40.877816533589417</v>
      </c>
      <c r="M25" s="33">
        <f t="shared" si="9"/>
        <v>0.81755633067178823</v>
      </c>
      <c r="N25" s="34"/>
    </row>
    <row r="26" spans="1:17" ht="15">
      <c r="B26" s="69">
        <v>0.376</v>
      </c>
      <c r="C26" s="69">
        <v>0.373</v>
      </c>
      <c r="D26" s="27">
        <f t="shared" si="2"/>
        <v>0.3745</v>
      </c>
      <c r="E26" s="27">
        <f t="shared" si="3"/>
        <v>0.316</v>
      </c>
      <c r="F26" s="27">
        <f t="shared" si="4"/>
        <v>-0.50031291738159622</v>
      </c>
      <c r="G26" s="28">
        <f t="shared" si="5"/>
        <v>0.13601590373947609</v>
      </c>
      <c r="H26" s="28">
        <f t="shared" si="6"/>
        <v>1.3677789123505824</v>
      </c>
      <c r="I26" s="29">
        <v>500</v>
      </c>
      <c r="J26" s="30">
        <f t="shared" si="7"/>
        <v>683.88945617529123</v>
      </c>
      <c r="K26" s="31">
        <f t="shared" si="8"/>
        <v>34.194472808764566</v>
      </c>
      <c r="L26" s="32">
        <f t="shared" si="10"/>
        <v>37.841262203670631</v>
      </c>
      <c r="M26" s="33">
        <f t="shared" si="9"/>
        <v>0.75682524407341256</v>
      </c>
      <c r="N26" s="34"/>
    </row>
    <row r="27" spans="1:17" ht="15">
      <c r="B27" s="69">
        <v>0.311</v>
      </c>
      <c r="C27" s="69">
        <v>0.38400000000000001</v>
      </c>
      <c r="D27" s="27">
        <f t="shared" si="2"/>
        <v>0.34750000000000003</v>
      </c>
      <c r="E27" s="27">
        <f t="shared" si="3"/>
        <v>0.28900000000000003</v>
      </c>
      <c r="F27" s="27">
        <f t="shared" si="4"/>
        <v>-0.53910215724345212</v>
      </c>
      <c r="G27" s="28">
        <f t="shared" si="5"/>
        <v>9.6480776370612739E-2</v>
      </c>
      <c r="H27" s="28">
        <f t="shared" si="6"/>
        <v>1.2487651679726033</v>
      </c>
      <c r="I27" s="29">
        <v>500</v>
      </c>
      <c r="J27" s="30">
        <f t="shared" si="7"/>
        <v>624.3825839863016</v>
      </c>
      <c r="K27" s="31">
        <f t="shared" si="8"/>
        <v>31.219129199315081</v>
      </c>
      <c r="L27" s="32">
        <f t="shared" si="10"/>
        <v>34.261863689185262</v>
      </c>
      <c r="M27" s="33">
        <f t="shared" si="9"/>
        <v>0.68523727378370525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9">
        <v>0.43099999999999999</v>
      </c>
      <c r="C31" s="69">
        <v>0.41499999999999998</v>
      </c>
      <c r="D31" s="27">
        <f t="shared" ref="D31:D36" si="11">AVERAGE(B31:C31)</f>
        <v>0.42299999999999999</v>
      </c>
      <c r="E31" s="27">
        <f t="shared" ref="E31:E36" si="12">D31-E$8</f>
        <v>0.36449999999999999</v>
      </c>
      <c r="F31" s="27">
        <f>LOG(E31)</f>
        <v>-0.43830246734600659</v>
      </c>
      <c r="G31" s="28">
        <f>(F31-$B$16)/$B$15</f>
        <v>0.19921876744829523</v>
      </c>
      <c r="H31" s="28">
        <f>10^G31</f>
        <v>1.5820447630474248</v>
      </c>
      <c r="I31" s="29">
        <v>500</v>
      </c>
      <c r="J31" s="30">
        <f>(H31*I31)</f>
        <v>791.0223815237124</v>
      </c>
      <c r="K31" s="31">
        <f>(0.05*J31/1000)*1000</f>
        <v>39.551119076185621</v>
      </c>
      <c r="L31" s="32">
        <f>K31+K50</f>
        <v>40.228511292761475</v>
      </c>
      <c r="M31" s="33">
        <f>(L31*1000000/50000)/1000</f>
        <v>0.80457022585522953</v>
      </c>
      <c r="N31" s="35"/>
      <c r="Q31"/>
    </row>
    <row r="32" spans="1:17" ht="15">
      <c r="B32" s="69">
        <v>0.48699999999999999</v>
      </c>
      <c r="C32" s="69">
        <v>0.41799999999999998</v>
      </c>
      <c r="D32" s="27">
        <f t="shared" si="11"/>
        <v>0.45250000000000001</v>
      </c>
      <c r="E32" s="27">
        <f t="shared" si="12"/>
        <v>0.39400000000000002</v>
      </c>
      <c r="F32" s="27">
        <f t="shared" ref="F32:F36" si="13">LOG(E32)</f>
        <v>-0.40450377817442584</v>
      </c>
      <c r="G32" s="28">
        <f t="shared" ref="G32:G36" si="14">(F32-$B$16)/$B$15</f>
        <v>0.2336673796422423</v>
      </c>
      <c r="H32" s="28">
        <f t="shared" ref="H32:H36" si="15">10^G32</f>
        <v>1.7126451130012619</v>
      </c>
      <c r="I32" s="29">
        <v>500</v>
      </c>
      <c r="J32" s="30">
        <f t="shared" ref="J32:J36" si="16">(H32*I32)</f>
        <v>856.32255650063098</v>
      </c>
      <c r="K32" s="31">
        <f t="shared" ref="K32:K36" si="17">(0.05*J32/1000)*1000</f>
        <v>42.81612782503155</v>
      </c>
      <c r="L32" s="32">
        <f>K32+K51</f>
        <v>43.431437851117664</v>
      </c>
      <c r="M32" s="33">
        <f t="shared" ref="M32:M36" si="18">(L32*1000000/50000)/1000</f>
        <v>0.86862875702235331</v>
      </c>
      <c r="N32" s="36"/>
      <c r="Q32"/>
    </row>
    <row r="33" spans="1:21" ht="15">
      <c r="B33" s="69">
        <v>0.24199999999999999</v>
      </c>
      <c r="C33" s="69">
        <v>0.26200000000000001</v>
      </c>
      <c r="D33" s="27">
        <f t="shared" si="11"/>
        <v>0.252</v>
      </c>
      <c r="E33" s="27">
        <f t="shared" si="12"/>
        <v>0.19350000000000001</v>
      </c>
      <c r="F33" s="27">
        <f t="shared" si="13"/>
        <v>-0.71331903064506974</v>
      </c>
      <c r="G33" s="28">
        <f t="shared" si="14"/>
        <v>-8.1086154671808269E-2</v>
      </c>
      <c r="H33" s="28">
        <f t="shared" si="15"/>
        <v>0.82968615932254564</v>
      </c>
      <c r="I33" s="29">
        <v>500</v>
      </c>
      <c r="J33" s="30">
        <f t="shared" si="16"/>
        <v>414.84307966127284</v>
      </c>
      <c r="K33" s="31">
        <f t="shared" si="17"/>
        <v>20.742153983063645</v>
      </c>
      <c r="L33" s="32">
        <f t="shared" ref="L33:L36" si="19">K33+K52</f>
        <v>21.261131125634222</v>
      </c>
      <c r="M33" s="33">
        <f t="shared" si="18"/>
        <v>0.42522262251268444</v>
      </c>
      <c r="N33" s="36"/>
      <c r="Q33"/>
      <c r="R33"/>
      <c r="S33"/>
    </row>
    <row r="34" spans="1:21" ht="15">
      <c r="A34" s="1" t="s">
        <v>26</v>
      </c>
      <c r="B34" s="69">
        <v>0.41</v>
      </c>
      <c r="C34" s="69">
        <v>0.38500000000000001</v>
      </c>
      <c r="D34" s="27">
        <f t="shared" si="11"/>
        <v>0.39749999999999996</v>
      </c>
      <c r="E34" s="27">
        <f t="shared" si="12"/>
        <v>0.33899999999999997</v>
      </c>
      <c r="F34" s="27">
        <f t="shared" si="13"/>
        <v>-0.4698003017969179</v>
      </c>
      <c r="G34" s="28">
        <f t="shared" si="14"/>
        <v>0.16711525365696903</v>
      </c>
      <c r="H34" s="28">
        <f t="shared" si="15"/>
        <v>1.4693161550168814</v>
      </c>
      <c r="I34" s="29">
        <v>500</v>
      </c>
      <c r="J34" s="30">
        <f t="shared" si="16"/>
        <v>734.65807750844067</v>
      </c>
      <c r="K34" s="31">
        <f t="shared" si="17"/>
        <v>36.732903875422032</v>
      </c>
      <c r="L34" s="32">
        <f t="shared" si="19"/>
        <v>39.490858738904407</v>
      </c>
      <c r="M34" s="33">
        <f t="shared" si="18"/>
        <v>0.78981717477808822</v>
      </c>
      <c r="N34" s="36"/>
      <c r="Q34"/>
      <c r="R34"/>
      <c r="S34"/>
    </row>
    <row r="35" spans="1:21" ht="15">
      <c r="B35" s="69">
        <v>0.376</v>
      </c>
      <c r="C35" s="69">
        <v>0.373</v>
      </c>
      <c r="D35" s="27">
        <f t="shared" si="11"/>
        <v>0.3745</v>
      </c>
      <c r="E35" s="27">
        <f t="shared" si="12"/>
        <v>0.316</v>
      </c>
      <c r="F35" s="27">
        <f t="shared" si="13"/>
        <v>-0.50031291738159622</v>
      </c>
      <c r="G35" s="28">
        <f t="shared" si="14"/>
        <v>0.13601590373947609</v>
      </c>
      <c r="H35" s="28">
        <f t="shared" si="15"/>
        <v>1.3677789123505824</v>
      </c>
      <c r="I35" s="29">
        <v>500</v>
      </c>
      <c r="J35" s="30">
        <f t="shared" si="16"/>
        <v>683.88945617529123</v>
      </c>
      <c r="K35" s="31">
        <f t="shared" si="17"/>
        <v>34.194472808764566</v>
      </c>
      <c r="L35" s="32">
        <f t="shared" si="19"/>
        <v>36.531243106370184</v>
      </c>
      <c r="M35" s="33">
        <f t="shared" si="18"/>
        <v>0.73062486212740363</v>
      </c>
      <c r="N35" s="36"/>
      <c r="Q35"/>
      <c r="R35"/>
      <c r="S35"/>
    </row>
    <row r="36" spans="1:21" ht="15">
      <c r="B36" s="69">
        <v>0.311</v>
      </c>
      <c r="C36" s="69">
        <v>0.38400000000000001</v>
      </c>
      <c r="D36" s="27">
        <f t="shared" si="11"/>
        <v>0.34750000000000003</v>
      </c>
      <c r="E36" s="27">
        <f t="shared" si="12"/>
        <v>0.28900000000000003</v>
      </c>
      <c r="F36" s="27">
        <f t="shared" si="13"/>
        <v>-0.53910215724345212</v>
      </c>
      <c r="G36" s="28">
        <f t="shared" si="14"/>
        <v>9.6480776370612739E-2</v>
      </c>
      <c r="H36" s="28">
        <f t="shared" si="15"/>
        <v>1.2487651679726033</v>
      </c>
      <c r="I36" s="29">
        <v>500</v>
      </c>
      <c r="J36" s="30">
        <f t="shared" si="16"/>
        <v>624.3825839863016</v>
      </c>
      <c r="K36" s="31">
        <f t="shared" si="17"/>
        <v>31.219129199315081</v>
      </c>
      <c r="L36" s="32">
        <f t="shared" si="19"/>
        <v>33.199538633322931</v>
      </c>
      <c r="M36" s="33">
        <f t="shared" si="18"/>
        <v>0.66399077266645856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0">
        <v>9.1999999999999998E-2</v>
      </c>
      <c r="C40" s="70">
        <v>8.5000000000000006E-2</v>
      </c>
      <c r="D40" s="27">
        <f t="shared" ref="D40:D45" si="20">AVERAGE(B40,C40)</f>
        <v>8.8499999999999995E-2</v>
      </c>
      <c r="E40" s="27">
        <f t="shared" ref="E40:E45" si="21">D40-E$8</f>
        <v>0.03</v>
      </c>
      <c r="F40" s="27">
        <f t="shared" ref="F40:F45" si="22">LOG(E40)</f>
        <v>-1.5228787452803376</v>
      </c>
      <c r="G40" s="28">
        <f t="shared" ref="G40:G45" si="23">(F40-$B$16)/$B$15</f>
        <v>-0.90621308535651357</v>
      </c>
      <c r="H40" s="27">
        <f t="shared" ref="H40:H45" si="24">10^G40</f>
        <v>0.12410432438371455</v>
      </c>
      <c r="I40" s="41">
        <v>16</v>
      </c>
      <c r="J40" s="42">
        <f t="shared" ref="J40:J45" si="25">H40*I40</f>
        <v>1.9856691901394328</v>
      </c>
      <c r="K40" s="30">
        <f>(0.1*J40/1000)*1000</f>
        <v>0.1985669190139433</v>
      </c>
      <c r="L40" s="43">
        <f>K40*100/L22</f>
        <v>0.49117306468144817</v>
      </c>
      <c r="M40" s="30">
        <f>AVERAGE(L40:L42)</f>
        <v>0.88485367885929378</v>
      </c>
      <c r="N40" s="44">
        <f>STDEV(L40:L42)</f>
        <v>0.44081837398177925</v>
      </c>
      <c r="R40"/>
      <c r="S40"/>
      <c r="T40"/>
      <c r="U40"/>
    </row>
    <row r="41" spans="1:21" ht="15">
      <c r="B41" s="70">
        <v>0.106</v>
      </c>
      <c r="C41" s="70">
        <v>0.11600000000000001</v>
      </c>
      <c r="D41" s="27">
        <f t="shared" si="20"/>
        <v>0.111</v>
      </c>
      <c r="E41" s="27">
        <f t="shared" si="21"/>
        <v>5.2500000000000005E-2</v>
      </c>
      <c r="F41" s="27">
        <f t="shared" si="22"/>
        <v>-1.279840696594043</v>
      </c>
      <c r="G41" s="28">
        <f t="shared" si="23"/>
        <v>-0.65850160030260307</v>
      </c>
      <c r="H41" s="27">
        <f t="shared" si="24"/>
        <v>0.21953228597270058</v>
      </c>
      <c r="I41" s="41">
        <v>16</v>
      </c>
      <c r="J41" s="42">
        <f t="shared" si="25"/>
        <v>3.5125165755632093</v>
      </c>
      <c r="K41" s="30">
        <f t="shared" ref="K41:K45" si="26">(0.1*J41/1000)*1000</f>
        <v>0.35125165755632093</v>
      </c>
      <c r="L41" s="43">
        <f t="shared" ref="L41:L45" si="27">K41*100/L23</f>
        <v>0.80226149078103792</v>
      </c>
      <c r="M41" s="30"/>
      <c r="N41" s="44"/>
      <c r="R41"/>
      <c r="S41"/>
      <c r="T41"/>
      <c r="U41"/>
    </row>
    <row r="42" spans="1:21" s="17" customFormat="1" ht="15">
      <c r="A42" s="1"/>
      <c r="B42" s="71">
        <v>0.108</v>
      </c>
      <c r="C42" s="71">
        <v>9.7000000000000003E-2</v>
      </c>
      <c r="D42" s="27">
        <f t="shared" si="20"/>
        <v>0.10250000000000001</v>
      </c>
      <c r="E42" s="27">
        <f t="shared" si="21"/>
        <v>4.4000000000000011E-2</v>
      </c>
      <c r="F42" s="27">
        <f t="shared" si="22"/>
        <v>-1.3565473235138124</v>
      </c>
      <c r="G42" s="28">
        <f t="shared" si="23"/>
        <v>-0.7366832371717269</v>
      </c>
      <c r="H42" s="27">
        <f t="shared" si="24"/>
        <v>0.18336513512106276</v>
      </c>
      <c r="I42" s="41">
        <v>16</v>
      </c>
      <c r="J42" s="42">
        <f t="shared" si="25"/>
        <v>2.9338421619370041</v>
      </c>
      <c r="K42" s="30">
        <f t="shared" si="26"/>
        <v>0.29338421619370042</v>
      </c>
      <c r="L42" s="43">
        <f t="shared" si="27"/>
        <v>1.3611264811153954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0.27100000000000002</v>
      </c>
      <c r="C43" s="70">
        <v>0.25</v>
      </c>
      <c r="D43" s="27">
        <f t="shared" si="20"/>
        <v>0.26050000000000001</v>
      </c>
      <c r="E43" s="27">
        <f t="shared" si="21"/>
        <v>0.20200000000000001</v>
      </c>
      <c r="F43" s="27">
        <f t="shared" si="22"/>
        <v>-0.69464863055337622</v>
      </c>
      <c r="G43" s="28">
        <f t="shared" si="23"/>
        <v>-6.2056737021925386E-2</v>
      </c>
      <c r="H43" s="27">
        <f t="shared" si="24"/>
        <v>0.86684862167813193</v>
      </c>
      <c r="I43" s="41">
        <v>16</v>
      </c>
      <c r="J43" s="42">
        <f t="shared" si="25"/>
        <v>13.869577946850111</v>
      </c>
      <c r="K43" s="30">
        <f t="shared" si="26"/>
        <v>1.3869577946850111</v>
      </c>
      <c r="L43" s="43">
        <f t="shared" si="27"/>
        <v>3.3929351230033142</v>
      </c>
      <c r="M43" s="30">
        <f>AVERAGE(L43:L45)</f>
        <v>3.3184733798452597</v>
      </c>
      <c r="N43" s="44">
        <f>STDEV(L43:L45)</f>
        <v>0.19180283031598278</v>
      </c>
      <c r="R43"/>
      <c r="S43"/>
      <c r="T43"/>
      <c r="U43"/>
    </row>
    <row r="44" spans="1:21" ht="15">
      <c r="A44" s="45"/>
      <c r="B44" s="70">
        <v>0.25900000000000001</v>
      </c>
      <c r="C44" s="70">
        <v>0.24</v>
      </c>
      <c r="D44" s="27">
        <f t="shared" si="20"/>
        <v>0.2495</v>
      </c>
      <c r="E44" s="27">
        <f t="shared" si="21"/>
        <v>0.191</v>
      </c>
      <c r="F44" s="27">
        <f t="shared" si="22"/>
        <v>-0.71896663275227246</v>
      </c>
      <c r="G44" s="28">
        <f t="shared" si="23"/>
        <v>-8.6842355861419238E-2</v>
      </c>
      <c r="H44" s="27">
        <f t="shared" si="24"/>
        <v>0.81876193581278134</v>
      </c>
      <c r="I44" s="41">
        <v>16</v>
      </c>
      <c r="J44" s="42">
        <f t="shared" si="25"/>
        <v>13.100190973004501</v>
      </c>
      <c r="K44" s="30">
        <f t="shared" si="26"/>
        <v>1.3100190973004502</v>
      </c>
      <c r="L44" s="43">
        <f t="shared" si="27"/>
        <v>3.4618800246398158</v>
      </c>
      <c r="M44" s="30"/>
      <c r="N44" s="44"/>
      <c r="R44"/>
      <c r="S44"/>
      <c r="T44"/>
      <c r="U44"/>
    </row>
    <row r="45" spans="1:21" ht="15">
      <c r="A45" s="46"/>
      <c r="B45" s="71">
        <v>0.219</v>
      </c>
      <c r="C45" s="71">
        <v>0.20899999999999999</v>
      </c>
      <c r="D45" s="27">
        <f t="shared" si="20"/>
        <v>0.214</v>
      </c>
      <c r="E45" s="27">
        <f t="shared" si="21"/>
        <v>0.1555</v>
      </c>
      <c r="F45" s="27">
        <f t="shared" si="22"/>
        <v>-0.80826960663714364</v>
      </c>
      <c r="G45" s="28">
        <f t="shared" si="23"/>
        <v>-0.17786255784347829</v>
      </c>
      <c r="H45" s="27">
        <f t="shared" si="24"/>
        <v>0.66395315991395787</v>
      </c>
      <c r="I45" s="41">
        <v>16</v>
      </c>
      <c r="J45" s="42">
        <f t="shared" si="25"/>
        <v>10.623250558623326</v>
      </c>
      <c r="K45" s="30">
        <f t="shared" si="26"/>
        <v>1.0623250558623327</v>
      </c>
      <c r="L45" s="43">
        <f t="shared" si="27"/>
        <v>3.1006049918926477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9">
        <v>0.153</v>
      </c>
      <c r="C50" s="69">
        <v>0.16400000000000001</v>
      </c>
      <c r="D50" s="27">
        <f t="shared" ref="D50:D52" si="28">AVERAGE(B50,C50)</f>
        <v>0.1585</v>
      </c>
      <c r="E50" s="27">
        <f t="shared" ref="E50:E55" si="29">D50-E$8</f>
        <v>0.1</v>
      </c>
      <c r="F50" s="27">
        <f t="shared" ref="F50:F55" si="30">LOG(E50)</f>
        <v>-1</v>
      </c>
      <c r="G50" s="28">
        <f t="shared" ref="G50:G55" si="31">(F50-$B$16)/$B$15</f>
        <v>-0.37327978048250227</v>
      </c>
      <c r="H50" s="27">
        <f t="shared" ref="H50:H55" si="32">10^G50</f>
        <v>0.42337013535990886</v>
      </c>
      <c r="I50" s="41">
        <v>16</v>
      </c>
      <c r="J50" s="42">
        <f t="shared" ref="J50:J55" si="33">H50*I50</f>
        <v>6.7739221657585418</v>
      </c>
      <c r="K50" s="30">
        <f>(0.1*J50/1000)*1000</f>
        <v>0.67739221657585424</v>
      </c>
      <c r="L50" s="43">
        <f t="shared" ref="L50:L55" si="34">K50*100/L31</f>
        <v>1.6838610100337987</v>
      </c>
      <c r="M50" s="30">
        <f>AVERAGE(L50:L52)</f>
        <v>1.8471888509954717</v>
      </c>
      <c r="N50" s="44">
        <f>STDEV(L50:L52)</f>
        <v>0.53128873517085828</v>
      </c>
      <c r="O50" s="48">
        <f>L50/L40</f>
        <v>3.4282437924927174</v>
      </c>
      <c r="P50" s="30">
        <f>AVERAGE(O50:O52)</f>
        <v>2.3291727698474749</v>
      </c>
      <c r="Q50" s="44">
        <f>STDEV(O50:O52)</f>
        <v>0.95192209982915765</v>
      </c>
      <c r="S50"/>
      <c r="T50"/>
    </row>
    <row r="51" spans="1:25" ht="15">
      <c r="B51" s="69">
        <v>0.14000000000000001</v>
      </c>
      <c r="C51" s="69">
        <v>0.159</v>
      </c>
      <c r="D51" s="27">
        <f t="shared" si="28"/>
        <v>0.14950000000000002</v>
      </c>
      <c r="E51" s="27">
        <f t="shared" si="29"/>
        <v>9.1000000000000025E-2</v>
      </c>
      <c r="F51" s="27">
        <f t="shared" si="30"/>
        <v>-1.0409586076789064</v>
      </c>
      <c r="G51" s="28">
        <f t="shared" si="31"/>
        <v>-0.41502599095746545</v>
      </c>
      <c r="H51" s="27">
        <f t="shared" si="32"/>
        <v>0.38456876630381948</v>
      </c>
      <c r="I51" s="41">
        <v>16</v>
      </c>
      <c r="J51" s="42">
        <f t="shared" si="33"/>
        <v>6.1531002608611116</v>
      </c>
      <c r="K51" s="30">
        <f t="shared" ref="K51:K55" si="35">(0.1*J51/1000)*1000</f>
        <v>0.61531002608611118</v>
      </c>
      <c r="L51" s="43">
        <f t="shared" si="34"/>
        <v>1.4167387876850519</v>
      </c>
      <c r="M51" s="30"/>
      <c r="N51" s="44"/>
      <c r="O51" s="2">
        <f t="shared" ref="O51:O55" si="36">L51/L41</f>
        <v>1.765931437523933</v>
      </c>
      <c r="P51" s="30"/>
      <c r="Q51" s="44"/>
      <c r="S51"/>
      <c r="T51"/>
    </row>
    <row r="52" spans="1:25" ht="15">
      <c r="B52" s="69">
        <v>0.126</v>
      </c>
      <c r="C52" s="69">
        <v>0.14499999999999999</v>
      </c>
      <c r="D52" s="27">
        <f t="shared" si="28"/>
        <v>0.13550000000000001</v>
      </c>
      <c r="E52" s="27">
        <f t="shared" si="29"/>
        <v>7.7000000000000013E-2</v>
      </c>
      <c r="F52" s="27">
        <f t="shared" si="30"/>
        <v>-1.1135092748275182</v>
      </c>
      <c r="G52" s="28">
        <f t="shared" si="31"/>
        <v>-0.48897175211781679</v>
      </c>
      <c r="H52" s="27">
        <f t="shared" si="32"/>
        <v>0.32436071410660988</v>
      </c>
      <c r="I52" s="41">
        <v>16</v>
      </c>
      <c r="J52" s="42">
        <f t="shared" si="33"/>
        <v>5.1897714257057581</v>
      </c>
      <c r="K52" s="30">
        <f t="shared" si="35"/>
        <v>0.51897714257057581</v>
      </c>
      <c r="L52" s="43">
        <f t="shared" si="34"/>
        <v>2.440966755267564</v>
      </c>
      <c r="M52" s="30"/>
      <c r="N52" s="44"/>
      <c r="O52" s="2">
        <f t="shared" si="36"/>
        <v>1.7933430795257745</v>
      </c>
      <c r="P52" s="30"/>
      <c r="Q52" s="44"/>
      <c r="S52"/>
      <c r="T52"/>
    </row>
    <row r="53" spans="1:25" ht="15">
      <c r="A53" s="1" t="s">
        <v>26</v>
      </c>
      <c r="B53" s="69">
        <v>0.48699999999999999</v>
      </c>
      <c r="C53" s="69">
        <v>0.42299999999999999</v>
      </c>
      <c r="D53" s="27">
        <f>AVERAGE(B53:C53)</f>
        <v>0.45499999999999996</v>
      </c>
      <c r="E53" s="27">
        <f t="shared" si="29"/>
        <v>0.39649999999999996</v>
      </c>
      <c r="F53" s="27">
        <f t="shared" si="30"/>
        <v>-0.40175680834637745</v>
      </c>
      <c r="G53" s="28">
        <f t="shared" si="31"/>
        <v>0.23646717160560876</v>
      </c>
      <c r="H53" s="27">
        <f t="shared" si="32"/>
        <v>1.7237217896764827</v>
      </c>
      <c r="I53" s="41">
        <v>16</v>
      </c>
      <c r="J53" s="42">
        <f t="shared" si="33"/>
        <v>27.579548634823723</v>
      </c>
      <c r="K53" s="30">
        <f t="shared" si="35"/>
        <v>2.7579548634823725</v>
      </c>
      <c r="L53" s="43">
        <f t="shared" si="34"/>
        <v>6.9837804280649243</v>
      </c>
      <c r="M53" s="30">
        <f>AVERAGE(L53:L55)</f>
        <v>6.4485290072169503</v>
      </c>
      <c r="N53" s="44">
        <f>STDEV(L53:L55)</f>
        <v>0.51128343242897512</v>
      </c>
      <c r="O53" s="2">
        <f t="shared" si="36"/>
        <v>2.058330081443795</v>
      </c>
      <c r="P53" s="30">
        <f>AVERAGE(O53:O55)</f>
        <v>1.9433126584802813</v>
      </c>
      <c r="Q53" s="44">
        <f>STDEV(O53:O55)</f>
        <v>0.10663508340299939</v>
      </c>
      <c r="S53"/>
      <c r="T53"/>
    </row>
    <row r="54" spans="1:25" ht="15">
      <c r="A54" s="45"/>
      <c r="B54" s="69">
        <v>0.378</v>
      </c>
      <c r="C54" s="69">
        <v>0.41299999999999998</v>
      </c>
      <c r="D54" s="27">
        <f>AVERAGE(B54:C54)</f>
        <v>0.39549999999999996</v>
      </c>
      <c r="E54" s="27">
        <f t="shared" si="29"/>
        <v>0.33699999999999997</v>
      </c>
      <c r="F54" s="27">
        <f t="shared" si="30"/>
        <v>-0.4723700991286614</v>
      </c>
      <c r="G54" s="28">
        <f t="shared" si="31"/>
        <v>0.16449604108192312</v>
      </c>
      <c r="H54" s="27">
        <f t="shared" si="32"/>
        <v>1.460481436003511</v>
      </c>
      <c r="I54" s="41">
        <v>16</v>
      </c>
      <c r="J54" s="42">
        <f t="shared" si="33"/>
        <v>23.367702976056176</v>
      </c>
      <c r="K54" s="30">
        <f t="shared" si="35"/>
        <v>2.3367702976056175</v>
      </c>
      <c r="L54" s="43">
        <f t="shared" si="34"/>
        <v>6.3966350414123738</v>
      </c>
      <c r="M54" s="30"/>
      <c r="N54" s="44"/>
      <c r="O54" s="2">
        <f t="shared" si="36"/>
        <v>1.847734466788143</v>
      </c>
      <c r="P54" s="30"/>
      <c r="Q54" s="44"/>
      <c r="S54"/>
      <c r="T54"/>
    </row>
    <row r="55" spans="1:25" ht="15">
      <c r="A55" s="46"/>
      <c r="B55" s="69">
        <v>0.32600000000000001</v>
      </c>
      <c r="C55" s="69">
        <v>0.36399999999999999</v>
      </c>
      <c r="D55" s="27">
        <f>AVERAGE(B55:C55)</f>
        <v>0.34499999999999997</v>
      </c>
      <c r="E55" s="27">
        <f t="shared" si="29"/>
        <v>0.28649999999999998</v>
      </c>
      <c r="F55" s="27">
        <f t="shared" si="30"/>
        <v>-0.54287537369659122</v>
      </c>
      <c r="G55" s="28">
        <f t="shared" si="31"/>
        <v>9.263500384203481E-2</v>
      </c>
      <c r="H55" s="27">
        <f t="shared" si="32"/>
        <v>1.2377558962549042</v>
      </c>
      <c r="I55" s="41">
        <v>16</v>
      </c>
      <c r="J55" s="42">
        <f t="shared" si="33"/>
        <v>19.804094340078468</v>
      </c>
      <c r="K55" s="30">
        <f t="shared" si="35"/>
        <v>1.9804094340078469</v>
      </c>
      <c r="L55" s="43">
        <f t="shared" si="34"/>
        <v>5.9651715521735502</v>
      </c>
      <c r="M55" s="30"/>
      <c r="N55" s="44"/>
      <c r="O55" s="2">
        <f t="shared" si="36"/>
        <v>1.923873427208906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2.3291727698474749</v>
      </c>
      <c r="O58" s="30">
        <f>Q50</f>
        <v>0.95192209982915765</v>
      </c>
    </row>
    <row r="59" spans="1:25" ht="15">
      <c r="D59"/>
      <c r="E59"/>
      <c r="G59"/>
      <c r="M59" s="2" t="s">
        <v>26</v>
      </c>
      <c r="N59" s="30">
        <f>P53</f>
        <v>1.9433126584802813</v>
      </c>
      <c r="O59" s="30">
        <f>Q53</f>
        <v>0.10663508340299939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0.88485367885929378</v>
      </c>
      <c r="C65" s="30">
        <f>N40</f>
        <v>0.44081837398177925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1.8471888509954717</v>
      </c>
      <c r="C66" s="30">
        <f>N50</f>
        <v>0.53128873517085828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3.3184733798452597</v>
      </c>
      <c r="C67" s="30">
        <f>N43</f>
        <v>0.19180283031598278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6.4485290072169503</v>
      </c>
      <c r="C68" s="30">
        <f>N53</f>
        <v>0.51128343242897512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31" zoomScale="80" zoomScaleNormal="80" workbookViewId="0">
      <selection activeCell="A57" sqref="A5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42283</v>
      </c>
    </row>
    <row r="2" spans="1:20">
      <c r="A2" s="1" t="s">
        <v>1</v>
      </c>
      <c r="B2" s="2">
        <v>91</v>
      </c>
      <c r="C2" s="3"/>
      <c r="E2" s="4" t="s">
        <v>40</v>
      </c>
    </row>
    <row r="3" spans="1:20">
      <c r="A3" s="1" t="s">
        <v>2</v>
      </c>
      <c r="B3" s="2" t="s">
        <v>45</v>
      </c>
      <c r="D3" s="10" t="s">
        <v>41</v>
      </c>
      <c r="E3" s="10" t="s">
        <v>44</v>
      </c>
      <c r="F3" s="10" t="s">
        <v>44</v>
      </c>
    </row>
    <row r="4" spans="1:20" ht="15">
      <c r="D4" s="10" t="s">
        <v>42</v>
      </c>
      <c r="E4" s="66">
        <v>150528</v>
      </c>
      <c r="F4" s="66">
        <v>129360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5.8999999999999997E-2</v>
      </c>
      <c r="D8" s="64">
        <v>5.8000000000000003E-2</v>
      </c>
      <c r="E8" s="11">
        <f t="shared" ref="E8:E13" si="0">AVERAGE(C8:D8)</f>
        <v>5.8499999999999996E-2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4">
        <v>9.2999999999999999E-2</v>
      </c>
      <c r="D9" s="64">
        <v>8.7999999999999995E-2</v>
      </c>
      <c r="E9" s="11">
        <f t="shared" si="0"/>
        <v>9.0499999999999997E-2</v>
      </c>
      <c r="F9" s="12">
        <f>(E9-$E$8)</f>
        <v>3.2000000000000001E-2</v>
      </c>
      <c r="G9" s="12">
        <f>LOG(B9)</f>
        <v>-0.85930071603316016</v>
      </c>
      <c r="H9" s="12">
        <f>LOG(F9)</f>
        <v>-1.494850021680094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4">
        <v>0.17799999999999999</v>
      </c>
      <c r="D10" s="64">
        <v>0.17199999999999999</v>
      </c>
      <c r="E10" s="11">
        <f t="shared" si="0"/>
        <v>0.17499999999999999</v>
      </c>
      <c r="F10" s="12">
        <f>(E10-$E$8)</f>
        <v>0.11649999999999999</v>
      </c>
      <c r="G10" s="12">
        <f>LOG(B10)</f>
        <v>-0.34053853694765485</v>
      </c>
      <c r="H10" s="12">
        <f>LOG(F10)</f>
        <v>-0.93367407463796226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4">
        <v>0.36799999999999999</v>
      </c>
      <c r="D11" s="64">
        <v>0.34799999999999998</v>
      </c>
      <c r="E11" s="11">
        <f t="shared" si="0"/>
        <v>0.35799999999999998</v>
      </c>
      <c r="F11" s="12">
        <f>(E11-$E$8)</f>
        <v>0.29949999999999999</v>
      </c>
      <c r="G11" s="12">
        <f>LOG(B11)</f>
        <v>0.13103255300924463</v>
      </c>
      <c r="H11" s="12">
        <f>LOG(F11)</f>
        <v>-0.52360317327466988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4">
        <v>1.1759999999999999</v>
      </c>
      <c r="D12" s="64">
        <v>1.0169999999999999</v>
      </c>
      <c r="E12" s="11">
        <f t="shared" si="0"/>
        <v>1.0964999999999998</v>
      </c>
      <c r="F12" s="12">
        <f>(E12-$E$8)</f>
        <v>1.0379999999999998</v>
      </c>
      <c r="G12" s="12">
        <f>LOG(B12)</f>
        <v>0.65110938868757939</v>
      </c>
      <c r="H12" s="12">
        <f>LOG(F12)</f>
        <v>1.6197353512438967E-2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4">
        <v>2.0169999999999999</v>
      </c>
      <c r="D13" s="64">
        <v>2.1619999999999999</v>
      </c>
      <c r="E13" s="11">
        <f t="shared" si="0"/>
        <v>2.0895000000000001</v>
      </c>
      <c r="F13" s="12">
        <f>(E13-$E$8)</f>
        <v>2.0310000000000001</v>
      </c>
      <c r="G13" s="12">
        <f>LOG(B13)</f>
        <v>0.96868593733159802</v>
      </c>
      <c r="H13" s="12">
        <f>LOG(F13)</f>
        <v>0.3077099234048068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0.98113354991756296</v>
      </c>
      <c r="N15"/>
    </row>
    <row r="16" spans="1:20" ht="15">
      <c r="A16" s="5" t="s">
        <v>11</v>
      </c>
      <c r="B16" s="11">
        <f>INTERCEPT(H9:H13,G9:G13)</f>
        <v>-0.63376268386275392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2">
        <v>0.30199999999999999</v>
      </c>
      <c r="C22" s="72">
        <v>0.32400000000000001</v>
      </c>
      <c r="D22" s="27">
        <f t="shared" ref="D22:D27" si="2">AVERAGE(B22:C22)</f>
        <v>0.313</v>
      </c>
      <c r="E22" s="27">
        <f>D22-E$8</f>
        <v>0.2545</v>
      </c>
      <c r="F22" s="27">
        <f>LOG(E22)</f>
        <v>-0.59431221332722239</v>
      </c>
      <c r="G22" s="28">
        <f>(F22-$B$16)/$B$15</f>
        <v>4.0209073004226832E-2</v>
      </c>
      <c r="H22" s="28">
        <f>10^G22</f>
        <v>1.0970061770154658</v>
      </c>
      <c r="I22" s="29">
        <v>500</v>
      </c>
      <c r="J22" s="30">
        <f>(H22*I22)</f>
        <v>548.50308850773285</v>
      </c>
      <c r="K22" s="31">
        <f>(0.05*J22/1000)*1000</f>
        <v>27.425154425386644</v>
      </c>
      <c r="L22" s="32">
        <f>K22+K40+K50</f>
        <v>27.985167028629025</v>
      </c>
      <c r="M22" s="33">
        <f>(L22*1000000/50000)/1000</f>
        <v>0.55970334057258053</v>
      </c>
      <c r="N22" s="34"/>
    </row>
    <row r="23" spans="1:17" ht="15">
      <c r="B23" s="72">
        <v>0.34300000000000003</v>
      </c>
      <c r="C23" s="72">
        <v>0.36</v>
      </c>
      <c r="D23" s="27">
        <f t="shared" si="2"/>
        <v>0.35150000000000003</v>
      </c>
      <c r="E23" s="27">
        <f t="shared" ref="E23:E27" si="3">D23-E$8</f>
        <v>0.29300000000000004</v>
      </c>
      <c r="F23" s="27">
        <f t="shared" ref="F23:F27" si="4">LOG(E23)</f>
        <v>-0.53313237964589044</v>
      </c>
      <c r="G23" s="28">
        <f t="shared" ref="G23:G27" si="5">(F23-$B$16)/$B$15</f>
        <v>0.10256534823961393</v>
      </c>
      <c r="H23" s="28">
        <f t="shared" ref="H23:H27" si="6">10^G23</f>
        <v>1.266383805797765</v>
      </c>
      <c r="I23" s="29">
        <v>500</v>
      </c>
      <c r="J23" s="30">
        <f t="shared" ref="J23:J27" si="7">(H23*I23)</f>
        <v>633.19190289888252</v>
      </c>
      <c r="K23" s="31">
        <f t="shared" ref="K23:K27" si="8">(0.05*J23/1000)*1000</f>
        <v>31.659595144944124</v>
      </c>
      <c r="L23" s="32">
        <f>K23+K41+K51</f>
        <v>32.278351168460574</v>
      </c>
      <c r="M23" s="33">
        <f t="shared" ref="M23:M27" si="9">(L23*1000000/50000)/1000</f>
        <v>0.64556702336921146</v>
      </c>
      <c r="N23" s="34"/>
    </row>
    <row r="24" spans="1:17" ht="15">
      <c r="B24" s="72">
        <v>0.28399999999999997</v>
      </c>
      <c r="C24" s="72">
        <v>0.32</v>
      </c>
      <c r="D24" s="27">
        <f t="shared" si="2"/>
        <v>0.30199999999999999</v>
      </c>
      <c r="E24" s="27">
        <f t="shared" si="3"/>
        <v>0.24349999999999999</v>
      </c>
      <c r="F24" s="27">
        <f t="shared" si="4"/>
        <v>-0.61350103444934689</v>
      </c>
      <c r="G24" s="28">
        <f t="shared" si="5"/>
        <v>2.0651265482776991E-2</v>
      </c>
      <c r="H24" s="28">
        <f t="shared" si="6"/>
        <v>1.0486999939111246</v>
      </c>
      <c r="I24" s="29">
        <v>500</v>
      </c>
      <c r="J24" s="30">
        <f t="shared" si="7"/>
        <v>524.34999695556223</v>
      </c>
      <c r="K24" s="31">
        <f t="shared" si="8"/>
        <v>26.217499847778114</v>
      </c>
      <c r="L24" s="32">
        <f t="shared" ref="L24:L27" si="10">K24+K42+K52</f>
        <v>26.773710971966956</v>
      </c>
      <c r="M24" s="33">
        <f t="shared" si="9"/>
        <v>0.53547421943933915</v>
      </c>
      <c r="N24" s="34"/>
    </row>
    <row r="25" spans="1:17" ht="15">
      <c r="A25" s="1" t="s">
        <v>26</v>
      </c>
      <c r="B25" s="72">
        <v>0.32500000000000001</v>
      </c>
      <c r="C25" s="72">
        <v>0.34300000000000003</v>
      </c>
      <c r="D25" s="27">
        <f t="shared" si="2"/>
        <v>0.33400000000000002</v>
      </c>
      <c r="E25" s="27">
        <f t="shared" si="3"/>
        <v>0.27550000000000002</v>
      </c>
      <c r="F25" s="27">
        <f t="shared" si="4"/>
        <v>-0.55987839681219609</v>
      </c>
      <c r="G25" s="28">
        <f t="shared" si="5"/>
        <v>7.5305025556169955E-2</v>
      </c>
      <c r="H25" s="28">
        <f t="shared" si="6"/>
        <v>1.1893372619736609</v>
      </c>
      <c r="I25" s="29">
        <v>500</v>
      </c>
      <c r="J25" s="30">
        <f t="shared" si="7"/>
        <v>594.66863098683041</v>
      </c>
      <c r="K25" s="31">
        <f t="shared" si="8"/>
        <v>29.733431549341521</v>
      </c>
      <c r="L25" s="32">
        <f t="shared" si="10"/>
        <v>32.533757711675328</v>
      </c>
      <c r="M25" s="33">
        <f t="shared" si="9"/>
        <v>0.65067515423350653</v>
      </c>
      <c r="N25" s="34"/>
    </row>
    <row r="26" spans="1:17" ht="15">
      <c r="B26" s="72">
        <v>0.35</v>
      </c>
      <c r="C26" s="72">
        <v>0.31900000000000001</v>
      </c>
      <c r="D26" s="27">
        <f t="shared" si="2"/>
        <v>0.33450000000000002</v>
      </c>
      <c r="E26" s="27">
        <f t="shared" si="3"/>
        <v>0.27600000000000002</v>
      </c>
      <c r="F26" s="27">
        <f t="shared" si="4"/>
        <v>-0.55909091793478227</v>
      </c>
      <c r="G26" s="28">
        <f t="shared" si="5"/>
        <v>7.610764705196936E-2</v>
      </c>
      <c r="H26" s="28">
        <f t="shared" si="6"/>
        <v>1.1915373136078535</v>
      </c>
      <c r="I26" s="29">
        <v>500</v>
      </c>
      <c r="J26" s="30">
        <f t="shared" si="7"/>
        <v>595.76865680392677</v>
      </c>
      <c r="K26" s="31">
        <f t="shared" si="8"/>
        <v>29.788432840196339</v>
      </c>
      <c r="L26" s="32">
        <f t="shared" si="10"/>
        <v>32.094829603297271</v>
      </c>
      <c r="M26" s="33">
        <f t="shared" si="9"/>
        <v>0.64189659206594551</v>
      </c>
      <c r="N26" s="34"/>
    </row>
    <row r="27" spans="1:17" ht="15">
      <c r="B27" s="72">
        <v>0.26400000000000001</v>
      </c>
      <c r="C27" s="72">
        <v>0.29399999999999998</v>
      </c>
      <c r="D27" s="27">
        <f t="shared" si="2"/>
        <v>0.27900000000000003</v>
      </c>
      <c r="E27" s="27">
        <f t="shared" si="3"/>
        <v>0.22050000000000003</v>
      </c>
      <c r="F27" s="27">
        <f t="shared" si="4"/>
        <v>-0.65659140619614265</v>
      </c>
      <c r="G27" s="28">
        <f t="shared" si="5"/>
        <v>-2.3267701257700186E-2</v>
      </c>
      <c r="H27" s="28">
        <f t="shared" si="6"/>
        <v>0.94783403362998842</v>
      </c>
      <c r="I27" s="29">
        <v>500</v>
      </c>
      <c r="J27" s="30">
        <f t="shared" si="7"/>
        <v>473.91701681499421</v>
      </c>
      <c r="K27" s="31">
        <f t="shared" si="8"/>
        <v>23.695850840749713</v>
      </c>
      <c r="L27" s="32">
        <f t="shared" si="10"/>
        <v>26.212739706100439</v>
      </c>
      <c r="M27" s="33">
        <f t="shared" si="9"/>
        <v>0.52425479412200882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2">
        <v>0.30199999999999999</v>
      </c>
      <c r="C31" s="72">
        <v>0.32400000000000001</v>
      </c>
      <c r="D31" s="27">
        <f t="shared" ref="D31:D36" si="11">AVERAGE(B31:C31)</f>
        <v>0.313</v>
      </c>
      <c r="E31" s="27">
        <f t="shared" ref="E31:E36" si="12">D31-E$8</f>
        <v>0.2545</v>
      </c>
      <c r="F31" s="27">
        <f>LOG(E31)</f>
        <v>-0.59431221332722239</v>
      </c>
      <c r="G31" s="28">
        <f>(F31-$B$16)/$B$15</f>
        <v>4.0209073004226832E-2</v>
      </c>
      <c r="H31" s="28">
        <f>10^G31</f>
        <v>1.0970061770154658</v>
      </c>
      <c r="I31" s="29">
        <v>500</v>
      </c>
      <c r="J31" s="30">
        <f>(H31*I31)</f>
        <v>548.50308850773285</v>
      </c>
      <c r="K31" s="31">
        <f>(0.05*J31/1000)*1000</f>
        <v>27.425154425386644</v>
      </c>
      <c r="L31" s="32">
        <f>K31+K50</f>
        <v>27.783226485195975</v>
      </c>
      <c r="M31" s="33">
        <f>(L31*1000000/50000)/1000</f>
        <v>0.55566452970391944</v>
      </c>
      <c r="N31" s="35"/>
      <c r="Q31"/>
    </row>
    <row r="32" spans="1:17" ht="15">
      <c r="B32" s="72">
        <v>0.34300000000000003</v>
      </c>
      <c r="C32" s="72">
        <v>0.36</v>
      </c>
      <c r="D32" s="27">
        <f t="shared" si="11"/>
        <v>0.35150000000000003</v>
      </c>
      <c r="E32" s="27">
        <f t="shared" si="12"/>
        <v>0.29300000000000004</v>
      </c>
      <c r="F32" s="27">
        <f t="shared" ref="F32:F36" si="13">LOG(E32)</f>
        <v>-0.53313237964589044</v>
      </c>
      <c r="G32" s="28">
        <f t="shared" ref="G32:G36" si="14">(F32-$B$16)/$B$15</f>
        <v>0.10256534823961393</v>
      </c>
      <c r="H32" s="28">
        <f t="shared" ref="H32:H36" si="15">10^G32</f>
        <v>1.266383805797765</v>
      </c>
      <c r="I32" s="29">
        <v>500</v>
      </c>
      <c r="J32" s="30">
        <f t="shared" ref="J32:J36" si="16">(H32*I32)</f>
        <v>633.19190289888252</v>
      </c>
      <c r="K32" s="31">
        <f t="shared" ref="K32:K36" si="17">(0.05*J32/1000)*1000</f>
        <v>31.659595144944124</v>
      </c>
      <c r="L32" s="32">
        <f>K32+K51</f>
        <v>32.11681848193718</v>
      </c>
      <c r="M32" s="33">
        <f t="shared" ref="M32:M36" si="18">(L32*1000000/50000)/1000</f>
        <v>0.64233636963874363</v>
      </c>
      <c r="N32" s="36"/>
      <c r="Q32"/>
    </row>
    <row r="33" spans="1:21" ht="15">
      <c r="B33" s="72">
        <v>0.28399999999999997</v>
      </c>
      <c r="C33" s="72">
        <v>0.32</v>
      </c>
      <c r="D33" s="27">
        <f t="shared" si="11"/>
        <v>0.30199999999999999</v>
      </c>
      <c r="E33" s="27">
        <f t="shared" si="12"/>
        <v>0.24349999999999999</v>
      </c>
      <c r="F33" s="27">
        <f t="shared" si="13"/>
        <v>-0.61350103444934689</v>
      </c>
      <c r="G33" s="28">
        <f t="shared" si="14"/>
        <v>2.0651265482776991E-2</v>
      </c>
      <c r="H33" s="28">
        <f t="shared" si="15"/>
        <v>1.0486999939111246</v>
      </c>
      <c r="I33" s="29">
        <v>500</v>
      </c>
      <c r="J33" s="30">
        <f t="shared" si="16"/>
        <v>524.34999695556223</v>
      </c>
      <c r="K33" s="31">
        <f t="shared" si="17"/>
        <v>26.217499847778114</v>
      </c>
      <c r="L33" s="32">
        <f t="shared" ref="L33:L36" si="19">K33+K52</f>
        <v>26.507486416491741</v>
      </c>
      <c r="M33" s="33">
        <f t="shared" si="18"/>
        <v>0.53014972832983487</v>
      </c>
      <c r="N33" s="36"/>
      <c r="Q33"/>
      <c r="R33"/>
      <c r="S33"/>
    </row>
    <row r="34" spans="1:21" ht="15">
      <c r="A34" s="1" t="s">
        <v>26</v>
      </c>
      <c r="B34" s="72">
        <v>0.32500000000000001</v>
      </c>
      <c r="C34" s="72">
        <v>0.34300000000000003</v>
      </c>
      <c r="D34" s="27">
        <f t="shared" si="11"/>
        <v>0.33400000000000002</v>
      </c>
      <c r="E34" s="27">
        <f t="shared" si="12"/>
        <v>0.27550000000000002</v>
      </c>
      <c r="F34" s="27">
        <f t="shared" si="13"/>
        <v>-0.55987839681219609</v>
      </c>
      <c r="G34" s="28">
        <f t="shared" si="14"/>
        <v>7.5305025556169955E-2</v>
      </c>
      <c r="H34" s="28">
        <f t="shared" si="15"/>
        <v>1.1893372619736609</v>
      </c>
      <c r="I34" s="29">
        <v>500</v>
      </c>
      <c r="J34" s="30">
        <f t="shared" si="16"/>
        <v>594.66863098683041</v>
      </c>
      <c r="K34" s="31">
        <f t="shared" si="17"/>
        <v>29.733431549341521</v>
      </c>
      <c r="L34" s="32">
        <f t="shared" si="19"/>
        <v>31.75612150425172</v>
      </c>
      <c r="M34" s="33">
        <f t="shared" si="18"/>
        <v>0.63512243008503433</v>
      </c>
      <c r="N34" s="36"/>
      <c r="Q34"/>
      <c r="R34"/>
      <c r="S34"/>
    </row>
    <row r="35" spans="1:21" ht="15">
      <c r="B35" s="72">
        <v>0.35</v>
      </c>
      <c r="C35" s="72">
        <v>0.31900000000000001</v>
      </c>
      <c r="D35" s="27">
        <f t="shared" si="11"/>
        <v>0.33450000000000002</v>
      </c>
      <c r="E35" s="27">
        <f t="shared" si="12"/>
        <v>0.27600000000000002</v>
      </c>
      <c r="F35" s="27">
        <f t="shared" si="13"/>
        <v>-0.55909091793478227</v>
      </c>
      <c r="G35" s="28">
        <f t="shared" si="14"/>
        <v>7.610764705196936E-2</v>
      </c>
      <c r="H35" s="28">
        <f t="shared" si="15"/>
        <v>1.1915373136078535</v>
      </c>
      <c r="I35" s="29">
        <v>500</v>
      </c>
      <c r="J35" s="30">
        <f t="shared" si="16"/>
        <v>595.76865680392677</v>
      </c>
      <c r="K35" s="31">
        <f t="shared" si="17"/>
        <v>29.788432840196339</v>
      </c>
      <c r="L35" s="32">
        <f t="shared" si="19"/>
        <v>31.431243072992231</v>
      </c>
      <c r="M35" s="33">
        <f t="shared" si="18"/>
        <v>0.62862486145984464</v>
      </c>
      <c r="N35" s="36"/>
      <c r="Q35"/>
      <c r="R35"/>
      <c r="S35"/>
    </row>
    <row r="36" spans="1:21" ht="15">
      <c r="B36" s="72">
        <v>0.26400000000000001</v>
      </c>
      <c r="C36" s="72">
        <v>0.29399999999999998</v>
      </c>
      <c r="D36" s="27">
        <f t="shared" si="11"/>
        <v>0.27900000000000003</v>
      </c>
      <c r="E36" s="27">
        <f t="shared" si="12"/>
        <v>0.22050000000000003</v>
      </c>
      <c r="F36" s="27">
        <f t="shared" si="13"/>
        <v>-0.65659140619614265</v>
      </c>
      <c r="G36" s="28">
        <f t="shared" si="14"/>
        <v>-2.3267701257700186E-2</v>
      </c>
      <c r="H36" s="28">
        <f t="shared" si="15"/>
        <v>0.94783403362998842</v>
      </c>
      <c r="I36" s="29">
        <v>500</v>
      </c>
      <c r="J36" s="30">
        <f t="shared" si="16"/>
        <v>473.91701681499421</v>
      </c>
      <c r="K36" s="31">
        <f t="shared" si="17"/>
        <v>23.695850840749713</v>
      </c>
      <c r="L36" s="32">
        <f t="shared" si="19"/>
        <v>25.286023064590147</v>
      </c>
      <c r="M36" s="33">
        <f t="shared" si="18"/>
        <v>0.50572046129180293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3">
        <v>8.6999999999999994E-2</v>
      </c>
      <c r="C40" s="73">
        <v>9.0999999999999998E-2</v>
      </c>
      <c r="D40" s="27">
        <f t="shared" ref="D40:D45" si="20">AVERAGE(B40,C40)</f>
        <v>8.8999999999999996E-2</v>
      </c>
      <c r="E40" s="27">
        <f t="shared" ref="E40:E45" si="21">D40-E$8</f>
        <v>3.0499999999999999E-2</v>
      </c>
      <c r="F40" s="27">
        <f t="shared" ref="F40:F45" si="22">LOG(E40)</f>
        <v>-1.5157001606532141</v>
      </c>
      <c r="G40" s="28">
        <f t="shared" ref="G40:G45" si="23">(F40-$B$16)/$B$15</f>
        <v>-0.89889646202044826</v>
      </c>
      <c r="H40" s="27">
        <f t="shared" ref="H40:H45" si="24">10^G40</f>
        <v>0.12621283964565586</v>
      </c>
      <c r="I40" s="41">
        <v>16</v>
      </c>
      <c r="J40" s="42">
        <f t="shared" ref="J40:J45" si="25">H40*I40</f>
        <v>2.0194054343304937</v>
      </c>
      <c r="K40" s="30">
        <f>(0.1*J40/1000)*1000</f>
        <v>0.20194054343304937</v>
      </c>
      <c r="L40" s="43">
        <f>K40*100/L22</f>
        <v>0.72159849261025588</v>
      </c>
      <c r="M40" s="30">
        <f>AVERAGE(L40:L42)</f>
        <v>0.73879523411117598</v>
      </c>
      <c r="N40" s="44">
        <f>STDEV(L40:L42)</f>
        <v>0.24740564461325834</v>
      </c>
      <c r="R40"/>
      <c r="S40"/>
      <c r="T40"/>
      <c r="U40"/>
    </row>
    <row r="41" spans="1:21" ht="15">
      <c r="B41" s="73">
        <v>8.5000000000000006E-2</v>
      </c>
      <c r="C41" s="73">
        <v>8.1000000000000003E-2</v>
      </c>
      <c r="D41" s="27">
        <f t="shared" si="20"/>
        <v>8.3000000000000004E-2</v>
      </c>
      <c r="E41" s="27">
        <f t="shared" si="21"/>
        <v>2.4500000000000008E-2</v>
      </c>
      <c r="F41" s="27">
        <f t="shared" si="22"/>
        <v>-1.6108339156354674</v>
      </c>
      <c r="G41" s="28">
        <f t="shared" si="23"/>
        <v>-0.99585956657461072</v>
      </c>
      <c r="H41" s="27">
        <f t="shared" si="24"/>
        <v>0.10095792907712223</v>
      </c>
      <c r="I41" s="41">
        <v>16</v>
      </c>
      <c r="J41" s="42">
        <f t="shared" si="25"/>
        <v>1.6153268652339556</v>
      </c>
      <c r="K41" s="30">
        <f t="shared" ref="K41:K45" si="26">(0.1*J41/1000)*1000</f>
        <v>0.16153268652339559</v>
      </c>
      <c r="L41" s="43">
        <f t="shared" ref="L41:L45" si="27">K41*100/L23</f>
        <v>0.50043661053303867</v>
      </c>
      <c r="M41" s="30"/>
      <c r="N41" s="44"/>
      <c r="R41"/>
      <c r="S41"/>
      <c r="T41"/>
      <c r="U41"/>
    </row>
    <row r="42" spans="1:21" s="17" customFormat="1" ht="15">
      <c r="A42" s="1"/>
      <c r="B42" s="74">
        <v>0.10199999999999999</v>
      </c>
      <c r="C42" s="74">
        <v>9.5000000000000001E-2</v>
      </c>
      <c r="D42" s="27">
        <f t="shared" si="20"/>
        <v>9.8500000000000004E-2</v>
      </c>
      <c r="E42" s="27">
        <f t="shared" si="21"/>
        <v>4.0000000000000008E-2</v>
      </c>
      <c r="F42" s="27">
        <f t="shared" si="22"/>
        <v>-1.3979400086720375</v>
      </c>
      <c r="G42" s="28">
        <f t="shared" si="23"/>
        <v>-0.77887187210496622</v>
      </c>
      <c r="H42" s="27">
        <f t="shared" si="24"/>
        <v>0.16639034717200915</v>
      </c>
      <c r="I42" s="41">
        <v>16</v>
      </c>
      <c r="J42" s="42">
        <f t="shared" si="25"/>
        <v>2.6622455547521464</v>
      </c>
      <c r="K42" s="30">
        <f t="shared" si="26"/>
        <v>0.26622455547521467</v>
      </c>
      <c r="L42" s="43">
        <f t="shared" si="27"/>
        <v>0.99435059919023339</v>
      </c>
      <c r="M42" s="30"/>
      <c r="N42" s="44"/>
      <c r="R42"/>
      <c r="S42"/>
      <c r="T42"/>
      <c r="U42"/>
    </row>
    <row r="43" spans="1:21" ht="15">
      <c r="A43" s="1" t="s">
        <v>34</v>
      </c>
      <c r="B43" s="73">
        <v>0.159</v>
      </c>
      <c r="C43" s="73">
        <v>0.187</v>
      </c>
      <c r="D43" s="27">
        <f t="shared" si="20"/>
        <v>0.17299999999999999</v>
      </c>
      <c r="E43" s="27">
        <f t="shared" si="21"/>
        <v>0.11449999999999999</v>
      </c>
      <c r="F43" s="27">
        <f t="shared" si="22"/>
        <v>-0.94119451332409321</v>
      </c>
      <c r="G43" s="28">
        <f t="shared" si="23"/>
        <v>-0.31334350913509218</v>
      </c>
      <c r="H43" s="27">
        <f t="shared" si="24"/>
        <v>0.48602262963975407</v>
      </c>
      <c r="I43" s="41">
        <v>16</v>
      </c>
      <c r="J43" s="42">
        <f t="shared" si="25"/>
        <v>7.7763620742360651</v>
      </c>
      <c r="K43" s="30">
        <f t="shared" si="26"/>
        <v>0.77763620742360651</v>
      </c>
      <c r="L43" s="43">
        <f t="shared" si="27"/>
        <v>2.390244048398189</v>
      </c>
      <c r="M43" s="30">
        <f>AVERAGE(L43:L45)</f>
        <v>2.6643973954412368</v>
      </c>
      <c r="N43" s="44">
        <f>STDEV(L43:L45)</f>
        <v>0.77134259150163043</v>
      </c>
      <c r="R43"/>
      <c r="S43"/>
      <c r="T43"/>
      <c r="U43"/>
    </row>
    <row r="44" spans="1:21" ht="15">
      <c r="A44" s="45"/>
      <c r="B44" s="73">
        <v>0.14399999999999999</v>
      </c>
      <c r="C44" s="73">
        <v>0.16900000000000001</v>
      </c>
      <c r="D44" s="27">
        <f t="shared" si="20"/>
        <v>0.1565</v>
      </c>
      <c r="E44" s="27">
        <f t="shared" si="21"/>
        <v>9.8000000000000004E-2</v>
      </c>
      <c r="F44" s="27">
        <f t="shared" si="22"/>
        <v>-1.0087739243075051</v>
      </c>
      <c r="G44" s="28">
        <f t="shared" si="23"/>
        <v>-0.38222242066460826</v>
      </c>
      <c r="H44" s="27">
        <f t="shared" si="24"/>
        <v>0.41474158144065049</v>
      </c>
      <c r="I44" s="41">
        <v>16</v>
      </c>
      <c r="J44" s="42">
        <f t="shared" si="25"/>
        <v>6.6358653030504078</v>
      </c>
      <c r="K44" s="30">
        <f t="shared" si="26"/>
        <v>0.66358653030504078</v>
      </c>
      <c r="L44" s="43">
        <f t="shared" si="27"/>
        <v>2.0675807863982771</v>
      </c>
      <c r="M44" s="30"/>
      <c r="N44" s="44"/>
      <c r="R44"/>
      <c r="S44"/>
      <c r="T44"/>
      <c r="U44"/>
    </row>
    <row r="45" spans="1:21" ht="15">
      <c r="A45" s="46"/>
      <c r="B45" s="74">
        <v>0.185</v>
      </c>
      <c r="C45" s="74">
        <v>0.20399999999999999</v>
      </c>
      <c r="D45" s="27">
        <f t="shared" si="20"/>
        <v>0.19450000000000001</v>
      </c>
      <c r="E45" s="27">
        <f t="shared" si="21"/>
        <v>0.13600000000000001</v>
      </c>
      <c r="F45" s="27">
        <f t="shared" si="22"/>
        <v>-0.86646109162978246</v>
      </c>
      <c r="G45" s="28">
        <f t="shared" si="23"/>
        <v>-0.23717302072340751</v>
      </c>
      <c r="H45" s="27">
        <f t="shared" si="24"/>
        <v>0.57919790094393331</v>
      </c>
      <c r="I45" s="41">
        <v>16</v>
      </c>
      <c r="J45" s="42">
        <f t="shared" si="25"/>
        <v>9.2671664151029329</v>
      </c>
      <c r="K45" s="30">
        <f t="shared" si="26"/>
        <v>0.92671664151029332</v>
      </c>
      <c r="L45" s="43">
        <f t="shared" si="27"/>
        <v>3.5353673515272437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2">
        <v>0.121</v>
      </c>
      <c r="C50" s="72">
        <v>0.10299999999999999</v>
      </c>
      <c r="D50" s="27">
        <f t="shared" ref="D50:D52" si="28">AVERAGE(B50,C50)</f>
        <v>0.11199999999999999</v>
      </c>
      <c r="E50" s="27">
        <f t="shared" ref="E50:E55" si="29">D50-E$8</f>
        <v>5.3499999999999992E-2</v>
      </c>
      <c r="F50" s="27">
        <f t="shared" ref="F50:F55" si="30">LOG(E50)</f>
        <v>-1.2716462179787715</v>
      </c>
      <c r="G50" s="28">
        <f t="shared" ref="G50:G55" si="31">(F50-$B$16)/$B$15</f>
        <v>-0.65014954811158376</v>
      </c>
      <c r="H50" s="27">
        <f t="shared" ref="H50:H55" si="32">10^G50</f>
        <v>0.22379503738083228</v>
      </c>
      <c r="I50" s="41">
        <v>16</v>
      </c>
      <c r="J50" s="42">
        <f t="shared" ref="J50:J55" si="33">H50*I50</f>
        <v>3.5807205980933166</v>
      </c>
      <c r="K50" s="30">
        <f>(0.1*J50/1000)*1000</f>
        <v>0.35807205980933166</v>
      </c>
      <c r="L50" s="43">
        <f t="shared" ref="L50:L55" si="34">K50*100/L31</f>
        <v>1.2888066114283987</v>
      </c>
      <c r="M50" s="30">
        <f>AVERAGE(L50:L52)</f>
        <v>1.2688041217409605</v>
      </c>
      <c r="N50" s="44">
        <f>STDEV(L50:L52)</f>
        <v>0.16573078840731947</v>
      </c>
      <c r="O50" s="48">
        <f>L50/L40</f>
        <v>1.7860439352726016</v>
      </c>
      <c r="P50" s="30">
        <f>AVERAGE(O50:O52)</f>
        <v>1.9103356312849835</v>
      </c>
      <c r="Q50" s="44">
        <f>STDEV(O50:O52)</f>
        <v>0.87890241280679327</v>
      </c>
      <c r="S50"/>
      <c r="T50"/>
    </row>
    <row r="51" spans="1:25" ht="15">
      <c r="B51" s="72">
        <v>0.122</v>
      </c>
      <c r="C51" s="72">
        <v>0.13100000000000001</v>
      </c>
      <c r="D51" s="27">
        <f t="shared" si="28"/>
        <v>0.1265</v>
      </c>
      <c r="E51" s="27">
        <f t="shared" si="29"/>
        <v>6.8000000000000005E-2</v>
      </c>
      <c r="F51" s="27">
        <f t="shared" si="30"/>
        <v>-1.1674910872937636</v>
      </c>
      <c r="G51" s="28">
        <f t="shared" si="31"/>
        <v>-0.54399159367840877</v>
      </c>
      <c r="H51" s="27">
        <f t="shared" si="32"/>
        <v>0.28576458562066137</v>
      </c>
      <c r="I51" s="41">
        <v>16</v>
      </c>
      <c r="J51" s="42">
        <f t="shared" si="33"/>
        <v>4.5722333699305819</v>
      </c>
      <c r="K51" s="30">
        <f t="shared" ref="K51:K55" si="35">(0.1*J51/1000)*1000</f>
        <v>0.45722333699305823</v>
      </c>
      <c r="L51" s="43">
        <f t="shared" si="34"/>
        <v>1.4236258714424195</v>
      </c>
      <c r="M51" s="30"/>
      <c r="N51" s="44"/>
      <c r="O51" s="2">
        <f t="shared" ref="O51:O55" si="36">L51/L41</f>
        <v>2.8447676318606034</v>
      </c>
      <c r="P51" s="30"/>
      <c r="Q51" s="44"/>
      <c r="S51"/>
      <c r="T51"/>
    </row>
    <row r="52" spans="1:25" ht="15">
      <c r="B52" s="72">
        <v>0.1</v>
      </c>
      <c r="C52" s="72">
        <v>0.104</v>
      </c>
      <c r="D52" s="27">
        <f t="shared" si="28"/>
        <v>0.10200000000000001</v>
      </c>
      <c r="E52" s="27">
        <f t="shared" si="29"/>
        <v>4.3500000000000011E-2</v>
      </c>
      <c r="F52" s="27">
        <f t="shared" si="30"/>
        <v>-1.3615107430453626</v>
      </c>
      <c r="G52" s="28">
        <f t="shared" si="31"/>
        <v>-0.74174209947642267</v>
      </c>
      <c r="H52" s="27">
        <f t="shared" si="32"/>
        <v>0.18124160544601586</v>
      </c>
      <c r="I52" s="41">
        <v>16</v>
      </c>
      <c r="J52" s="42">
        <f t="shared" si="33"/>
        <v>2.8998656871362538</v>
      </c>
      <c r="K52" s="30">
        <f t="shared" si="35"/>
        <v>0.28998656871362538</v>
      </c>
      <c r="L52" s="43">
        <f t="shared" si="34"/>
        <v>1.0939798823520628</v>
      </c>
      <c r="M52" s="30"/>
      <c r="N52" s="44"/>
      <c r="O52" s="2">
        <f t="shared" si="36"/>
        <v>1.1001953267217461</v>
      </c>
      <c r="P52" s="30"/>
      <c r="Q52" s="44"/>
      <c r="S52"/>
      <c r="T52"/>
    </row>
    <row r="53" spans="1:25" ht="15">
      <c r="A53" s="1" t="s">
        <v>26</v>
      </c>
      <c r="B53" s="72">
        <v>0.379</v>
      </c>
      <c r="C53" s="72">
        <v>0.32300000000000001</v>
      </c>
      <c r="D53" s="27">
        <f>AVERAGE(B53:C53)</f>
        <v>0.35099999999999998</v>
      </c>
      <c r="E53" s="27">
        <f t="shared" si="29"/>
        <v>0.29249999999999998</v>
      </c>
      <c r="F53" s="27">
        <f t="shared" si="30"/>
        <v>-0.5338741295818008</v>
      </c>
      <c r="G53" s="28">
        <f t="shared" si="31"/>
        <v>0.10180933501799624</v>
      </c>
      <c r="H53" s="27">
        <f t="shared" si="32"/>
        <v>1.264181221818875</v>
      </c>
      <c r="I53" s="41">
        <v>16</v>
      </c>
      <c r="J53" s="42">
        <f t="shared" si="33"/>
        <v>20.226899549102001</v>
      </c>
      <c r="K53" s="30">
        <f t="shared" si="35"/>
        <v>2.0226899549102</v>
      </c>
      <c r="L53" s="43">
        <f t="shared" si="34"/>
        <v>6.3694489726630783</v>
      </c>
      <c r="M53" s="30">
        <f>AVERAGE(L53:L55)</f>
        <v>5.961622681979982</v>
      </c>
      <c r="N53" s="44">
        <f>STDEV(L53:L55)</f>
        <v>0.63775776656177574</v>
      </c>
      <c r="O53" s="2">
        <f t="shared" si="36"/>
        <v>2.6647693054320269</v>
      </c>
      <c r="P53" s="30">
        <f>AVERAGE(O53:O55)</f>
        <v>2.3238325074846071</v>
      </c>
      <c r="Q53" s="44">
        <f>STDEV(O53:O55)</f>
        <v>0.47693884849068263</v>
      </c>
      <c r="S53"/>
      <c r="T53"/>
    </row>
    <row r="54" spans="1:25" ht="15">
      <c r="A54" s="45"/>
      <c r="B54" s="72">
        <v>0.309</v>
      </c>
      <c r="C54" s="72">
        <v>0.28499999999999998</v>
      </c>
      <c r="D54" s="27">
        <f>AVERAGE(B54:C54)</f>
        <v>0.29699999999999999</v>
      </c>
      <c r="E54" s="27">
        <f t="shared" si="29"/>
        <v>0.23849999999999999</v>
      </c>
      <c r="F54" s="27">
        <f t="shared" si="30"/>
        <v>-0.62251161662386734</v>
      </c>
      <c r="G54" s="28">
        <f t="shared" si="31"/>
        <v>1.1467416683316885E-2</v>
      </c>
      <c r="H54" s="27">
        <f t="shared" si="32"/>
        <v>1.0267563954974321</v>
      </c>
      <c r="I54" s="41">
        <v>16</v>
      </c>
      <c r="J54" s="42">
        <f t="shared" si="33"/>
        <v>16.428102327958914</v>
      </c>
      <c r="K54" s="30">
        <f t="shared" si="35"/>
        <v>1.6428102327958916</v>
      </c>
      <c r="L54" s="43">
        <f t="shared" si="34"/>
        <v>5.2266791643614665</v>
      </c>
      <c r="M54" s="30"/>
      <c r="N54" s="44"/>
      <c r="O54" s="2">
        <f t="shared" si="36"/>
        <v>2.5279201658022439</v>
      </c>
      <c r="P54" s="30"/>
      <c r="Q54" s="44"/>
      <c r="S54"/>
      <c r="T54"/>
    </row>
    <row r="55" spans="1:25" ht="15">
      <c r="A55" s="46"/>
      <c r="B55" s="72">
        <v>0.26900000000000002</v>
      </c>
      <c r="C55" s="72">
        <v>0.31</v>
      </c>
      <c r="D55" s="27">
        <f>AVERAGE(B55:C55)</f>
        <v>0.28949999999999998</v>
      </c>
      <c r="E55" s="27">
        <f t="shared" si="29"/>
        <v>0.23099999999999998</v>
      </c>
      <c r="F55" s="27">
        <f t="shared" si="30"/>
        <v>-0.63638802010785567</v>
      </c>
      <c r="G55" s="28">
        <f t="shared" si="31"/>
        <v>-2.675819459361406E-3</v>
      </c>
      <c r="H55" s="27">
        <f t="shared" si="32"/>
        <v>0.99385763990027132</v>
      </c>
      <c r="I55" s="41">
        <v>16</v>
      </c>
      <c r="J55" s="42">
        <f t="shared" si="33"/>
        <v>15.901722238404341</v>
      </c>
      <c r="K55" s="30">
        <f t="shared" si="35"/>
        <v>1.5901722238404341</v>
      </c>
      <c r="L55" s="43">
        <f t="shared" si="34"/>
        <v>6.2887399089154021</v>
      </c>
      <c r="M55" s="30"/>
      <c r="N55" s="44"/>
      <c r="O55" s="2">
        <f t="shared" si="36"/>
        <v>1.7788080512195512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1.9103356312849835</v>
      </c>
      <c r="O58" s="30">
        <f>Q50</f>
        <v>0.87890241280679327</v>
      </c>
    </row>
    <row r="59" spans="1:25" ht="15">
      <c r="D59"/>
      <c r="E59"/>
      <c r="G59"/>
      <c r="M59" s="2" t="s">
        <v>26</v>
      </c>
      <c r="N59" s="30">
        <f>P53</f>
        <v>2.3238325074846071</v>
      </c>
      <c r="O59" s="30">
        <f>Q53</f>
        <v>0.47693884849068263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0.73879523411117598</v>
      </c>
      <c r="C65" s="30">
        <f>N40</f>
        <v>0.24740564461325834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1.2688041217409605</v>
      </c>
      <c r="C66" s="30">
        <f>N50</f>
        <v>0.16573078840731947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2.6643973954412368</v>
      </c>
      <c r="C67" s="30">
        <f>N43</f>
        <v>0.77134259150163043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5.961622681979982</v>
      </c>
      <c r="C68" s="30">
        <f>N53</f>
        <v>0.63775776656177574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siMPHOSPH9</vt:lpstr>
      <vt:lpstr>siKCNK16</vt:lpstr>
      <vt:lpstr>siKCNK16!Zone_d_impression</vt:lpstr>
      <vt:lpstr>siMPHOSPH9!Zone_d_impression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2016-03-02T15:21:11Z</dcterms:modified>
</cp:coreProperties>
</file>