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/>
  </bookViews>
  <sheets>
    <sheet name="siNTP" sheetId="4" r:id="rId1"/>
    <sheet name="siMPHOSPH9" sheetId="10" r:id="rId2"/>
    <sheet name="siKCNK16" sheetId="11" r:id="rId3"/>
  </sheets>
  <externalReferences>
    <externalReference r:id="rId4"/>
  </externalReferences>
  <definedNames>
    <definedName name="_xlnm.Print_Area" localSheetId="2">siKCNK16!$A$1:$Q$83</definedName>
    <definedName name="_xlnm.Print_Area" localSheetId="1">siMPHOSPH9!$A$1:$Q$83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D55" i="10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B16" i="11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4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<sst xmlns="http://schemas.openxmlformats.org/spreadsheetml/2006/main" count="300" uniqueCount="44">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</sst>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-1.5228787452803376</c:v>
                </c:pt>
                <c:pt idx="1">
                  <c:v>-0.9244530386074693</c:v>
                </c:pt>
                <c:pt idx="2">
                  <c:v>-0.4788619162959637</c:v>
                </c:pt>
                <c:pt idx="3">
                  <c:v>5.3462604925455293E-2</c:v>
                </c:pt>
                <c:pt idx="4">
                  <c:v>0.33253944689011078</c:v>
                </c:pt>
              </c:numCache>
            </c:numRef>
          </c:yVal>
        </c:ser>
        <c:axId val="58783232"/>
        <c:axId val="58784768"/>
      </c:scatterChart>
      <c:valAx>
        <c:axId val="5878323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784768"/>
        <c:crosses val="autoZero"/>
        <c:crossBetween val="midCat"/>
      </c:valAx>
      <c:valAx>
        <c:axId val="587847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783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0.17095752091952762</c:v>
                  </c:pt>
                  <c:pt idx="1">
                    <c:v>0.13971418387653425</c:v>
                  </c:pt>
                  <c:pt idx="2">
                    <c:v>0.82451561929426587</c:v>
                  </c:pt>
                  <c:pt idx="3">
                    <c:v>0.65443726402575664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0.17095752091952762</c:v>
                  </c:pt>
                  <c:pt idx="1">
                    <c:v>0.13971418387653425</c:v>
                  </c:pt>
                  <c:pt idx="2">
                    <c:v>0.82451561929426587</c:v>
                  </c:pt>
                  <c:pt idx="3">
                    <c:v>0.65443726402575664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0.94960946915312494</c:v>
                </c:pt>
                <c:pt idx="1">
                  <c:v>1.4831892822644903</c:v>
                </c:pt>
                <c:pt idx="2">
                  <c:v>2.4179413038068875</c:v>
                </c:pt>
                <c:pt idx="3">
                  <c:v>4.0058335200281245</c:v>
                </c:pt>
              </c:numCache>
            </c:numRef>
          </c:val>
        </c:ser>
        <c:axId val="59058432"/>
        <c:axId val="59060224"/>
      </c:barChart>
      <c:catAx>
        <c:axId val="59058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60224"/>
        <c:crosses val="autoZero"/>
        <c:auto val="1"/>
        <c:lblAlgn val="ctr"/>
        <c:lblOffset val="100"/>
      </c:catAx>
      <c:valAx>
        <c:axId val="590602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58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0.21723826396963775</c:v>
                  </c:pt>
                  <c:pt idx="1">
                    <c:v>0.30328598984769056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0.21723826396963775</c:v>
                  </c:pt>
                  <c:pt idx="1">
                    <c:v>0.30328598984769056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1.5834208295672261</c:v>
                </c:pt>
                <c:pt idx="1">
                  <c:v>1.7248067793515203</c:v>
                </c:pt>
              </c:numCache>
            </c:numRef>
          </c:val>
        </c:ser>
        <c:axId val="59092992"/>
        <c:axId val="59094528"/>
      </c:barChart>
      <c:catAx>
        <c:axId val="5909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94528"/>
        <c:crosses val="autoZero"/>
        <c:auto val="1"/>
        <c:lblAlgn val="ctr"/>
        <c:lblOffset val="100"/>
      </c:catAx>
      <c:valAx>
        <c:axId val="590945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092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siMPHOSPH9!$G$9:$G$13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siMPHOSPH9!$H$9:$H$13</c:f>
              <c:numCache>
                <c:formatCode>0.00</c:formatCode>
                <c:ptCount val="5"/>
                <c:pt idx="0">
                  <c:v>-1.5228787452803376</c:v>
                </c:pt>
                <c:pt idx="1">
                  <c:v>-0.9244530386074693</c:v>
                </c:pt>
                <c:pt idx="2">
                  <c:v>-0.4788619162959637</c:v>
                </c:pt>
                <c:pt idx="3">
                  <c:v>5.3462604925455293E-2</c:v>
                </c:pt>
                <c:pt idx="4">
                  <c:v>0.33253944689011078</c:v>
                </c:pt>
              </c:numCache>
            </c:numRef>
          </c:yVal>
        </c:ser>
        <c:axId val="59193600"/>
        <c:axId val="59199488"/>
      </c:scatterChart>
      <c:valAx>
        <c:axId val="591936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199488"/>
        <c:crosses val="autoZero"/>
        <c:crossBetween val="midCat"/>
      </c:valAx>
      <c:valAx>
        <c:axId val="59199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9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siMPHOSPH9!$C$65:$C$68</c:f>
                <c:numCache>
                  <c:formatCode>General</c:formatCode>
                  <c:ptCount val="4"/>
                  <c:pt idx="0">
                    <c:v>0.36923965586074226</c:v>
                  </c:pt>
                  <c:pt idx="1">
                    <c:v>0.1734702928332631</c:v>
                  </c:pt>
                  <c:pt idx="2">
                    <c:v>0.44953828826282144</c:v>
                  </c:pt>
                  <c:pt idx="3">
                    <c:v>1.2983019290210911</c:v>
                  </c:pt>
                </c:numCache>
              </c:numRef>
            </c:plus>
            <c:minus>
              <c:numRef>
                <c:f>siMPHOSPH9!$C$65:$C$68</c:f>
                <c:numCache>
                  <c:formatCode>General</c:formatCode>
                  <c:ptCount val="4"/>
                  <c:pt idx="0">
                    <c:v>0.36923965586074226</c:v>
                  </c:pt>
                  <c:pt idx="1">
                    <c:v>0.1734702928332631</c:v>
                  </c:pt>
                  <c:pt idx="2">
                    <c:v>0.44953828826282144</c:v>
                  </c:pt>
                  <c:pt idx="3">
                    <c:v>1.2983019290210911</c:v>
                  </c:pt>
                </c:numCache>
              </c:numRef>
            </c:minus>
          </c:errBars>
          <c:cat>
            <c:strRef>
              <c:f>(siMPHOSPH9!$A$65,siMPHOSPH9!$A$66,siMPHOSPH9!$A$67,siMPHOSPH9!$A$68)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siMPHOSPH9!$B$65:$B$68</c:f>
              <c:numCache>
                <c:formatCode>0.0</c:formatCode>
                <c:ptCount val="4"/>
                <c:pt idx="0">
                  <c:v>0.98233058589155198</c:v>
                </c:pt>
                <c:pt idx="1">
                  <c:v>1.3713766476951266</c:v>
                </c:pt>
                <c:pt idx="2">
                  <c:v>2.0831478360174529</c:v>
                </c:pt>
                <c:pt idx="3">
                  <c:v>3.9699577140553206</c:v>
                </c:pt>
              </c:numCache>
            </c:numRef>
          </c:val>
        </c:ser>
        <c:axId val="59206656"/>
        <c:axId val="59208448"/>
      </c:barChart>
      <c:catAx>
        <c:axId val="59206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08448"/>
        <c:crosses val="autoZero"/>
        <c:auto val="1"/>
        <c:lblAlgn val="ctr"/>
        <c:lblOffset val="100"/>
      </c:catAx>
      <c:valAx>
        <c:axId val="592084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06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siMPHOSPH9!$O$58:$O$59</c:f>
                <c:numCache>
                  <c:formatCode>General</c:formatCode>
                  <c:ptCount val="2"/>
                  <c:pt idx="0">
                    <c:v>0.31417650659641877</c:v>
                  </c:pt>
                  <c:pt idx="1">
                    <c:v>0.25826451085549607</c:v>
                  </c:pt>
                </c:numCache>
              </c:numRef>
            </c:plus>
            <c:minus>
              <c:numRef>
                <c:f>siMPHOSPH9!$O$58:$O$59</c:f>
                <c:numCache>
                  <c:formatCode>General</c:formatCode>
                  <c:ptCount val="2"/>
                  <c:pt idx="0">
                    <c:v>0.31417650659641877</c:v>
                  </c:pt>
                  <c:pt idx="1">
                    <c:v>0.25826451085549607</c:v>
                  </c:pt>
                </c:numCache>
              </c:numRef>
            </c:minus>
          </c:errBars>
          <c:cat>
            <c:strRef>
              <c:f>siMPHOSPH9!$M$58:$M$59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siMPHOSPH9!$N$58:$N$59</c:f>
              <c:numCache>
                <c:formatCode>0.0</c:formatCode>
                <c:ptCount val="2"/>
                <c:pt idx="0">
                  <c:v>1.4747020205635231</c:v>
                </c:pt>
                <c:pt idx="1">
                  <c:v>1.8789946024086046</c:v>
                </c:pt>
              </c:numCache>
            </c:numRef>
          </c:val>
        </c:ser>
        <c:axId val="59253504"/>
        <c:axId val="59255040"/>
      </c:barChart>
      <c:catAx>
        <c:axId val="5925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55040"/>
        <c:crosses val="autoZero"/>
        <c:auto val="1"/>
        <c:lblAlgn val="ctr"/>
        <c:lblOffset val="100"/>
      </c:catAx>
      <c:valAx>
        <c:axId val="592550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53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-1.5228787452803376</c:v>
                </c:pt>
                <c:pt idx="1">
                  <c:v>-0.9244530386074693</c:v>
                </c:pt>
                <c:pt idx="2">
                  <c:v>-0.4788619162959637</c:v>
                </c:pt>
                <c:pt idx="3">
                  <c:v>5.3462604925455293E-2</c:v>
                </c:pt>
                <c:pt idx="4">
                  <c:v>0.33253944689011078</c:v>
                </c:pt>
              </c:numCache>
            </c:numRef>
          </c:yVal>
        </c:ser>
        <c:axId val="59304960"/>
        <c:axId val="59306752"/>
      </c:scatterChart>
      <c:valAx>
        <c:axId val="5930496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306752"/>
        <c:crosses val="autoZero"/>
        <c:crossBetween val="midCat"/>
      </c:valAx>
      <c:valAx>
        <c:axId val="59306752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304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0.11013713128298511</c:v>
                  </c:pt>
                  <c:pt idx="1">
                    <c:v>7.355294473408075E-2</c:v>
                  </c:pt>
                  <c:pt idx="2">
                    <c:v>0.19588659871541808</c:v>
                  </c:pt>
                  <c:pt idx="3">
                    <c:v>0.46004722638508161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0.11013713128298511</c:v>
                  </c:pt>
                  <c:pt idx="1">
                    <c:v>7.355294473408075E-2</c:v>
                  </c:pt>
                  <c:pt idx="2">
                    <c:v>0.19588659871541808</c:v>
                  </c:pt>
                  <c:pt idx="3">
                    <c:v>0.46004722638508161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0.99663299621709023</c:v>
                </c:pt>
                <c:pt idx="1">
                  <c:v>1.5049286393268027</c:v>
                </c:pt>
                <c:pt idx="2">
                  <c:v>1.8172319723439483</c:v>
                </c:pt>
                <c:pt idx="3">
                  <c:v>4.2960266375499927</c:v>
                </c:pt>
              </c:numCache>
            </c:numRef>
          </c:val>
        </c:ser>
        <c:axId val="59392000"/>
        <c:axId val="59393536"/>
      </c:barChart>
      <c:catAx>
        <c:axId val="59392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393536"/>
        <c:crosses val="autoZero"/>
        <c:auto val="1"/>
        <c:lblAlgn val="ctr"/>
        <c:lblOffset val="100"/>
      </c:catAx>
      <c:valAx>
        <c:axId val="593935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392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0.15904251093117261</c:v>
                  </c:pt>
                  <c:pt idx="1">
                    <c:v>0.34133753941746603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0.15904251093117261</c:v>
                  </c:pt>
                  <c:pt idx="1">
                    <c:v>0.34133753941746603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1.5208589576946832</c:v>
                </c:pt>
                <c:pt idx="1">
                  <c:v>2.3793672513940733</c:v>
                </c:pt>
              </c:numCache>
            </c:numRef>
          </c:val>
        </c:ser>
        <c:axId val="59422208"/>
        <c:axId val="59423744"/>
      </c:barChart>
      <c:catAx>
        <c:axId val="59422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423744"/>
        <c:crosses val="autoZero"/>
        <c:auto val="1"/>
        <c:lblAlgn val="ctr"/>
        <c:lblOffset val="100"/>
      </c:catAx>
      <c:valAx>
        <c:axId val="594237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4222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C3" sqref="C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42297</v>
      </c>
    </row>
    <row r="2" spans="1:20">
      <c r="A2" s="1" t="s">
        <v>1</v>
      </c>
      <c r="B2" s="2">
        <v>94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6">
        <v>250168</v>
      </c>
      <c r="F3" s="66">
        <v>224184</v>
      </c>
    </row>
    <row r="4" spans="1:20" ht="15">
      <c r="D4" s="10" t="s">
        <v>42</v>
      </c>
      <c r="E4" s="66">
        <v>329768</v>
      </c>
      <c r="F4" s="66">
        <v>334288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5">
        <v>5.5E-2</v>
      </c>
      <c r="D8" s="65">
        <v>6.9000000000000006E-2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5">
        <v>8.7999999999999995E-2</v>
      </c>
      <c r="D9" s="65">
        <v>9.6000000000000002E-2</v>
      </c>
      <c r="E9" s="11">
        <f t="shared" si="0"/>
        <v>9.1999999999999998E-2</v>
      </c>
      <c r="F9" s="12">
        <f>(E9-$E$8)</f>
        <v>0.03</v>
      </c>
      <c r="G9" s="12">
        <f>LOG(B9)</f>
        <v>-0.85930071603316016</v>
      </c>
      <c r="H9" s="12">
        <f>LOG(F9)</f>
        <v>-1.5228787452803376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5">
        <v>0.182</v>
      </c>
      <c r="D10" s="65">
        <v>0.18</v>
      </c>
      <c r="E10" s="11">
        <f t="shared" si="0"/>
        <v>0.18099999999999999</v>
      </c>
      <c r="F10" s="12">
        <f>(E10-$E$8)</f>
        <v>0.11899999999999999</v>
      </c>
      <c r="G10" s="12">
        <f>LOG(B10)</f>
        <v>-0.34053853694765485</v>
      </c>
      <c r="H10" s="12">
        <f>LOG(F10)</f>
        <v>-0.9244530386074693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5">
        <v>0.39500000000000002</v>
      </c>
      <c r="D11" s="65">
        <v>0.39300000000000002</v>
      </c>
      <c r="E11" s="11">
        <f t="shared" si="0"/>
        <v>0.39400000000000002</v>
      </c>
      <c r="F11" s="12">
        <f>(E11-$E$8)</f>
        <v>0.33200000000000002</v>
      </c>
      <c r="G11" s="12">
        <f>LOG(B11)</f>
        <v>0.13103255300924463</v>
      </c>
      <c r="H11" s="12">
        <f>LOG(F11)</f>
        <v>-0.4788619162959637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5">
        <v>1.1870000000000001</v>
      </c>
      <c r="D12" s="65">
        <v>1.1990000000000001</v>
      </c>
      <c r="E12" s="11">
        <f t="shared" si="0"/>
        <v>1.1930000000000001</v>
      </c>
      <c r="F12" s="12">
        <f>(E12-$E$8)</f>
        <v>1.131</v>
      </c>
      <c r="G12" s="12">
        <f>LOG(B12)</f>
        <v>0.65110938868757939</v>
      </c>
      <c r="H12" s="12">
        <f>LOG(F12)</f>
        <v>5.3462604925455293E-2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5">
        <v>2.2570000000000001</v>
      </c>
      <c r="D13" s="65">
        <v>2.1680000000000001</v>
      </c>
      <c r="E13" s="11">
        <f t="shared" si="0"/>
        <v>2.2125000000000004</v>
      </c>
      <c r="F13" s="12">
        <f>(E13-$E$8)</f>
        <v>2.1505000000000005</v>
      </c>
      <c r="G13" s="12">
        <f>LOG(B13)</f>
        <v>0.96868593733159802</v>
      </c>
      <c r="H13" s="12">
        <f>LOG(F13)</f>
        <v>0.33253944689011078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1.0112391262820195</v>
      </c>
      <c r="N15"/>
    </row>
    <row r="16" spans="1:20" ht="15">
      <c r="A16" s="5" t="s">
        <v>11</v>
      </c>
      <c r="B16" s="11">
        <f>INTERCEPT(H9:H13,G9:G13)</f>
        <v>-0.61947458103278341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7">
        <v>0.74199999999999999</v>
      </c>
      <c r="C22" s="67">
        <v>0.80500000000000005</v>
      </c>
      <c r="D22" s="27">
        <f t="shared" ref="D22:D27" si="2">AVERAGE(B22:C22)</f>
        <v>0.77350000000000008</v>
      </c>
      <c r="E22" s="27">
        <f t="shared" ref="E22:E27" si="3">D22-E$8</f>
        <v>0.71150000000000002</v>
      </c>
      <c r="F22" s="27">
        <f>LOG(E22)</f>
        <v>-0.14782509557969686</v>
      </c>
      <c r="G22" s="28">
        <f>(F22-$B$16)/$B$15</f>
        <v>0.46640747296554913</v>
      </c>
      <c r="H22" s="28">
        <f>10^G22</f>
        <v>2.9268972254730983</v>
      </c>
      <c r="I22" s="29">
        <v>500</v>
      </c>
      <c r="J22" s="30">
        <f>(H22*I22)</f>
        <v>1463.4486127365492</v>
      </c>
      <c r="K22" s="31">
        <f>(0.05*J22/1000)*1000</f>
        <v>73.172430636827457</v>
      </c>
      <c r="L22" s="32">
        <f>K22+K40+K50</f>
        <v>75.008392686176038</v>
      </c>
      <c r="M22" s="33">
        <f>(L22*1000000/50000)/1000</f>
        <v>1.5001678537235208</v>
      </c>
      <c r="N22" s="34"/>
    </row>
    <row r="23" spans="1:17" ht="15">
      <c r="B23" s="67">
        <v>0.626</v>
      </c>
      <c r="C23" s="67">
        <v>0.64700000000000002</v>
      </c>
      <c r="D23" s="27">
        <f t="shared" si="2"/>
        <v>0.63650000000000007</v>
      </c>
      <c r="E23" s="27">
        <f t="shared" si="3"/>
        <v>0.57450000000000001</v>
      </c>
      <c r="F23" s="27">
        <f t="shared" ref="F23:F27" si="4">LOG(E23)</f>
        <v>-0.24070996697569602</v>
      </c>
      <c r="G23" s="28">
        <f t="shared" ref="G23:G27" si="5">(F23-$B$16)/$B$15</f>
        <v>0.37455494374478504</v>
      </c>
      <c r="H23" s="28">
        <f t="shared" ref="H23:H27" si="6">10^G23</f>
        <v>2.3689448143076279</v>
      </c>
      <c r="I23" s="29">
        <v>500</v>
      </c>
      <c r="J23" s="30">
        <f t="shared" ref="J23:J27" si="7">(H23*I23)</f>
        <v>1184.4724071538139</v>
      </c>
      <c r="K23" s="31">
        <f t="shared" ref="K23:K27" si="8">(0.05*J23/1000)*1000</f>
        <v>59.223620357690699</v>
      </c>
      <c r="L23" s="32">
        <f>K23+K41+K51</f>
        <v>60.851244614940619</v>
      </c>
      <c r="M23" s="33">
        <f t="shared" ref="M23:M27" si="9">(L23*1000000/50000)/1000</f>
        <v>1.2170248922988123</v>
      </c>
      <c r="N23" s="34"/>
    </row>
    <row r="24" spans="1:17" ht="15">
      <c r="B24" s="67">
        <v>0.78800000000000003</v>
      </c>
      <c r="C24" s="67">
        <v>0.81799999999999995</v>
      </c>
      <c r="D24" s="27">
        <f t="shared" si="2"/>
        <v>0.80299999999999994</v>
      </c>
      <c r="E24" s="27">
        <f t="shared" si="3"/>
        <v>0.74099999999999988</v>
      </c>
      <c r="F24" s="27">
        <f t="shared" si="4"/>
        <v>-0.1301817920206719</v>
      </c>
      <c r="G24" s="28">
        <f t="shared" si="5"/>
        <v>0.48385468510407997</v>
      </c>
      <c r="H24" s="28">
        <f t="shared" si="6"/>
        <v>3.0468753348269253</v>
      </c>
      <c r="I24" s="29">
        <v>500</v>
      </c>
      <c r="J24" s="30">
        <f t="shared" si="7"/>
        <v>1523.4376674134626</v>
      </c>
      <c r="K24" s="31">
        <f t="shared" si="8"/>
        <v>76.171883370673129</v>
      </c>
      <c r="L24" s="32">
        <f t="shared" ref="L24:L27" si="10">K24+K42+K52</f>
        <v>77.832389189253306</v>
      </c>
      <c r="M24" s="33">
        <f t="shared" si="9"/>
        <v>1.5566477837850659</v>
      </c>
      <c r="N24" s="34"/>
    </row>
    <row r="25" spans="1:17" ht="15">
      <c r="A25" s="1" t="s">
        <v>26</v>
      </c>
      <c r="B25" s="67">
        <v>0.64300000000000002</v>
      </c>
      <c r="C25" s="67">
        <v>0.66800000000000004</v>
      </c>
      <c r="D25" s="27">
        <f t="shared" si="2"/>
        <v>0.65549999999999997</v>
      </c>
      <c r="E25" s="27">
        <f t="shared" si="3"/>
        <v>0.59349999999999992</v>
      </c>
      <c r="F25" s="27">
        <f t="shared" si="4"/>
        <v>-0.22657927670939004</v>
      </c>
      <c r="G25" s="28">
        <f t="shared" si="5"/>
        <v>0.38852858252027395</v>
      </c>
      <c r="H25" s="28">
        <f t="shared" si="6"/>
        <v>2.4464062777655617</v>
      </c>
      <c r="I25" s="29">
        <v>500</v>
      </c>
      <c r="J25" s="30">
        <f t="shared" si="7"/>
        <v>1223.2031388827809</v>
      </c>
      <c r="K25" s="31">
        <f t="shared" si="8"/>
        <v>61.160156944139047</v>
      </c>
      <c r="L25" s="32">
        <f t="shared" si="10"/>
        <v>65.293329413090419</v>
      </c>
      <c r="M25" s="33">
        <f t="shared" si="9"/>
        <v>1.3058665882618083</v>
      </c>
      <c r="N25" s="34"/>
    </row>
    <row r="26" spans="1:17" ht="15">
      <c r="B26" s="67">
        <v>0.61899999999999999</v>
      </c>
      <c r="C26" s="67">
        <v>0.63900000000000001</v>
      </c>
      <c r="D26" s="27">
        <f t="shared" si="2"/>
        <v>0.629</v>
      </c>
      <c r="E26" s="27">
        <f t="shared" si="3"/>
        <v>0.56699999999999995</v>
      </c>
      <c r="F26" s="27">
        <f t="shared" si="4"/>
        <v>-0.24641694110709347</v>
      </c>
      <c r="G26" s="28">
        <f t="shared" si="5"/>
        <v>0.36891139813517237</v>
      </c>
      <c r="H26" s="28">
        <f t="shared" si="6"/>
        <v>2.3383601333481465</v>
      </c>
      <c r="I26" s="29">
        <v>500</v>
      </c>
      <c r="J26" s="30">
        <f t="shared" si="7"/>
        <v>1169.1800666740733</v>
      </c>
      <c r="K26" s="31">
        <f t="shared" si="8"/>
        <v>58.459003333703663</v>
      </c>
      <c r="L26" s="32">
        <f t="shared" si="10"/>
        <v>63.354741995116612</v>
      </c>
      <c r="M26" s="33">
        <f t="shared" si="9"/>
        <v>1.2670948399023323</v>
      </c>
      <c r="N26" s="34"/>
    </row>
    <row r="27" spans="1:17" ht="15">
      <c r="B27" s="67">
        <v>0.76900000000000002</v>
      </c>
      <c r="C27" s="67">
        <v>0.82199999999999995</v>
      </c>
      <c r="D27" s="27">
        <f t="shared" si="2"/>
        <v>0.79549999999999998</v>
      </c>
      <c r="E27" s="27">
        <f t="shared" si="3"/>
        <v>0.73350000000000004</v>
      </c>
      <c r="F27" s="27">
        <f t="shared" si="4"/>
        <v>-0.13459988182069849</v>
      </c>
      <c r="G27" s="28">
        <f t="shared" si="5"/>
        <v>0.47948569889181741</v>
      </c>
      <c r="H27" s="28">
        <f t="shared" si="6"/>
        <v>3.0163775436666205</v>
      </c>
      <c r="I27" s="29">
        <v>500</v>
      </c>
      <c r="J27" s="30">
        <f t="shared" si="7"/>
        <v>1508.1887718333103</v>
      </c>
      <c r="K27" s="31">
        <f t="shared" si="8"/>
        <v>75.40943859166552</v>
      </c>
      <c r="L27" s="32">
        <f t="shared" si="10"/>
        <v>79.305721105222119</v>
      </c>
      <c r="M27" s="33">
        <f t="shared" si="9"/>
        <v>1.5861144221044423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7">
        <v>0.74199999999999999</v>
      </c>
      <c r="C31" s="67">
        <v>0.80500000000000005</v>
      </c>
      <c r="D31" s="27">
        <f t="shared" ref="D31:D36" si="11">AVERAGE(B31:C31)</f>
        <v>0.77350000000000008</v>
      </c>
      <c r="E31" s="27">
        <f t="shared" ref="E31:E36" si="12">D31-E$8</f>
        <v>0.71150000000000002</v>
      </c>
      <c r="F31" s="27">
        <f>LOG(E31)</f>
        <v>-0.14782509557969686</v>
      </c>
      <c r="G31" s="28">
        <f>(F31-$B$16)/$B$15</f>
        <v>0.46640747296554913</v>
      </c>
      <c r="H31" s="28">
        <f>10^G31</f>
        <v>2.9268972254730983</v>
      </c>
      <c r="I31" s="29">
        <v>500</v>
      </c>
      <c r="J31" s="30">
        <f>(H31*I31)</f>
        <v>1463.4486127365492</v>
      </c>
      <c r="K31" s="31">
        <f>(0.05*J31/1000)*1000</f>
        <v>73.172430636827457</v>
      </c>
      <c r="L31" s="32">
        <f>K31+K50</f>
        <v>74.345668248074873</v>
      </c>
      <c r="M31" s="33">
        <f>(L31*1000000/50000)/1000</f>
        <v>1.4869133649614976</v>
      </c>
      <c r="N31" s="35"/>
      <c r="Q31"/>
    </row>
    <row r="32" spans="1:17" ht="15">
      <c r="B32" s="67">
        <v>0.626</v>
      </c>
      <c r="C32" s="67">
        <v>0.64700000000000002</v>
      </c>
      <c r="D32" s="27">
        <f t="shared" si="11"/>
        <v>0.63650000000000007</v>
      </c>
      <c r="E32" s="27">
        <f t="shared" si="12"/>
        <v>0.57450000000000001</v>
      </c>
      <c r="F32" s="27">
        <f t="shared" ref="F32:F36" si="13">LOG(E32)</f>
        <v>-0.24070996697569602</v>
      </c>
      <c r="G32" s="28">
        <f t="shared" ref="G32:G36" si="14">(F32-$B$16)/$B$15</f>
        <v>0.37455494374478504</v>
      </c>
      <c r="H32" s="28">
        <f t="shared" ref="H32:H36" si="15">10^G32</f>
        <v>2.3689448143076279</v>
      </c>
      <c r="I32" s="29">
        <v>500</v>
      </c>
      <c r="J32" s="30">
        <f t="shared" ref="J32:J36" si="16">(H32*I32)</f>
        <v>1184.4724071538139</v>
      </c>
      <c r="K32" s="31">
        <f t="shared" ref="K32:K36" si="17">(0.05*J32/1000)*1000</f>
        <v>59.223620357690699</v>
      </c>
      <c r="L32" s="32">
        <f>K32+K51</f>
        <v>60.155262461378193</v>
      </c>
      <c r="M32" s="33">
        <f t="shared" ref="M32:M36" si="18">(L32*1000000/50000)/1000</f>
        <v>1.203105249227564</v>
      </c>
      <c r="N32" s="36"/>
      <c r="Q32"/>
    </row>
    <row r="33" spans="1:21" ht="15">
      <c r="B33" s="67">
        <v>0.78800000000000003</v>
      </c>
      <c r="C33" s="67">
        <v>0.81799999999999995</v>
      </c>
      <c r="D33" s="27">
        <f t="shared" si="11"/>
        <v>0.80299999999999994</v>
      </c>
      <c r="E33" s="27">
        <f t="shared" si="12"/>
        <v>0.74099999999999988</v>
      </c>
      <c r="F33" s="27">
        <f t="shared" si="13"/>
        <v>-0.1301817920206719</v>
      </c>
      <c r="G33" s="28">
        <f t="shared" si="14"/>
        <v>0.48385468510407997</v>
      </c>
      <c r="H33" s="28">
        <f t="shared" si="15"/>
        <v>3.0468753348269253</v>
      </c>
      <c r="I33" s="29">
        <v>500</v>
      </c>
      <c r="J33" s="30">
        <f t="shared" si="16"/>
        <v>1523.4376674134626</v>
      </c>
      <c r="K33" s="31">
        <f t="shared" si="17"/>
        <v>76.171883370673129</v>
      </c>
      <c r="L33" s="32">
        <f t="shared" ref="L33:L36" si="19">K33+K52</f>
        <v>77.192956265597033</v>
      </c>
      <c r="M33" s="33">
        <f t="shared" si="18"/>
        <v>1.5438591253119407</v>
      </c>
      <c r="N33" s="36"/>
      <c r="Q33"/>
      <c r="R33"/>
      <c r="S33"/>
    </row>
    <row r="34" spans="1:21" ht="15">
      <c r="A34" s="1" t="s">
        <v>26</v>
      </c>
      <c r="B34" s="67">
        <v>0.64300000000000002</v>
      </c>
      <c r="C34" s="67">
        <v>0.66800000000000004</v>
      </c>
      <c r="D34" s="27">
        <f t="shared" si="11"/>
        <v>0.65549999999999997</v>
      </c>
      <c r="E34" s="27">
        <f t="shared" si="12"/>
        <v>0.59349999999999992</v>
      </c>
      <c r="F34" s="27">
        <f t="shared" si="13"/>
        <v>-0.22657927670939004</v>
      </c>
      <c r="G34" s="28">
        <f t="shared" si="14"/>
        <v>0.38852858252027395</v>
      </c>
      <c r="H34" s="28">
        <f t="shared" si="15"/>
        <v>2.4464062777655617</v>
      </c>
      <c r="I34" s="29">
        <v>500</v>
      </c>
      <c r="J34" s="30">
        <f t="shared" si="16"/>
        <v>1223.2031388827809</v>
      </c>
      <c r="K34" s="31">
        <f t="shared" si="17"/>
        <v>61.160156944139047</v>
      </c>
      <c r="L34" s="32">
        <f t="shared" si="19"/>
        <v>63.813105765980652</v>
      </c>
      <c r="M34" s="33">
        <f t="shared" si="18"/>
        <v>1.276262115319613</v>
      </c>
      <c r="N34" s="36"/>
      <c r="Q34"/>
      <c r="R34"/>
      <c r="S34"/>
    </row>
    <row r="35" spans="1:21" ht="15">
      <c r="B35" s="67">
        <v>0.61899999999999999</v>
      </c>
      <c r="C35" s="67">
        <v>0.63900000000000001</v>
      </c>
      <c r="D35" s="27">
        <f t="shared" si="11"/>
        <v>0.629</v>
      </c>
      <c r="E35" s="27">
        <f t="shared" si="12"/>
        <v>0.56699999999999995</v>
      </c>
      <c r="F35" s="27">
        <f t="shared" si="13"/>
        <v>-0.24641694110709347</v>
      </c>
      <c r="G35" s="28">
        <f t="shared" si="14"/>
        <v>0.36891139813517237</v>
      </c>
      <c r="H35" s="28">
        <f t="shared" si="15"/>
        <v>2.3383601333481465</v>
      </c>
      <c r="I35" s="29">
        <v>500</v>
      </c>
      <c r="J35" s="30">
        <f t="shared" si="16"/>
        <v>1169.1800666740733</v>
      </c>
      <c r="K35" s="31">
        <f t="shared" si="17"/>
        <v>58.459003333703663</v>
      </c>
      <c r="L35" s="32">
        <f t="shared" si="19"/>
        <v>61.259292573113314</v>
      </c>
      <c r="M35" s="33">
        <f t="shared" si="18"/>
        <v>1.2251858514622662</v>
      </c>
      <c r="N35" s="36"/>
      <c r="Q35"/>
      <c r="R35"/>
      <c r="S35"/>
    </row>
    <row r="36" spans="1:21" ht="15">
      <c r="B36" s="67">
        <v>0.76900000000000002</v>
      </c>
      <c r="C36" s="67">
        <v>0.82199999999999995</v>
      </c>
      <c r="D36" s="27">
        <f t="shared" si="11"/>
        <v>0.79549999999999998</v>
      </c>
      <c r="E36" s="27">
        <f t="shared" si="12"/>
        <v>0.73350000000000004</v>
      </c>
      <c r="F36" s="27">
        <f t="shared" si="13"/>
        <v>-0.13459988182069849</v>
      </c>
      <c r="G36" s="28">
        <f t="shared" si="14"/>
        <v>0.47948569889181741</v>
      </c>
      <c r="H36" s="28">
        <f t="shared" si="15"/>
        <v>3.0163775436666205</v>
      </c>
      <c r="I36" s="29">
        <v>500</v>
      </c>
      <c r="J36" s="30">
        <f t="shared" si="16"/>
        <v>1508.1887718333103</v>
      </c>
      <c r="K36" s="31">
        <f t="shared" si="17"/>
        <v>75.40943859166552</v>
      </c>
      <c r="L36" s="32">
        <f t="shared" si="19"/>
        <v>77.973939307186797</v>
      </c>
      <c r="M36" s="33">
        <f t="shared" si="18"/>
        <v>1.559478786143736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7">
        <v>0.153</v>
      </c>
      <c r="C40" s="67">
        <v>0.16800000000000001</v>
      </c>
      <c r="D40" s="27">
        <f t="shared" ref="D40:D45" si="20">AVERAGE(B40,C40)</f>
        <v>0.1605</v>
      </c>
      <c r="E40" s="27">
        <f t="shared" ref="E40:E45" si="21">D40-E$8</f>
        <v>9.8500000000000004E-2</v>
      </c>
      <c r="F40" s="27">
        <f t="shared" ref="F40:F45" si="22">LOG(E40)</f>
        <v>-1.0065637695023884</v>
      </c>
      <c r="G40" s="28">
        <f t="shared" ref="G40:G45" si="23">(F40-$B$16)/$B$15</f>
        <v>-0.38278699707041552</v>
      </c>
      <c r="H40" s="27">
        <f t="shared" ref="H40:H45" si="24">10^G40</f>
        <v>0.41420277381322723</v>
      </c>
      <c r="I40" s="41">
        <v>16</v>
      </c>
      <c r="J40" s="42">
        <f t="shared" ref="J40:J45" si="25">H40*I40</f>
        <v>6.6272443810116357</v>
      </c>
      <c r="K40" s="30">
        <f>(0.1*J40/1000)*1000</f>
        <v>0.66272443810116366</v>
      </c>
      <c r="L40" s="43">
        <f>K40*100/L22</f>
        <v>0.88353371451899287</v>
      </c>
      <c r="M40" s="30">
        <f>AVERAGE(L40:L42)</f>
        <v>0.94960946915312494</v>
      </c>
      <c r="N40" s="44">
        <f>STDEV(L40:L42)</f>
        <v>0.17095752091952762</v>
      </c>
      <c r="R40"/>
      <c r="S40"/>
      <c r="T40"/>
      <c r="U40"/>
    </row>
    <row r="41" spans="1:21" ht="15">
      <c r="B41" s="67">
        <v>0.159</v>
      </c>
      <c r="C41" s="67">
        <v>0.17199999999999999</v>
      </c>
      <c r="D41" s="27">
        <f t="shared" si="20"/>
        <v>0.16549999999999998</v>
      </c>
      <c r="E41" s="27">
        <f t="shared" si="21"/>
        <v>0.10349999999999998</v>
      </c>
      <c r="F41" s="27">
        <f t="shared" si="22"/>
        <v>-0.98505965020706354</v>
      </c>
      <c r="G41" s="28">
        <f t="shared" si="23"/>
        <v>-0.36152187912112482</v>
      </c>
      <c r="H41" s="27">
        <f t="shared" si="24"/>
        <v>0.43498884597651571</v>
      </c>
      <c r="I41" s="41">
        <v>16</v>
      </c>
      <c r="J41" s="42">
        <f t="shared" si="25"/>
        <v>6.9598215356242514</v>
      </c>
      <c r="K41" s="30">
        <f t="shared" ref="K41:K45" si="26">(0.1*J41/1000)*1000</f>
        <v>0.69598215356242521</v>
      </c>
      <c r="L41" s="43">
        <f t="shared" ref="L41:L45" si="27">K41*100/L23</f>
        <v>1.1437434977156455</v>
      </c>
      <c r="M41" s="30"/>
      <c r="N41" s="44"/>
      <c r="R41"/>
      <c r="S41"/>
      <c r="T41"/>
      <c r="U41"/>
    </row>
    <row r="42" spans="1:21" s="17" customFormat="1" ht="15">
      <c r="A42" s="1"/>
      <c r="B42" s="67">
        <v>0.153</v>
      </c>
      <c r="C42" s="67">
        <v>0.161</v>
      </c>
      <c r="D42" s="27">
        <f t="shared" si="20"/>
        <v>0.157</v>
      </c>
      <c r="E42" s="27">
        <f t="shared" si="21"/>
        <v>9.5000000000000001E-2</v>
      </c>
      <c r="F42" s="27">
        <f t="shared" si="22"/>
        <v>-1.0222763947111522</v>
      </c>
      <c r="G42" s="28">
        <f t="shared" si="23"/>
        <v>-0.39832498882765077</v>
      </c>
      <c r="H42" s="27">
        <f t="shared" si="24"/>
        <v>0.3996455772851743</v>
      </c>
      <c r="I42" s="41">
        <v>16</v>
      </c>
      <c r="J42" s="42">
        <f t="shared" si="25"/>
        <v>6.3943292365627888</v>
      </c>
      <c r="K42" s="30">
        <f t="shared" si="26"/>
        <v>0.63943292365627891</v>
      </c>
      <c r="L42" s="43">
        <f t="shared" si="27"/>
        <v>0.82155119522473619</v>
      </c>
      <c r="M42" s="30"/>
      <c r="N42" s="44"/>
      <c r="R42"/>
      <c r="S42"/>
      <c r="T42"/>
      <c r="U42"/>
    </row>
    <row r="43" spans="1:21" ht="15">
      <c r="A43" s="1" t="s">
        <v>34</v>
      </c>
      <c r="B43" s="67">
        <v>0.26800000000000002</v>
      </c>
      <c r="C43" s="67">
        <v>0.3</v>
      </c>
      <c r="D43" s="27">
        <f t="shared" si="20"/>
        <v>0.28400000000000003</v>
      </c>
      <c r="E43" s="27">
        <f t="shared" si="21"/>
        <v>0.22200000000000003</v>
      </c>
      <c r="F43" s="27">
        <f t="shared" si="22"/>
        <v>-0.65364702554936127</v>
      </c>
      <c r="G43" s="28">
        <f t="shared" si="23"/>
        <v>-3.3792644715220081E-2</v>
      </c>
      <c r="H43" s="27">
        <f t="shared" si="24"/>
        <v>0.92513977944360737</v>
      </c>
      <c r="I43" s="41">
        <v>16</v>
      </c>
      <c r="J43" s="42">
        <f t="shared" si="25"/>
        <v>14.802236471097718</v>
      </c>
      <c r="K43" s="30">
        <f t="shared" si="26"/>
        <v>1.4802236471097718</v>
      </c>
      <c r="L43" s="43">
        <f t="shared" si="27"/>
        <v>2.2670365570498956</v>
      </c>
      <c r="M43" s="30">
        <f>AVERAGE(L43:L45)</f>
        <v>2.4179413038068875</v>
      </c>
      <c r="N43" s="44">
        <f>STDEV(L43:L45)</f>
        <v>0.82451561929426587</v>
      </c>
      <c r="R43"/>
      <c r="S43"/>
      <c r="T43"/>
      <c r="U43"/>
    </row>
    <row r="44" spans="1:21" ht="15">
      <c r="A44" s="45"/>
      <c r="B44" s="67">
        <v>0.36099999999999999</v>
      </c>
      <c r="C44" s="67">
        <v>0.39400000000000002</v>
      </c>
      <c r="D44" s="27">
        <f t="shared" si="20"/>
        <v>0.3775</v>
      </c>
      <c r="E44" s="27">
        <f t="shared" si="21"/>
        <v>0.3155</v>
      </c>
      <c r="F44" s="27">
        <f t="shared" si="22"/>
        <v>-0.50100063641984682</v>
      </c>
      <c r="G44" s="28">
        <f t="shared" si="23"/>
        <v>0.11715720004676319</v>
      </c>
      <c r="H44" s="27">
        <f t="shared" si="24"/>
        <v>1.3096558887520613</v>
      </c>
      <c r="I44" s="41">
        <v>16</v>
      </c>
      <c r="J44" s="42">
        <f t="shared" si="25"/>
        <v>20.954494220032981</v>
      </c>
      <c r="K44" s="30">
        <f t="shared" si="26"/>
        <v>2.095449422003298</v>
      </c>
      <c r="L44" s="43">
        <f t="shared" si="27"/>
        <v>3.3074863159648178</v>
      </c>
      <c r="M44" s="30"/>
      <c r="N44" s="44"/>
      <c r="R44"/>
      <c r="S44"/>
      <c r="T44"/>
      <c r="U44"/>
    </row>
    <row r="45" spans="1:21" ht="15">
      <c r="A45" s="46"/>
      <c r="B45" s="67">
        <v>0.26</v>
      </c>
      <c r="C45" s="67">
        <v>0.26300000000000001</v>
      </c>
      <c r="D45" s="27">
        <f t="shared" si="20"/>
        <v>0.26150000000000001</v>
      </c>
      <c r="E45" s="27">
        <f t="shared" si="21"/>
        <v>0.19950000000000001</v>
      </c>
      <c r="F45" s="27">
        <f t="shared" si="22"/>
        <v>-0.70005709997723298</v>
      </c>
      <c r="G45" s="28">
        <f t="shared" si="23"/>
        <v>-7.9686907725499051E-2</v>
      </c>
      <c r="H45" s="27">
        <f t="shared" si="24"/>
        <v>0.83236362377207551</v>
      </c>
      <c r="I45" s="41">
        <v>16</v>
      </c>
      <c r="J45" s="42">
        <f t="shared" si="25"/>
        <v>13.317817980353208</v>
      </c>
      <c r="K45" s="30">
        <f t="shared" si="26"/>
        <v>1.3317817980353208</v>
      </c>
      <c r="L45" s="43">
        <f t="shared" si="27"/>
        <v>1.679301038405949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4">
        <v>0.23100000000000001</v>
      </c>
      <c r="C50" s="64">
        <v>0.24399999999999999</v>
      </c>
      <c r="D50" s="27">
        <f t="shared" ref="D50:D52" si="28">AVERAGE(B50,C50)</f>
        <v>0.23749999999999999</v>
      </c>
      <c r="E50" s="27">
        <f t="shared" ref="E50:E55" si="29">D50-E$8</f>
        <v>0.17549999999999999</v>
      </c>
      <c r="F50" s="27">
        <f t="shared" ref="F50:F55" si="30">LOG(E50)</f>
        <v>-0.75572287919815717</v>
      </c>
      <c r="G50" s="28">
        <f t="shared" ref="G50:G55" si="31">(F50-$B$16)/$B$15</f>
        <v>-0.13473400566126448</v>
      </c>
      <c r="H50" s="27">
        <f t="shared" ref="H50:H55" si="32">10^G50</f>
        <v>0.73327350702963401</v>
      </c>
      <c r="I50" s="41">
        <v>16</v>
      </c>
      <c r="J50" s="42">
        <f t="shared" ref="J50:J55" si="33">H50*I50</f>
        <v>11.732376112474144</v>
      </c>
      <c r="K50" s="30">
        <f>(0.1*J50/1000)*1000</f>
        <v>1.1732376112474145</v>
      </c>
      <c r="L50" s="43">
        <f t="shared" ref="L50:L55" si="34">K50*100/L31</f>
        <v>1.5780846939630468</v>
      </c>
      <c r="M50" s="30">
        <f>AVERAGE(L50:L52)</f>
        <v>1.4831892822644903</v>
      </c>
      <c r="N50" s="44">
        <f>STDEV(L50:L52)</f>
        <v>0.13971418387653425</v>
      </c>
      <c r="O50" s="48">
        <f>L50/L40</f>
        <v>1.7861058022241703</v>
      </c>
      <c r="P50" s="30">
        <f>AVERAGE(O50:O52)</f>
        <v>1.5834208295672261</v>
      </c>
      <c r="Q50" s="44">
        <f>STDEV(O50:O52)</f>
        <v>0.21723826396963775</v>
      </c>
      <c r="S50"/>
      <c r="T50"/>
    </row>
    <row r="51" spans="1:25" ht="15">
      <c r="B51" s="64">
        <v>0.2</v>
      </c>
      <c r="C51" s="64">
        <v>0.20200000000000001</v>
      </c>
      <c r="D51" s="27">
        <f t="shared" si="28"/>
        <v>0.20100000000000001</v>
      </c>
      <c r="E51" s="27">
        <f t="shared" si="29"/>
        <v>0.13900000000000001</v>
      </c>
      <c r="F51" s="27">
        <f t="shared" si="30"/>
        <v>-0.85698519974590492</v>
      </c>
      <c r="G51" s="28">
        <f t="shared" si="31"/>
        <v>-0.23487087528581577</v>
      </c>
      <c r="H51" s="27">
        <f t="shared" si="32"/>
        <v>0.58227631480468511</v>
      </c>
      <c r="I51" s="41">
        <v>16</v>
      </c>
      <c r="J51" s="42">
        <f t="shared" si="33"/>
        <v>9.3164210368749618</v>
      </c>
      <c r="K51" s="30">
        <f t="shared" ref="K51:K55" si="35">(0.1*J51/1000)*1000</f>
        <v>0.93164210368749623</v>
      </c>
      <c r="L51" s="43">
        <f t="shared" si="34"/>
        <v>1.5487291810681458</v>
      </c>
      <c r="M51" s="30"/>
      <c r="N51" s="44"/>
      <c r="O51" s="2">
        <f t="shared" ref="O51:O55" si="36">L51/L41</f>
        <v>1.3540878563780798</v>
      </c>
      <c r="P51" s="30"/>
      <c r="Q51" s="44"/>
      <c r="S51"/>
      <c r="T51"/>
    </row>
    <row r="52" spans="1:25" ht="15">
      <c r="B52" s="64">
        <v>0.20899999999999999</v>
      </c>
      <c r="C52" s="64">
        <v>0.22</v>
      </c>
      <c r="D52" s="27">
        <f t="shared" si="28"/>
        <v>0.2145</v>
      </c>
      <c r="E52" s="27">
        <f t="shared" si="29"/>
        <v>0.1525</v>
      </c>
      <c r="F52" s="27">
        <f t="shared" si="30"/>
        <v>-0.81673015631719537</v>
      </c>
      <c r="G52" s="28">
        <f t="shared" si="31"/>
        <v>-0.19506323495378711</v>
      </c>
      <c r="H52" s="27">
        <f t="shared" si="32"/>
        <v>0.63817055932743916</v>
      </c>
      <c r="I52" s="41">
        <v>16</v>
      </c>
      <c r="J52" s="42">
        <f t="shared" si="33"/>
        <v>10.210728949239027</v>
      </c>
      <c r="K52" s="30">
        <f t="shared" si="35"/>
        <v>1.0210728949239027</v>
      </c>
      <c r="L52" s="43">
        <f t="shared" si="34"/>
        <v>1.3227539717622778</v>
      </c>
      <c r="M52" s="30"/>
      <c r="N52" s="44"/>
      <c r="O52" s="2">
        <f t="shared" si="36"/>
        <v>1.6100688300994281</v>
      </c>
      <c r="P52" s="30"/>
      <c r="Q52" s="44"/>
      <c r="S52"/>
      <c r="T52"/>
    </row>
    <row r="53" spans="1:25" ht="15">
      <c r="A53" s="1" t="s">
        <v>26</v>
      </c>
      <c r="B53" s="64">
        <v>0.44800000000000001</v>
      </c>
      <c r="C53" s="64">
        <v>0.47699999999999998</v>
      </c>
      <c r="D53" s="27">
        <f>AVERAGE(B53:C53)</f>
        <v>0.46250000000000002</v>
      </c>
      <c r="E53" s="27">
        <f t="shared" si="29"/>
        <v>0.40050000000000002</v>
      </c>
      <c r="F53" s="27">
        <f t="shared" si="30"/>
        <v>-0.39739747957974353</v>
      </c>
      <c r="G53" s="28">
        <f t="shared" si="31"/>
        <v>0.21960888941228121</v>
      </c>
      <c r="H53" s="27">
        <f t="shared" si="32"/>
        <v>1.658093013651003</v>
      </c>
      <c r="I53" s="41">
        <v>16</v>
      </c>
      <c r="J53" s="42">
        <f t="shared" si="33"/>
        <v>26.529488218416049</v>
      </c>
      <c r="K53" s="30">
        <f t="shared" si="35"/>
        <v>2.6529488218416049</v>
      </c>
      <c r="L53" s="43">
        <f t="shared" si="34"/>
        <v>4.1573729878791079</v>
      </c>
      <c r="M53" s="30">
        <f>AVERAGE(L53:L55)</f>
        <v>4.0058335200281245</v>
      </c>
      <c r="N53" s="44">
        <f>STDEV(L53:L55)</f>
        <v>0.65443726402575664</v>
      </c>
      <c r="O53" s="2">
        <f t="shared" si="36"/>
        <v>1.8338358836564661</v>
      </c>
      <c r="P53" s="30">
        <f>AVERAGE(O53:O55)</f>
        <v>1.7248067793515203</v>
      </c>
      <c r="Q53" s="44">
        <f>STDEV(O53:O55)</f>
        <v>0.30328598984769056</v>
      </c>
      <c r="S53"/>
      <c r="T53"/>
    </row>
    <row r="54" spans="1:25" ht="15">
      <c r="A54" s="45"/>
      <c r="B54" s="64">
        <v>0.47299999999999998</v>
      </c>
      <c r="C54" s="64">
        <v>0.497</v>
      </c>
      <c r="D54" s="27">
        <f>AVERAGE(B54:C54)</f>
        <v>0.48499999999999999</v>
      </c>
      <c r="E54" s="27">
        <f t="shared" si="29"/>
        <v>0.42299999999999999</v>
      </c>
      <c r="F54" s="27">
        <f t="shared" si="30"/>
        <v>-0.37365963262495766</v>
      </c>
      <c r="G54" s="28">
        <f t="shared" si="31"/>
        <v>0.2430829088977236</v>
      </c>
      <c r="H54" s="27">
        <f t="shared" si="32"/>
        <v>1.7501807746310321</v>
      </c>
      <c r="I54" s="41">
        <v>16</v>
      </c>
      <c r="J54" s="42">
        <f t="shared" si="33"/>
        <v>28.002892394096513</v>
      </c>
      <c r="K54" s="30">
        <f t="shared" si="35"/>
        <v>2.8002892394096515</v>
      </c>
      <c r="L54" s="43">
        <f t="shared" si="34"/>
        <v>4.5712072761328262</v>
      </c>
      <c r="M54" s="30"/>
      <c r="N54" s="44"/>
      <c r="O54" s="2">
        <f t="shared" si="36"/>
        <v>1.3820789685714456</v>
      </c>
      <c r="P54" s="30"/>
      <c r="Q54" s="44"/>
      <c r="S54"/>
      <c r="T54"/>
    </row>
    <row r="55" spans="1:25" ht="15">
      <c r="A55" s="46"/>
      <c r="B55" s="64">
        <v>0.44400000000000001</v>
      </c>
      <c r="C55" s="64">
        <v>0.45400000000000001</v>
      </c>
      <c r="D55" s="27">
        <f>AVERAGE(B55:C55)</f>
        <v>0.44900000000000001</v>
      </c>
      <c r="E55" s="27">
        <f t="shared" si="29"/>
        <v>0.38700000000000001</v>
      </c>
      <c r="F55" s="27">
        <f t="shared" si="30"/>
        <v>-0.4122890349810886</v>
      </c>
      <c r="G55" s="28">
        <f t="shared" si="31"/>
        <v>0.20488284191835537</v>
      </c>
      <c r="H55" s="27">
        <f t="shared" si="32"/>
        <v>1.6028129472007944</v>
      </c>
      <c r="I55" s="41">
        <v>16</v>
      </c>
      <c r="J55" s="42">
        <f t="shared" si="33"/>
        <v>25.64500715521271</v>
      </c>
      <c r="K55" s="30">
        <f t="shared" si="35"/>
        <v>2.5645007155212713</v>
      </c>
      <c r="L55" s="43">
        <f t="shared" si="34"/>
        <v>3.2889202960724386</v>
      </c>
      <c r="M55" s="30"/>
      <c r="N55" s="44"/>
      <c r="O55" s="2">
        <f t="shared" si="36"/>
        <v>1.9585054858266486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1.5834208295672261</v>
      </c>
      <c r="O58" s="30">
        <f>Q50</f>
        <v>0.21723826396963775</v>
      </c>
    </row>
    <row r="59" spans="1:25" ht="15">
      <c r="D59"/>
      <c r="E59"/>
      <c r="G59"/>
      <c r="M59" s="2" t="s">
        <v>26</v>
      </c>
      <c r="N59" s="30">
        <f>P53</f>
        <v>1.7248067793515203</v>
      </c>
      <c r="O59" s="30">
        <f>Q53</f>
        <v>0.30328598984769056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0.94960946915312494</v>
      </c>
      <c r="C65" s="30">
        <f>N40</f>
        <v>0.17095752091952762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1.4831892822644903</v>
      </c>
      <c r="C66" s="30">
        <f>N50</f>
        <v>0.13971418387653425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2.4179413038068875</v>
      </c>
      <c r="C67" s="30">
        <f>N43</f>
        <v>0.82451561929426587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4.0058335200281245</v>
      </c>
      <c r="C68" s="30">
        <f>N53</f>
        <v>0.65443726402575664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3" sqref="B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42297</v>
      </c>
    </row>
    <row r="2" spans="1:20">
      <c r="A2" s="1" t="s">
        <v>1</v>
      </c>
      <c r="B2" s="2">
        <v>94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6">
        <v>250168</v>
      </c>
      <c r="F3" s="66">
        <v>224184</v>
      </c>
    </row>
    <row r="4" spans="1:20" ht="15">
      <c r="D4" s="10" t="s">
        <v>42</v>
      </c>
      <c r="E4" s="66">
        <v>329768</v>
      </c>
      <c r="F4" s="66">
        <v>334288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5">
        <v>5.5E-2</v>
      </c>
      <c r="D8" s="65">
        <v>6.9000000000000006E-2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5">
        <v>8.7999999999999995E-2</v>
      </c>
      <c r="D9" s="65">
        <v>9.6000000000000002E-2</v>
      </c>
      <c r="E9" s="11">
        <f t="shared" si="0"/>
        <v>9.1999999999999998E-2</v>
      </c>
      <c r="F9" s="12">
        <f>(E9-$E$8)</f>
        <v>0.03</v>
      </c>
      <c r="G9" s="12">
        <f>LOG(B9)</f>
        <v>-0.85930071603316016</v>
      </c>
      <c r="H9" s="12">
        <f>LOG(F9)</f>
        <v>-1.5228787452803376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5">
        <v>0.182</v>
      </c>
      <c r="D10" s="65">
        <v>0.18</v>
      </c>
      <c r="E10" s="11">
        <f t="shared" si="0"/>
        <v>0.18099999999999999</v>
      </c>
      <c r="F10" s="12">
        <f>(E10-$E$8)</f>
        <v>0.11899999999999999</v>
      </c>
      <c r="G10" s="12">
        <f>LOG(B10)</f>
        <v>-0.34053853694765485</v>
      </c>
      <c r="H10" s="12">
        <f>LOG(F10)</f>
        <v>-0.9244530386074693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5">
        <v>0.39500000000000002</v>
      </c>
      <c r="D11" s="65">
        <v>0.39300000000000002</v>
      </c>
      <c r="E11" s="11">
        <f t="shared" si="0"/>
        <v>0.39400000000000002</v>
      </c>
      <c r="F11" s="12">
        <f>(E11-$E$8)</f>
        <v>0.33200000000000002</v>
      </c>
      <c r="G11" s="12">
        <f>LOG(B11)</f>
        <v>0.13103255300924463</v>
      </c>
      <c r="H11" s="12">
        <f>LOG(F11)</f>
        <v>-0.4788619162959637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5">
        <v>1.1870000000000001</v>
      </c>
      <c r="D12" s="65">
        <v>1.1990000000000001</v>
      </c>
      <c r="E12" s="11">
        <f t="shared" si="0"/>
        <v>1.1930000000000001</v>
      </c>
      <c r="F12" s="12">
        <f>(E12-$E$8)</f>
        <v>1.131</v>
      </c>
      <c r="G12" s="12">
        <f>LOG(B12)</f>
        <v>0.65110938868757939</v>
      </c>
      <c r="H12" s="12">
        <f>LOG(F12)</f>
        <v>5.3462604925455293E-2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5">
        <v>2.2570000000000001</v>
      </c>
      <c r="D13" s="65">
        <v>2.1680000000000001</v>
      </c>
      <c r="E13" s="11">
        <f t="shared" si="0"/>
        <v>2.2125000000000004</v>
      </c>
      <c r="F13" s="12">
        <f>(E13-$E$8)</f>
        <v>2.1505000000000005</v>
      </c>
      <c r="G13" s="12">
        <f>LOG(B13)</f>
        <v>0.96868593733159802</v>
      </c>
      <c r="H13" s="12">
        <f>LOG(F13)</f>
        <v>0.33253944689011078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1.0112391262820195</v>
      </c>
      <c r="N15"/>
    </row>
    <row r="16" spans="1:20" ht="15">
      <c r="A16" s="5" t="s">
        <v>11</v>
      </c>
      <c r="B16" s="11">
        <f>INTERCEPT(H9:H13,G9:G13)</f>
        <v>-0.61947458103278341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8">
        <v>0.74299999999999999</v>
      </c>
      <c r="C22" s="68">
        <v>0.78600000000000003</v>
      </c>
      <c r="D22" s="27">
        <f t="shared" ref="D22:D27" si="2">AVERAGE(B22:C22)</f>
        <v>0.76449999999999996</v>
      </c>
      <c r="E22" s="27">
        <f t="shared" ref="E22:E27" si="3">D22-E$8</f>
        <v>0.7024999999999999</v>
      </c>
      <c r="F22" s="27">
        <f>LOG(E22)</f>
        <v>-0.15335367142288256</v>
      </c>
      <c r="G22" s="28">
        <f>(F22-$B$16)/$B$15</f>
        <v>0.46094034288770852</v>
      </c>
      <c r="H22" s="28">
        <f>10^G22</f>
        <v>2.8902828297255083</v>
      </c>
      <c r="I22" s="29">
        <v>500</v>
      </c>
      <c r="J22" s="30">
        <f>(H22*I22)</f>
        <v>1445.1414148627541</v>
      </c>
      <c r="K22" s="31">
        <f>(0.05*J22/1000)*1000</f>
        <v>72.257070743137703</v>
      </c>
      <c r="L22" s="32">
        <f>K22+K40+K50</f>
        <v>73.804746046079799</v>
      </c>
      <c r="M22" s="33">
        <f>(L22*1000000/50000)/1000</f>
        <v>1.4760949209215959</v>
      </c>
      <c r="N22" s="34"/>
    </row>
    <row r="23" spans="1:17" ht="15">
      <c r="B23" s="68">
        <v>0.627</v>
      </c>
      <c r="C23" s="68">
        <v>0.65100000000000002</v>
      </c>
      <c r="D23" s="27">
        <f t="shared" si="2"/>
        <v>0.63900000000000001</v>
      </c>
      <c r="E23" s="27">
        <f t="shared" si="3"/>
        <v>0.57699999999999996</v>
      </c>
      <c r="F23" s="27">
        <f t="shared" ref="F23:F27" si="4">LOG(E23)</f>
        <v>-0.23882418684426859</v>
      </c>
      <c r="G23" s="28">
        <f t="shared" ref="G23:G27" si="5">(F23-$B$16)/$B$15</f>
        <v>0.37641976491558049</v>
      </c>
      <c r="H23" s="28">
        <f t="shared" ref="H23:H27" si="6">10^G23</f>
        <v>2.3791387189715385</v>
      </c>
      <c r="I23" s="29">
        <v>500</v>
      </c>
      <c r="J23" s="30">
        <f t="shared" ref="J23:J27" si="7">(H23*I23)</f>
        <v>1189.5693594857692</v>
      </c>
      <c r="K23" s="31">
        <f t="shared" ref="K23:K27" si="8">(0.05*J23/1000)*1000</f>
        <v>59.478467974288463</v>
      </c>
      <c r="L23" s="32">
        <f>K23+K41+K51</f>
        <v>61.288696799157307</v>
      </c>
      <c r="M23" s="33">
        <f t="shared" ref="M23:M27" si="9">(L23*1000000/50000)/1000</f>
        <v>1.2257739359831461</v>
      </c>
      <c r="N23" s="34"/>
    </row>
    <row r="24" spans="1:17" ht="15">
      <c r="B24" s="68">
        <v>0.85499999999999998</v>
      </c>
      <c r="C24" s="68">
        <v>0.91800000000000004</v>
      </c>
      <c r="D24" s="27">
        <f t="shared" si="2"/>
        <v>0.88650000000000007</v>
      </c>
      <c r="E24" s="27">
        <f t="shared" si="3"/>
        <v>0.82450000000000001</v>
      </c>
      <c r="F24" s="27">
        <f t="shared" si="4"/>
        <v>-8.3809340019462414E-2</v>
      </c>
      <c r="G24" s="28">
        <f t="shared" si="5"/>
        <v>0.5297117438313319</v>
      </c>
      <c r="H24" s="28">
        <f t="shared" si="6"/>
        <v>3.3861932825237537</v>
      </c>
      <c r="I24" s="29">
        <v>500</v>
      </c>
      <c r="J24" s="30">
        <f t="shared" si="7"/>
        <v>1693.0966412618768</v>
      </c>
      <c r="K24" s="31">
        <f t="shared" si="8"/>
        <v>84.654832063093849</v>
      </c>
      <c r="L24" s="32">
        <f t="shared" ref="L24:L27" si="10">K24+K42+K52</f>
        <v>86.35501779137698</v>
      </c>
      <c r="M24" s="33">
        <f t="shared" si="9"/>
        <v>1.7271003558275395</v>
      </c>
      <c r="N24" s="34"/>
    </row>
    <row r="25" spans="1:17" ht="15">
      <c r="A25" s="1" t="s">
        <v>26</v>
      </c>
      <c r="B25" s="68">
        <v>0.50600000000000001</v>
      </c>
      <c r="C25" s="68">
        <v>0.51900000000000002</v>
      </c>
      <c r="D25" s="27">
        <f t="shared" si="2"/>
        <v>0.51249999999999996</v>
      </c>
      <c r="E25" s="27">
        <f t="shared" si="3"/>
        <v>0.45049999999999996</v>
      </c>
      <c r="F25" s="27">
        <f t="shared" si="4"/>
        <v>-0.34630520468491827</v>
      </c>
      <c r="G25" s="28">
        <f t="shared" si="5"/>
        <v>0.27013331391974077</v>
      </c>
      <c r="H25" s="28">
        <f t="shared" si="6"/>
        <v>1.8626588230424084</v>
      </c>
      <c r="I25" s="29">
        <v>500</v>
      </c>
      <c r="J25" s="30">
        <f t="shared" si="7"/>
        <v>931.32941152120418</v>
      </c>
      <c r="K25" s="31">
        <f t="shared" si="8"/>
        <v>46.566470576060212</v>
      </c>
      <c r="L25" s="32">
        <f t="shared" si="10"/>
        <v>50.39639665891864</v>
      </c>
      <c r="M25" s="33">
        <f t="shared" si="9"/>
        <v>1.0079279331783728</v>
      </c>
      <c r="N25" s="34"/>
    </row>
    <row r="26" spans="1:17" ht="15">
      <c r="B26" s="68">
        <v>0.627</v>
      </c>
      <c r="C26" s="68">
        <v>0.64200000000000002</v>
      </c>
      <c r="D26" s="27">
        <f t="shared" si="2"/>
        <v>0.63450000000000006</v>
      </c>
      <c r="E26" s="27">
        <f t="shared" si="3"/>
        <v>0.57250000000000001</v>
      </c>
      <c r="F26" s="27">
        <f t="shared" si="4"/>
        <v>-0.24222450898807438</v>
      </c>
      <c r="G26" s="28">
        <f t="shared" si="5"/>
        <v>0.37305723467378937</v>
      </c>
      <c r="H26" s="28">
        <f t="shared" si="6"/>
        <v>2.3607893356928651</v>
      </c>
      <c r="I26" s="29">
        <v>500</v>
      </c>
      <c r="J26" s="30">
        <f t="shared" si="7"/>
        <v>1180.3946678464326</v>
      </c>
      <c r="K26" s="31">
        <f t="shared" si="8"/>
        <v>59.019733392321633</v>
      </c>
      <c r="L26" s="32">
        <f t="shared" si="10"/>
        <v>62.831302768834583</v>
      </c>
      <c r="M26" s="33">
        <f t="shared" si="9"/>
        <v>1.2566260553766917</v>
      </c>
      <c r="N26" s="34"/>
    </row>
    <row r="27" spans="1:17" ht="15">
      <c r="B27" s="68">
        <v>0.76900000000000002</v>
      </c>
      <c r="C27" s="68">
        <v>0.81200000000000006</v>
      </c>
      <c r="D27" s="27">
        <f t="shared" si="2"/>
        <v>0.79049999999999998</v>
      </c>
      <c r="E27" s="27">
        <f t="shared" si="3"/>
        <v>0.72849999999999993</v>
      </c>
      <c r="F27" s="27">
        <f t="shared" si="4"/>
        <v>-0.13757044389399109</v>
      </c>
      <c r="G27" s="28">
        <f t="shared" si="5"/>
        <v>0.47654815227590042</v>
      </c>
      <c r="H27" s="28">
        <f t="shared" si="6"/>
        <v>2.9960437595042104</v>
      </c>
      <c r="I27" s="29">
        <v>500</v>
      </c>
      <c r="J27" s="30">
        <f t="shared" si="7"/>
        <v>1498.0218797521052</v>
      </c>
      <c r="K27" s="31">
        <f t="shared" si="8"/>
        <v>74.901093987605265</v>
      </c>
      <c r="L27" s="32">
        <f t="shared" si="10"/>
        <v>78.212841306832331</v>
      </c>
      <c r="M27" s="33">
        <f t="shared" si="9"/>
        <v>1.5642568261366465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8">
        <v>0.74299999999999999</v>
      </c>
      <c r="C31" s="68">
        <v>0.78600000000000003</v>
      </c>
      <c r="D31" s="27">
        <f t="shared" ref="D31:D36" si="11">AVERAGE(B31:C31)</f>
        <v>0.76449999999999996</v>
      </c>
      <c r="E31" s="27">
        <f t="shared" ref="E31:E36" si="12">D31-E$8</f>
        <v>0.7024999999999999</v>
      </c>
      <c r="F31" s="27">
        <f>LOG(E31)</f>
        <v>-0.15335367142288256</v>
      </c>
      <c r="G31" s="28">
        <f>(F31-$B$16)/$B$15</f>
        <v>0.46094034288770852</v>
      </c>
      <c r="H31" s="28">
        <f>10^G31</f>
        <v>2.8902828297255083</v>
      </c>
      <c r="I31" s="29">
        <v>500</v>
      </c>
      <c r="J31" s="30">
        <f>(H31*I31)</f>
        <v>1445.1414148627541</v>
      </c>
      <c r="K31" s="31">
        <f>(0.05*J31/1000)*1000</f>
        <v>72.257070743137703</v>
      </c>
      <c r="L31" s="32">
        <f>K31+K50</f>
        <v>73.208594384964798</v>
      </c>
      <c r="M31" s="33">
        <f>(L31*1000000/50000)/1000</f>
        <v>1.464171887699296</v>
      </c>
      <c r="N31" s="35"/>
      <c r="Q31"/>
    </row>
    <row r="32" spans="1:17" ht="15">
      <c r="B32" s="68">
        <v>0.627</v>
      </c>
      <c r="C32" s="68">
        <v>0.65100000000000002</v>
      </c>
      <c r="D32" s="27">
        <f t="shared" si="11"/>
        <v>0.63900000000000001</v>
      </c>
      <c r="E32" s="27">
        <f t="shared" si="12"/>
        <v>0.57699999999999996</v>
      </c>
      <c r="F32" s="27">
        <f t="shared" ref="F32:F36" si="13">LOG(E32)</f>
        <v>-0.23882418684426859</v>
      </c>
      <c r="G32" s="28">
        <f t="shared" ref="G32:G36" si="14">(F32-$B$16)/$B$15</f>
        <v>0.37641976491558049</v>
      </c>
      <c r="H32" s="28">
        <f t="shared" ref="H32:H36" si="15">10^G32</f>
        <v>2.3791387189715385</v>
      </c>
      <c r="I32" s="29">
        <v>500</v>
      </c>
      <c r="J32" s="30">
        <f t="shared" ref="J32:J36" si="16">(H32*I32)</f>
        <v>1189.5693594857692</v>
      </c>
      <c r="K32" s="31">
        <f t="shared" ref="K32:K36" si="17">(0.05*J32/1000)*1000</f>
        <v>59.478467974288463</v>
      </c>
      <c r="L32" s="32">
        <f>K32+K51</f>
        <v>60.426678353299373</v>
      </c>
      <c r="M32" s="33">
        <f t="shared" ref="M32:M36" si="18">(L32*1000000/50000)/1000</f>
        <v>1.2085335670659874</v>
      </c>
      <c r="N32" s="36"/>
      <c r="Q32"/>
    </row>
    <row r="33" spans="1:21" ht="15">
      <c r="B33" s="68">
        <v>0.85499999999999998</v>
      </c>
      <c r="C33" s="68">
        <v>0.91800000000000004</v>
      </c>
      <c r="D33" s="27">
        <f t="shared" si="11"/>
        <v>0.88650000000000007</v>
      </c>
      <c r="E33" s="27">
        <f t="shared" si="12"/>
        <v>0.82450000000000001</v>
      </c>
      <c r="F33" s="27">
        <f t="shared" si="13"/>
        <v>-8.3809340019462414E-2</v>
      </c>
      <c r="G33" s="28">
        <f t="shared" si="14"/>
        <v>0.5297117438313319</v>
      </c>
      <c r="H33" s="28">
        <f t="shared" si="15"/>
        <v>3.3861932825237537</v>
      </c>
      <c r="I33" s="29">
        <v>500</v>
      </c>
      <c r="J33" s="30">
        <f t="shared" si="16"/>
        <v>1693.0966412618768</v>
      </c>
      <c r="K33" s="31">
        <f t="shared" si="17"/>
        <v>84.654832063093849</v>
      </c>
      <c r="L33" s="32">
        <f t="shared" ref="L33:L36" si="19">K33+K52</f>
        <v>85.72224132299236</v>
      </c>
      <c r="M33" s="33">
        <f t="shared" si="18"/>
        <v>1.7144448264598471</v>
      </c>
      <c r="N33" s="36"/>
      <c r="Q33"/>
      <c r="R33"/>
      <c r="S33"/>
    </row>
    <row r="34" spans="1:21" ht="15">
      <c r="A34" s="1" t="s">
        <v>26</v>
      </c>
      <c r="B34" s="68">
        <v>0.50600000000000001</v>
      </c>
      <c r="C34" s="68">
        <v>0.51900000000000002</v>
      </c>
      <c r="D34" s="27">
        <f t="shared" si="11"/>
        <v>0.51249999999999996</v>
      </c>
      <c r="E34" s="27">
        <f t="shared" si="12"/>
        <v>0.45049999999999996</v>
      </c>
      <c r="F34" s="27">
        <f t="shared" si="13"/>
        <v>-0.34630520468491827</v>
      </c>
      <c r="G34" s="28">
        <f t="shared" si="14"/>
        <v>0.27013331391974077</v>
      </c>
      <c r="H34" s="28">
        <f t="shared" si="15"/>
        <v>1.8626588230424084</v>
      </c>
      <c r="I34" s="29">
        <v>500</v>
      </c>
      <c r="J34" s="30">
        <f t="shared" si="16"/>
        <v>931.32941152120418</v>
      </c>
      <c r="K34" s="31">
        <f t="shared" si="17"/>
        <v>46.566470576060212</v>
      </c>
      <c r="L34" s="32">
        <f t="shared" si="19"/>
        <v>49.170285724914073</v>
      </c>
      <c r="M34" s="33">
        <f t="shared" si="18"/>
        <v>0.9834057144982814</v>
      </c>
      <c r="N34" s="36"/>
      <c r="Q34"/>
      <c r="R34"/>
      <c r="S34"/>
    </row>
    <row r="35" spans="1:21" ht="15">
      <c r="B35" s="68">
        <v>0.627</v>
      </c>
      <c r="C35" s="68">
        <v>0.64200000000000002</v>
      </c>
      <c r="D35" s="27">
        <f t="shared" si="11"/>
        <v>0.63450000000000006</v>
      </c>
      <c r="E35" s="27">
        <f t="shared" si="12"/>
        <v>0.57250000000000001</v>
      </c>
      <c r="F35" s="27">
        <f t="shared" si="13"/>
        <v>-0.24222450898807438</v>
      </c>
      <c r="G35" s="28">
        <f t="shared" si="14"/>
        <v>0.37305723467378937</v>
      </c>
      <c r="H35" s="28">
        <f t="shared" si="15"/>
        <v>2.3607893356928651</v>
      </c>
      <c r="I35" s="29">
        <v>500</v>
      </c>
      <c r="J35" s="30">
        <f t="shared" si="16"/>
        <v>1180.3946678464326</v>
      </c>
      <c r="K35" s="31">
        <f t="shared" si="17"/>
        <v>59.019733392321633</v>
      </c>
      <c r="L35" s="32">
        <f t="shared" si="19"/>
        <v>61.423628684442356</v>
      </c>
      <c r="M35" s="33">
        <f t="shared" si="18"/>
        <v>1.2284725736888471</v>
      </c>
      <c r="N35" s="36"/>
      <c r="Q35"/>
      <c r="R35"/>
      <c r="S35"/>
    </row>
    <row r="36" spans="1:21" ht="15">
      <c r="B36" s="68">
        <v>0.76900000000000002</v>
      </c>
      <c r="C36" s="68">
        <v>0.81200000000000006</v>
      </c>
      <c r="D36" s="27">
        <f t="shared" si="11"/>
        <v>0.79049999999999998</v>
      </c>
      <c r="E36" s="27">
        <f t="shared" si="12"/>
        <v>0.72849999999999993</v>
      </c>
      <c r="F36" s="27">
        <f t="shared" si="13"/>
        <v>-0.13757044389399109</v>
      </c>
      <c r="G36" s="28">
        <f t="shared" si="14"/>
        <v>0.47654815227590042</v>
      </c>
      <c r="H36" s="28">
        <f t="shared" si="15"/>
        <v>2.9960437595042104</v>
      </c>
      <c r="I36" s="29">
        <v>500</v>
      </c>
      <c r="J36" s="30">
        <f t="shared" si="16"/>
        <v>1498.0218797521052</v>
      </c>
      <c r="K36" s="31">
        <f t="shared" si="17"/>
        <v>74.901093987605265</v>
      </c>
      <c r="L36" s="32">
        <f t="shared" si="19"/>
        <v>76.980123032090432</v>
      </c>
      <c r="M36" s="33">
        <f t="shared" si="18"/>
        <v>1.5396024606418084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8">
        <v>0.14299999999999999</v>
      </c>
      <c r="C40" s="68">
        <v>0.158</v>
      </c>
      <c r="D40" s="27">
        <f t="shared" ref="D40:D45" si="20">AVERAGE(B40,C40)</f>
        <v>0.15049999999999999</v>
      </c>
      <c r="E40" s="27">
        <f t="shared" ref="E40:E45" si="21">D40-E$8</f>
        <v>8.8499999999999995E-2</v>
      </c>
      <c r="F40" s="27">
        <f t="shared" ref="F40:F45" si="22">LOG(E40)</f>
        <v>-1.0530567293021746</v>
      </c>
      <c r="G40" s="28">
        <f t="shared" ref="G40:G45" si="23">(F40-$B$16)/$B$15</f>
        <v>-0.42876322424699342</v>
      </c>
      <c r="H40" s="27">
        <f t="shared" ref="H40:H45" si="24">10^G40</f>
        <v>0.37259478819687308</v>
      </c>
      <c r="I40" s="41">
        <v>16</v>
      </c>
      <c r="J40" s="42">
        <f t="shared" ref="J40:J45" si="25">H40*I40</f>
        <v>5.9615166111499693</v>
      </c>
      <c r="K40" s="30">
        <f>(0.1*J40/1000)*1000</f>
        <v>0.59615166111499696</v>
      </c>
      <c r="L40" s="43">
        <f>K40*100/L22</f>
        <v>0.80774163323154213</v>
      </c>
      <c r="M40" s="30">
        <f>AVERAGE(L40:L42)</f>
        <v>0.98233058589155198</v>
      </c>
      <c r="N40" s="44">
        <f>STDEV(L40:L42)</f>
        <v>0.36923965586074226</v>
      </c>
      <c r="R40"/>
      <c r="S40"/>
      <c r="T40"/>
      <c r="U40"/>
    </row>
    <row r="41" spans="1:21" ht="15">
      <c r="B41" s="68">
        <v>0.186</v>
      </c>
      <c r="C41" s="68">
        <v>0.19500000000000001</v>
      </c>
      <c r="D41" s="27">
        <f t="shared" si="20"/>
        <v>0.1905</v>
      </c>
      <c r="E41" s="27">
        <f t="shared" si="21"/>
        <v>0.1285</v>
      </c>
      <c r="F41" s="27">
        <f t="shared" si="22"/>
        <v>-0.89109687233268664</v>
      </c>
      <c r="G41" s="28">
        <f t="shared" si="23"/>
        <v>-0.26860342350336613</v>
      </c>
      <c r="H41" s="27">
        <f t="shared" si="24"/>
        <v>0.53876152866120841</v>
      </c>
      <c r="I41" s="41">
        <v>16</v>
      </c>
      <c r="J41" s="42">
        <f t="shared" si="25"/>
        <v>8.6201844585793346</v>
      </c>
      <c r="K41" s="30">
        <f t="shared" ref="K41:K45" si="26">(0.1*J41/1000)*1000</f>
        <v>0.86201844585793352</v>
      </c>
      <c r="L41" s="43">
        <f t="shared" ref="L41:L45" si="27">K41*100/L23</f>
        <v>1.4064884568891436</v>
      </c>
      <c r="M41" s="30"/>
      <c r="N41" s="44"/>
      <c r="R41"/>
      <c r="S41"/>
      <c r="T41"/>
      <c r="U41"/>
    </row>
    <row r="42" spans="1:21" s="17" customFormat="1" ht="15">
      <c r="A42" s="1"/>
      <c r="B42" s="68">
        <v>0.152</v>
      </c>
      <c r="C42" s="68">
        <v>0.16</v>
      </c>
      <c r="D42" s="27">
        <f t="shared" si="20"/>
        <v>0.156</v>
      </c>
      <c r="E42" s="27">
        <f t="shared" si="21"/>
        <v>9.4E-2</v>
      </c>
      <c r="F42" s="27">
        <f t="shared" si="22"/>
        <v>-1.0268721464003014</v>
      </c>
      <c r="G42" s="28">
        <f t="shared" si="23"/>
        <v>-0.4028696623570921</v>
      </c>
      <c r="H42" s="27">
        <f t="shared" si="24"/>
        <v>0.39548529274038846</v>
      </c>
      <c r="I42" s="41">
        <v>16</v>
      </c>
      <c r="J42" s="42">
        <f t="shared" si="25"/>
        <v>6.3277646838462154</v>
      </c>
      <c r="K42" s="30">
        <f t="shared" si="26"/>
        <v>0.63277646838462154</v>
      </c>
      <c r="L42" s="43">
        <f t="shared" si="27"/>
        <v>0.7327616675539701</v>
      </c>
      <c r="M42" s="30"/>
      <c r="N42" s="44"/>
      <c r="R42"/>
      <c r="S42"/>
      <c r="T42"/>
      <c r="U42"/>
    </row>
    <row r="43" spans="1:21" ht="15">
      <c r="A43" s="1" t="s">
        <v>34</v>
      </c>
      <c r="B43" s="68">
        <v>0.23400000000000001</v>
      </c>
      <c r="C43" s="68">
        <v>0.25700000000000001</v>
      </c>
      <c r="D43" s="27">
        <f t="shared" si="20"/>
        <v>0.2455</v>
      </c>
      <c r="E43" s="27">
        <f t="shared" si="21"/>
        <v>0.1835</v>
      </c>
      <c r="F43" s="27">
        <f t="shared" si="22"/>
        <v>-0.73636393141189183</v>
      </c>
      <c r="G43" s="28">
        <f t="shared" si="23"/>
        <v>-0.11559021732957524</v>
      </c>
      <c r="H43" s="27">
        <f t="shared" si="24"/>
        <v>0.76631933375285266</v>
      </c>
      <c r="I43" s="41">
        <v>16</v>
      </c>
      <c r="J43" s="42">
        <f t="shared" si="25"/>
        <v>12.261109340045643</v>
      </c>
      <c r="K43" s="30">
        <f t="shared" si="26"/>
        <v>1.2261109340045644</v>
      </c>
      <c r="L43" s="43">
        <f t="shared" si="27"/>
        <v>2.4329337319547824</v>
      </c>
      <c r="M43" s="30">
        <f>AVERAGE(L43:L45)</f>
        <v>2.0831478360174529</v>
      </c>
      <c r="N43" s="44">
        <f>STDEV(L43:L45)</f>
        <v>0.44953828826282144</v>
      </c>
      <c r="R43"/>
      <c r="S43"/>
      <c r="T43"/>
      <c r="U43"/>
    </row>
    <row r="44" spans="1:21" ht="15">
      <c r="A44" s="45"/>
      <c r="B44" s="68">
        <v>0.27400000000000002</v>
      </c>
      <c r="C44" s="68">
        <v>0.27200000000000002</v>
      </c>
      <c r="D44" s="27">
        <f t="shared" si="20"/>
        <v>0.27300000000000002</v>
      </c>
      <c r="E44" s="27">
        <f t="shared" si="21"/>
        <v>0.21100000000000002</v>
      </c>
      <c r="F44" s="27">
        <f t="shared" si="22"/>
        <v>-0.67571754470230727</v>
      </c>
      <c r="G44" s="28">
        <f t="shared" si="23"/>
        <v>-5.5617867433897662E-2</v>
      </c>
      <c r="H44" s="27">
        <f t="shared" si="24"/>
        <v>0.87979630274513976</v>
      </c>
      <c r="I44" s="41">
        <v>16</v>
      </c>
      <c r="J44" s="42">
        <f t="shared" si="25"/>
        <v>14.076740843922236</v>
      </c>
      <c r="K44" s="30">
        <f t="shared" si="26"/>
        <v>1.4076740843922237</v>
      </c>
      <c r="L44" s="43">
        <f t="shared" si="27"/>
        <v>2.2404025101488978</v>
      </c>
      <c r="M44" s="30"/>
      <c r="N44" s="44"/>
      <c r="R44"/>
      <c r="S44"/>
      <c r="T44"/>
      <c r="U44"/>
    </row>
    <row r="45" spans="1:21" ht="15">
      <c r="A45" s="46"/>
      <c r="B45" s="68">
        <v>0.25</v>
      </c>
      <c r="C45" s="68">
        <v>0.24299999999999999</v>
      </c>
      <c r="D45" s="27">
        <f t="shared" si="20"/>
        <v>0.2465</v>
      </c>
      <c r="E45" s="27">
        <f t="shared" si="21"/>
        <v>0.1845</v>
      </c>
      <c r="F45" s="27">
        <f t="shared" si="22"/>
        <v>-0.73400362950492082</v>
      </c>
      <c r="G45" s="28">
        <f t="shared" si="23"/>
        <v>-0.11325614831896542</v>
      </c>
      <c r="H45" s="27">
        <f t="shared" si="24"/>
        <v>0.77044892171368362</v>
      </c>
      <c r="I45" s="41">
        <v>16</v>
      </c>
      <c r="J45" s="42">
        <f t="shared" si="25"/>
        <v>12.327182747418938</v>
      </c>
      <c r="K45" s="30">
        <f t="shared" si="26"/>
        <v>1.2327182747418939</v>
      </c>
      <c r="L45" s="43">
        <f t="shared" si="27"/>
        <v>1.5761072659486788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9">
        <v>0.20100000000000001</v>
      </c>
      <c r="C50" s="69">
        <v>0.20699999999999999</v>
      </c>
      <c r="D50" s="27">
        <f t="shared" ref="D50:D52" si="28">AVERAGE(B50,C50)</f>
        <v>0.20400000000000001</v>
      </c>
      <c r="E50" s="27">
        <f t="shared" ref="E50:E55" si="29">D50-E$8</f>
        <v>0.14200000000000002</v>
      </c>
      <c r="F50" s="27">
        <f t="shared" ref="F50:F55" si="30">LOG(E50)</f>
        <v>-0.8477116556169435</v>
      </c>
      <c r="G50" s="28">
        <f t="shared" ref="G50:G55" si="31">(F50-$B$16)/$B$15</f>
        <v>-0.22570039929458602</v>
      </c>
      <c r="H50" s="27">
        <f t="shared" ref="H50:H55" si="32">10^G50</f>
        <v>0.59470227614193194</v>
      </c>
      <c r="I50" s="41">
        <v>16</v>
      </c>
      <c r="J50" s="42">
        <f t="shared" ref="J50:J55" si="33">H50*I50</f>
        <v>9.515236418270911</v>
      </c>
      <c r="K50" s="30">
        <f>(0.1*J50/1000)*1000</f>
        <v>0.95152364182709115</v>
      </c>
      <c r="L50" s="43">
        <f t="shared" ref="L50:L55" si="34">K50*100/L31</f>
        <v>1.2997430832007755</v>
      </c>
      <c r="M50" s="30">
        <f>AVERAGE(L50:L52)</f>
        <v>1.3713766476951266</v>
      </c>
      <c r="N50" s="44">
        <f>STDEV(L50:L52)</f>
        <v>0.1734702928332631</v>
      </c>
      <c r="O50" s="48">
        <f>L50/L40</f>
        <v>1.6091074543240727</v>
      </c>
      <c r="P50" s="30">
        <f>AVERAGE(O50:O52)</f>
        <v>1.4747020205635231</v>
      </c>
      <c r="Q50" s="44">
        <f>STDEV(O50:O52)</f>
        <v>0.31417650659641877</v>
      </c>
      <c r="S50"/>
      <c r="T50"/>
    </row>
    <row r="51" spans="1:25" ht="15">
      <c r="B51" s="69">
        <v>0.20200000000000001</v>
      </c>
      <c r="C51" s="69">
        <v>0.20499999999999999</v>
      </c>
      <c r="D51" s="27">
        <f t="shared" si="28"/>
        <v>0.20350000000000001</v>
      </c>
      <c r="E51" s="27">
        <f t="shared" si="29"/>
        <v>0.14150000000000001</v>
      </c>
      <c r="F51" s="27">
        <f t="shared" si="30"/>
        <v>-0.84924356013969093</v>
      </c>
      <c r="G51" s="28">
        <f t="shared" si="31"/>
        <v>-0.22721527790532542</v>
      </c>
      <c r="H51" s="27">
        <f t="shared" si="32"/>
        <v>0.59263148688181944</v>
      </c>
      <c r="I51" s="41">
        <v>16</v>
      </c>
      <c r="J51" s="42">
        <f t="shared" si="33"/>
        <v>9.482103790109111</v>
      </c>
      <c r="K51" s="30">
        <f t="shared" ref="K51:K55" si="35">(0.1*J51/1000)*1000</f>
        <v>0.9482103790109111</v>
      </c>
      <c r="L51" s="43">
        <f t="shared" si="34"/>
        <v>1.5691916300064797</v>
      </c>
      <c r="M51" s="30"/>
      <c r="N51" s="44"/>
      <c r="O51" s="2">
        <f t="shared" ref="O51:O55" si="36">L51/L41</f>
        <v>1.1156804183641871</v>
      </c>
      <c r="P51" s="30"/>
      <c r="Q51" s="44"/>
      <c r="S51"/>
      <c r="T51"/>
    </row>
    <row r="52" spans="1:25" ht="15">
      <c r="B52" s="69">
        <v>0.221</v>
      </c>
      <c r="C52" s="69">
        <v>0.222</v>
      </c>
      <c r="D52" s="27">
        <f t="shared" si="28"/>
        <v>0.2215</v>
      </c>
      <c r="E52" s="27">
        <f t="shared" si="29"/>
        <v>0.1595</v>
      </c>
      <c r="F52" s="27">
        <f t="shared" si="30"/>
        <v>-0.79723931260680003</v>
      </c>
      <c r="G52" s="28">
        <f t="shared" si="31"/>
        <v>-0.17578901661726318</v>
      </c>
      <c r="H52" s="27">
        <f t="shared" si="32"/>
        <v>0.66713078743657206</v>
      </c>
      <c r="I52" s="41">
        <v>16</v>
      </c>
      <c r="J52" s="42">
        <f t="shared" si="33"/>
        <v>10.674092598985153</v>
      </c>
      <c r="K52" s="30">
        <f t="shared" si="35"/>
        <v>1.0674092598985154</v>
      </c>
      <c r="L52" s="43">
        <f t="shared" si="34"/>
        <v>1.2451952298781246</v>
      </c>
      <c r="M52" s="30"/>
      <c r="N52" s="44"/>
      <c r="O52" s="2">
        <f t="shared" si="36"/>
        <v>1.6993181890023092</v>
      </c>
      <c r="P52" s="30"/>
      <c r="Q52" s="44"/>
      <c r="S52"/>
      <c r="T52"/>
    </row>
    <row r="53" spans="1:25" ht="15">
      <c r="A53" s="1" t="s">
        <v>26</v>
      </c>
      <c r="B53" s="69">
        <v>0.44500000000000001</v>
      </c>
      <c r="C53" s="69">
        <v>0.46500000000000002</v>
      </c>
      <c r="D53" s="27">
        <f>AVERAGE(B53:C53)</f>
        <v>0.45500000000000002</v>
      </c>
      <c r="E53" s="27">
        <f t="shared" si="29"/>
        <v>0.39300000000000002</v>
      </c>
      <c r="F53" s="27">
        <f t="shared" si="30"/>
        <v>-0.40560744962457329</v>
      </c>
      <c r="G53" s="28">
        <f t="shared" si="31"/>
        <v>0.2114901667170716</v>
      </c>
      <c r="H53" s="27">
        <f t="shared" si="32"/>
        <v>1.6273844680336644</v>
      </c>
      <c r="I53" s="41">
        <v>16</v>
      </c>
      <c r="J53" s="42">
        <f t="shared" si="33"/>
        <v>26.038151488538631</v>
      </c>
      <c r="K53" s="30">
        <f t="shared" si="35"/>
        <v>2.6038151488538634</v>
      </c>
      <c r="L53" s="43">
        <f t="shared" si="34"/>
        <v>5.295505426633178</v>
      </c>
      <c r="M53" s="30">
        <f>AVERAGE(L53:L55)</f>
        <v>3.9699577140553206</v>
      </c>
      <c r="N53" s="44">
        <f>STDEV(L53:L55)</f>
        <v>1.2983019290210911</v>
      </c>
      <c r="O53" s="2">
        <f t="shared" si="36"/>
        <v>2.1765925463076274</v>
      </c>
      <c r="P53" s="30">
        <f>AVERAGE(O53:O55)</f>
        <v>1.8789946024086046</v>
      </c>
      <c r="Q53" s="44">
        <f>STDEV(O53:O55)</f>
        <v>0.25826451085549607</v>
      </c>
      <c r="S53"/>
      <c r="T53"/>
    </row>
    <row r="54" spans="1:25" ht="15">
      <c r="A54" s="45"/>
      <c r="B54" s="69">
        <v>0.41799999999999998</v>
      </c>
      <c r="C54" s="69">
        <v>0.43099999999999999</v>
      </c>
      <c r="D54" s="27">
        <f>AVERAGE(B54:C54)</f>
        <v>0.42449999999999999</v>
      </c>
      <c r="E54" s="27">
        <f t="shared" si="29"/>
        <v>0.36249999999999999</v>
      </c>
      <c r="F54" s="27">
        <f t="shared" si="30"/>
        <v>-0.44069198909298751</v>
      </c>
      <c r="G54" s="28">
        <f t="shared" si="31"/>
        <v>0.17679556426689932</v>
      </c>
      <c r="H54" s="27">
        <f t="shared" si="32"/>
        <v>1.5024345575754507</v>
      </c>
      <c r="I54" s="41">
        <v>16</v>
      </c>
      <c r="J54" s="42">
        <f t="shared" si="33"/>
        <v>24.038952921207212</v>
      </c>
      <c r="K54" s="30">
        <f t="shared" si="35"/>
        <v>2.4038952921207213</v>
      </c>
      <c r="L54" s="43">
        <f t="shared" si="34"/>
        <v>3.9136328211257085</v>
      </c>
      <c r="M54" s="30"/>
      <c r="N54" s="44"/>
      <c r="O54" s="2">
        <f t="shared" si="36"/>
        <v>1.7468436155544245</v>
      </c>
      <c r="P54" s="30"/>
      <c r="Q54" s="44"/>
      <c r="S54"/>
      <c r="T54"/>
    </row>
    <row r="55" spans="1:25" ht="15">
      <c r="A55" s="46"/>
      <c r="B55" s="69">
        <v>0.37</v>
      </c>
      <c r="C55" s="69">
        <v>0.38</v>
      </c>
      <c r="D55" s="27">
        <f>AVERAGE(B55:C55)</f>
        <v>0.375</v>
      </c>
      <c r="E55" s="27">
        <f t="shared" si="29"/>
        <v>0.313</v>
      </c>
      <c r="F55" s="27">
        <f t="shared" si="30"/>
        <v>-0.50445566245355156</v>
      </c>
      <c r="G55" s="28">
        <f t="shared" si="31"/>
        <v>0.11374057390571614</v>
      </c>
      <c r="H55" s="27">
        <f t="shared" si="32"/>
        <v>1.2993931528032276</v>
      </c>
      <c r="I55" s="41">
        <v>16</v>
      </c>
      <c r="J55" s="42">
        <f t="shared" si="33"/>
        <v>20.790290444851642</v>
      </c>
      <c r="K55" s="30">
        <f t="shared" si="35"/>
        <v>2.0790290444851642</v>
      </c>
      <c r="L55" s="43">
        <f t="shared" si="34"/>
        <v>2.7007348944070757</v>
      </c>
      <c r="M55" s="30"/>
      <c r="N55" s="44"/>
      <c r="O55" s="2">
        <f t="shared" si="36"/>
        <v>1.7135476453637624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1.4747020205635231</v>
      </c>
      <c r="O58" s="30">
        <f>Q50</f>
        <v>0.31417650659641877</v>
      </c>
    </row>
    <row r="59" spans="1:25" ht="15">
      <c r="D59"/>
      <c r="E59"/>
      <c r="G59"/>
      <c r="M59" s="2" t="s">
        <v>26</v>
      </c>
      <c r="N59" s="30">
        <f>P53</f>
        <v>1.8789946024086046</v>
      </c>
      <c r="O59" s="30">
        <f>Q53</f>
        <v>0.25826451085549607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0.98233058589155198</v>
      </c>
      <c r="C65" s="30">
        <f>N40</f>
        <v>0.36923965586074226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1.3713766476951266</v>
      </c>
      <c r="C66" s="30">
        <f>N50</f>
        <v>0.1734702928332631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2.0831478360174529</v>
      </c>
      <c r="C67" s="30">
        <f>N43</f>
        <v>0.44953828826282144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3.9699577140553206</v>
      </c>
      <c r="C68" s="30">
        <f>N53</f>
        <v>1.2983019290210911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4" sqref="B4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42297</v>
      </c>
    </row>
    <row r="2" spans="1:20">
      <c r="A2" s="1" t="s">
        <v>1</v>
      </c>
      <c r="B2" s="2">
        <v>94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6">
        <v>250168</v>
      </c>
      <c r="F3" s="66">
        <v>224184</v>
      </c>
    </row>
    <row r="4" spans="1:20" ht="15">
      <c r="D4" s="10" t="s">
        <v>42</v>
      </c>
      <c r="E4" s="66">
        <v>329768</v>
      </c>
      <c r="F4" s="66">
        <v>334288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5">
        <v>5.5E-2</v>
      </c>
      <c r="D8" s="65">
        <v>6.9000000000000006E-2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5">
        <v>8.7999999999999995E-2</v>
      </c>
      <c r="D9" s="65">
        <v>9.6000000000000002E-2</v>
      </c>
      <c r="E9" s="11">
        <f t="shared" si="0"/>
        <v>9.1999999999999998E-2</v>
      </c>
      <c r="F9" s="12">
        <f>(E9-$E$8)</f>
        <v>0.03</v>
      </c>
      <c r="G9" s="12">
        <f>LOG(B9)</f>
        <v>-0.85930071603316016</v>
      </c>
      <c r="H9" s="12">
        <f>LOG(F9)</f>
        <v>-1.5228787452803376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5">
        <v>0.182</v>
      </c>
      <c r="D10" s="65">
        <v>0.18</v>
      </c>
      <c r="E10" s="11">
        <f t="shared" si="0"/>
        <v>0.18099999999999999</v>
      </c>
      <c r="F10" s="12">
        <f>(E10-$E$8)</f>
        <v>0.11899999999999999</v>
      </c>
      <c r="G10" s="12">
        <f>LOG(B10)</f>
        <v>-0.34053853694765485</v>
      </c>
      <c r="H10" s="12">
        <f>LOG(F10)</f>
        <v>-0.9244530386074693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5">
        <v>0.39500000000000002</v>
      </c>
      <c r="D11" s="65">
        <v>0.39300000000000002</v>
      </c>
      <c r="E11" s="11">
        <f t="shared" si="0"/>
        <v>0.39400000000000002</v>
      </c>
      <c r="F11" s="12">
        <f>(E11-$E$8)</f>
        <v>0.33200000000000002</v>
      </c>
      <c r="G11" s="12">
        <f>LOG(B11)</f>
        <v>0.13103255300924463</v>
      </c>
      <c r="H11" s="12">
        <f>LOG(F11)</f>
        <v>-0.4788619162959637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5">
        <v>1.1870000000000001</v>
      </c>
      <c r="D12" s="65">
        <v>1.1990000000000001</v>
      </c>
      <c r="E12" s="11">
        <f t="shared" si="0"/>
        <v>1.1930000000000001</v>
      </c>
      <c r="F12" s="12">
        <f>(E12-$E$8)</f>
        <v>1.131</v>
      </c>
      <c r="G12" s="12">
        <f>LOG(B12)</f>
        <v>0.65110938868757939</v>
      </c>
      <c r="H12" s="12">
        <f>LOG(F12)</f>
        <v>5.3462604925455293E-2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5">
        <v>2.2570000000000001</v>
      </c>
      <c r="D13" s="65">
        <v>2.1680000000000001</v>
      </c>
      <c r="E13" s="11">
        <f t="shared" si="0"/>
        <v>2.2125000000000004</v>
      </c>
      <c r="F13" s="12">
        <f>(E13-$E$8)</f>
        <v>2.1505000000000005</v>
      </c>
      <c r="G13" s="12">
        <f>LOG(B13)</f>
        <v>0.96868593733159802</v>
      </c>
      <c r="H13" s="12">
        <f>LOG(F13)</f>
        <v>0.33253944689011078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1.0112391262820195</v>
      </c>
      <c r="N15"/>
    </row>
    <row r="16" spans="1:20" ht="15">
      <c r="A16" s="5" t="s">
        <v>11</v>
      </c>
      <c r="B16" s="11">
        <f>INTERCEPT(H9:H13,G9:G13)</f>
        <v>-0.61947458103278341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0">
        <v>0.53800000000000003</v>
      </c>
      <c r="C22" s="70">
        <v>0.56799999999999995</v>
      </c>
      <c r="D22" s="27">
        <f t="shared" ref="D22:D27" si="2">AVERAGE(B22:C22)</f>
        <v>0.55299999999999994</v>
      </c>
      <c r="E22" s="27">
        <f t="shared" ref="E22:E27" si="3">D22-E$8</f>
        <v>0.49099999999999994</v>
      </c>
      <c r="F22" s="27">
        <f>LOG(E22)</f>
        <v>-0.30891850787703157</v>
      </c>
      <c r="G22" s="28">
        <f>(F22-$B$16)/$B$15</f>
        <v>0.30710448704408849</v>
      </c>
      <c r="H22" s="28">
        <f>10^G22</f>
        <v>2.0281706190252087</v>
      </c>
      <c r="I22" s="29">
        <v>500</v>
      </c>
      <c r="J22" s="30">
        <f>(H22*I22)</f>
        <v>1014.0853095126043</v>
      </c>
      <c r="K22" s="31">
        <f>(0.05*J22/1000)*1000</f>
        <v>50.704265475630223</v>
      </c>
      <c r="L22" s="32">
        <f>K22+K40+K50</f>
        <v>52.055982192474538</v>
      </c>
      <c r="M22" s="33">
        <f>(L22*1000000/50000)/1000</f>
        <v>1.0411196438494907</v>
      </c>
      <c r="N22" s="34"/>
    </row>
    <row r="23" spans="1:17" ht="15">
      <c r="B23" s="70">
        <v>0.71799999999999997</v>
      </c>
      <c r="C23" s="70">
        <v>0.68300000000000005</v>
      </c>
      <c r="D23" s="27">
        <f t="shared" si="2"/>
        <v>0.70050000000000001</v>
      </c>
      <c r="E23" s="27">
        <f t="shared" si="3"/>
        <v>0.63850000000000007</v>
      </c>
      <c r="F23" s="27">
        <f t="shared" ref="F23:F27" si="4">LOG(E23)</f>
        <v>-0.19483909840056587</v>
      </c>
      <c r="G23" s="28">
        <f t="shared" ref="G23:G27" si="5">(F23-$B$16)/$B$15</f>
        <v>0.41991599375061461</v>
      </c>
      <c r="H23" s="28">
        <f t="shared" ref="H23:H27" si="6">10^G23</f>
        <v>2.6297592643170979</v>
      </c>
      <c r="I23" s="29">
        <v>500</v>
      </c>
      <c r="J23" s="30">
        <f t="shared" ref="J23:J27" si="7">(H23*I23)</f>
        <v>1314.8796321585489</v>
      </c>
      <c r="K23" s="31">
        <f t="shared" ref="K23:K27" si="8">(0.05*J23/1000)*1000</f>
        <v>65.743981607927452</v>
      </c>
      <c r="L23" s="32">
        <f>K23+K41+K51</f>
        <v>67.461186747920294</v>
      </c>
      <c r="M23" s="33">
        <f t="shared" ref="M23:M27" si="9">(L23*1000000/50000)/1000</f>
        <v>1.349223734958406</v>
      </c>
      <c r="N23" s="34"/>
    </row>
    <row r="24" spans="1:17" ht="15">
      <c r="B24" s="70">
        <v>0.63</v>
      </c>
      <c r="C24" s="70">
        <v>0.66200000000000003</v>
      </c>
      <c r="D24" s="27">
        <f t="shared" si="2"/>
        <v>0.64600000000000002</v>
      </c>
      <c r="E24" s="27">
        <f t="shared" si="3"/>
        <v>0.58400000000000007</v>
      </c>
      <c r="F24" s="27">
        <f t="shared" si="4"/>
        <v>-0.23358715288760046</v>
      </c>
      <c r="G24" s="28">
        <f t="shared" si="5"/>
        <v>0.38159859336530921</v>
      </c>
      <c r="H24" s="28">
        <f t="shared" si="6"/>
        <v>2.4076790473776124</v>
      </c>
      <c r="I24" s="29">
        <v>500</v>
      </c>
      <c r="J24" s="30">
        <f t="shared" si="7"/>
        <v>1203.8395236888061</v>
      </c>
      <c r="K24" s="31">
        <f t="shared" si="8"/>
        <v>60.191976184440307</v>
      </c>
      <c r="L24" s="32">
        <f t="shared" ref="L24:L27" si="10">K24+K42+K52</f>
        <v>61.620024396042552</v>
      </c>
      <c r="M24" s="33">
        <f t="shared" si="9"/>
        <v>1.2324004879208512</v>
      </c>
      <c r="N24" s="34"/>
    </row>
    <row r="25" spans="1:17" ht="15">
      <c r="A25" s="1" t="s">
        <v>26</v>
      </c>
      <c r="B25" s="70">
        <v>0.62</v>
      </c>
      <c r="C25" s="70">
        <v>0.61199999999999999</v>
      </c>
      <c r="D25" s="27">
        <f t="shared" si="2"/>
        <v>0.61599999999999999</v>
      </c>
      <c r="E25" s="27">
        <f t="shared" si="3"/>
        <v>0.55400000000000005</v>
      </c>
      <c r="F25" s="27">
        <f t="shared" si="4"/>
        <v>-0.25649023527157022</v>
      </c>
      <c r="G25" s="28">
        <f t="shared" si="5"/>
        <v>0.35895006070006658</v>
      </c>
      <c r="H25" s="28">
        <f t="shared" si="6"/>
        <v>2.2853359986503938</v>
      </c>
      <c r="I25" s="29">
        <v>500</v>
      </c>
      <c r="J25" s="30">
        <f t="shared" si="7"/>
        <v>1142.6679993251969</v>
      </c>
      <c r="K25" s="31">
        <f t="shared" si="8"/>
        <v>57.133399966259844</v>
      </c>
      <c r="L25" s="32">
        <f t="shared" si="10"/>
        <v>61.017209044090691</v>
      </c>
      <c r="M25" s="33">
        <f t="shared" si="9"/>
        <v>1.2203441808818138</v>
      </c>
      <c r="N25" s="34"/>
    </row>
    <row r="26" spans="1:17" ht="15">
      <c r="B26" s="70">
        <v>0.57599999999999996</v>
      </c>
      <c r="C26" s="70">
        <v>0.56999999999999995</v>
      </c>
      <c r="D26" s="27">
        <f t="shared" si="2"/>
        <v>0.57299999999999995</v>
      </c>
      <c r="E26" s="27">
        <f t="shared" si="3"/>
        <v>0.5109999999999999</v>
      </c>
      <c r="F26" s="27">
        <f t="shared" si="4"/>
        <v>-0.29157909986528735</v>
      </c>
      <c r="G26" s="28">
        <f t="shared" si="5"/>
        <v>0.324251181194952</v>
      </c>
      <c r="H26" s="28">
        <f t="shared" si="6"/>
        <v>2.1098480616640636</v>
      </c>
      <c r="I26" s="29">
        <v>500</v>
      </c>
      <c r="J26" s="30">
        <f t="shared" si="7"/>
        <v>1054.9240308320318</v>
      </c>
      <c r="K26" s="31">
        <f t="shared" si="8"/>
        <v>52.746201541601593</v>
      </c>
      <c r="L26" s="32">
        <f t="shared" si="10"/>
        <v>56.287078144367968</v>
      </c>
      <c r="M26" s="33">
        <f t="shared" si="9"/>
        <v>1.1257415628873593</v>
      </c>
      <c r="N26" s="34"/>
    </row>
    <row r="27" spans="1:17" ht="15">
      <c r="B27" s="70">
        <v>0.61699999999999999</v>
      </c>
      <c r="C27" s="70">
        <v>0.65</v>
      </c>
      <c r="D27" s="27">
        <f t="shared" si="2"/>
        <v>0.63349999999999995</v>
      </c>
      <c r="E27" s="27">
        <f t="shared" si="3"/>
        <v>0.5714999999999999</v>
      </c>
      <c r="F27" s="27">
        <f t="shared" si="4"/>
        <v>-0.24298376526869953</v>
      </c>
      <c r="G27" s="28">
        <f t="shared" si="5"/>
        <v>0.37230641692861693</v>
      </c>
      <c r="H27" s="28">
        <f t="shared" si="6"/>
        <v>2.3567114777082923</v>
      </c>
      <c r="I27" s="29">
        <v>500</v>
      </c>
      <c r="J27" s="30">
        <f t="shared" si="7"/>
        <v>1178.3557388541462</v>
      </c>
      <c r="K27" s="31">
        <f t="shared" si="8"/>
        <v>58.917786942707316</v>
      </c>
      <c r="L27" s="32">
        <f t="shared" si="10"/>
        <v>62.313576741991042</v>
      </c>
      <c r="M27" s="33">
        <f t="shared" si="9"/>
        <v>1.2462715348398208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0">
        <v>0.53800000000000003</v>
      </c>
      <c r="C31" s="70">
        <v>0.56799999999999995</v>
      </c>
      <c r="D31" s="27">
        <f t="shared" ref="D31:D36" si="11">AVERAGE(B31:C31)</f>
        <v>0.55299999999999994</v>
      </c>
      <c r="E31" s="27">
        <f t="shared" ref="E31:E36" si="12">D31-E$8</f>
        <v>0.49099999999999994</v>
      </c>
      <c r="F31" s="27">
        <f>LOG(E31)</f>
        <v>-0.30891850787703157</v>
      </c>
      <c r="G31" s="28">
        <f>(F31-$B$16)/$B$15</f>
        <v>0.30710448704408849</v>
      </c>
      <c r="H31" s="28">
        <f>10^G31</f>
        <v>2.0281706190252087</v>
      </c>
      <c r="I31" s="29">
        <v>500</v>
      </c>
      <c r="J31" s="30">
        <f>(H31*I31)</f>
        <v>1014.0853095126043</v>
      </c>
      <c r="K31" s="31">
        <f>(0.05*J31/1000)*1000</f>
        <v>50.704265475630223</v>
      </c>
      <c r="L31" s="32">
        <f>K31+K50</f>
        <v>51.523152167329819</v>
      </c>
      <c r="M31" s="33">
        <f>(L31*1000000/50000)/1000</f>
        <v>1.0304630433465964</v>
      </c>
      <c r="N31" s="35"/>
      <c r="Q31"/>
    </row>
    <row r="32" spans="1:17" ht="15">
      <c r="B32" s="70">
        <v>0.71799999999999997</v>
      </c>
      <c r="C32" s="70">
        <v>0.68300000000000005</v>
      </c>
      <c r="D32" s="27">
        <f t="shared" si="11"/>
        <v>0.70050000000000001</v>
      </c>
      <c r="E32" s="27">
        <f t="shared" si="12"/>
        <v>0.63850000000000007</v>
      </c>
      <c r="F32" s="27">
        <f t="shared" ref="F32:F36" si="13">LOG(E32)</f>
        <v>-0.19483909840056587</v>
      </c>
      <c r="G32" s="28">
        <f t="shared" ref="G32:G36" si="14">(F32-$B$16)/$B$15</f>
        <v>0.41991599375061461</v>
      </c>
      <c r="H32" s="28">
        <f t="shared" ref="H32:H36" si="15">10^G32</f>
        <v>2.6297592643170979</v>
      </c>
      <c r="I32" s="29">
        <v>500</v>
      </c>
      <c r="J32" s="30">
        <f t="shared" ref="J32:J36" si="16">(H32*I32)</f>
        <v>1314.8796321585489</v>
      </c>
      <c r="K32" s="31">
        <f t="shared" ref="K32:K36" si="17">(0.05*J32/1000)*1000</f>
        <v>65.743981607927452</v>
      </c>
      <c r="L32" s="32">
        <f>K32+K51</f>
        <v>66.725318834894082</v>
      </c>
      <c r="M32" s="33">
        <f t="shared" ref="M32:M36" si="18">(L32*1000000/50000)/1000</f>
        <v>1.3345063766978817</v>
      </c>
      <c r="N32" s="36"/>
      <c r="Q32"/>
    </row>
    <row r="33" spans="1:21" ht="15">
      <c r="B33" s="70">
        <v>0.63</v>
      </c>
      <c r="C33" s="70">
        <v>0.66200000000000003</v>
      </c>
      <c r="D33" s="27">
        <f t="shared" si="11"/>
        <v>0.64600000000000002</v>
      </c>
      <c r="E33" s="27">
        <f t="shared" si="12"/>
        <v>0.58400000000000007</v>
      </c>
      <c r="F33" s="27">
        <f t="shared" si="13"/>
        <v>-0.23358715288760046</v>
      </c>
      <c r="G33" s="28">
        <f t="shared" si="14"/>
        <v>0.38159859336530921</v>
      </c>
      <c r="H33" s="28">
        <f t="shared" si="15"/>
        <v>2.4076790473776124</v>
      </c>
      <c r="I33" s="29">
        <v>500</v>
      </c>
      <c r="J33" s="30">
        <f t="shared" si="16"/>
        <v>1203.8395236888061</v>
      </c>
      <c r="K33" s="31">
        <f t="shared" si="17"/>
        <v>60.191976184440307</v>
      </c>
      <c r="L33" s="32">
        <f t="shared" ref="L33:L36" si="19">K33+K52</f>
        <v>61.080525116063278</v>
      </c>
      <c r="M33" s="33">
        <f t="shared" si="18"/>
        <v>1.2216105023212656</v>
      </c>
      <c r="N33" s="36"/>
      <c r="Q33"/>
      <c r="R33"/>
      <c r="S33"/>
    </row>
    <row r="34" spans="1:21" ht="15">
      <c r="A34" s="1" t="s">
        <v>26</v>
      </c>
      <c r="B34" s="70">
        <v>0.62</v>
      </c>
      <c r="C34" s="70">
        <v>0.61199999999999999</v>
      </c>
      <c r="D34" s="27">
        <f t="shared" si="11"/>
        <v>0.61599999999999999</v>
      </c>
      <c r="E34" s="27">
        <f t="shared" si="12"/>
        <v>0.55400000000000005</v>
      </c>
      <c r="F34" s="27">
        <f t="shared" si="13"/>
        <v>-0.25649023527157022</v>
      </c>
      <c r="G34" s="28">
        <f t="shared" si="14"/>
        <v>0.35895006070006658</v>
      </c>
      <c r="H34" s="28">
        <f t="shared" si="15"/>
        <v>2.2853359986503938</v>
      </c>
      <c r="I34" s="29">
        <v>500</v>
      </c>
      <c r="J34" s="30">
        <f t="shared" si="16"/>
        <v>1142.6679993251969</v>
      </c>
      <c r="K34" s="31">
        <f t="shared" si="17"/>
        <v>57.133399966259844</v>
      </c>
      <c r="L34" s="32">
        <f t="shared" si="19"/>
        <v>59.972965077857744</v>
      </c>
      <c r="M34" s="33">
        <f t="shared" si="18"/>
        <v>1.1994593015571546</v>
      </c>
      <c r="N34" s="36"/>
      <c r="Q34"/>
      <c r="R34"/>
      <c r="S34"/>
    </row>
    <row r="35" spans="1:21" ht="15">
      <c r="B35" s="70">
        <v>0.57599999999999996</v>
      </c>
      <c r="C35" s="70">
        <v>0.56999999999999995</v>
      </c>
      <c r="D35" s="27">
        <f t="shared" si="11"/>
        <v>0.57299999999999995</v>
      </c>
      <c r="E35" s="27">
        <f t="shared" si="12"/>
        <v>0.5109999999999999</v>
      </c>
      <c r="F35" s="27">
        <f t="shared" si="13"/>
        <v>-0.29157909986528735</v>
      </c>
      <c r="G35" s="28">
        <f t="shared" si="14"/>
        <v>0.324251181194952</v>
      </c>
      <c r="H35" s="28">
        <f t="shared" si="15"/>
        <v>2.1098480616640636</v>
      </c>
      <c r="I35" s="29">
        <v>500</v>
      </c>
      <c r="J35" s="30">
        <f t="shared" si="16"/>
        <v>1054.9240308320318</v>
      </c>
      <c r="K35" s="31">
        <f t="shared" si="17"/>
        <v>52.746201541601593</v>
      </c>
      <c r="L35" s="32">
        <f t="shared" si="19"/>
        <v>55.1369809666351</v>
      </c>
      <c r="M35" s="33">
        <f t="shared" si="18"/>
        <v>1.1027396193327019</v>
      </c>
      <c r="N35" s="36"/>
      <c r="Q35"/>
      <c r="R35"/>
      <c r="S35"/>
    </row>
    <row r="36" spans="1:21" ht="15">
      <c r="B36" s="70">
        <v>0.61699999999999999</v>
      </c>
      <c r="C36" s="70">
        <v>0.65</v>
      </c>
      <c r="D36" s="27">
        <f t="shared" si="11"/>
        <v>0.63349999999999995</v>
      </c>
      <c r="E36" s="27">
        <f t="shared" si="12"/>
        <v>0.5714999999999999</v>
      </c>
      <c r="F36" s="27">
        <f t="shared" si="13"/>
        <v>-0.24298376526869953</v>
      </c>
      <c r="G36" s="28">
        <f t="shared" si="14"/>
        <v>0.37230641692861693</v>
      </c>
      <c r="H36" s="28">
        <f t="shared" si="15"/>
        <v>2.3567114777082923</v>
      </c>
      <c r="I36" s="29">
        <v>500</v>
      </c>
      <c r="J36" s="30">
        <f t="shared" si="16"/>
        <v>1178.3557388541462</v>
      </c>
      <c r="K36" s="31">
        <f t="shared" si="17"/>
        <v>58.917786942707316</v>
      </c>
      <c r="L36" s="32">
        <f t="shared" si="19"/>
        <v>61.256094765978943</v>
      </c>
      <c r="M36" s="33">
        <f t="shared" si="18"/>
        <v>1.2251218953195786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0">
        <v>0.13400000000000001</v>
      </c>
      <c r="C40" s="70">
        <v>0.14799999999999999</v>
      </c>
      <c r="D40" s="27">
        <f t="shared" ref="D40:D45" si="20">AVERAGE(B40,C40)</f>
        <v>0.14100000000000001</v>
      </c>
      <c r="E40" s="27">
        <f t="shared" ref="E40:E45" si="21">D40-E$8</f>
        <v>7.9000000000000015E-2</v>
      </c>
      <c r="F40" s="27">
        <f t="shared" ref="F40:F45" si="22">LOG(E40)</f>
        <v>-1.1023729087095584</v>
      </c>
      <c r="G40" s="28">
        <f t="shared" ref="G40:G45" si="23">(F40-$B$16)/$B$15</f>
        <v>-0.47753129316922993</v>
      </c>
      <c r="H40" s="27">
        <f t="shared" ref="H40:H45" si="24">10^G40</f>
        <v>0.3330187657154513</v>
      </c>
      <c r="I40" s="41">
        <v>16</v>
      </c>
      <c r="J40" s="42">
        <f t="shared" ref="J40:J45" si="25">H40*I40</f>
        <v>5.3283002514472209</v>
      </c>
      <c r="K40" s="30">
        <f>(0.1*J40/1000)*1000</f>
        <v>0.53283002514472211</v>
      </c>
      <c r="L40" s="43">
        <f>K40*100/L22</f>
        <v>1.023571168390615</v>
      </c>
      <c r="M40" s="30">
        <f>AVERAGE(L40:L42)</f>
        <v>0.99663299621709023</v>
      </c>
      <c r="N40" s="44">
        <f>STDEV(L40:L42)</f>
        <v>0.11013713128298511</v>
      </c>
      <c r="R40"/>
      <c r="S40"/>
      <c r="T40"/>
      <c r="U40"/>
    </row>
    <row r="41" spans="1:21" ht="15">
      <c r="B41" s="70">
        <v>0.16300000000000001</v>
      </c>
      <c r="C41" s="70">
        <v>0.18</v>
      </c>
      <c r="D41" s="27">
        <f t="shared" si="20"/>
        <v>0.17149999999999999</v>
      </c>
      <c r="E41" s="27">
        <f t="shared" si="21"/>
        <v>0.10949999999999999</v>
      </c>
      <c r="F41" s="27">
        <f t="shared" si="22"/>
        <v>-0.96058588082386287</v>
      </c>
      <c r="G41" s="28">
        <f t="shared" si="23"/>
        <v>-0.33732011640533438</v>
      </c>
      <c r="H41" s="27">
        <f t="shared" si="24"/>
        <v>0.45991744564138282</v>
      </c>
      <c r="I41" s="41">
        <v>16</v>
      </c>
      <c r="J41" s="42">
        <f t="shared" si="25"/>
        <v>7.3586791302621251</v>
      </c>
      <c r="K41" s="30">
        <f t="shared" ref="K41:K45" si="26">(0.1*J41/1000)*1000</f>
        <v>0.73586791302621257</v>
      </c>
      <c r="L41" s="43">
        <f t="shared" ref="L41:L45" si="27">K41*100/L23</f>
        <v>1.0908019092161878</v>
      </c>
      <c r="M41" s="30"/>
      <c r="N41" s="44"/>
      <c r="R41"/>
      <c r="S41"/>
      <c r="T41"/>
      <c r="U41"/>
    </row>
    <row r="42" spans="1:21" s="17" customFormat="1" ht="15">
      <c r="A42" s="1"/>
      <c r="B42" s="70">
        <v>0.14000000000000001</v>
      </c>
      <c r="C42" s="70">
        <v>0.14399999999999999</v>
      </c>
      <c r="D42" s="27">
        <f t="shared" si="20"/>
        <v>0.14200000000000002</v>
      </c>
      <c r="E42" s="27">
        <f t="shared" si="21"/>
        <v>8.0000000000000016E-2</v>
      </c>
      <c r="F42" s="27">
        <f t="shared" si="22"/>
        <v>-1.0969100130080562</v>
      </c>
      <c r="G42" s="28">
        <f t="shared" si="23"/>
        <v>-0.47212911325003776</v>
      </c>
      <c r="H42" s="27">
        <f t="shared" si="24"/>
        <v>0.33718704998704685</v>
      </c>
      <c r="I42" s="41">
        <v>16</v>
      </c>
      <c r="J42" s="42">
        <f t="shared" si="25"/>
        <v>5.3949927997927496</v>
      </c>
      <c r="K42" s="30">
        <f t="shared" si="26"/>
        <v>0.53949927997927494</v>
      </c>
      <c r="L42" s="43">
        <f t="shared" si="27"/>
        <v>0.87552591104446797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0.20200000000000001</v>
      </c>
      <c r="C43" s="70">
        <v>0.23400000000000001</v>
      </c>
      <c r="D43" s="27">
        <f t="shared" si="20"/>
        <v>0.21800000000000003</v>
      </c>
      <c r="E43" s="27">
        <f t="shared" si="21"/>
        <v>0.15600000000000003</v>
      </c>
      <c r="F43" s="27">
        <f t="shared" si="22"/>
        <v>-0.80687540164553828</v>
      </c>
      <c r="G43" s="28">
        <f t="shared" si="23"/>
        <v>-0.18531800811719343</v>
      </c>
      <c r="H43" s="27">
        <f t="shared" si="24"/>
        <v>0.65265247889559042</v>
      </c>
      <c r="I43" s="41">
        <v>16</v>
      </c>
      <c r="J43" s="42">
        <f t="shared" si="25"/>
        <v>10.442439662329447</v>
      </c>
      <c r="K43" s="30">
        <f t="shared" si="26"/>
        <v>1.0442439662329448</v>
      </c>
      <c r="L43" s="43">
        <f t="shared" si="27"/>
        <v>1.7113925441564855</v>
      </c>
      <c r="M43" s="30">
        <f>AVERAGE(L43:L45)</f>
        <v>1.8172319723439483</v>
      </c>
      <c r="N43" s="44">
        <f>STDEV(L43:L45)</f>
        <v>0.19588659871541808</v>
      </c>
      <c r="R43"/>
      <c r="S43"/>
      <c r="T43"/>
      <c r="U43"/>
    </row>
    <row r="44" spans="1:21" ht="15">
      <c r="A44" s="45"/>
      <c r="B44" s="70">
        <v>0.216</v>
      </c>
      <c r="C44" s="70">
        <v>0.252</v>
      </c>
      <c r="D44" s="27">
        <f t="shared" si="20"/>
        <v>0.23399999999999999</v>
      </c>
      <c r="E44" s="27">
        <f t="shared" si="21"/>
        <v>0.17199999999999999</v>
      </c>
      <c r="F44" s="27">
        <f t="shared" si="22"/>
        <v>-0.76447155309245107</v>
      </c>
      <c r="G44" s="28">
        <f t="shared" si="23"/>
        <v>-0.14338544493701696</v>
      </c>
      <c r="H44" s="27">
        <f t="shared" si="24"/>
        <v>0.71881073608304302</v>
      </c>
      <c r="I44" s="41">
        <v>16</v>
      </c>
      <c r="J44" s="42">
        <f t="shared" si="25"/>
        <v>11.500971777328688</v>
      </c>
      <c r="K44" s="30">
        <f t="shared" si="26"/>
        <v>1.1500971777328688</v>
      </c>
      <c r="L44" s="43">
        <f t="shared" si="27"/>
        <v>2.0432703484502088</v>
      </c>
      <c r="M44" s="30"/>
      <c r="N44" s="44"/>
      <c r="R44"/>
      <c r="S44"/>
      <c r="T44"/>
      <c r="U44"/>
    </row>
    <row r="45" spans="1:21" ht="15">
      <c r="A45" s="46"/>
      <c r="B45" s="70">
        <v>0.214</v>
      </c>
      <c r="C45" s="70">
        <v>0.22600000000000001</v>
      </c>
      <c r="D45" s="27">
        <f t="shared" si="20"/>
        <v>0.22</v>
      </c>
      <c r="E45" s="27">
        <f t="shared" si="21"/>
        <v>0.158</v>
      </c>
      <c r="F45" s="27">
        <f t="shared" si="22"/>
        <v>-0.80134291304557737</v>
      </c>
      <c r="G45" s="28">
        <f t="shared" si="23"/>
        <v>-0.17984700876978685</v>
      </c>
      <c r="H45" s="27">
        <f t="shared" si="24"/>
        <v>0.6609262350075612</v>
      </c>
      <c r="I45" s="41">
        <v>16</v>
      </c>
      <c r="J45" s="42">
        <f t="shared" si="25"/>
        <v>10.574819760120979</v>
      </c>
      <c r="K45" s="30">
        <f t="shared" si="26"/>
        <v>1.0574819760120979</v>
      </c>
      <c r="L45" s="43">
        <f t="shared" si="27"/>
        <v>1.6970330244251508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1">
        <v>0.17699999999999999</v>
      </c>
      <c r="C50" s="71">
        <v>0.191</v>
      </c>
      <c r="D50" s="27">
        <f t="shared" ref="D50:D52" si="28">AVERAGE(B50,C50)</f>
        <v>0.184</v>
      </c>
      <c r="E50" s="27">
        <f t="shared" ref="E50:E55" si="29">D50-E$8</f>
        <v>0.122</v>
      </c>
      <c r="F50" s="27">
        <f t="shared" ref="F50:F55" si="30">LOG(E50)</f>
        <v>-0.91364016932525183</v>
      </c>
      <c r="G50" s="28">
        <f t="shared" ref="G50:G55" si="31">(F50-$B$16)/$B$15</f>
        <v>-0.29089616950840769</v>
      </c>
      <c r="H50" s="27">
        <f t="shared" ref="H50:H55" si="32">10^G50</f>
        <v>0.51180418231224878</v>
      </c>
      <c r="I50" s="41">
        <v>16</v>
      </c>
      <c r="J50" s="42">
        <f t="shared" ref="J50:J55" si="33">H50*I50</f>
        <v>8.1888669169959805</v>
      </c>
      <c r="K50" s="30">
        <f>(0.1*J50/1000)*1000</f>
        <v>0.81888669169959805</v>
      </c>
      <c r="L50" s="43">
        <f t="shared" ref="L50:L55" si="34">K50*100/L31</f>
        <v>1.5893567401313689</v>
      </c>
      <c r="M50" s="30">
        <f>AVERAGE(L50:L52)</f>
        <v>1.5049286393268027</v>
      </c>
      <c r="N50" s="44">
        <f>STDEV(L50:L52)</f>
        <v>7.355294473408075E-2</v>
      </c>
      <c r="O50" s="48">
        <f>L50/L40</f>
        <v>1.5527564562319118</v>
      </c>
      <c r="P50" s="30">
        <f>AVERAGE(O50:O52)</f>
        <v>1.5208589576946832</v>
      </c>
      <c r="Q50" s="44">
        <f>STDEV(O50:O52)</f>
        <v>0.15904251093117261</v>
      </c>
      <c r="S50"/>
      <c r="T50"/>
    </row>
    <row r="51" spans="1:25" ht="15">
      <c r="B51" s="71">
        <v>0.21</v>
      </c>
      <c r="C51" s="71">
        <v>0.20699999999999999</v>
      </c>
      <c r="D51" s="27">
        <f t="shared" si="28"/>
        <v>0.20849999999999999</v>
      </c>
      <c r="E51" s="27">
        <f t="shared" si="29"/>
        <v>0.14649999999999999</v>
      </c>
      <c r="F51" s="27">
        <f t="shared" si="30"/>
        <v>-0.83416237530987181</v>
      </c>
      <c r="G51" s="28">
        <f t="shared" si="31"/>
        <v>-0.21230170856464189</v>
      </c>
      <c r="H51" s="27">
        <f t="shared" si="32"/>
        <v>0.61333576685414526</v>
      </c>
      <c r="I51" s="41">
        <v>16</v>
      </c>
      <c r="J51" s="42">
        <f t="shared" si="33"/>
        <v>9.8133722696663241</v>
      </c>
      <c r="K51" s="30">
        <f t="shared" ref="K51:K55" si="35">(0.1*J51/1000)*1000</f>
        <v>0.98133722696663239</v>
      </c>
      <c r="L51" s="43">
        <f t="shared" si="34"/>
        <v>1.4707119337936247</v>
      </c>
      <c r="M51" s="30"/>
      <c r="N51" s="44"/>
      <c r="O51" s="2">
        <f t="shared" ref="O51:O55" si="36">L51/L41</f>
        <v>1.348285074831256</v>
      </c>
      <c r="P51" s="30"/>
      <c r="Q51" s="44"/>
      <c r="S51"/>
      <c r="T51"/>
    </row>
    <row r="52" spans="1:25" ht="15">
      <c r="B52" s="71">
        <v>0.19600000000000001</v>
      </c>
      <c r="C52" s="71">
        <v>0.193</v>
      </c>
      <c r="D52" s="27">
        <f t="shared" si="28"/>
        <v>0.19450000000000001</v>
      </c>
      <c r="E52" s="27">
        <f t="shared" si="29"/>
        <v>0.13250000000000001</v>
      </c>
      <c r="F52" s="27">
        <f t="shared" si="30"/>
        <v>-0.87778412172717335</v>
      </c>
      <c r="G52" s="28">
        <f t="shared" si="31"/>
        <v>-0.25543863363367453</v>
      </c>
      <c r="H52" s="27">
        <f t="shared" si="32"/>
        <v>0.55534308226435669</v>
      </c>
      <c r="I52" s="41">
        <v>16</v>
      </c>
      <c r="J52" s="42">
        <f t="shared" si="33"/>
        <v>8.8854893162297071</v>
      </c>
      <c r="K52" s="30">
        <f t="shared" si="35"/>
        <v>0.88854893162297077</v>
      </c>
      <c r="L52" s="43">
        <f t="shared" si="34"/>
        <v>1.4547172440554141</v>
      </c>
      <c r="M52" s="30"/>
      <c r="N52" s="44"/>
      <c r="O52" s="2">
        <f t="shared" si="36"/>
        <v>1.6615353420208816</v>
      </c>
      <c r="P52" s="30"/>
      <c r="Q52" s="44"/>
      <c r="S52"/>
      <c r="T52"/>
    </row>
    <row r="53" spans="1:25" ht="15">
      <c r="A53" s="1" t="s">
        <v>26</v>
      </c>
      <c r="B53" s="71">
        <v>0.48399999999999999</v>
      </c>
      <c r="C53" s="71">
        <v>0.498</v>
      </c>
      <c r="D53" s="27">
        <f>AVERAGE(B53:C53)</f>
        <v>0.49099999999999999</v>
      </c>
      <c r="E53" s="27">
        <f t="shared" si="29"/>
        <v>0.42899999999999999</v>
      </c>
      <c r="F53" s="27">
        <f t="shared" si="30"/>
        <v>-0.36754270781527576</v>
      </c>
      <c r="G53" s="28">
        <f t="shared" si="31"/>
        <v>0.24913184890677145</v>
      </c>
      <c r="H53" s="27">
        <f t="shared" si="32"/>
        <v>1.7747281947486866</v>
      </c>
      <c r="I53" s="41">
        <v>16</v>
      </c>
      <c r="J53" s="42">
        <f t="shared" si="33"/>
        <v>28.395651115978986</v>
      </c>
      <c r="K53" s="30">
        <f t="shared" si="35"/>
        <v>2.8395651115978988</v>
      </c>
      <c r="L53" s="43">
        <f t="shared" si="34"/>
        <v>4.7347419089777132</v>
      </c>
      <c r="M53" s="30">
        <f>AVERAGE(L53:L55)</f>
        <v>4.2960266375499927</v>
      </c>
      <c r="N53" s="44">
        <f>STDEV(L53:L55)</f>
        <v>0.46004722638508161</v>
      </c>
      <c r="O53" s="2">
        <f t="shared" si="36"/>
        <v>2.766601926100702</v>
      </c>
      <c r="P53" s="30">
        <f>AVERAGE(O53:O55)</f>
        <v>2.3793672513940733</v>
      </c>
      <c r="Q53" s="44">
        <f>STDEV(O53:O55)</f>
        <v>0.34133753941746603</v>
      </c>
      <c r="S53"/>
      <c r="T53"/>
    </row>
    <row r="54" spans="1:25" ht="15">
      <c r="A54" s="45"/>
      <c r="B54" s="71">
        <v>0.41</v>
      </c>
      <c r="C54" s="71">
        <v>0.435</v>
      </c>
      <c r="D54" s="27">
        <f>AVERAGE(B54:C54)</f>
        <v>0.42249999999999999</v>
      </c>
      <c r="E54" s="27">
        <f t="shared" si="29"/>
        <v>0.36049999999999999</v>
      </c>
      <c r="F54" s="27">
        <f t="shared" si="30"/>
        <v>-0.44309473094455215</v>
      </c>
      <c r="G54" s="28">
        <f t="shared" si="31"/>
        <v>0.17441952699824784</v>
      </c>
      <c r="H54" s="27">
        <f t="shared" si="32"/>
        <v>1.4942371406459423</v>
      </c>
      <c r="I54" s="41">
        <v>16</v>
      </c>
      <c r="J54" s="42">
        <f t="shared" si="33"/>
        <v>23.907794250335076</v>
      </c>
      <c r="K54" s="30">
        <f t="shared" si="35"/>
        <v>2.3907794250335077</v>
      </c>
      <c r="L54" s="43">
        <f t="shared" si="34"/>
        <v>4.3360724202150891</v>
      </c>
      <c r="M54" s="30"/>
      <c r="N54" s="44"/>
      <c r="O54" s="2">
        <f t="shared" si="36"/>
        <v>2.1221236942551132</v>
      </c>
      <c r="P54" s="30"/>
      <c r="Q54" s="44"/>
      <c r="S54"/>
      <c r="T54"/>
    </row>
    <row r="55" spans="1:25" ht="15">
      <c r="A55" s="46"/>
      <c r="B55" s="71">
        <v>0.42199999999999999</v>
      </c>
      <c r="C55" s="71">
        <v>0.40699999999999997</v>
      </c>
      <c r="D55" s="27">
        <f>AVERAGE(B55:C55)</f>
        <v>0.41449999999999998</v>
      </c>
      <c r="E55" s="27">
        <f t="shared" si="29"/>
        <v>0.35249999999999998</v>
      </c>
      <c r="F55" s="27">
        <f t="shared" si="30"/>
        <v>-0.45284087867258249</v>
      </c>
      <c r="G55" s="28">
        <f t="shared" si="31"/>
        <v>0.16478170002465795</v>
      </c>
      <c r="H55" s="27">
        <f t="shared" si="32"/>
        <v>1.4614423895447661</v>
      </c>
      <c r="I55" s="41">
        <v>16</v>
      </c>
      <c r="J55" s="42">
        <f t="shared" si="33"/>
        <v>23.383078232716258</v>
      </c>
      <c r="K55" s="30">
        <f t="shared" si="35"/>
        <v>2.3383078232716259</v>
      </c>
      <c r="L55" s="43">
        <f t="shared" si="34"/>
        <v>3.8172655834571745</v>
      </c>
      <c r="M55" s="30"/>
      <c r="N55" s="44"/>
      <c r="O55" s="2">
        <f t="shared" si="36"/>
        <v>2.2493761338264036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1.5208589576946832</v>
      </c>
      <c r="O58" s="30">
        <f>Q50</f>
        <v>0.15904251093117261</v>
      </c>
    </row>
    <row r="59" spans="1:25" ht="15">
      <c r="D59"/>
      <c r="E59"/>
      <c r="G59"/>
      <c r="M59" s="2" t="s">
        <v>26</v>
      </c>
      <c r="N59" s="30">
        <f>P53</f>
        <v>2.3793672513940733</v>
      </c>
      <c r="O59" s="30">
        <f>Q53</f>
        <v>0.34133753941746603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0.99663299621709023</v>
      </c>
      <c r="C65" s="30">
        <f>N40</f>
        <v>0.11013713128298511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1.5049286393268027</v>
      </c>
      <c r="C66" s="30">
        <f>N50</f>
        <v>7.355294473408075E-2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1.8172319723439483</v>
      </c>
      <c r="C67" s="30">
        <f>N43</f>
        <v>0.19588659871541808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4.2960266375499927</v>
      </c>
      <c r="C68" s="30">
        <f>N53</f>
        <v>0.46004722638508161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siMPHOSPH9</vt:lpstr>
      <vt:lpstr>siKCNK16</vt:lpstr>
      <vt:lpstr>siKCNK16!Zone_d_impression</vt:lpstr>
      <vt:lpstr>siMPHOSPH9!Zone_d_impression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2016-03-07T13:46:14Z</dcterms:modified>
</cp:coreProperties>
</file>