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95" windowHeight="11505" activeTab="2"/>
  </bookViews>
  <sheets>
    <sheet name="siNTP" sheetId="8" r:id="rId1"/>
    <sheet name="siMPHOSPH9" sheetId="10" r:id="rId2"/>
    <sheet name="siKCNK16" sheetId="11" r:id="rId3"/>
  </sheets>
  <externalReferences>
    <externalReference r:id="rId4"/>
  </externalReferences>
  <definedNames>
    <definedName name="_xlnm.Print_Area" localSheetId="2">siKCNK16!$A$1:$Q$83</definedName>
    <definedName name="_xlnm.Print_Area" localSheetId="1">siMPHOSPH9!$A$1:$Q$83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D55" i="11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D55" i="10"/>
  <c r="E55" s="1"/>
  <c r="F55" s="1"/>
  <c r="D54"/>
  <c r="E54" s="1"/>
  <c r="F54" s="1"/>
  <c r="D53"/>
  <c r="E53" s="1"/>
  <c r="F53" s="1"/>
  <c r="D52"/>
  <c r="E52" s="1"/>
  <c r="F52" s="1"/>
  <c r="D51"/>
  <c r="E51" s="1"/>
  <c r="F51" s="1"/>
  <c r="D50"/>
  <c r="E50" s="1"/>
  <c r="F50" s="1"/>
  <c r="D45"/>
  <c r="E45" s="1"/>
  <c r="F45" s="1"/>
  <c r="D44"/>
  <c r="E44" s="1"/>
  <c r="F44" s="1"/>
  <c r="D43"/>
  <c r="E43" s="1"/>
  <c r="F43" s="1"/>
  <c r="D42"/>
  <c r="E42" s="1"/>
  <c r="F42" s="1"/>
  <c r="D41"/>
  <c r="E41" s="1"/>
  <c r="F41" s="1"/>
  <c r="D40"/>
  <c r="E40" s="1"/>
  <c r="F40" s="1"/>
  <c r="D36"/>
  <c r="E36" s="1"/>
  <c r="F36" s="1"/>
  <c r="D35"/>
  <c r="E35" s="1"/>
  <c r="F35" s="1"/>
  <c r="D34"/>
  <c r="E34" s="1"/>
  <c r="F34" s="1"/>
  <c r="D33"/>
  <c r="E33" s="1"/>
  <c r="F33" s="1"/>
  <c r="D32"/>
  <c r="E32" s="1"/>
  <c r="F32" s="1"/>
  <c r="D31"/>
  <c r="E31" s="1"/>
  <c r="F31" s="1"/>
  <c r="D27"/>
  <c r="E27" s="1"/>
  <c r="F27" s="1"/>
  <c r="D26"/>
  <c r="E26" s="1"/>
  <c r="F26" s="1"/>
  <c r="D25"/>
  <c r="E25" s="1"/>
  <c r="F25" s="1"/>
  <c r="D24"/>
  <c r="E24" s="1"/>
  <c r="F24" s="1"/>
  <c r="D23"/>
  <c r="E23" s="1"/>
  <c r="F23" s="1"/>
  <c r="D22"/>
  <c r="E22" s="1"/>
  <c r="F22" s="1"/>
  <c r="E13"/>
  <c r="F13" s="1"/>
  <c r="H13" s="1"/>
  <c r="B13"/>
  <c r="G13" s="1"/>
  <c r="E12"/>
  <c r="F12" s="1"/>
  <c r="H12" s="1"/>
  <c r="B12"/>
  <c r="G12" s="1"/>
  <c r="E11"/>
  <c r="F11" s="1"/>
  <c r="H11" s="1"/>
  <c r="B11"/>
  <c r="G11" s="1"/>
  <c r="E10"/>
  <c r="F10" s="1"/>
  <c r="H10" s="1"/>
  <c r="B10"/>
  <c r="G10" s="1"/>
  <c r="E9"/>
  <c r="F9" s="1"/>
  <c r="H9" s="1"/>
  <c r="B9"/>
  <c r="G9" s="1"/>
  <c r="E8"/>
  <c r="B16" i="11" l="1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B16" i="10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11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10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11" l="1"/>
  <c r="L41"/>
  <c r="L42"/>
  <c r="L43"/>
  <c r="L44"/>
  <c r="L45"/>
  <c r="L50"/>
  <c r="L51"/>
  <c r="O51" s="1"/>
  <c r="L52"/>
  <c r="O52" s="1"/>
  <c r="L53"/>
  <c r="L54"/>
  <c r="O54" s="1"/>
  <c r="L55"/>
  <c r="O55" s="1"/>
  <c r="L40" i="10"/>
  <c r="L41"/>
  <c r="L42"/>
  <c r="L43"/>
  <c r="L44"/>
  <c r="L45"/>
  <c r="L50"/>
  <c r="L51"/>
  <c r="O51" s="1"/>
  <c r="L52"/>
  <c r="O52" s="1"/>
  <c r="L53"/>
  <c r="L54"/>
  <c r="O54" s="1"/>
  <c r="L55"/>
  <c r="O55" s="1"/>
  <c r="O53" i="11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0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11" l="1"/>
  <c r="O58" s="1"/>
  <c r="P50"/>
  <c r="N58" s="1"/>
  <c r="Q53"/>
  <c r="O59" s="1"/>
  <c r="P53"/>
  <c r="N59" s="1"/>
  <c r="Q50" i="10"/>
  <c r="O58" s="1"/>
  <c r="P50"/>
  <c r="N58" s="1"/>
  <c r="Q53"/>
  <c r="O59" s="1"/>
  <c r="P53"/>
  <c r="N59" s="1"/>
  <c r="D55" i="8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B13"/>
  <c r="G13" s="1"/>
  <c r="E12"/>
  <c r="B12"/>
  <c r="G12" s="1"/>
  <c r="E11"/>
  <c r="B11"/>
  <c r="G11" s="1"/>
  <c r="E10"/>
  <c r="B10"/>
  <c r="G10" s="1"/>
  <c r="E9"/>
  <c r="B9"/>
  <c r="G9" s="1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l="1"/>
  <c r="L41"/>
  <c r="L42"/>
  <c r="L43"/>
  <c r="L44"/>
  <c r="L45"/>
  <c r="L50"/>
  <c r="L51"/>
  <c r="O51" s="1"/>
  <c r="L52"/>
  <c r="O52" s="1"/>
  <c r="L53"/>
  <c r="L54"/>
  <c r="O54" s="1"/>
  <c r="L55"/>
  <c r="O55" s="1"/>
  <c r="O5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l="1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<sst xmlns="http://schemas.openxmlformats.org/spreadsheetml/2006/main" count="300" uniqueCount="44">
  <si>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</si>
  <si>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</si>
  <si>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</si>
  <si>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</si>
  <si>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</si>
  <si>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</si>
  <si>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</si>
  <si>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</si>
  <si>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</si>
  <si>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</si>
  <si>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</si>
  <si>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</si>
  <si>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</si>
  <si>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</si>
  <si>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</si>
  <si>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</si>
  <si>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</si>
  <si>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</si>
  <si>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</si>
  <si>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</si>
  <si>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</si>
  <si>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</si>
  <si>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</si>
  <si>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</si>
  <si>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</si>
  <si>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</si>
  <si>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</si>
  <si>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</si>
  <si>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</si>
  <si>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</si>
  <si>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</si>
  <si>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</si>
  <si>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</si>
  <si>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</si>
  <si>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</si>
  <si>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</si>
  <si>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</si>
  <si>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</si>
  <si>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</si>
  <si>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</si>
  <si>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</si>
  <si>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</si>
  <si>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</si>
  <si>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Ana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</si>
</sst>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Protection="1">
      <protection locked="0"/>
    </xf>
    <xf numFmtId="0" fontId="0" fillId="5" borderId="0" xfId="0" applyFill="1" applyBorder="1"/>
    <xf numFmtId="0" fontId="0" fillId="5" borderId="12" xfId="0" applyFill="1" applyBorder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7" borderId="0" xfId="0" applyFill="1"/>
    <xf numFmtId="0" fontId="3" fillId="0" borderId="2" xfId="1" applyFont="1" applyBorder="1" applyAlignment="1">
      <alignment horizontal="left"/>
    </xf>
    <xf numFmtId="0" fontId="0" fillId="6" borderId="0" xfId="0" applyFill="1" applyBorder="1"/>
    <xf numFmtId="0" fontId="0" fillId="6" borderId="12" xfId="0" applyFill="1" applyBorder="1"/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8" borderId="12" xfId="0" applyFill="1" applyBorder="1"/>
    <xf numFmtId="0" fontId="0" fillId="9" borderId="0" xfId="0" applyFill="1" applyBorder="1"/>
    <xf numFmtId="0" fontId="0" fillId="9" borderId="12" xfId="0" applyFill="1" applyBorder="1"/>
    <xf numFmtId="0" fontId="0" fillId="10" borderId="0" xfId="0" applyFill="1"/>
    <xf numFmtId="0" fontId="0" fillId="11" borderId="0" xfId="0" applyFill="1"/>
    <xf numFmtId="0" fontId="0" fillId="10" borderId="0" xfId="0" applyFill="1" applyBorder="1"/>
    <xf numFmtId="0" fontId="0" fillId="10" borderId="12" xfId="0" applyFill="1" applyBorder="1"/>
    <xf numFmtId="0" fontId="0" fillId="11" borderId="0" xfId="0" applyFill="1" applyBorder="1"/>
    <xf numFmtId="0" fontId="0" fillId="11" borderId="12" xfId="0" applyFill="1" applyBorder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-1.4559319556497246</c:v>
                </c:pt>
                <c:pt idx="1">
                  <c:v>-0.96657624451305035</c:v>
                </c:pt>
                <c:pt idx="2">
                  <c:v>-0.53536144090496707</c:v>
                </c:pt>
                <c:pt idx="3">
                  <c:v>3.9215765903950504E-2</c:v>
                </c:pt>
                <c:pt idx="4">
                  <c:v>0.31680875205302211</c:v>
                </c:pt>
              </c:numCache>
            </c:numRef>
          </c:yVal>
        </c:ser>
        <c:axId val="59593088"/>
        <c:axId val="59594624"/>
      </c:scatterChart>
      <c:valAx>
        <c:axId val="5959308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594624"/>
        <c:crosses val="autoZero"/>
        <c:crossBetween val="midCat"/>
      </c:valAx>
      <c:valAx>
        <c:axId val="5959462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593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8.9944628563826526E-2</c:v>
                  </c:pt>
                  <c:pt idx="1">
                    <c:v>0.36617227693978105</c:v>
                  </c:pt>
                  <c:pt idx="2">
                    <c:v>0.1251723786764749</c:v>
                  </c:pt>
                  <c:pt idx="3">
                    <c:v>1.0962347018015746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8.9944628563826526E-2</c:v>
                  </c:pt>
                  <c:pt idx="1">
                    <c:v>0.36617227693978105</c:v>
                  </c:pt>
                  <c:pt idx="2">
                    <c:v>0.1251723786764749</c:v>
                  </c:pt>
                  <c:pt idx="3">
                    <c:v>1.0962347018015746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0.39452692357618629</c:v>
                </c:pt>
                <c:pt idx="1">
                  <c:v>1.1690272822439889</c:v>
                </c:pt>
                <c:pt idx="2">
                  <c:v>1.2360056487515656</c:v>
                </c:pt>
                <c:pt idx="3">
                  <c:v>4.1153812510531944</c:v>
                </c:pt>
              </c:numCache>
            </c:numRef>
          </c:val>
        </c:ser>
        <c:axId val="60245120"/>
        <c:axId val="60246656"/>
      </c:barChart>
      <c:catAx>
        <c:axId val="60245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46656"/>
        <c:crosses val="autoZero"/>
        <c:auto val="1"/>
        <c:lblAlgn val="ctr"/>
        <c:lblOffset val="100"/>
      </c:catAx>
      <c:valAx>
        <c:axId val="602466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45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4"/>
          <c:y val="2.720080182307741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1.4253455737332381</c:v>
                  </c:pt>
                  <c:pt idx="1">
                    <c:v>1.1092665030847262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1.4253455737332381</c:v>
                  </c:pt>
                  <c:pt idx="1">
                    <c:v>1.1092665030847262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3.1373269764255389</c:v>
                </c:pt>
                <c:pt idx="1">
                  <c:v>3.3734333359571771</c:v>
                </c:pt>
              </c:numCache>
            </c:numRef>
          </c:val>
        </c:ser>
        <c:axId val="60283520"/>
        <c:axId val="60289408"/>
      </c:barChart>
      <c:catAx>
        <c:axId val="60283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89408"/>
        <c:crosses val="autoZero"/>
        <c:auto val="1"/>
        <c:lblAlgn val="ctr"/>
        <c:lblOffset val="100"/>
      </c:catAx>
      <c:valAx>
        <c:axId val="6028940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835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siMPHOSPH9!$G$9:$G$13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siMPHOSPH9!$H$9:$H$13</c:f>
              <c:numCache>
                <c:formatCode>0.00</c:formatCode>
                <c:ptCount val="5"/>
                <c:pt idx="0">
                  <c:v>-1.4559319556497246</c:v>
                </c:pt>
                <c:pt idx="1">
                  <c:v>-0.96657624451305035</c:v>
                </c:pt>
                <c:pt idx="2">
                  <c:v>-0.53536144090496707</c:v>
                </c:pt>
                <c:pt idx="3">
                  <c:v>3.9215765903950504E-2</c:v>
                </c:pt>
                <c:pt idx="4">
                  <c:v>0.31680875205302211</c:v>
                </c:pt>
              </c:numCache>
            </c:numRef>
          </c:yVal>
        </c:ser>
        <c:axId val="60388480"/>
        <c:axId val="60390016"/>
      </c:scatterChart>
      <c:valAx>
        <c:axId val="6038848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390016"/>
        <c:crosses val="autoZero"/>
        <c:crossBetween val="midCat"/>
      </c:valAx>
      <c:valAx>
        <c:axId val="6039001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388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siMPHOSPH9!$C$65:$C$68</c:f>
                <c:numCache>
                  <c:formatCode>General</c:formatCode>
                  <c:ptCount val="4"/>
                  <c:pt idx="0">
                    <c:v>0.10070433942019295</c:v>
                  </c:pt>
                  <c:pt idx="1">
                    <c:v>0.38919301584290661</c:v>
                  </c:pt>
                  <c:pt idx="2">
                    <c:v>0.1454393208121697</c:v>
                  </c:pt>
                  <c:pt idx="3">
                    <c:v>0.74538460505156379</c:v>
                  </c:pt>
                </c:numCache>
              </c:numRef>
            </c:plus>
            <c:minus>
              <c:numRef>
                <c:f>siMPHOSPH9!$C$65:$C$68</c:f>
                <c:numCache>
                  <c:formatCode>General</c:formatCode>
                  <c:ptCount val="4"/>
                  <c:pt idx="0">
                    <c:v>0.10070433942019295</c:v>
                  </c:pt>
                  <c:pt idx="1">
                    <c:v>0.38919301584290661</c:v>
                  </c:pt>
                  <c:pt idx="2">
                    <c:v>0.1454393208121697</c:v>
                  </c:pt>
                  <c:pt idx="3">
                    <c:v>0.74538460505156379</c:v>
                  </c:pt>
                </c:numCache>
              </c:numRef>
            </c:minus>
          </c:errBars>
          <c:cat>
            <c:strRef>
              <c:f>(siMPHOSPH9!$A$65,siMPHOSPH9!$A$66,siMPHOSPH9!$A$67,siMPHOSPH9!$A$68)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siMPHOSPH9!$B$65:$B$68</c:f>
              <c:numCache>
                <c:formatCode>0.0</c:formatCode>
                <c:ptCount val="4"/>
                <c:pt idx="0">
                  <c:v>0.65615637208754274</c:v>
                </c:pt>
                <c:pt idx="1">
                  <c:v>1.2347154077590448</c:v>
                </c:pt>
                <c:pt idx="2">
                  <c:v>1.1851094047265904</c:v>
                </c:pt>
                <c:pt idx="3">
                  <c:v>3.4728406988340343</c:v>
                </c:pt>
              </c:numCache>
            </c:numRef>
          </c:val>
        </c:ser>
        <c:axId val="60569472"/>
        <c:axId val="60571008"/>
      </c:barChart>
      <c:catAx>
        <c:axId val="60569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71008"/>
        <c:crosses val="autoZero"/>
        <c:auto val="1"/>
        <c:lblAlgn val="ctr"/>
        <c:lblOffset val="100"/>
      </c:catAx>
      <c:valAx>
        <c:axId val="6057100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9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28"/>
          <c:y val="2.7200801823077429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siMPHOSPH9!$O$58:$O$59</c:f>
                <c:numCache>
                  <c:formatCode>General</c:formatCode>
                  <c:ptCount val="2"/>
                  <c:pt idx="0">
                    <c:v>0.51193826099798645</c:v>
                  </c:pt>
                  <c:pt idx="1">
                    <c:v>0.82911411184124184</c:v>
                  </c:pt>
                </c:numCache>
              </c:numRef>
            </c:plus>
            <c:minus>
              <c:numRef>
                <c:f>siMPHOSPH9!$O$58:$O$59</c:f>
                <c:numCache>
                  <c:formatCode>General</c:formatCode>
                  <c:ptCount val="2"/>
                  <c:pt idx="0">
                    <c:v>0.51193826099798645</c:v>
                  </c:pt>
                  <c:pt idx="1">
                    <c:v>0.82911411184124184</c:v>
                  </c:pt>
                </c:numCache>
              </c:numRef>
            </c:minus>
          </c:errBars>
          <c:cat>
            <c:strRef>
              <c:f>siMPHOSPH9!$M$58:$M$59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siMPHOSPH9!$N$58:$N$59</c:f>
              <c:numCache>
                <c:formatCode>0.0</c:formatCode>
                <c:ptCount val="2"/>
                <c:pt idx="0">
                  <c:v>1.8752468723881011</c:v>
                </c:pt>
                <c:pt idx="1">
                  <c:v>2.9703430336294474</c:v>
                </c:pt>
              </c:numCache>
            </c:numRef>
          </c:val>
        </c:ser>
        <c:axId val="60599680"/>
        <c:axId val="60601472"/>
      </c:barChart>
      <c:catAx>
        <c:axId val="60599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1472"/>
        <c:crosses val="autoZero"/>
        <c:auto val="1"/>
        <c:lblAlgn val="ctr"/>
        <c:lblOffset val="100"/>
      </c:catAx>
      <c:valAx>
        <c:axId val="606014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siMPHOSPH9!$M$57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99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siKCNK16!$G$9:$G$13</c:f>
              <c:numCache>
                <c:formatCode>0.00</c:formatCode>
                <c:ptCount val="5"/>
                <c:pt idx="0">
                  <c:v>-0.85930071603316016</c:v>
                </c:pt>
                <c:pt idx="1">
                  <c:v>-0.34053853694765485</c:v>
                </c:pt>
                <c:pt idx="2">
                  <c:v>0.13103255300924463</c:v>
                </c:pt>
                <c:pt idx="3">
                  <c:v>0.65110938868757939</c:v>
                </c:pt>
                <c:pt idx="4">
                  <c:v>0.96868593733159802</c:v>
                </c:pt>
              </c:numCache>
            </c:numRef>
          </c:xVal>
          <c:yVal>
            <c:numRef>
              <c:f>siKCNK16!$H$9:$H$13</c:f>
              <c:numCache>
                <c:formatCode>0.00</c:formatCode>
                <c:ptCount val="5"/>
                <c:pt idx="0">
                  <c:v>-1.4559319556497246</c:v>
                </c:pt>
                <c:pt idx="1">
                  <c:v>-0.96657624451305035</c:v>
                </c:pt>
                <c:pt idx="2">
                  <c:v>-0.53536144090496707</c:v>
                </c:pt>
                <c:pt idx="3">
                  <c:v>3.9215765903950504E-2</c:v>
                </c:pt>
                <c:pt idx="4">
                  <c:v>0.31680875205302211</c:v>
                </c:pt>
              </c:numCache>
            </c:numRef>
          </c:yVal>
        </c:ser>
        <c:axId val="60524032"/>
        <c:axId val="60525568"/>
      </c:scatterChart>
      <c:valAx>
        <c:axId val="6052403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525568"/>
        <c:crosses val="autoZero"/>
        <c:crossBetween val="midCat"/>
      </c:valAx>
      <c:valAx>
        <c:axId val="6052556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40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siKCNK16!$C$65:$C$68</c:f>
                <c:numCache>
                  <c:formatCode>General</c:formatCode>
                  <c:ptCount val="4"/>
                  <c:pt idx="0">
                    <c:v>0.11885232183205205</c:v>
                  </c:pt>
                  <c:pt idx="1">
                    <c:v>4.6812462528650747E-2</c:v>
                  </c:pt>
                  <c:pt idx="2">
                    <c:v>0.11802689410401337</c:v>
                  </c:pt>
                  <c:pt idx="3">
                    <c:v>4.9979172202823496E-2</c:v>
                  </c:pt>
                </c:numCache>
              </c:numRef>
            </c:plus>
            <c:minus>
              <c:numRef>
                <c:f>siKCNK16!$C$65:$C$68</c:f>
                <c:numCache>
                  <c:formatCode>General</c:formatCode>
                  <c:ptCount val="4"/>
                  <c:pt idx="0">
                    <c:v>0.11885232183205205</c:v>
                  </c:pt>
                  <c:pt idx="1">
                    <c:v>4.6812462528650747E-2</c:v>
                  </c:pt>
                  <c:pt idx="2">
                    <c:v>0.11802689410401337</c:v>
                  </c:pt>
                  <c:pt idx="3">
                    <c:v>4.9979172202823496E-2</c:v>
                  </c:pt>
                </c:numCache>
              </c:numRef>
            </c:minus>
          </c:errBars>
          <c:cat>
            <c:strRef>
              <c:f>(siKCNK16!$A$65,siKCNK16!$A$66,siKCNK16!$A$67,siKCNK16!$A$68)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siKCNK16!$B$65:$B$68</c:f>
              <c:numCache>
                <c:formatCode>0.0</c:formatCode>
                <c:ptCount val="4"/>
                <c:pt idx="0">
                  <c:v>0.56332979853278242</c:v>
                </c:pt>
                <c:pt idx="1">
                  <c:v>0.75697448574528525</c:v>
                </c:pt>
                <c:pt idx="2">
                  <c:v>1.1001118783129225</c:v>
                </c:pt>
                <c:pt idx="3">
                  <c:v>2.7362472923822163</c:v>
                </c:pt>
              </c:numCache>
            </c:numRef>
          </c:val>
        </c:ser>
        <c:axId val="60635392"/>
        <c:axId val="60641280"/>
      </c:barChart>
      <c:catAx>
        <c:axId val="60635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41280"/>
        <c:crosses val="autoZero"/>
        <c:auto val="1"/>
        <c:lblAlgn val="ctr"/>
        <c:lblOffset val="100"/>
      </c:catAx>
      <c:valAx>
        <c:axId val="6064128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35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33"/>
          <c:y val="2.7200801823077443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siKCNK16!$O$58:$O$59</c:f>
                <c:numCache>
                  <c:formatCode>General</c:formatCode>
                  <c:ptCount val="2"/>
                  <c:pt idx="0">
                    <c:v>0.36086821692618498</c:v>
                  </c:pt>
                  <c:pt idx="1">
                    <c:v>0.24420414859138356</c:v>
                  </c:pt>
                </c:numCache>
              </c:numRef>
            </c:plus>
            <c:minus>
              <c:numRef>
                <c:f>siKCNK16!$O$58:$O$59</c:f>
                <c:numCache>
                  <c:formatCode>General</c:formatCode>
                  <c:ptCount val="2"/>
                  <c:pt idx="0">
                    <c:v>0.36086821692618498</c:v>
                  </c:pt>
                  <c:pt idx="1">
                    <c:v>0.24420414859138356</c:v>
                  </c:pt>
                </c:numCache>
              </c:numRef>
            </c:minus>
          </c:errBars>
          <c:cat>
            <c:strRef>
              <c:f>siKCNK16!$M$58:$M$59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siKCNK16!$N$58:$N$59</c:f>
              <c:numCache>
                <c:formatCode>0.0</c:formatCode>
                <c:ptCount val="2"/>
                <c:pt idx="0">
                  <c:v>1.3918552682478371</c:v>
                </c:pt>
                <c:pt idx="1">
                  <c:v>2.5043893930177759</c:v>
                </c:pt>
              </c:numCache>
            </c:numRef>
          </c:val>
        </c:ser>
        <c:axId val="60686336"/>
        <c:axId val="60687872"/>
      </c:barChart>
      <c:catAx>
        <c:axId val="60686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87872"/>
        <c:crosses val="autoZero"/>
        <c:auto val="1"/>
        <c:lblAlgn val="ctr"/>
        <c:lblOffset val="100"/>
      </c:catAx>
      <c:valAx>
        <c:axId val="60687872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siKCNK16!$M$57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86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22" sqref="B22:C2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42206</v>
      </c>
      <c r="C1" s="49"/>
      <c r="D1" s="17"/>
    </row>
    <row r="2" spans="1:20" ht="13.5" thickBot="1">
      <c r="A2" s="1" t="s">
        <v>1</v>
      </c>
      <c r="B2" s="2">
        <v>77</v>
      </c>
      <c r="C2" s="3"/>
      <c r="E2" s="4" t="s">
        <v>40</v>
      </c>
    </row>
    <row r="3" spans="1:20" ht="15.75" thickBot="1">
      <c r="A3" s="1" t="s">
        <v>2</v>
      </c>
      <c r="B3" s="2" t="s">
        <v>43</v>
      </c>
      <c r="D3" s="10" t="s">
        <v>41</v>
      </c>
      <c r="E3" s="69"/>
      <c r="F3" s="70"/>
    </row>
    <row r="4" spans="1:20" ht="15">
      <c r="D4" s="10" t="s">
        <v>42</v>
      </c>
      <c r="E4" s="66"/>
      <c r="F4" s="66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72">
        <v>0</v>
      </c>
      <c r="B8" s="10">
        <v>0</v>
      </c>
      <c r="C8" s="71">
        <v>0.05</v>
      </c>
      <c r="D8" s="71">
        <v>5.3999999999999999E-2</v>
      </c>
      <c r="E8" s="11">
        <f t="shared" ref="E8:E13" si="0">AVERAGE(C8:D8)</f>
        <v>5.2000000000000005E-2</v>
      </c>
      <c r="F8" s="12"/>
      <c r="G8" s="10"/>
      <c r="H8" s="10"/>
      <c r="N8"/>
      <c r="O8"/>
      <c r="P8"/>
    </row>
    <row r="9" spans="1:20" ht="15">
      <c r="A9" s="72">
        <v>3.18</v>
      </c>
      <c r="B9" s="12">
        <f>A9/23</f>
        <v>0.13826086956521741</v>
      </c>
      <c r="C9" s="71">
        <v>7.6999999999999999E-2</v>
      </c>
      <c r="D9" s="71">
        <v>9.7000000000000003E-2</v>
      </c>
      <c r="E9" s="11">
        <f t="shared" si="0"/>
        <v>8.6999999999999994E-2</v>
      </c>
      <c r="F9" s="12">
        <f>(E9-$E$8)</f>
        <v>3.4999999999999989E-2</v>
      </c>
      <c r="G9" s="12">
        <f>LOG(B9)</f>
        <v>-0.85930071603316016</v>
      </c>
      <c r="H9" s="12">
        <f>LOG(F9)</f>
        <v>-1.4559319556497246</v>
      </c>
      <c r="N9"/>
      <c r="O9"/>
      <c r="P9"/>
    </row>
    <row r="10" spans="1:20" ht="15">
      <c r="A10" s="72">
        <v>10.5</v>
      </c>
      <c r="B10" s="12">
        <f t="shared" ref="B10:B13" si="1">A10/23</f>
        <v>0.45652173913043476</v>
      </c>
      <c r="C10" s="71">
        <v>0.14899999999999999</v>
      </c>
      <c r="D10" s="71">
        <v>0.17100000000000001</v>
      </c>
      <c r="E10" s="11">
        <f t="shared" si="0"/>
        <v>0.16</v>
      </c>
      <c r="F10" s="12">
        <f>(E10-$E$8)</f>
        <v>0.108</v>
      </c>
      <c r="G10" s="12">
        <f>LOG(B10)</f>
        <v>-0.34053853694765485</v>
      </c>
      <c r="H10" s="12">
        <f>LOG(F10)</f>
        <v>-0.96657624451305035</v>
      </c>
      <c r="N10"/>
      <c r="O10"/>
      <c r="P10"/>
    </row>
    <row r="11" spans="1:20" ht="15">
      <c r="A11" s="72">
        <v>31.1</v>
      </c>
      <c r="B11" s="12">
        <f t="shared" si="1"/>
        <v>1.3521739130434782</v>
      </c>
      <c r="C11" s="71">
        <v>0.32900000000000001</v>
      </c>
      <c r="D11" s="71">
        <v>0.35799999999999998</v>
      </c>
      <c r="E11" s="11">
        <f t="shared" si="0"/>
        <v>0.34350000000000003</v>
      </c>
      <c r="F11" s="12">
        <f>(E11-$E$8)</f>
        <v>0.29150000000000004</v>
      </c>
      <c r="G11" s="12">
        <f>LOG(B11)</f>
        <v>0.13103255300924463</v>
      </c>
      <c r="H11" s="12">
        <f>LOG(F11)</f>
        <v>-0.53536144090496707</v>
      </c>
      <c r="N11"/>
      <c r="O11"/>
      <c r="P11"/>
      <c r="Q11"/>
      <c r="R11"/>
      <c r="S11"/>
      <c r="T11"/>
    </row>
    <row r="12" spans="1:20" ht="15">
      <c r="A12" s="72">
        <v>103</v>
      </c>
      <c r="B12" s="12">
        <f t="shared" si="1"/>
        <v>4.4782608695652177</v>
      </c>
      <c r="C12" s="71">
        <v>1.129</v>
      </c>
      <c r="D12" s="71">
        <v>1.1639999999999999</v>
      </c>
      <c r="E12" s="11">
        <f t="shared" si="0"/>
        <v>1.1465000000000001</v>
      </c>
      <c r="F12" s="12">
        <f>(E12-$E$8)</f>
        <v>1.0945</v>
      </c>
      <c r="G12" s="12">
        <f>LOG(B12)</f>
        <v>0.65110938868757939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>
      <c r="A13" s="72">
        <v>214</v>
      </c>
      <c r="B13" s="12">
        <f t="shared" si="1"/>
        <v>9.304347826086957</v>
      </c>
      <c r="C13" s="71">
        <v>2.09</v>
      </c>
      <c r="D13" s="71">
        <v>2.1619999999999999</v>
      </c>
      <c r="E13" s="11">
        <f t="shared" si="0"/>
        <v>2.1259999999999999</v>
      </c>
      <c r="F13" s="12">
        <f>(E13-$E$8)</f>
        <v>2.0739999999999998</v>
      </c>
      <c r="G13" s="12">
        <f>LOG(B13)</f>
        <v>0.96868593733159802</v>
      </c>
      <c r="H13" s="12">
        <f>LOG(F13)</f>
        <v>0.31680875205302211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0.97980659577086648</v>
      </c>
      <c r="N15"/>
    </row>
    <row r="16" spans="1:20" ht="15">
      <c r="A16" s="5" t="s">
        <v>11</v>
      </c>
      <c r="B16" s="11">
        <f>INTERCEPT(H9:H13,G9:G13)</f>
        <v>-0.62834148262138845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5">
        <v>0.48499999999999999</v>
      </c>
      <c r="C22" s="65">
        <v>0.45200000000000001</v>
      </c>
      <c r="D22" s="27">
        <f t="shared" ref="D22:D27" si="2">AVERAGE(B22:C22)</f>
        <v>0.46850000000000003</v>
      </c>
      <c r="E22" s="27">
        <f t="shared" ref="E22:E27" si="3">D22-E$8</f>
        <v>0.41650000000000004</v>
      </c>
      <c r="F22" s="27">
        <f>LOG(E22)</f>
        <v>-0.38038499425719358</v>
      </c>
      <c r="G22" s="28">
        <f>(F22-$B$16)/$B$15</f>
        <v>0.25306676790547034</v>
      </c>
      <c r="H22" s="28">
        <f>10^G22</f>
        <v>1.7908811607637247</v>
      </c>
      <c r="I22" s="29">
        <v>500</v>
      </c>
      <c r="J22" s="30">
        <f>(H22*I22)</f>
        <v>895.44058038186233</v>
      </c>
      <c r="K22" s="31">
        <f>(0.05*J22/1000)*1000</f>
        <v>44.772029019093118</v>
      </c>
      <c r="L22" s="32">
        <f>K22+K40+K50</f>
        <v>45.650338639538596</v>
      </c>
      <c r="M22" s="33">
        <f>(L22*1000000/50000)/1000</f>
        <v>0.9130067727907718</v>
      </c>
      <c r="N22" s="34"/>
    </row>
    <row r="23" spans="1:17" ht="15">
      <c r="B23" s="65">
        <v>0.46300000000000002</v>
      </c>
      <c r="C23" s="65">
        <v>0.45400000000000001</v>
      </c>
      <c r="D23" s="27">
        <f t="shared" si="2"/>
        <v>0.45850000000000002</v>
      </c>
      <c r="E23" s="27">
        <f t="shared" si="3"/>
        <v>0.40650000000000003</v>
      </c>
      <c r="F23" s="27">
        <f t="shared" ref="F23:F27" si="4">LOG(E23)</f>
        <v>-0.39093945006991299</v>
      </c>
      <c r="G23" s="28">
        <f t="shared" ref="G23:G27" si="5">(F23-$B$16)/$B$15</f>
        <v>0.242294789171835</v>
      </c>
      <c r="H23" s="28">
        <f t="shared" ref="H23:H27" si="6">10^G23</f>
        <v>1.7470075793851709</v>
      </c>
      <c r="I23" s="29">
        <v>500</v>
      </c>
      <c r="J23" s="30">
        <f t="shared" ref="J23:J27" si="7">(H23*I23)</f>
        <v>873.50378969258543</v>
      </c>
      <c r="K23" s="31">
        <f t="shared" ref="K23:K27" si="8">(0.05*J23/1000)*1000</f>
        <v>43.675189484629271</v>
      </c>
      <c r="L23" s="32">
        <f>K23+K41+K51</f>
        <v>44.271469351003716</v>
      </c>
      <c r="M23" s="33">
        <f t="shared" ref="M23:M27" si="9">(L23*1000000/50000)/1000</f>
        <v>0.88542938702007423</v>
      </c>
      <c r="N23" s="34"/>
    </row>
    <row r="24" spans="1:17" ht="15">
      <c r="B24" s="65">
        <v>0.46300000000000002</v>
      </c>
      <c r="C24" s="65">
        <v>0.48299999999999998</v>
      </c>
      <c r="D24" s="27">
        <f t="shared" si="2"/>
        <v>0.47299999999999998</v>
      </c>
      <c r="E24" s="27">
        <f t="shared" si="3"/>
        <v>0.42099999999999999</v>
      </c>
      <c r="F24" s="27">
        <f t="shared" si="4"/>
        <v>-0.37571790416433171</v>
      </c>
      <c r="G24" s="28">
        <f t="shared" si="5"/>
        <v>0.25783004477358534</v>
      </c>
      <c r="H24" s="28">
        <f t="shared" si="6"/>
        <v>1.8106313880414215</v>
      </c>
      <c r="I24" s="29">
        <v>500</v>
      </c>
      <c r="J24" s="30">
        <f t="shared" si="7"/>
        <v>905.31569402071079</v>
      </c>
      <c r="K24" s="31">
        <f t="shared" si="8"/>
        <v>45.265784701035543</v>
      </c>
      <c r="L24" s="32">
        <f t="shared" ref="L24:L27" si="10">K24+K42+K52</f>
        <v>45.911469652753674</v>
      </c>
      <c r="M24" s="33">
        <f t="shared" si="9"/>
        <v>0.91822939305507345</v>
      </c>
      <c r="N24" s="34"/>
    </row>
    <row r="25" spans="1:17" ht="15">
      <c r="A25" s="1" t="s">
        <v>26</v>
      </c>
      <c r="B25" s="64">
        <v>0.438</v>
      </c>
      <c r="C25" s="64">
        <v>0.48799999999999999</v>
      </c>
      <c r="D25" s="27">
        <f t="shared" si="2"/>
        <v>0.46299999999999997</v>
      </c>
      <c r="E25" s="27">
        <f t="shared" si="3"/>
        <v>0.41099999999999998</v>
      </c>
      <c r="F25" s="27">
        <f t="shared" si="4"/>
        <v>-0.38615817812393083</v>
      </c>
      <c r="G25" s="28">
        <f t="shared" si="5"/>
        <v>0.24717460113331755</v>
      </c>
      <c r="H25" s="28">
        <f t="shared" si="6"/>
        <v>1.7667479706193603</v>
      </c>
      <c r="I25" s="29">
        <v>500</v>
      </c>
      <c r="J25" s="30">
        <f t="shared" si="7"/>
        <v>883.37398530968017</v>
      </c>
      <c r="K25" s="31">
        <f t="shared" si="8"/>
        <v>44.168699265484008</v>
      </c>
      <c r="L25" s="32">
        <f t="shared" si="10"/>
        <v>47.103571945501194</v>
      </c>
      <c r="M25" s="33">
        <f t="shared" si="9"/>
        <v>0.94207143891002387</v>
      </c>
      <c r="N25" s="34"/>
    </row>
    <row r="26" spans="1:17" ht="15">
      <c r="B26" s="64">
        <v>0.436</v>
      </c>
      <c r="C26" s="64">
        <v>0.46899999999999997</v>
      </c>
      <c r="D26" s="27">
        <f t="shared" si="2"/>
        <v>0.45250000000000001</v>
      </c>
      <c r="E26" s="27">
        <f t="shared" si="3"/>
        <v>0.40050000000000002</v>
      </c>
      <c r="F26" s="27">
        <f t="shared" si="4"/>
        <v>-0.39739747957974353</v>
      </c>
      <c r="G26" s="28">
        <f t="shared" si="5"/>
        <v>0.23570366237425547</v>
      </c>
      <c r="H26" s="28">
        <f t="shared" si="6"/>
        <v>1.7206940714589625</v>
      </c>
      <c r="I26" s="29">
        <v>500</v>
      </c>
      <c r="J26" s="30">
        <f t="shared" si="7"/>
        <v>860.34703572948126</v>
      </c>
      <c r="K26" s="31">
        <f t="shared" si="8"/>
        <v>43.017351786474066</v>
      </c>
      <c r="L26" s="32">
        <f t="shared" si="10"/>
        <v>45.527356913337982</v>
      </c>
      <c r="M26" s="33">
        <f t="shared" si="9"/>
        <v>0.9105471382667597</v>
      </c>
      <c r="N26" s="34"/>
    </row>
    <row r="27" spans="1:17" ht="15">
      <c r="B27" s="64">
        <v>0.503</v>
      </c>
      <c r="C27" s="64">
        <v>0.51900000000000002</v>
      </c>
      <c r="D27" s="27">
        <f t="shared" si="2"/>
        <v>0.51100000000000001</v>
      </c>
      <c r="E27" s="27">
        <f t="shared" si="3"/>
        <v>0.45900000000000002</v>
      </c>
      <c r="F27" s="27">
        <f t="shared" si="4"/>
        <v>-0.33818731446273875</v>
      </c>
      <c r="G27" s="28">
        <f t="shared" si="5"/>
        <v>0.29613412423537505</v>
      </c>
      <c r="H27" s="28">
        <f t="shared" si="6"/>
        <v>1.9775802868079235</v>
      </c>
      <c r="I27" s="29">
        <v>500</v>
      </c>
      <c r="J27" s="30">
        <f t="shared" si="7"/>
        <v>988.79014340396179</v>
      </c>
      <c r="K27" s="31">
        <f t="shared" si="8"/>
        <v>49.439507170198091</v>
      </c>
      <c r="L27" s="32">
        <f t="shared" si="10"/>
        <v>51.584684266755993</v>
      </c>
      <c r="M27" s="33">
        <f t="shared" si="9"/>
        <v>1.03169368533512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5">
        <v>0.48499999999999999</v>
      </c>
      <c r="C31" s="65">
        <v>0.45200000000000001</v>
      </c>
      <c r="D31" s="27">
        <f t="shared" ref="D31:D36" si="11">AVERAGE(B31:C31)</f>
        <v>0.46850000000000003</v>
      </c>
      <c r="E31" s="27">
        <f t="shared" ref="E31:E36" si="12">D31-E$8</f>
        <v>0.41650000000000004</v>
      </c>
      <c r="F31" s="27">
        <f>LOG(E31)</f>
        <v>-0.38038499425719358</v>
      </c>
      <c r="G31" s="28">
        <f>(F31-$B$16)/$B$15</f>
        <v>0.25306676790547034</v>
      </c>
      <c r="H31" s="28">
        <f>10^G31</f>
        <v>1.7908811607637247</v>
      </c>
      <c r="I31" s="29">
        <v>500</v>
      </c>
      <c r="J31" s="30">
        <f>(H31*I31)</f>
        <v>895.44058038186233</v>
      </c>
      <c r="K31" s="31">
        <f>(0.05*J31/1000)*1000</f>
        <v>44.772029019093118</v>
      </c>
      <c r="L31" s="32">
        <f>K31+K50</f>
        <v>45.494656284292105</v>
      </c>
      <c r="M31" s="33">
        <f>(L31*1000000/50000)/1000</f>
        <v>0.90989312568584202</v>
      </c>
      <c r="N31" s="35"/>
      <c r="Q31"/>
    </row>
    <row r="32" spans="1:17" ht="15">
      <c r="B32" s="65">
        <v>0.46300000000000002</v>
      </c>
      <c r="C32" s="65">
        <v>0.45400000000000001</v>
      </c>
      <c r="D32" s="27">
        <f t="shared" si="11"/>
        <v>0.45850000000000002</v>
      </c>
      <c r="E32" s="27">
        <f t="shared" si="12"/>
        <v>0.40650000000000003</v>
      </c>
      <c r="F32" s="27">
        <f t="shared" ref="F32:F36" si="13">LOG(E32)</f>
        <v>-0.39093945006991299</v>
      </c>
      <c r="G32" s="28">
        <f t="shared" ref="G32:G36" si="14">(F32-$B$16)/$B$15</f>
        <v>0.242294789171835</v>
      </c>
      <c r="H32" s="28">
        <f t="shared" ref="H32:H36" si="15">10^G32</f>
        <v>1.7470075793851709</v>
      </c>
      <c r="I32" s="29">
        <v>500</v>
      </c>
      <c r="J32" s="30">
        <f t="shared" ref="J32:J36" si="16">(H32*I32)</f>
        <v>873.50378969258543</v>
      </c>
      <c r="K32" s="31">
        <f t="shared" ref="K32:K36" si="17">(0.05*J32/1000)*1000</f>
        <v>43.675189484629271</v>
      </c>
      <c r="L32" s="32">
        <f>K32+K51</f>
        <v>44.11909650737946</v>
      </c>
      <c r="M32" s="33">
        <f t="shared" ref="M32:M36" si="18">(L32*1000000/50000)/1000</f>
        <v>0.88238193014758914</v>
      </c>
      <c r="N32" s="36"/>
      <c r="Q32"/>
    </row>
    <row r="33" spans="1:21" ht="15">
      <c r="B33" s="65">
        <v>0.46300000000000002</v>
      </c>
      <c r="C33" s="65">
        <v>0.48299999999999998</v>
      </c>
      <c r="D33" s="27">
        <f t="shared" si="11"/>
        <v>0.47299999999999998</v>
      </c>
      <c r="E33" s="27">
        <f t="shared" si="12"/>
        <v>0.42099999999999999</v>
      </c>
      <c r="F33" s="27">
        <f t="shared" si="13"/>
        <v>-0.37571790416433171</v>
      </c>
      <c r="G33" s="28">
        <f t="shared" si="14"/>
        <v>0.25783004477358534</v>
      </c>
      <c r="H33" s="28">
        <f t="shared" si="15"/>
        <v>1.8106313880414215</v>
      </c>
      <c r="I33" s="29">
        <v>500</v>
      </c>
      <c r="J33" s="30">
        <f t="shared" si="16"/>
        <v>905.31569402071079</v>
      </c>
      <c r="K33" s="31">
        <f t="shared" si="17"/>
        <v>45.265784701035543</v>
      </c>
      <c r="L33" s="32">
        <f t="shared" ref="L33:L36" si="19">K33+K52</f>
        <v>45.682660593223858</v>
      </c>
      <c r="M33" s="33">
        <f t="shared" si="18"/>
        <v>0.91365321186447701</v>
      </c>
      <c r="N33" s="36"/>
      <c r="Q33"/>
      <c r="R33"/>
      <c r="S33"/>
    </row>
    <row r="34" spans="1:21" ht="15">
      <c r="A34" s="1" t="s">
        <v>26</v>
      </c>
      <c r="B34" s="64">
        <v>0.438</v>
      </c>
      <c r="C34" s="64">
        <v>0.48799999999999999</v>
      </c>
      <c r="D34" s="27">
        <f t="shared" si="11"/>
        <v>0.46299999999999997</v>
      </c>
      <c r="E34" s="27">
        <f t="shared" si="12"/>
        <v>0.41099999999999998</v>
      </c>
      <c r="F34" s="27">
        <f t="shared" si="13"/>
        <v>-0.38615817812393083</v>
      </c>
      <c r="G34" s="28">
        <f t="shared" si="14"/>
        <v>0.24717460113331755</v>
      </c>
      <c r="H34" s="28">
        <f t="shared" si="15"/>
        <v>1.7667479706193603</v>
      </c>
      <c r="I34" s="29">
        <v>500</v>
      </c>
      <c r="J34" s="30">
        <f t="shared" si="16"/>
        <v>883.37398530968017</v>
      </c>
      <c r="K34" s="31">
        <f t="shared" si="17"/>
        <v>44.168699265484008</v>
      </c>
      <c r="L34" s="32">
        <f t="shared" si="19"/>
        <v>46.574986165611094</v>
      </c>
      <c r="M34" s="33">
        <f t="shared" si="18"/>
        <v>0.93149972331222197</v>
      </c>
      <c r="N34" s="36"/>
      <c r="Q34"/>
      <c r="R34"/>
      <c r="S34"/>
    </row>
    <row r="35" spans="1:21" ht="15">
      <c r="B35" s="64">
        <v>0.436</v>
      </c>
      <c r="C35" s="64">
        <v>0.46899999999999997</v>
      </c>
      <c r="D35" s="27">
        <f t="shared" si="11"/>
        <v>0.45250000000000001</v>
      </c>
      <c r="E35" s="27">
        <f t="shared" si="12"/>
        <v>0.40050000000000002</v>
      </c>
      <c r="F35" s="27">
        <f t="shared" si="13"/>
        <v>-0.39739747957974353</v>
      </c>
      <c r="G35" s="28">
        <f t="shared" si="14"/>
        <v>0.23570366237425547</v>
      </c>
      <c r="H35" s="28">
        <f t="shared" si="15"/>
        <v>1.7206940714589625</v>
      </c>
      <c r="I35" s="29">
        <v>500</v>
      </c>
      <c r="J35" s="30">
        <f t="shared" si="16"/>
        <v>860.34703572948126</v>
      </c>
      <c r="K35" s="31">
        <f t="shared" si="17"/>
        <v>43.017351786474066</v>
      </c>
      <c r="L35" s="32">
        <f t="shared" si="19"/>
        <v>44.903605146202004</v>
      </c>
      <c r="M35" s="33">
        <f t="shared" si="18"/>
        <v>0.89807210292404016</v>
      </c>
      <c r="N35" s="36"/>
      <c r="Q35"/>
      <c r="R35"/>
      <c r="S35"/>
    </row>
    <row r="36" spans="1:21" ht="15">
      <c r="B36" s="64">
        <v>0.503</v>
      </c>
      <c r="C36" s="64">
        <v>0.51900000000000002</v>
      </c>
      <c r="D36" s="27">
        <f t="shared" si="11"/>
        <v>0.51100000000000001</v>
      </c>
      <c r="E36" s="27">
        <f t="shared" si="12"/>
        <v>0.45900000000000002</v>
      </c>
      <c r="F36" s="27">
        <f t="shared" si="13"/>
        <v>-0.33818731446273875</v>
      </c>
      <c r="G36" s="28">
        <f t="shared" si="14"/>
        <v>0.29613412423537505</v>
      </c>
      <c r="H36" s="28">
        <f t="shared" si="15"/>
        <v>1.9775802868079235</v>
      </c>
      <c r="I36" s="29">
        <v>500</v>
      </c>
      <c r="J36" s="30">
        <f t="shared" si="16"/>
        <v>988.79014340396179</v>
      </c>
      <c r="K36" s="31">
        <f t="shared" si="17"/>
        <v>49.439507170198091</v>
      </c>
      <c r="L36" s="32">
        <f t="shared" si="19"/>
        <v>50.95752799667931</v>
      </c>
      <c r="M36" s="33">
        <f t="shared" si="18"/>
        <v>1.0191505599335862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3">
        <v>7.4999999999999997E-2</v>
      </c>
      <c r="C40" s="73">
        <v>7.6999999999999999E-2</v>
      </c>
      <c r="D40" s="27">
        <f t="shared" ref="D40:D45" si="20">AVERAGE(B40,C40)</f>
        <v>7.5999999999999998E-2</v>
      </c>
      <c r="E40" s="27">
        <f t="shared" ref="E40:E45" si="21">D40-E$8</f>
        <v>2.3999999999999994E-2</v>
      </c>
      <c r="F40" s="27">
        <f t="shared" ref="F40:F45" si="22">LOG(E40)</f>
        <v>-1.6197887582883941</v>
      </c>
      <c r="G40" s="28">
        <f t="shared" ref="G40:G45" si="23">(F40-$B$16)/$B$15</f>
        <v>-1.0118805894412057</v>
      </c>
      <c r="H40" s="27">
        <f t="shared" ref="H40:H45" si="24">10^G40</f>
        <v>9.7301472029055147E-2</v>
      </c>
      <c r="I40" s="41">
        <v>16</v>
      </c>
      <c r="J40" s="42">
        <f t="shared" ref="J40:J45" si="25">H40*I40</f>
        <v>1.5568235524648824</v>
      </c>
      <c r="K40" s="30">
        <f>(0.1*J40/1000)*1000</f>
        <v>0.15568235524648824</v>
      </c>
      <c r="L40" s="43">
        <f>K40*100/L22</f>
        <v>0.34103220235840459</v>
      </c>
      <c r="M40" s="30">
        <f>AVERAGE(L40:L42)</f>
        <v>0.39452692357618629</v>
      </c>
      <c r="N40" s="44">
        <f>STDEV(L40:L42)</f>
        <v>8.9944628563826526E-2</v>
      </c>
      <c r="R40"/>
      <c r="S40"/>
      <c r="T40"/>
      <c r="U40"/>
    </row>
    <row r="41" spans="1:21" ht="15">
      <c r="B41" s="73">
        <v>7.6999999999999999E-2</v>
      </c>
      <c r="C41" s="73">
        <v>7.3999999999999996E-2</v>
      </c>
      <c r="D41" s="27">
        <f t="shared" si="20"/>
        <v>7.5499999999999998E-2</v>
      </c>
      <c r="E41" s="27">
        <f t="shared" si="21"/>
        <v>2.3499999999999993E-2</v>
      </c>
      <c r="F41" s="27">
        <f t="shared" si="22"/>
        <v>-1.628932137728264</v>
      </c>
      <c r="G41" s="28">
        <f t="shared" si="23"/>
        <v>-1.0212124101079938</v>
      </c>
      <c r="H41" s="27">
        <f t="shared" si="24"/>
        <v>9.5233027265160877E-2</v>
      </c>
      <c r="I41" s="41">
        <v>16</v>
      </c>
      <c r="J41" s="42">
        <f t="shared" si="25"/>
        <v>1.523728436242574</v>
      </c>
      <c r="K41" s="30">
        <f t="shared" ref="K41:K45" si="26">(0.1*J41/1000)*1000</f>
        <v>0.1523728436242574</v>
      </c>
      <c r="L41" s="43">
        <f t="shared" ref="L41:L45" si="27">K41*100/L23</f>
        <v>0.34417841977680558</v>
      </c>
      <c r="M41" s="30"/>
      <c r="N41" s="44"/>
      <c r="R41"/>
      <c r="S41"/>
      <c r="T41"/>
      <c r="U41"/>
    </row>
    <row r="42" spans="1:21" s="17" customFormat="1" ht="15">
      <c r="A42" s="1"/>
      <c r="B42" s="74">
        <v>8.5999999999999993E-2</v>
      </c>
      <c r="C42" s="74">
        <v>8.7999999999999995E-2</v>
      </c>
      <c r="D42" s="27">
        <f t="shared" si="20"/>
        <v>8.6999999999999994E-2</v>
      </c>
      <c r="E42" s="27">
        <f t="shared" si="21"/>
        <v>3.4999999999999989E-2</v>
      </c>
      <c r="F42" s="27">
        <f t="shared" si="22"/>
        <v>-1.4559319556497246</v>
      </c>
      <c r="G42" s="28">
        <f t="shared" si="23"/>
        <v>-0.84464676661747329</v>
      </c>
      <c r="H42" s="27">
        <f t="shared" si="24"/>
        <v>0.14300566220613667</v>
      </c>
      <c r="I42" s="41">
        <v>16</v>
      </c>
      <c r="J42" s="42">
        <f t="shared" si="25"/>
        <v>2.2880905952981867</v>
      </c>
      <c r="K42" s="30">
        <f t="shared" si="26"/>
        <v>0.22880905952981867</v>
      </c>
      <c r="L42" s="43">
        <f t="shared" si="27"/>
        <v>0.49837014859334866</v>
      </c>
      <c r="M42" s="30"/>
      <c r="N42" s="44"/>
      <c r="R42"/>
      <c r="S42"/>
      <c r="T42"/>
      <c r="U42"/>
    </row>
    <row r="43" spans="1:21" ht="15">
      <c r="A43" s="1" t="s">
        <v>34</v>
      </c>
      <c r="B43" s="67">
        <v>0.13300000000000001</v>
      </c>
      <c r="C43" s="67">
        <v>0.13</v>
      </c>
      <c r="D43" s="27">
        <f t="shared" si="20"/>
        <v>0.13150000000000001</v>
      </c>
      <c r="E43" s="27">
        <f t="shared" si="21"/>
        <v>7.9500000000000001E-2</v>
      </c>
      <c r="F43" s="27">
        <f t="shared" si="22"/>
        <v>-1.0996328713435297</v>
      </c>
      <c r="G43" s="28">
        <f t="shared" si="23"/>
        <v>-0.48100450717149035</v>
      </c>
      <c r="H43" s="27">
        <f t="shared" si="24"/>
        <v>0.33036611243131309</v>
      </c>
      <c r="I43" s="41">
        <v>16</v>
      </c>
      <c r="J43" s="42">
        <f t="shared" si="25"/>
        <v>5.2858577989010094</v>
      </c>
      <c r="K43" s="30">
        <f t="shared" si="26"/>
        <v>0.52858577989010092</v>
      </c>
      <c r="L43" s="43">
        <f t="shared" si="27"/>
        <v>1.1221776991810184</v>
      </c>
      <c r="M43" s="30">
        <f>AVERAGE(L43:L45)</f>
        <v>1.2360056487515656</v>
      </c>
      <c r="N43" s="44">
        <f>STDEV(L43:L45)</f>
        <v>0.1251723786764749</v>
      </c>
      <c r="R43"/>
      <c r="S43"/>
      <c r="T43"/>
      <c r="U43"/>
    </row>
    <row r="44" spans="1:21" ht="15">
      <c r="A44" s="45"/>
      <c r="B44" s="67">
        <v>0.151</v>
      </c>
      <c r="C44" s="67">
        <v>0.14000000000000001</v>
      </c>
      <c r="D44" s="27">
        <f t="shared" si="20"/>
        <v>0.14550000000000002</v>
      </c>
      <c r="E44" s="27">
        <f t="shared" si="21"/>
        <v>9.3500000000000014E-2</v>
      </c>
      <c r="F44" s="27">
        <f t="shared" si="22"/>
        <v>-1.0291883891274822</v>
      </c>
      <c r="G44" s="28">
        <f t="shared" si="23"/>
        <v>-0.40910819363358741</v>
      </c>
      <c r="H44" s="27">
        <f t="shared" si="24"/>
        <v>0.38984485445998823</v>
      </c>
      <c r="I44" s="41">
        <v>16</v>
      </c>
      <c r="J44" s="42">
        <f t="shared" si="25"/>
        <v>6.2375176713598117</v>
      </c>
      <c r="K44" s="30">
        <f t="shared" si="26"/>
        <v>0.62375176713598124</v>
      </c>
      <c r="L44" s="43">
        <f t="shared" si="27"/>
        <v>1.3700592554127449</v>
      </c>
      <c r="M44" s="30"/>
      <c r="N44" s="44"/>
      <c r="R44"/>
      <c r="S44"/>
      <c r="T44"/>
      <c r="U44"/>
    </row>
    <row r="45" spans="1:21" ht="15">
      <c r="A45" s="46"/>
      <c r="B45" s="68">
        <v>0.152</v>
      </c>
      <c r="C45" s="68">
        <v>0.14000000000000001</v>
      </c>
      <c r="D45" s="27">
        <f t="shared" si="20"/>
        <v>0.14600000000000002</v>
      </c>
      <c r="E45" s="27">
        <f t="shared" si="21"/>
        <v>9.4000000000000014E-2</v>
      </c>
      <c r="F45" s="27">
        <f t="shared" si="22"/>
        <v>-1.0268721464003012</v>
      </c>
      <c r="G45" s="28">
        <f t="shared" si="23"/>
        <v>-0.40674421411234457</v>
      </c>
      <c r="H45" s="27">
        <f t="shared" si="24"/>
        <v>0.39197266879792797</v>
      </c>
      <c r="I45" s="41">
        <v>16</v>
      </c>
      <c r="J45" s="42">
        <f t="shared" si="25"/>
        <v>6.2715627007668475</v>
      </c>
      <c r="K45" s="30">
        <f t="shared" si="26"/>
        <v>0.62715627007668484</v>
      </c>
      <c r="L45" s="43">
        <f t="shared" si="27"/>
        <v>1.2157799916609335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5">
        <v>0.158</v>
      </c>
      <c r="C50" s="65">
        <v>0.16200000000000001</v>
      </c>
      <c r="D50" s="27">
        <f t="shared" ref="D50:D52" si="28">AVERAGE(B50,C50)</f>
        <v>0.16</v>
      </c>
      <c r="E50" s="27">
        <f t="shared" ref="E50:E55" si="29">D50-E$8</f>
        <v>0.108</v>
      </c>
      <c r="F50" s="27">
        <f t="shared" ref="F50:F55" si="30">LOG(E50)</f>
        <v>-0.96657624451305035</v>
      </c>
      <c r="G50" s="28">
        <f t="shared" ref="G50:G55" si="31">(F50-$B$16)/$B$15</f>
        <v>-0.34520563890014894</v>
      </c>
      <c r="H50" s="27">
        <f t="shared" ref="H50:H55" si="32">10^G50</f>
        <v>0.45164204074936604</v>
      </c>
      <c r="I50" s="41">
        <v>16</v>
      </c>
      <c r="J50" s="42">
        <f t="shared" ref="J50:J55" si="33">H50*I50</f>
        <v>7.2262726519898566</v>
      </c>
      <c r="K50" s="30">
        <f>(0.1*J50/1000)*1000</f>
        <v>0.72262726519898568</v>
      </c>
      <c r="L50" s="43">
        <f t="shared" ref="L50:L55" si="34">K50*100/L31</f>
        <v>1.5883783376301415</v>
      </c>
      <c r="M50" s="30">
        <f>AVERAGE(L50:L52)</f>
        <v>1.1690272822439889</v>
      </c>
      <c r="N50" s="44">
        <f>STDEV(L50:L52)</f>
        <v>0.36617227693978105</v>
      </c>
      <c r="O50" s="48">
        <f>L50/L40</f>
        <v>4.6575611530105601</v>
      </c>
      <c r="P50" s="30">
        <f>AVERAGE(O50:O52)</f>
        <v>3.1373269764255389</v>
      </c>
      <c r="Q50" s="44">
        <f>STDEV(O50:O52)</f>
        <v>1.4253455737332381</v>
      </c>
      <c r="S50"/>
      <c r="T50"/>
    </row>
    <row r="51" spans="1:25" ht="15">
      <c r="B51" s="65">
        <v>0.127</v>
      </c>
      <c r="C51" s="65">
        <v>0.111</v>
      </c>
      <c r="D51" s="27">
        <f t="shared" si="28"/>
        <v>0.11899999999999999</v>
      </c>
      <c r="E51" s="27">
        <f t="shared" si="29"/>
        <v>6.699999999999999E-2</v>
      </c>
      <c r="F51" s="27">
        <f t="shared" si="30"/>
        <v>-1.1739251972991736</v>
      </c>
      <c r="G51" s="28">
        <f t="shared" si="31"/>
        <v>-0.55682796689947278</v>
      </c>
      <c r="H51" s="27">
        <f t="shared" si="32"/>
        <v>0.27744188921886748</v>
      </c>
      <c r="I51" s="41">
        <v>16</v>
      </c>
      <c r="J51" s="42">
        <f t="shared" si="33"/>
        <v>4.4390702275018796</v>
      </c>
      <c r="K51" s="30">
        <f t="shared" ref="K51:K55" si="35">(0.1*J51/1000)*1000</f>
        <v>0.44390702275018801</v>
      </c>
      <c r="L51" s="43">
        <f t="shared" si="34"/>
        <v>1.0061561951431601</v>
      </c>
      <c r="M51" s="30"/>
      <c r="N51" s="44"/>
      <c r="O51" s="2">
        <f t="shared" ref="O51:O55" si="36">L51/L41</f>
        <v>2.9233564259945086</v>
      </c>
      <c r="P51" s="30"/>
      <c r="Q51" s="44"/>
      <c r="S51"/>
      <c r="T51"/>
    </row>
    <row r="52" spans="1:25" ht="15">
      <c r="B52" s="65">
        <v>0.11600000000000001</v>
      </c>
      <c r="C52" s="65">
        <v>0.114</v>
      </c>
      <c r="D52" s="27">
        <f t="shared" si="28"/>
        <v>0.115</v>
      </c>
      <c r="E52" s="27">
        <f t="shared" si="29"/>
        <v>6.3E-2</v>
      </c>
      <c r="F52" s="27">
        <f t="shared" si="30"/>
        <v>-1.2006594505464183</v>
      </c>
      <c r="G52" s="28">
        <f t="shared" si="31"/>
        <v>-0.58411320192711769</v>
      </c>
      <c r="H52" s="27">
        <f t="shared" si="32"/>
        <v>0.2605474326176988</v>
      </c>
      <c r="I52" s="41">
        <v>16</v>
      </c>
      <c r="J52" s="42">
        <f t="shared" si="33"/>
        <v>4.1687589218831809</v>
      </c>
      <c r="K52" s="30">
        <f t="shared" si="35"/>
        <v>0.41687589218831811</v>
      </c>
      <c r="L52" s="43">
        <f t="shared" si="34"/>
        <v>0.91254731395866551</v>
      </c>
      <c r="M52" s="30"/>
      <c r="N52" s="44"/>
      <c r="O52" s="2">
        <f t="shared" si="36"/>
        <v>1.8310633502715465</v>
      </c>
      <c r="P52" s="30"/>
      <c r="Q52" s="44"/>
      <c r="S52"/>
      <c r="T52"/>
    </row>
    <row r="53" spans="1:25" ht="15">
      <c r="A53" s="1" t="s">
        <v>26</v>
      </c>
      <c r="B53" s="64">
        <v>0.4</v>
      </c>
      <c r="C53" s="64">
        <v>0.40600000000000003</v>
      </c>
      <c r="D53" s="27">
        <f>AVERAGE(B53:C53)</f>
        <v>0.40300000000000002</v>
      </c>
      <c r="E53" s="27">
        <f t="shared" si="29"/>
        <v>0.35100000000000003</v>
      </c>
      <c r="F53" s="27">
        <f t="shared" si="30"/>
        <v>-0.45469288353417586</v>
      </c>
      <c r="G53" s="28">
        <f t="shared" si="31"/>
        <v>0.17722742410260456</v>
      </c>
      <c r="H53" s="27">
        <f t="shared" si="32"/>
        <v>1.50392931257943</v>
      </c>
      <c r="I53" s="41">
        <v>16</v>
      </c>
      <c r="J53" s="42">
        <f t="shared" si="33"/>
        <v>24.062869001270879</v>
      </c>
      <c r="K53" s="30">
        <f t="shared" si="35"/>
        <v>2.4062869001270881</v>
      </c>
      <c r="L53" s="43">
        <f t="shared" si="34"/>
        <v>5.1664790442896225</v>
      </c>
      <c r="M53" s="30">
        <f>AVERAGE(L53:L55)</f>
        <v>4.1153812510531944</v>
      </c>
      <c r="N53" s="44">
        <f>STDEV(L53:L55)</f>
        <v>1.0962347018015746</v>
      </c>
      <c r="O53" s="2">
        <f t="shared" si="36"/>
        <v>4.6039758659080414</v>
      </c>
      <c r="P53" s="30">
        <f>AVERAGE(O53:O55)</f>
        <v>3.3734333359571771</v>
      </c>
      <c r="Q53" s="44">
        <f>STDEV(O53:O55)</f>
        <v>1.1092665030847262</v>
      </c>
      <c r="S53"/>
      <c r="T53"/>
    </row>
    <row r="54" spans="1:25" ht="15">
      <c r="A54" s="45"/>
      <c r="B54" s="64">
        <v>0.35299999999999998</v>
      </c>
      <c r="C54" s="64">
        <v>0.30399999999999999</v>
      </c>
      <c r="D54" s="27">
        <f>AVERAGE(B54:C54)</f>
        <v>0.32850000000000001</v>
      </c>
      <c r="E54" s="27">
        <f t="shared" si="29"/>
        <v>0.27650000000000002</v>
      </c>
      <c r="F54" s="27">
        <f t="shared" si="30"/>
        <v>-0.55830486435928295</v>
      </c>
      <c r="G54" s="28">
        <f t="shared" si="31"/>
        <v>7.1480043678419952E-2</v>
      </c>
      <c r="H54" s="27">
        <f t="shared" si="32"/>
        <v>1.1789083498299617</v>
      </c>
      <c r="I54" s="41">
        <v>16</v>
      </c>
      <c r="J54" s="42">
        <f t="shared" si="33"/>
        <v>18.862533597279388</v>
      </c>
      <c r="K54" s="30">
        <f t="shared" si="35"/>
        <v>1.8862533597279389</v>
      </c>
      <c r="L54" s="43">
        <f t="shared" si="34"/>
        <v>4.2006724261592616</v>
      </c>
      <c r="M54" s="30"/>
      <c r="N54" s="44"/>
      <c r="O54" s="2">
        <f t="shared" si="36"/>
        <v>3.0660516394188839</v>
      </c>
      <c r="P54" s="30"/>
      <c r="Q54" s="44"/>
      <c r="S54"/>
      <c r="T54"/>
    </row>
    <row r="55" spans="1:25" ht="15">
      <c r="A55" s="46"/>
      <c r="B55" s="64">
        <v>0.27600000000000002</v>
      </c>
      <c r="C55" s="64">
        <v>0.27500000000000002</v>
      </c>
      <c r="D55" s="27">
        <f>AVERAGE(B55:C55)</f>
        <v>0.27550000000000002</v>
      </c>
      <c r="E55" s="27">
        <f t="shared" si="29"/>
        <v>0.22350000000000003</v>
      </c>
      <c r="F55" s="27">
        <f t="shared" si="30"/>
        <v>-0.65072247253204463</v>
      </c>
      <c r="G55" s="28">
        <f t="shared" si="31"/>
        <v>-2.2842252754022189E-2</v>
      </c>
      <c r="H55" s="27">
        <f t="shared" si="32"/>
        <v>0.94876301655076212</v>
      </c>
      <c r="I55" s="41">
        <v>16</v>
      </c>
      <c r="J55" s="42">
        <f t="shared" si="33"/>
        <v>15.180208264812194</v>
      </c>
      <c r="K55" s="30">
        <f t="shared" si="35"/>
        <v>1.5180208264812194</v>
      </c>
      <c r="L55" s="43">
        <f t="shared" si="34"/>
        <v>2.9789922827106969</v>
      </c>
      <c r="M55" s="30"/>
      <c r="N55" s="44"/>
      <c r="O55" s="2">
        <f t="shared" si="36"/>
        <v>2.4502725025446068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3.1373269764255389</v>
      </c>
      <c r="O58" s="30">
        <f>Q50</f>
        <v>1.4253455737332381</v>
      </c>
    </row>
    <row r="59" spans="1:25" ht="15">
      <c r="D59"/>
      <c r="E59"/>
      <c r="G59"/>
      <c r="M59" s="2" t="s">
        <v>26</v>
      </c>
      <c r="N59" s="30">
        <f>P53</f>
        <v>3.3734333359571771</v>
      </c>
      <c r="O59" s="30">
        <f>Q53</f>
        <v>1.1092665030847262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0.39452692357618629</v>
      </c>
      <c r="C65" s="30">
        <f>N40</f>
        <v>8.9944628563826526E-2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1.1690272822439889</v>
      </c>
      <c r="C66" s="30">
        <f>N50</f>
        <v>0.36617227693978105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1.2360056487515656</v>
      </c>
      <c r="C67" s="30">
        <f>N43</f>
        <v>0.1251723786764749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4.1153812510531944</v>
      </c>
      <c r="C68" s="30">
        <f>N53</f>
        <v>1.0962347018015746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50" sqref="B50:C55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42206</v>
      </c>
      <c r="C1" s="49"/>
      <c r="D1" s="17"/>
    </row>
    <row r="2" spans="1:20" ht="13.5" thickBot="1">
      <c r="A2" s="1" t="s">
        <v>1</v>
      </c>
      <c r="B2" s="2">
        <v>77</v>
      </c>
      <c r="C2" s="3"/>
      <c r="E2" s="4" t="s">
        <v>40</v>
      </c>
    </row>
    <row r="3" spans="1:20" ht="15.75" thickBot="1">
      <c r="A3" s="1" t="s">
        <v>2</v>
      </c>
      <c r="B3" s="2" t="s">
        <v>43</v>
      </c>
      <c r="D3" s="10" t="s">
        <v>41</v>
      </c>
      <c r="E3" s="69"/>
      <c r="F3" s="70"/>
    </row>
    <row r="4" spans="1:20" ht="15">
      <c r="D4" s="10" t="s">
        <v>42</v>
      </c>
      <c r="E4" s="66"/>
      <c r="F4" s="66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72">
        <v>0</v>
      </c>
      <c r="B8" s="10">
        <v>0</v>
      </c>
      <c r="C8" s="71">
        <v>0.05</v>
      </c>
      <c r="D8" s="71">
        <v>5.3999999999999999E-2</v>
      </c>
      <c r="E8" s="11">
        <f t="shared" ref="E8:E13" si="0">AVERAGE(C8:D8)</f>
        <v>5.2000000000000005E-2</v>
      </c>
      <c r="F8" s="12"/>
      <c r="G8" s="10"/>
      <c r="H8" s="10"/>
      <c r="N8"/>
      <c r="O8"/>
      <c r="P8"/>
    </row>
    <row r="9" spans="1:20" ht="15">
      <c r="A9" s="72">
        <v>3.18</v>
      </c>
      <c r="B9" s="12">
        <f>A9/23</f>
        <v>0.13826086956521741</v>
      </c>
      <c r="C9" s="71">
        <v>7.6999999999999999E-2</v>
      </c>
      <c r="D9" s="71">
        <v>9.7000000000000003E-2</v>
      </c>
      <c r="E9" s="11">
        <f t="shared" si="0"/>
        <v>8.6999999999999994E-2</v>
      </c>
      <c r="F9" s="12">
        <f>(E9-$E$8)</f>
        <v>3.4999999999999989E-2</v>
      </c>
      <c r="G9" s="12">
        <f>LOG(B9)</f>
        <v>-0.85930071603316016</v>
      </c>
      <c r="H9" s="12">
        <f>LOG(F9)</f>
        <v>-1.4559319556497246</v>
      </c>
      <c r="N9"/>
      <c r="O9"/>
      <c r="P9"/>
    </row>
    <row r="10" spans="1:20" ht="15">
      <c r="A10" s="72">
        <v>10.5</v>
      </c>
      <c r="B10" s="12">
        <f t="shared" ref="B10:B13" si="1">A10/23</f>
        <v>0.45652173913043476</v>
      </c>
      <c r="C10" s="71">
        <v>0.14899999999999999</v>
      </c>
      <c r="D10" s="71">
        <v>0.17100000000000001</v>
      </c>
      <c r="E10" s="11">
        <f t="shared" si="0"/>
        <v>0.16</v>
      </c>
      <c r="F10" s="12">
        <f>(E10-$E$8)</f>
        <v>0.108</v>
      </c>
      <c r="G10" s="12">
        <f>LOG(B10)</f>
        <v>-0.34053853694765485</v>
      </c>
      <c r="H10" s="12">
        <f>LOG(F10)</f>
        <v>-0.96657624451305035</v>
      </c>
      <c r="N10"/>
      <c r="O10"/>
      <c r="P10"/>
    </row>
    <row r="11" spans="1:20" ht="15">
      <c r="A11" s="72">
        <v>31.1</v>
      </c>
      <c r="B11" s="12">
        <f t="shared" si="1"/>
        <v>1.3521739130434782</v>
      </c>
      <c r="C11" s="71">
        <v>0.32900000000000001</v>
      </c>
      <c r="D11" s="71">
        <v>0.35799999999999998</v>
      </c>
      <c r="E11" s="11">
        <f t="shared" si="0"/>
        <v>0.34350000000000003</v>
      </c>
      <c r="F11" s="12">
        <f>(E11-$E$8)</f>
        <v>0.29150000000000004</v>
      </c>
      <c r="G11" s="12">
        <f>LOG(B11)</f>
        <v>0.13103255300924463</v>
      </c>
      <c r="H11" s="12">
        <f>LOG(F11)</f>
        <v>-0.53536144090496707</v>
      </c>
      <c r="N11"/>
      <c r="O11"/>
      <c r="P11"/>
      <c r="Q11"/>
      <c r="R11"/>
      <c r="S11"/>
      <c r="T11"/>
    </row>
    <row r="12" spans="1:20" ht="15">
      <c r="A12" s="72">
        <v>103</v>
      </c>
      <c r="B12" s="12">
        <f t="shared" si="1"/>
        <v>4.4782608695652177</v>
      </c>
      <c r="C12" s="71">
        <v>1.129</v>
      </c>
      <c r="D12" s="71">
        <v>1.1639999999999999</v>
      </c>
      <c r="E12" s="11">
        <f t="shared" si="0"/>
        <v>1.1465000000000001</v>
      </c>
      <c r="F12" s="12">
        <f>(E12-$E$8)</f>
        <v>1.0945</v>
      </c>
      <c r="G12" s="12">
        <f>LOG(B12)</f>
        <v>0.65110938868757939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>
      <c r="A13" s="72">
        <v>214</v>
      </c>
      <c r="B13" s="12">
        <f t="shared" si="1"/>
        <v>9.304347826086957</v>
      </c>
      <c r="C13" s="71">
        <v>2.09</v>
      </c>
      <c r="D13" s="71">
        <v>2.1619999999999999</v>
      </c>
      <c r="E13" s="11">
        <f t="shared" si="0"/>
        <v>2.1259999999999999</v>
      </c>
      <c r="F13" s="12">
        <f>(E13-$E$8)</f>
        <v>2.0739999999999998</v>
      </c>
      <c r="G13" s="12">
        <f>LOG(B13)</f>
        <v>0.96868593733159802</v>
      </c>
      <c r="H13" s="12">
        <f>LOG(F13)</f>
        <v>0.31680875205302211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0.97980659577086648</v>
      </c>
      <c r="N15"/>
    </row>
    <row r="16" spans="1:20" ht="15">
      <c r="A16" s="5" t="s">
        <v>11</v>
      </c>
      <c r="B16" s="11">
        <f>INTERCEPT(H9:H13,G9:G13)</f>
        <v>-0.62834148262138845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75">
        <v>0.55300000000000005</v>
      </c>
      <c r="C22" s="75">
        <v>0.53700000000000003</v>
      </c>
      <c r="D22" s="27">
        <f t="shared" ref="D22:D27" si="2">AVERAGE(B22:C22)</f>
        <v>0.54500000000000004</v>
      </c>
      <c r="E22" s="27">
        <f t="shared" ref="E22:E27" si="3">D22-E$8</f>
        <v>0.49300000000000005</v>
      </c>
      <c r="F22" s="27">
        <f>LOG(E22)</f>
        <v>-0.30715308072276992</v>
      </c>
      <c r="G22" s="28">
        <f>(F22-$B$16)/$B$15</f>
        <v>0.32780796055564654</v>
      </c>
      <c r="H22" s="28">
        <f>10^G22</f>
        <v>2.1271982182442821</v>
      </c>
      <c r="I22" s="29">
        <v>500</v>
      </c>
      <c r="J22" s="30">
        <f>(H22*I22)</f>
        <v>1063.599109122141</v>
      </c>
      <c r="K22" s="31">
        <f>(0.05*J22/1000)*1000</f>
        <v>53.179955456107052</v>
      </c>
      <c r="L22" s="32">
        <f>K22+K40+K50</f>
        <v>54.432257163753064</v>
      </c>
      <c r="M22" s="33">
        <f>(L22*1000000/50000)/1000</f>
        <v>1.0886451432750612</v>
      </c>
      <c r="N22" s="34"/>
    </row>
    <row r="23" spans="1:17" ht="15">
      <c r="B23" s="75">
        <v>0.47299999999999998</v>
      </c>
      <c r="C23" s="75">
        <v>0.51300000000000001</v>
      </c>
      <c r="D23" s="27">
        <f t="shared" si="2"/>
        <v>0.49299999999999999</v>
      </c>
      <c r="E23" s="27">
        <f t="shared" si="3"/>
        <v>0.441</v>
      </c>
      <c r="F23" s="27">
        <f t="shared" ref="F23:F27" si="4">LOG(E23)</f>
        <v>-0.35556141053216145</v>
      </c>
      <c r="G23" s="28">
        <f t="shared" ref="G23:G27" si="5">(F23-$B$16)/$B$15</f>
        <v>0.27840195531100326</v>
      </c>
      <c r="H23" s="28">
        <f t="shared" ref="H23:H27" si="6">10^G23</f>
        <v>1.8984622040316301</v>
      </c>
      <c r="I23" s="29">
        <v>500</v>
      </c>
      <c r="J23" s="30">
        <f t="shared" ref="J23:J27" si="7">(H23*I23)</f>
        <v>949.23110201581505</v>
      </c>
      <c r="K23" s="31">
        <f t="shared" ref="K23:K27" si="8">(0.05*J23/1000)*1000</f>
        <v>47.461555100790754</v>
      </c>
      <c r="L23" s="32">
        <f>K23+K41+K51</f>
        <v>48.405022531389783</v>
      </c>
      <c r="M23" s="33">
        <f t="shared" ref="M23:M27" si="9">(L23*1000000/50000)/1000</f>
        <v>0.96810045062779559</v>
      </c>
      <c r="N23" s="34"/>
    </row>
    <row r="24" spans="1:17" ht="15">
      <c r="B24" s="75">
        <v>0.53800000000000003</v>
      </c>
      <c r="C24" s="75">
        <v>0.52900000000000003</v>
      </c>
      <c r="D24" s="27">
        <f t="shared" si="2"/>
        <v>0.53350000000000009</v>
      </c>
      <c r="E24" s="27">
        <f t="shared" si="3"/>
        <v>0.48150000000000009</v>
      </c>
      <c r="F24" s="27">
        <f t="shared" si="4"/>
        <v>-0.31740370853944661</v>
      </c>
      <c r="G24" s="28">
        <f t="shared" si="5"/>
        <v>0.31734607158600558</v>
      </c>
      <c r="H24" s="28">
        <f t="shared" si="6"/>
        <v>2.0765675904804008</v>
      </c>
      <c r="I24" s="29">
        <v>500</v>
      </c>
      <c r="J24" s="30">
        <f t="shared" si="7"/>
        <v>1038.2837952402003</v>
      </c>
      <c r="K24" s="31">
        <f t="shared" si="8"/>
        <v>51.914189762010018</v>
      </c>
      <c r="L24" s="32">
        <f t="shared" ref="L24:L27" si="10">K24+K42+K52</f>
        <v>52.650268493612188</v>
      </c>
      <c r="M24" s="33">
        <f t="shared" si="9"/>
        <v>1.0530053698722437</v>
      </c>
      <c r="N24" s="34"/>
    </row>
    <row r="25" spans="1:17" ht="15">
      <c r="A25" s="1" t="s">
        <v>26</v>
      </c>
      <c r="B25" s="76">
        <v>0.47799999999999998</v>
      </c>
      <c r="C25" s="76">
        <v>0.436</v>
      </c>
      <c r="D25" s="27">
        <f t="shared" si="2"/>
        <v>0.45699999999999996</v>
      </c>
      <c r="E25" s="27">
        <f t="shared" si="3"/>
        <v>0.40499999999999997</v>
      </c>
      <c r="F25" s="27">
        <f t="shared" si="4"/>
        <v>-0.39254497678533146</v>
      </c>
      <c r="G25" s="28">
        <f t="shared" si="5"/>
        <v>0.24065617322216862</v>
      </c>
      <c r="H25" s="28">
        <f t="shared" si="6"/>
        <v>1.7404284473036489</v>
      </c>
      <c r="I25" s="29">
        <v>500</v>
      </c>
      <c r="J25" s="30">
        <f t="shared" si="7"/>
        <v>870.21422365182445</v>
      </c>
      <c r="K25" s="31">
        <f t="shared" si="8"/>
        <v>43.510711182591223</v>
      </c>
      <c r="L25" s="32">
        <f t="shared" si="10"/>
        <v>45.943781920112016</v>
      </c>
      <c r="M25" s="33">
        <f t="shared" si="9"/>
        <v>0.91887563840224029</v>
      </c>
      <c r="N25" s="34"/>
    </row>
    <row r="26" spans="1:17" ht="15">
      <c r="B26" s="76">
        <v>0.42699999999999999</v>
      </c>
      <c r="C26" s="76">
        <v>0.47799999999999998</v>
      </c>
      <c r="D26" s="27">
        <f t="shared" si="2"/>
        <v>0.45250000000000001</v>
      </c>
      <c r="E26" s="27">
        <f t="shared" si="3"/>
        <v>0.40050000000000002</v>
      </c>
      <c r="F26" s="27">
        <f t="shared" si="4"/>
        <v>-0.39739747957974353</v>
      </c>
      <c r="G26" s="28">
        <f t="shared" si="5"/>
        <v>0.23570366237425547</v>
      </c>
      <c r="H26" s="28">
        <f t="shared" si="6"/>
        <v>1.7206940714589625</v>
      </c>
      <c r="I26" s="29">
        <v>500</v>
      </c>
      <c r="J26" s="30">
        <f t="shared" si="7"/>
        <v>860.34703572948126</v>
      </c>
      <c r="K26" s="31">
        <f t="shared" si="8"/>
        <v>43.017351786474066</v>
      </c>
      <c r="L26" s="32">
        <f t="shared" si="10"/>
        <v>45.135112829986539</v>
      </c>
      <c r="M26" s="33">
        <f t="shared" si="9"/>
        <v>0.9027022565997308</v>
      </c>
      <c r="N26" s="34"/>
    </row>
    <row r="27" spans="1:17" ht="15">
      <c r="B27" s="76">
        <v>0.42499999999999999</v>
      </c>
      <c r="C27" s="76">
        <v>0.44900000000000001</v>
      </c>
      <c r="D27" s="27">
        <f t="shared" si="2"/>
        <v>0.437</v>
      </c>
      <c r="E27" s="27">
        <f t="shared" si="3"/>
        <v>0.38500000000000001</v>
      </c>
      <c r="F27" s="27">
        <f t="shared" si="4"/>
        <v>-0.4145392704914993</v>
      </c>
      <c r="G27" s="28">
        <f t="shared" si="5"/>
        <v>0.21820858631971085</v>
      </c>
      <c r="H27" s="28">
        <f t="shared" si="6"/>
        <v>1.6527554058095257</v>
      </c>
      <c r="I27" s="29">
        <v>500</v>
      </c>
      <c r="J27" s="30">
        <f t="shared" si="7"/>
        <v>826.37770290476283</v>
      </c>
      <c r="K27" s="31">
        <f t="shared" si="8"/>
        <v>41.318885145238141</v>
      </c>
      <c r="L27" s="32">
        <f t="shared" si="10"/>
        <v>42.979194962198626</v>
      </c>
      <c r="M27" s="33">
        <f t="shared" si="9"/>
        <v>0.85958389924397249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75">
        <v>0.55300000000000005</v>
      </c>
      <c r="C31" s="75">
        <v>0.53700000000000003</v>
      </c>
      <c r="D31" s="27">
        <f t="shared" ref="D31:D36" si="11">AVERAGE(B31:C31)</f>
        <v>0.54500000000000004</v>
      </c>
      <c r="E31" s="27">
        <f t="shared" ref="E31:E36" si="12">D31-E$8</f>
        <v>0.49300000000000005</v>
      </c>
      <c r="F31" s="27">
        <f>LOG(E31)</f>
        <v>-0.30715308072276992</v>
      </c>
      <c r="G31" s="28">
        <f>(F31-$B$16)/$B$15</f>
        <v>0.32780796055564654</v>
      </c>
      <c r="H31" s="28">
        <f>10^G31</f>
        <v>2.1271982182442821</v>
      </c>
      <c r="I31" s="29">
        <v>500</v>
      </c>
      <c r="J31" s="30">
        <f>(H31*I31)</f>
        <v>1063.599109122141</v>
      </c>
      <c r="K31" s="31">
        <f>(0.05*J31/1000)*1000</f>
        <v>53.179955456107052</v>
      </c>
      <c r="L31" s="32">
        <f>K31+K50</f>
        <v>54.012004269686464</v>
      </c>
      <c r="M31" s="33">
        <f>(L31*1000000/50000)/1000</f>
        <v>1.0802400853937293</v>
      </c>
      <c r="N31" s="35"/>
      <c r="Q31"/>
    </row>
    <row r="32" spans="1:17" ht="15">
      <c r="B32" s="75">
        <v>0.47299999999999998</v>
      </c>
      <c r="C32" s="75">
        <v>0.51300000000000001</v>
      </c>
      <c r="D32" s="27">
        <f t="shared" si="11"/>
        <v>0.49299999999999999</v>
      </c>
      <c r="E32" s="27">
        <f t="shared" si="12"/>
        <v>0.441</v>
      </c>
      <c r="F32" s="27">
        <f t="shared" ref="F32:F36" si="13">LOG(E32)</f>
        <v>-0.35556141053216145</v>
      </c>
      <c r="G32" s="28">
        <f t="shared" ref="G32:G36" si="14">(F32-$B$16)/$B$15</f>
        <v>0.27840195531100326</v>
      </c>
      <c r="H32" s="28">
        <f t="shared" ref="H32:H36" si="15">10^G32</f>
        <v>1.8984622040316301</v>
      </c>
      <c r="I32" s="29">
        <v>500</v>
      </c>
      <c r="J32" s="30">
        <f t="shared" ref="J32:J36" si="16">(H32*I32)</f>
        <v>949.23110201581505</v>
      </c>
      <c r="K32" s="31">
        <f t="shared" ref="K32:K36" si="17">(0.05*J32/1000)*1000</f>
        <v>47.461555100790754</v>
      </c>
      <c r="L32" s="32">
        <f>K32+K51</f>
        <v>48.119368465282072</v>
      </c>
      <c r="M32" s="33">
        <f t="shared" ref="M32:M36" si="18">(L32*1000000/50000)/1000</f>
        <v>0.9623873693056415</v>
      </c>
      <c r="N32" s="36"/>
      <c r="Q32"/>
    </row>
    <row r="33" spans="1:21" ht="15">
      <c r="B33" s="75">
        <v>0.53800000000000003</v>
      </c>
      <c r="C33" s="75">
        <v>0.52900000000000003</v>
      </c>
      <c r="D33" s="27">
        <f t="shared" si="11"/>
        <v>0.53350000000000009</v>
      </c>
      <c r="E33" s="27">
        <f t="shared" si="12"/>
        <v>0.48150000000000009</v>
      </c>
      <c r="F33" s="27">
        <f t="shared" si="13"/>
        <v>-0.31740370853944661</v>
      </c>
      <c r="G33" s="28">
        <f t="shared" si="14"/>
        <v>0.31734607158600558</v>
      </c>
      <c r="H33" s="28">
        <f t="shared" si="15"/>
        <v>2.0765675904804008</v>
      </c>
      <c r="I33" s="29">
        <v>500</v>
      </c>
      <c r="J33" s="30">
        <f t="shared" si="16"/>
        <v>1038.2837952402003</v>
      </c>
      <c r="K33" s="31">
        <f t="shared" si="17"/>
        <v>51.914189762010018</v>
      </c>
      <c r="L33" s="32">
        <f t="shared" ref="L33:L36" si="19">K33+K52</f>
        <v>52.331065654198333</v>
      </c>
      <c r="M33" s="33">
        <f t="shared" si="18"/>
        <v>1.0466213130839668</v>
      </c>
      <c r="N33" s="36"/>
      <c r="Q33"/>
      <c r="R33"/>
      <c r="S33"/>
    </row>
    <row r="34" spans="1:21" ht="15">
      <c r="A34" s="1" t="s">
        <v>26</v>
      </c>
      <c r="B34" s="76">
        <v>0.47799999999999998</v>
      </c>
      <c r="C34" s="76">
        <v>0.436</v>
      </c>
      <c r="D34" s="27">
        <f t="shared" si="11"/>
        <v>0.45699999999999996</v>
      </c>
      <c r="E34" s="27">
        <f t="shared" si="12"/>
        <v>0.40499999999999997</v>
      </c>
      <c r="F34" s="27">
        <f t="shared" si="13"/>
        <v>-0.39254497678533146</v>
      </c>
      <c r="G34" s="28">
        <f t="shared" si="14"/>
        <v>0.24065617322216862</v>
      </c>
      <c r="H34" s="28">
        <f t="shared" si="15"/>
        <v>1.7404284473036489</v>
      </c>
      <c r="I34" s="29">
        <v>500</v>
      </c>
      <c r="J34" s="30">
        <f t="shared" si="16"/>
        <v>870.21422365182445</v>
      </c>
      <c r="K34" s="31">
        <f t="shared" si="17"/>
        <v>43.510711182591223</v>
      </c>
      <c r="L34" s="32">
        <f t="shared" si="19"/>
        <v>45.445714577307832</v>
      </c>
      <c r="M34" s="33">
        <f t="shared" si="18"/>
        <v>0.90891429154615677</v>
      </c>
      <c r="N34" s="36"/>
      <c r="Q34"/>
      <c r="R34"/>
      <c r="S34"/>
    </row>
    <row r="35" spans="1:21" ht="15">
      <c r="B35" s="76">
        <v>0.42699999999999999</v>
      </c>
      <c r="C35" s="76">
        <v>0.47799999999999998</v>
      </c>
      <c r="D35" s="27">
        <f t="shared" si="11"/>
        <v>0.45250000000000001</v>
      </c>
      <c r="E35" s="27">
        <f t="shared" si="12"/>
        <v>0.40050000000000002</v>
      </c>
      <c r="F35" s="27">
        <f t="shared" si="13"/>
        <v>-0.39739747957974353</v>
      </c>
      <c r="G35" s="28">
        <f t="shared" si="14"/>
        <v>0.23570366237425547</v>
      </c>
      <c r="H35" s="28">
        <f t="shared" si="15"/>
        <v>1.7206940714589625</v>
      </c>
      <c r="I35" s="29">
        <v>500</v>
      </c>
      <c r="J35" s="30">
        <f t="shared" si="16"/>
        <v>860.34703572948126</v>
      </c>
      <c r="K35" s="31">
        <f t="shared" si="17"/>
        <v>43.017351786474066</v>
      </c>
      <c r="L35" s="32">
        <f t="shared" si="19"/>
        <v>44.524975302781698</v>
      </c>
      <c r="M35" s="33">
        <f t="shared" si="18"/>
        <v>0.89049950605563399</v>
      </c>
      <c r="N35" s="36"/>
      <c r="Q35"/>
      <c r="R35"/>
      <c r="S35"/>
    </row>
    <row r="36" spans="1:21" ht="15">
      <c r="B36" s="76">
        <v>0.42499999999999999</v>
      </c>
      <c r="C36" s="76">
        <v>0.44900000000000001</v>
      </c>
      <c r="D36" s="27">
        <f t="shared" si="11"/>
        <v>0.437</v>
      </c>
      <c r="E36" s="27">
        <f t="shared" si="12"/>
        <v>0.38500000000000001</v>
      </c>
      <c r="F36" s="27">
        <f t="shared" si="13"/>
        <v>-0.4145392704914993</v>
      </c>
      <c r="G36" s="28">
        <f t="shared" si="14"/>
        <v>0.21820858631971085</v>
      </c>
      <c r="H36" s="28">
        <f t="shared" si="15"/>
        <v>1.6527554058095257</v>
      </c>
      <c r="I36" s="29">
        <v>500</v>
      </c>
      <c r="J36" s="30">
        <f t="shared" si="16"/>
        <v>826.37770290476283</v>
      </c>
      <c r="K36" s="31">
        <f t="shared" si="17"/>
        <v>41.318885145238141</v>
      </c>
      <c r="L36" s="32">
        <f t="shared" si="19"/>
        <v>42.498066144787032</v>
      </c>
      <c r="M36" s="33">
        <f t="shared" si="18"/>
        <v>0.84996132289574056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77">
        <v>0.11700000000000001</v>
      </c>
      <c r="C40" s="77">
        <v>0.114</v>
      </c>
      <c r="D40" s="27">
        <f t="shared" ref="D40:D45" si="20">AVERAGE(B40,C40)</f>
        <v>0.11550000000000001</v>
      </c>
      <c r="E40" s="27">
        <f t="shared" ref="E40:E45" si="21">D40-E$8</f>
        <v>6.3500000000000001E-2</v>
      </c>
      <c r="F40" s="27">
        <f t="shared" ref="F40:F45" si="22">LOG(E40)</f>
        <v>-1.1972262747080242</v>
      </c>
      <c r="G40" s="28">
        <f t="shared" ref="G40:G45" si="23">(F40-$B$16)/$B$15</f>
        <v>-0.58060926977028926</v>
      </c>
      <c r="H40" s="27">
        <f t="shared" ref="H40:H45" si="24">10^G40</f>
        <v>0.26265805879162485</v>
      </c>
      <c r="I40" s="41">
        <v>16</v>
      </c>
      <c r="J40" s="42">
        <f t="shared" ref="J40:J45" si="25">H40*I40</f>
        <v>4.2025289406659976</v>
      </c>
      <c r="K40" s="30">
        <f>(0.1*J40/1000)*1000</f>
        <v>0.42025289406659977</v>
      </c>
      <c r="L40" s="43">
        <f>K40*100/L22</f>
        <v>0.772065896151097</v>
      </c>
      <c r="M40" s="30">
        <f>AVERAGE(L40:L42)</f>
        <v>0.65615637208754274</v>
      </c>
      <c r="N40" s="44">
        <f>STDEV(L40:L42)</f>
        <v>0.10070433942019295</v>
      </c>
      <c r="R40"/>
      <c r="S40"/>
      <c r="T40"/>
      <c r="U40"/>
    </row>
    <row r="41" spans="1:21" ht="15">
      <c r="B41" s="77">
        <v>9.1999999999999998E-2</v>
      </c>
      <c r="C41" s="77">
        <v>9.9000000000000005E-2</v>
      </c>
      <c r="D41" s="27">
        <f t="shared" si="20"/>
        <v>9.5500000000000002E-2</v>
      </c>
      <c r="E41" s="27">
        <f t="shared" si="21"/>
        <v>4.3499999999999997E-2</v>
      </c>
      <c r="F41" s="27">
        <f t="shared" si="22"/>
        <v>-1.3615107430453628</v>
      </c>
      <c r="G41" s="28">
        <f t="shared" si="23"/>
        <v>-0.7482795723039104</v>
      </c>
      <c r="H41" s="27">
        <f t="shared" si="24"/>
        <v>0.17853379131731908</v>
      </c>
      <c r="I41" s="41">
        <v>16</v>
      </c>
      <c r="J41" s="42">
        <f t="shared" si="25"/>
        <v>2.8565406610771054</v>
      </c>
      <c r="K41" s="30">
        <f t="shared" ref="K41:K45" si="26">(0.1*J41/1000)*1000</f>
        <v>0.28565406610771055</v>
      </c>
      <c r="L41" s="43">
        <f t="shared" ref="L41:L45" si="27">K41*100/L23</f>
        <v>0.59013311257621881</v>
      </c>
      <c r="M41" s="30"/>
      <c r="N41" s="44"/>
      <c r="R41"/>
      <c r="S41"/>
      <c r="T41"/>
      <c r="U41"/>
    </row>
    <row r="42" spans="1:21" s="17" customFormat="1" ht="15">
      <c r="A42" s="1"/>
      <c r="B42" s="78">
        <v>0.10100000000000001</v>
      </c>
      <c r="C42" s="78">
        <v>0.1</v>
      </c>
      <c r="D42" s="27">
        <f t="shared" si="20"/>
        <v>0.10050000000000001</v>
      </c>
      <c r="E42" s="27">
        <f t="shared" si="21"/>
        <v>4.8500000000000001E-2</v>
      </c>
      <c r="F42" s="27">
        <f t="shared" si="22"/>
        <v>-1.3142582613977363</v>
      </c>
      <c r="G42" s="28">
        <f t="shared" si="23"/>
        <v>-0.70005323676832387</v>
      </c>
      <c r="H42" s="27">
        <f t="shared" si="24"/>
        <v>0.19950177463365837</v>
      </c>
      <c r="I42" s="41">
        <v>16</v>
      </c>
      <c r="J42" s="42">
        <f t="shared" si="25"/>
        <v>3.1920283941385339</v>
      </c>
      <c r="K42" s="30">
        <f t="shared" si="26"/>
        <v>0.31920283941385341</v>
      </c>
      <c r="L42" s="43">
        <f t="shared" si="27"/>
        <v>0.60627010753531263</v>
      </c>
      <c r="M42" s="30"/>
      <c r="N42" s="44"/>
      <c r="R42"/>
      <c r="S42"/>
      <c r="T42"/>
      <c r="U42"/>
    </row>
    <row r="43" spans="1:21" ht="15">
      <c r="A43" s="1" t="s">
        <v>34</v>
      </c>
      <c r="B43" s="79">
        <v>0.13100000000000001</v>
      </c>
      <c r="C43" s="79">
        <v>0.123</v>
      </c>
      <c r="D43" s="27">
        <f t="shared" si="20"/>
        <v>0.127</v>
      </c>
      <c r="E43" s="27">
        <f t="shared" si="21"/>
        <v>7.4999999999999997E-2</v>
      </c>
      <c r="F43" s="27">
        <f t="shared" si="22"/>
        <v>-1.1249387366082999</v>
      </c>
      <c r="G43" s="28">
        <f t="shared" si="23"/>
        <v>-0.50683191573762754</v>
      </c>
      <c r="H43" s="27">
        <f t="shared" si="24"/>
        <v>0.31129208925261487</v>
      </c>
      <c r="I43" s="41">
        <v>16</v>
      </c>
      <c r="J43" s="42">
        <f t="shared" si="25"/>
        <v>4.9806734280418379</v>
      </c>
      <c r="K43" s="30">
        <f t="shared" si="26"/>
        <v>0.49806734280418385</v>
      </c>
      <c r="L43" s="43">
        <f t="shared" si="27"/>
        <v>1.0840799820751228</v>
      </c>
      <c r="M43" s="30">
        <f>AVERAGE(L43:L45)</f>
        <v>1.1851094047265904</v>
      </c>
      <c r="N43" s="44">
        <f>STDEV(L43:L45)</f>
        <v>0.1454393208121697</v>
      </c>
      <c r="R43"/>
      <c r="S43"/>
      <c r="T43"/>
      <c r="U43"/>
    </row>
    <row r="44" spans="1:21" ht="15">
      <c r="A44" s="45"/>
      <c r="B44" s="79">
        <v>0.156</v>
      </c>
      <c r="C44" s="79">
        <v>0.13100000000000001</v>
      </c>
      <c r="D44" s="27">
        <f t="shared" si="20"/>
        <v>0.14350000000000002</v>
      </c>
      <c r="E44" s="27">
        <f t="shared" si="21"/>
        <v>9.1500000000000012E-2</v>
      </c>
      <c r="F44" s="27">
        <f t="shared" si="22"/>
        <v>-1.0385789059335517</v>
      </c>
      <c r="G44" s="28">
        <f t="shared" si="23"/>
        <v>-0.41869224506435115</v>
      </c>
      <c r="H44" s="27">
        <f t="shared" si="24"/>
        <v>0.38133595450302443</v>
      </c>
      <c r="I44" s="41">
        <v>16</v>
      </c>
      <c r="J44" s="42">
        <f t="shared" si="25"/>
        <v>6.1013752720483909</v>
      </c>
      <c r="K44" s="30">
        <f t="shared" si="26"/>
        <v>0.61013752720483916</v>
      </c>
      <c r="L44" s="43">
        <f t="shared" si="27"/>
        <v>1.3518023750224912</v>
      </c>
      <c r="M44" s="30"/>
      <c r="N44" s="44"/>
      <c r="R44"/>
      <c r="S44"/>
      <c r="T44"/>
      <c r="U44"/>
    </row>
    <row r="45" spans="1:21" ht="15">
      <c r="A45" s="46"/>
      <c r="B45" s="80">
        <v>0.126</v>
      </c>
      <c r="C45" s="80">
        <v>0.123</v>
      </c>
      <c r="D45" s="27">
        <f t="shared" si="20"/>
        <v>0.1245</v>
      </c>
      <c r="E45" s="27">
        <f t="shared" si="21"/>
        <v>7.2499999999999995E-2</v>
      </c>
      <c r="F45" s="27">
        <f t="shared" si="22"/>
        <v>-1.1396619934290064</v>
      </c>
      <c r="G45" s="28">
        <f t="shared" si="23"/>
        <v>-0.52185861272482525</v>
      </c>
      <c r="H45" s="27">
        <f t="shared" si="24"/>
        <v>0.30070551088224717</v>
      </c>
      <c r="I45" s="41">
        <v>16</v>
      </c>
      <c r="J45" s="42">
        <f t="shared" si="25"/>
        <v>4.8112881741159548</v>
      </c>
      <c r="K45" s="30">
        <f t="shared" si="26"/>
        <v>0.48112881741159552</v>
      </c>
      <c r="L45" s="43">
        <f t="shared" si="27"/>
        <v>1.1194458570821568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75">
        <v>0.17599999999999999</v>
      </c>
      <c r="C50" s="75">
        <v>0.17599999999999999</v>
      </c>
      <c r="D50" s="27">
        <f t="shared" ref="D50:D52" si="28">AVERAGE(B50,C50)</f>
        <v>0.17599999999999999</v>
      </c>
      <c r="E50" s="27">
        <f t="shared" ref="E50:E55" si="29">D50-E$8</f>
        <v>0.12399999999999999</v>
      </c>
      <c r="F50" s="27">
        <f t="shared" ref="F50:F55" si="30">LOG(E50)</f>
        <v>-0.90657831483776496</v>
      </c>
      <c r="G50" s="28">
        <f t="shared" ref="G50:G55" si="31">(F50-$B$16)/$B$15</f>
        <v>-0.28397117698260915</v>
      </c>
      <c r="H50" s="27">
        <f t="shared" ref="H50:H55" si="32">10^G50</f>
        <v>0.52003050848713184</v>
      </c>
      <c r="I50" s="41">
        <v>16</v>
      </c>
      <c r="J50" s="42">
        <f t="shared" ref="J50:J55" si="33">H50*I50</f>
        <v>8.3204881357941094</v>
      </c>
      <c r="K50" s="30">
        <f>(0.1*J50/1000)*1000</f>
        <v>0.83204881357941096</v>
      </c>
      <c r="L50" s="43">
        <f t="shared" ref="L50:L55" si="34">K50*100/L31</f>
        <v>1.5404886836358107</v>
      </c>
      <c r="M50" s="30">
        <f>AVERAGE(L50:L52)</f>
        <v>1.2347154077590448</v>
      </c>
      <c r="N50" s="44">
        <f>STDEV(L50:L52)</f>
        <v>0.38919301584290661</v>
      </c>
      <c r="O50" s="48">
        <f>L50/L40</f>
        <v>1.9952813500964814</v>
      </c>
      <c r="P50" s="30">
        <f>AVERAGE(O50:O52)</f>
        <v>1.8752468723881011</v>
      </c>
      <c r="Q50" s="44">
        <f>STDEV(O50:O52)</f>
        <v>0.51193826099798645</v>
      </c>
      <c r="S50"/>
      <c r="T50"/>
    </row>
    <row r="51" spans="1:25" ht="15">
      <c r="B51" s="75">
        <v>0.14599999999999999</v>
      </c>
      <c r="C51" s="75">
        <v>0.155</v>
      </c>
      <c r="D51" s="27">
        <f t="shared" si="28"/>
        <v>0.15049999999999999</v>
      </c>
      <c r="E51" s="27">
        <f t="shared" si="29"/>
        <v>9.849999999999999E-2</v>
      </c>
      <c r="F51" s="27">
        <f t="shared" si="30"/>
        <v>-1.0065637695023884</v>
      </c>
      <c r="G51" s="28">
        <f t="shared" si="31"/>
        <v>-0.38601729005858765</v>
      </c>
      <c r="H51" s="27">
        <f t="shared" si="32"/>
        <v>0.41113335280707186</v>
      </c>
      <c r="I51" s="41">
        <v>16</v>
      </c>
      <c r="J51" s="42">
        <f t="shared" si="33"/>
        <v>6.5781336449131498</v>
      </c>
      <c r="K51" s="30">
        <f t="shared" ref="K51:K55" si="35">(0.1*J51/1000)*1000</f>
        <v>0.657813364491315</v>
      </c>
      <c r="L51" s="43">
        <f t="shared" si="34"/>
        <v>1.3670448833216184</v>
      </c>
      <c r="M51" s="30"/>
      <c r="N51" s="44"/>
      <c r="O51" s="2">
        <f t="shared" ref="O51:O55" si="36">L51/L41</f>
        <v>2.3165025893120976</v>
      </c>
      <c r="P51" s="30"/>
      <c r="Q51" s="44"/>
      <c r="S51"/>
      <c r="T51"/>
    </row>
    <row r="52" spans="1:25" ht="15">
      <c r="B52" s="75">
        <v>0.11799999999999999</v>
      </c>
      <c r="C52" s="75">
        <v>0.112</v>
      </c>
      <c r="D52" s="27">
        <f t="shared" si="28"/>
        <v>0.11499999999999999</v>
      </c>
      <c r="E52" s="27">
        <f t="shared" si="29"/>
        <v>6.2999999999999987E-2</v>
      </c>
      <c r="F52" s="27">
        <f t="shared" si="30"/>
        <v>-1.2006594505464183</v>
      </c>
      <c r="G52" s="28">
        <f t="shared" si="31"/>
        <v>-0.58411320192711769</v>
      </c>
      <c r="H52" s="27">
        <f t="shared" si="32"/>
        <v>0.2605474326176988</v>
      </c>
      <c r="I52" s="41">
        <v>16</v>
      </c>
      <c r="J52" s="42">
        <f t="shared" si="33"/>
        <v>4.1687589218831809</v>
      </c>
      <c r="K52" s="30">
        <f t="shared" si="35"/>
        <v>0.41687589218831811</v>
      </c>
      <c r="L52" s="43">
        <f t="shared" si="34"/>
        <v>0.7966126563197049</v>
      </c>
      <c r="M52" s="30"/>
      <c r="N52" s="44"/>
      <c r="O52" s="2">
        <f t="shared" si="36"/>
        <v>1.3139566777557239</v>
      </c>
      <c r="P52" s="30"/>
      <c r="Q52" s="44"/>
      <c r="S52"/>
      <c r="T52"/>
    </row>
    <row r="53" spans="1:25" ht="15">
      <c r="A53" s="1" t="s">
        <v>26</v>
      </c>
      <c r="B53" s="76">
        <v>0.33800000000000002</v>
      </c>
      <c r="C53" s="76">
        <v>0.33300000000000002</v>
      </c>
      <c r="D53" s="27">
        <f>AVERAGE(B53:C53)</f>
        <v>0.33550000000000002</v>
      </c>
      <c r="E53" s="27">
        <f t="shared" si="29"/>
        <v>0.28350000000000003</v>
      </c>
      <c r="F53" s="27">
        <f t="shared" si="30"/>
        <v>-0.54744693677107459</v>
      </c>
      <c r="G53" s="28">
        <f t="shared" si="31"/>
        <v>8.2561748613939237E-2</v>
      </c>
      <c r="H53" s="27">
        <f t="shared" si="32"/>
        <v>1.2093771216978795</v>
      </c>
      <c r="I53" s="41">
        <v>16</v>
      </c>
      <c r="J53" s="42">
        <f t="shared" si="33"/>
        <v>19.350033947166072</v>
      </c>
      <c r="K53" s="30">
        <f t="shared" si="35"/>
        <v>1.9350033947166072</v>
      </c>
      <c r="L53" s="43">
        <f t="shared" si="34"/>
        <v>4.2578346775139106</v>
      </c>
      <c r="M53" s="30">
        <f>AVERAGE(L53:L55)</f>
        <v>3.4728406988340343</v>
      </c>
      <c r="N53" s="44">
        <f>STDEV(L53:L55)</f>
        <v>0.74538460505156379</v>
      </c>
      <c r="O53" s="2">
        <f t="shared" si="36"/>
        <v>3.9276019739462895</v>
      </c>
      <c r="P53" s="30">
        <f>AVERAGE(O53:O55)</f>
        <v>2.9703430336294474</v>
      </c>
      <c r="Q53" s="44">
        <f>STDEV(O53:O55)</f>
        <v>0.82911411184124184</v>
      </c>
      <c r="S53"/>
      <c r="T53"/>
    </row>
    <row r="54" spans="1:25" ht="15">
      <c r="A54" s="45"/>
      <c r="B54" s="76">
        <v>0.28299999999999997</v>
      </c>
      <c r="C54" s="76">
        <v>0.26500000000000001</v>
      </c>
      <c r="D54" s="27">
        <f>AVERAGE(B54:C54)</f>
        <v>0.27400000000000002</v>
      </c>
      <c r="E54" s="27">
        <f t="shared" si="29"/>
        <v>0.22200000000000003</v>
      </c>
      <c r="F54" s="27">
        <f t="shared" si="30"/>
        <v>-0.65364702554936127</v>
      </c>
      <c r="G54" s="28">
        <f t="shared" si="31"/>
        <v>-2.5827079586113209E-2</v>
      </c>
      <c r="H54" s="27">
        <f t="shared" si="32"/>
        <v>0.94226469769227139</v>
      </c>
      <c r="I54" s="41">
        <v>16</v>
      </c>
      <c r="J54" s="42">
        <f t="shared" si="33"/>
        <v>15.076235163076342</v>
      </c>
      <c r="K54" s="30">
        <f t="shared" si="35"/>
        <v>1.5076235163076344</v>
      </c>
      <c r="L54" s="43">
        <f t="shared" si="34"/>
        <v>3.3860176362937717</v>
      </c>
      <c r="M54" s="30"/>
      <c r="N54" s="44"/>
      <c r="O54" s="2">
        <f t="shared" si="36"/>
        <v>2.5048170493393571</v>
      </c>
      <c r="P54" s="30"/>
      <c r="Q54" s="44"/>
      <c r="S54"/>
      <c r="T54"/>
    </row>
    <row r="55" spans="1:25" ht="15">
      <c r="A55" s="46"/>
      <c r="B55" s="76">
        <v>0.22800000000000001</v>
      </c>
      <c r="C55" s="76">
        <v>0.22500000000000001</v>
      </c>
      <c r="D55" s="27">
        <f>AVERAGE(B55:C55)</f>
        <v>0.22650000000000001</v>
      </c>
      <c r="E55" s="27">
        <f t="shared" si="29"/>
        <v>0.17449999999999999</v>
      </c>
      <c r="F55" s="27">
        <f t="shared" si="30"/>
        <v>-0.75820456870480135</v>
      </c>
      <c r="G55" s="28">
        <f t="shared" si="31"/>
        <v>-0.13253950998486863</v>
      </c>
      <c r="H55" s="27">
        <f t="shared" si="32"/>
        <v>0.7369881247180583</v>
      </c>
      <c r="I55" s="41">
        <v>16</v>
      </c>
      <c r="J55" s="42">
        <f t="shared" si="33"/>
        <v>11.791809995488933</v>
      </c>
      <c r="K55" s="30">
        <f t="shared" si="35"/>
        <v>1.1791809995488933</v>
      </c>
      <c r="L55" s="43">
        <f t="shared" si="34"/>
        <v>2.7746697826944202</v>
      </c>
      <c r="M55" s="30"/>
      <c r="N55" s="44"/>
      <c r="O55" s="2">
        <f t="shared" si="36"/>
        <v>2.4786100776026951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1.8752468723881011</v>
      </c>
      <c r="O58" s="30">
        <f>Q50</f>
        <v>0.51193826099798645</v>
      </c>
    </row>
    <row r="59" spans="1:25" ht="15">
      <c r="D59"/>
      <c r="E59"/>
      <c r="G59"/>
      <c r="M59" s="2" t="s">
        <v>26</v>
      </c>
      <c r="N59" s="30">
        <f>P53</f>
        <v>2.9703430336294474</v>
      </c>
      <c r="O59" s="30">
        <f>Q53</f>
        <v>0.82911411184124184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0.65615637208754274</v>
      </c>
      <c r="C65" s="30">
        <f>N40</f>
        <v>0.10070433942019295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1.2347154077590448</v>
      </c>
      <c r="C66" s="30">
        <f>N50</f>
        <v>0.38919301584290661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1.1851094047265904</v>
      </c>
      <c r="C67" s="30">
        <f>N43</f>
        <v>0.1454393208121697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3.4728406988340343</v>
      </c>
      <c r="C68" s="30">
        <f>N53</f>
        <v>0.74538460505156379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A13" sqref="A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6" style="2" bestFit="1" customWidth="1"/>
    <col min="5" max="5" width="8.625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3">
        <v>42206</v>
      </c>
      <c r="C1" s="49"/>
      <c r="D1" s="17"/>
    </row>
    <row r="2" spans="1:20" ht="13.5" thickBot="1">
      <c r="A2" s="1" t="s">
        <v>1</v>
      </c>
      <c r="B2" s="2">
        <v>77</v>
      </c>
      <c r="C2" s="3"/>
      <c r="E2" s="4" t="s">
        <v>40</v>
      </c>
    </row>
    <row r="3" spans="1:20" ht="15.75" thickBot="1">
      <c r="A3" s="1" t="s">
        <v>2</v>
      </c>
      <c r="B3" s="2" t="s">
        <v>43</v>
      </c>
      <c r="D3" s="10" t="s">
        <v>41</v>
      </c>
      <c r="E3" s="69"/>
      <c r="F3" s="70"/>
    </row>
    <row r="4" spans="1:20" ht="15">
      <c r="D4" s="10" t="s">
        <v>42</v>
      </c>
      <c r="E4" s="66"/>
      <c r="F4" s="66"/>
    </row>
    <row r="5" spans="1:20">
      <c r="A5" s="2"/>
    </row>
    <row r="6" spans="1:20" ht="15">
      <c r="N6"/>
      <c r="O6"/>
      <c r="P6"/>
    </row>
    <row r="7" spans="1:20" ht="15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72">
        <v>0</v>
      </c>
      <c r="B8" s="10">
        <v>0</v>
      </c>
      <c r="C8" s="71">
        <v>0.05</v>
      </c>
      <c r="D8" s="71">
        <v>5.3999999999999999E-2</v>
      </c>
      <c r="E8" s="11">
        <f t="shared" ref="E8:E13" si="0">AVERAGE(C8:D8)</f>
        <v>5.2000000000000005E-2</v>
      </c>
      <c r="F8" s="12"/>
      <c r="G8" s="10"/>
      <c r="H8" s="10"/>
      <c r="N8"/>
      <c r="O8"/>
      <c r="P8"/>
    </row>
    <row r="9" spans="1:20" ht="15">
      <c r="A9" s="72">
        <v>3.18</v>
      </c>
      <c r="B9" s="12">
        <f>A9/23</f>
        <v>0.13826086956521741</v>
      </c>
      <c r="C9" s="71">
        <v>7.6999999999999999E-2</v>
      </c>
      <c r="D9" s="71">
        <v>9.7000000000000003E-2</v>
      </c>
      <c r="E9" s="11">
        <f t="shared" si="0"/>
        <v>8.6999999999999994E-2</v>
      </c>
      <c r="F9" s="12">
        <f>(E9-$E$8)</f>
        <v>3.4999999999999989E-2</v>
      </c>
      <c r="G9" s="12">
        <f>LOG(B9)</f>
        <v>-0.85930071603316016</v>
      </c>
      <c r="H9" s="12">
        <f>LOG(F9)</f>
        <v>-1.4559319556497246</v>
      </c>
      <c r="N9"/>
      <c r="O9"/>
      <c r="P9"/>
    </row>
    <row r="10" spans="1:20" ht="15">
      <c r="A10" s="72">
        <v>10.5</v>
      </c>
      <c r="B10" s="12">
        <f t="shared" ref="B10:B13" si="1">A10/23</f>
        <v>0.45652173913043476</v>
      </c>
      <c r="C10" s="71">
        <v>0.14899999999999999</v>
      </c>
      <c r="D10" s="71">
        <v>0.17100000000000001</v>
      </c>
      <c r="E10" s="11">
        <f t="shared" si="0"/>
        <v>0.16</v>
      </c>
      <c r="F10" s="12">
        <f>(E10-$E$8)</f>
        <v>0.108</v>
      </c>
      <c r="G10" s="12">
        <f>LOG(B10)</f>
        <v>-0.34053853694765485</v>
      </c>
      <c r="H10" s="12">
        <f>LOG(F10)</f>
        <v>-0.96657624451305035</v>
      </c>
      <c r="N10"/>
      <c r="O10"/>
      <c r="P10"/>
    </row>
    <row r="11" spans="1:20" ht="15">
      <c r="A11" s="72">
        <v>31.1</v>
      </c>
      <c r="B11" s="12">
        <f t="shared" si="1"/>
        <v>1.3521739130434782</v>
      </c>
      <c r="C11" s="71">
        <v>0.32900000000000001</v>
      </c>
      <c r="D11" s="71">
        <v>0.35799999999999998</v>
      </c>
      <c r="E11" s="11">
        <f t="shared" si="0"/>
        <v>0.34350000000000003</v>
      </c>
      <c r="F11" s="12">
        <f>(E11-$E$8)</f>
        <v>0.29150000000000004</v>
      </c>
      <c r="G11" s="12">
        <f>LOG(B11)</f>
        <v>0.13103255300924463</v>
      </c>
      <c r="H11" s="12">
        <f>LOG(F11)</f>
        <v>-0.53536144090496707</v>
      </c>
      <c r="N11"/>
      <c r="O11"/>
      <c r="P11"/>
      <c r="Q11"/>
      <c r="R11"/>
      <c r="S11"/>
      <c r="T11"/>
    </row>
    <row r="12" spans="1:20" ht="15">
      <c r="A12" s="72">
        <v>103</v>
      </c>
      <c r="B12" s="12">
        <f t="shared" si="1"/>
        <v>4.4782608695652177</v>
      </c>
      <c r="C12" s="71">
        <v>1.129</v>
      </c>
      <c r="D12" s="71">
        <v>1.1639999999999999</v>
      </c>
      <c r="E12" s="11">
        <f t="shared" si="0"/>
        <v>1.1465000000000001</v>
      </c>
      <c r="F12" s="12">
        <f>(E12-$E$8)</f>
        <v>1.0945</v>
      </c>
      <c r="G12" s="12">
        <f>LOG(B12)</f>
        <v>0.65110938868757939</v>
      </c>
      <c r="H12" s="12">
        <f>LOG(F12)</f>
        <v>3.9215765903950504E-2</v>
      </c>
      <c r="N12"/>
      <c r="O12"/>
      <c r="P12"/>
      <c r="Q12"/>
      <c r="R12"/>
      <c r="S12"/>
      <c r="T12"/>
    </row>
    <row r="13" spans="1:20" ht="15">
      <c r="A13" s="72">
        <v>214</v>
      </c>
      <c r="B13" s="12">
        <f t="shared" si="1"/>
        <v>9.304347826086957</v>
      </c>
      <c r="C13" s="71">
        <v>2.09</v>
      </c>
      <c r="D13" s="71">
        <v>2.1619999999999999</v>
      </c>
      <c r="E13" s="11">
        <f t="shared" si="0"/>
        <v>2.1259999999999999</v>
      </c>
      <c r="F13" s="12">
        <f>(E13-$E$8)</f>
        <v>2.0739999999999998</v>
      </c>
      <c r="G13" s="12">
        <f>LOG(B13)</f>
        <v>0.96868593733159802</v>
      </c>
      <c r="H13" s="12">
        <f>LOG(F13)</f>
        <v>0.31680875205302211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0.97980659577086648</v>
      </c>
      <c r="N15"/>
    </row>
    <row r="16" spans="1:20" ht="15">
      <c r="A16" s="5" t="s">
        <v>11</v>
      </c>
      <c r="B16" s="11">
        <f>INTERCEPT(H9:H13,G9:G13)</f>
        <v>-0.62834148262138845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81">
        <v>0.46300000000000002</v>
      </c>
      <c r="C22" s="81">
        <v>0.46400000000000002</v>
      </c>
      <c r="D22" s="27">
        <f t="shared" ref="D22:D27" si="2">AVERAGE(B22:C22)</f>
        <v>0.46350000000000002</v>
      </c>
      <c r="E22" s="27">
        <f t="shared" ref="E22:E27" si="3">D22-E$8</f>
        <v>0.41150000000000003</v>
      </c>
      <c r="F22" s="27">
        <f>LOG(E22)</f>
        <v>-0.38563016045171133</v>
      </c>
      <c r="G22" s="28">
        <f>(F22-$B$16)/$B$15</f>
        <v>0.24771350102896897</v>
      </c>
      <c r="H22" s="28">
        <f>10^G22</f>
        <v>1.768941623299894</v>
      </c>
      <c r="I22" s="29">
        <v>500</v>
      </c>
      <c r="J22" s="30">
        <f>(H22*I22)</f>
        <v>884.470811649947</v>
      </c>
      <c r="K22" s="31">
        <f>(0.05*J22/1000)*1000</f>
        <v>44.22354058249735</v>
      </c>
      <c r="L22" s="32">
        <f>K22+K40+K50</f>
        <v>44.872053295240107</v>
      </c>
      <c r="M22" s="33">
        <f>(L22*1000000/50000)/1000</f>
        <v>0.89744106590480199</v>
      </c>
      <c r="N22" s="34"/>
    </row>
    <row r="23" spans="1:17" ht="15">
      <c r="B23" s="81">
        <v>0.41499999999999998</v>
      </c>
      <c r="C23" s="81">
        <v>0.42799999999999999</v>
      </c>
      <c r="D23" s="27">
        <f t="shared" si="2"/>
        <v>0.42149999999999999</v>
      </c>
      <c r="E23" s="27">
        <f t="shared" si="3"/>
        <v>0.3695</v>
      </c>
      <c r="F23" s="27">
        <f t="shared" ref="F23:F27" si="4">LOG(E23)</f>
        <v>-0.43238555726915545</v>
      </c>
      <c r="G23" s="28">
        <f t="shared" ref="G23:G27" si="5">(F23-$B$16)/$B$15</f>
        <v>0.19999449503405714</v>
      </c>
      <c r="H23" s="28">
        <f t="shared" ref="H23:H27" si="6">10^G23</f>
        <v>1.5848731030330523</v>
      </c>
      <c r="I23" s="29">
        <v>500</v>
      </c>
      <c r="J23" s="30">
        <f t="shared" ref="J23:J27" si="7">(H23*I23)</f>
        <v>792.43655151652615</v>
      </c>
      <c r="K23" s="31">
        <f t="shared" ref="K23:K27" si="8">(0.05*J23/1000)*1000</f>
        <v>39.621827575826309</v>
      </c>
      <c r="L23" s="32">
        <f>K23+K41+K51</f>
        <v>40.1132405190329</v>
      </c>
      <c r="M23" s="33">
        <f t="shared" ref="M23:M27" si="9">(L23*1000000/50000)/1000</f>
        <v>0.80226481038065811</v>
      </c>
      <c r="N23" s="34"/>
    </row>
    <row r="24" spans="1:17" ht="15">
      <c r="B24" s="81">
        <v>0.47899999999999998</v>
      </c>
      <c r="C24" s="81">
        <v>0.48899999999999999</v>
      </c>
      <c r="D24" s="27">
        <f t="shared" si="2"/>
        <v>0.48399999999999999</v>
      </c>
      <c r="E24" s="27">
        <f t="shared" si="3"/>
        <v>0.432</v>
      </c>
      <c r="F24" s="27">
        <f t="shared" si="4"/>
        <v>-0.3645162531850879</v>
      </c>
      <c r="G24" s="28">
        <f t="shared" si="5"/>
        <v>0.26926255709550012</v>
      </c>
      <c r="H24" s="28">
        <f t="shared" si="6"/>
        <v>1.8589279490292434</v>
      </c>
      <c r="I24" s="29">
        <v>500</v>
      </c>
      <c r="J24" s="30">
        <f t="shared" si="7"/>
        <v>929.46397451462167</v>
      </c>
      <c r="K24" s="31">
        <f t="shared" si="8"/>
        <v>46.473198725731088</v>
      </c>
      <c r="L24" s="32">
        <f t="shared" ref="L24:L27" si="10">K24+K42+K52</f>
        <v>47.074736777861489</v>
      </c>
      <c r="M24" s="33">
        <f t="shared" si="9"/>
        <v>0.94149473555722973</v>
      </c>
      <c r="N24" s="34"/>
    </row>
    <row r="25" spans="1:17" ht="15">
      <c r="A25" s="1" t="s">
        <v>26</v>
      </c>
      <c r="B25" s="82">
        <v>0.40899999999999997</v>
      </c>
      <c r="C25" s="82">
        <v>0.49399999999999999</v>
      </c>
      <c r="D25" s="27">
        <f t="shared" si="2"/>
        <v>0.45150000000000001</v>
      </c>
      <c r="E25" s="27">
        <f t="shared" si="3"/>
        <v>0.39950000000000002</v>
      </c>
      <c r="F25" s="27">
        <f t="shared" si="4"/>
        <v>-0.39848321634998979</v>
      </c>
      <c r="G25" s="28">
        <f t="shared" si="5"/>
        <v>0.23459554902317922</v>
      </c>
      <c r="H25" s="28">
        <f t="shared" si="6"/>
        <v>1.7163092733708525</v>
      </c>
      <c r="I25" s="29">
        <v>500</v>
      </c>
      <c r="J25" s="30">
        <f t="shared" si="7"/>
        <v>858.15463668542623</v>
      </c>
      <c r="K25" s="31">
        <f t="shared" si="8"/>
        <v>42.907731834271317</v>
      </c>
      <c r="L25" s="32">
        <f t="shared" si="10"/>
        <v>44.544752779982112</v>
      </c>
      <c r="M25" s="33">
        <f t="shared" si="9"/>
        <v>0.89089505559964222</v>
      </c>
      <c r="N25" s="34"/>
    </row>
    <row r="26" spans="1:17" ht="15">
      <c r="B26" s="82">
        <v>0.36899999999999999</v>
      </c>
      <c r="C26" s="82">
        <v>0.46400000000000002</v>
      </c>
      <c r="D26" s="27">
        <f t="shared" si="2"/>
        <v>0.41649999999999998</v>
      </c>
      <c r="E26" s="27">
        <f t="shared" si="3"/>
        <v>0.36449999999999999</v>
      </c>
      <c r="F26" s="27">
        <f t="shared" si="4"/>
        <v>-0.43830246734600659</v>
      </c>
      <c r="G26" s="28">
        <f t="shared" si="5"/>
        <v>0.19395563991469966</v>
      </c>
      <c r="H26" s="28">
        <f t="shared" si="6"/>
        <v>1.5629879864067364</v>
      </c>
      <c r="I26" s="29">
        <v>500</v>
      </c>
      <c r="J26" s="30">
        <f t="shared" si="7"/>
        <v>781.49399320336818</v>
      </c>
      <c r="K26" s="31">
        <f t="shared" si="8"/>
        <v>39.074699660168413</v>
      </c>
      <c r="L26" s="32">
        <f t="shared" si="10"/>
        <v>40.604696414727137</v>
      </c>
      <c r="M26" s="33">
        <f t="shared" si="9"/>
        <v>0.81209392829454274</v>
      </c>
      <c r="N26" s="34"/>
    </row>
    <row r="27" spans="1:17" ht="15">
      <c r="B27" s="82">
        <v>0.34599999999999997</v>
      </c>
      <c r="C27" s="82">
        <v>0.442</v>
      </c>
      <c r="D27" s="27">
        <f t="shared" si="2"/>
        <v>0.39400000000000002</v>
      </c>
      <c r="E27" s="27">
        <f t="shared" si="3"/>
        <v>0.34200000000000003</v>
      </c>
      <c r="F27" s="27">
        <f t="shared" si="4"/>
        <v>-0.46597389394386496</v>
      </c>
      <c r="G27" s="28">
        <f t="shared" si="5"/>
        <v>0.16571391678556743</v>
      </c>
      <c r="H27" s="28">
        <f t="shared" si="6"/>
        <v>1.4645827571420147</v>
      </c>
      <c r="I27" s="29">
        <v>500</v>
      </c>
      <c r="J27" s="30">
        <f t="shared" si="7"/>
        <v>732.29137857100739</v>
      </c>
      <c r="K27" s="31">
        <f t="shared" si="8"/>
        <v>36.614568928550369</v>
      </c>
      <c r="L27" s="32">
        <f t="shared" si="10"/>
        <v>38.130506807271956</v>
      </c>
      <c r="M27" s="33">
        <f t="shared" si="9"/>
        <v>0.76261013614543915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81">
        <v>0.46300000000000002</v>
      </c>
      <c r="C31" s="81">
        <v>0.46400000000000002</v>
      </c>
      <c r="D31" s="27">
        <f t="shared" ref="D31:D36" si="11">AVERAGE(B31:C31)</f>
        <v>0.46350000000000002</v>
      </c>
      <c r="E31" s="27">
        <f t="shared" ref="E31:E36" si="12">D31-E$8</f>
        <v>0.41150000000000003</v>
      </c>
      <c r="F31" s="27">
        <f>LOG(E31)</f>
        <v>-0.38563016045171133</v>
      </c>
      <c r="G31" s="28">
        <f>(F31-$B$16)/$B$15</f>
        <v>0.24771350102896897</v>
      </c>
      <c r="H31" s="28">
        <f>10^G31</f>
        <v>1.768941623299894</v>
      </c>
      <c r="I31" s="29">
        <v>500</v>
      </c>
      <c r="J31" s="30">
        <f>(H31*I31)</f>
        <v>884.470811649947</v>
      </c>
      <c r="K31" s="31">
        <f>(0.05*J31/1000)*1000</f>
        <v>44.22354058249735</v>
      </c>
      <c r="L31" s="32">
        <f>K31+K50</f>
        <v>44.569634241438301</v>
      </c>
      <c r="M31" s="33">
        <f>(L31*1000000/50000)/1000</f>
        <v>0.89139268482876599</v>
      </c>
      <c r="N31" s="35"/>
      <c r="Q31"/>
    </row>
    <row r="32" spans="1:17" ht="15">
      <c r="B32" s="81">
        <v>0.41499999999999998</v>
      </c>
      <c r="C32" s="81">
        <v>0.42799999999999999</v>
      </c>
      <c r="D32" s="27">
        <f t="shared" si="11"/>
        <v>0.42149999999999999</v>
      </c>
      <c r="E32" s="27">
        <f t="shared" si="12"/>
        <v>0.3695</v>
      </c>
      <c r="F32" s="27">
        <f t="shared" ref="F32:F36" si="13">LOG(E32)</f>
        <v>-0.43238555726915545</v>
      </c>
      <c r="G32" s="28">
        <f t="shared" ref="G32:G36" si="14">(F32-$B$16)/$B$15</f>
        <v>0.19999449503405714</v>
      </c>
      <c r="H32" s="28">
        <f t="shared" ref="H32:H36" si="15">10^G32</f>
        <v>1.5848731030330523</v>
      </c>
      <c r="I32" s="29">
        <v>500</v>
      </c>
      <c r="J32" s="30">
        <f t="shared" ref="J32:J36" si="16">(H32*I32)</f>
        <v>792.43655151652615</v>
      </c>
      <c r="K32" s="31">
        <f t="shared" ref="K32:K36" si="17">(0.05*J32/1000)*1000</f>
        <v>39.621827575826309</v>
      </c>
      <c r="L32" s="32">
        <f>K32+K51</f>
        <v>39.937672201322663</v>
      </c>
      <c r="M32" s="33">
        <f t="shared" ref="M32:M36" si="18">(L32*1000000/50000)/1000</f>
        <v>0.79875344402645321</v>
      </c>
      <c r="N32" s="36"/>
      <c r="Q32"/>
    </row>
    <row r="33" spans="1:21" ht="15">
      <c r="B33" s="81">
        <v>0.47899999999999998</v>
      </c>
      <c r="C33" s="81">
        <v>0.48899999999999999</v>
      </c>
      <c r="D33" s="27">
        <f t="shared" si="11"/>
        <v>0.48399999999999999</v>
      </c>
      <c r="E33" s="27">
        <f t="shared" si="12"/>
        <v>0.432</v>
      </c>
      <c r="F33" s="27">
        <f t="shared" si="13"/>
        <v>-0.3645162531850879</v>
      </c>
      <c r="G33" s="28">
        <f t="shared" si="14"/>
        <v>0.26926255709550012</v>
      </c>
      <c r="H33" s="28">
        <f t="shared" si="15"/>
        <v>1.8589279490292434</v>
      </c>
      <c r="I33" s="29">
        <v>500</v>
      </c>
      <c r="J33" s="30">
        <f t="shared" si="16"/>
        <v>929.46397451462167</v>
      </c>
      <c r="K33" s="31">
        <f t="shared" si="17"/>
        <v>46.473198725731088</v>
      </c>
      <c r="L33" s="32">
        <f t="shared" ref="L33:L36" si="19">K33+K52</f>
        <v>46.802480460156005</v>
      </c>
      <c r="M33" s="33">
        <f t="shared" si="18"/>
        <v>0.93604960920312019</v>
      </c>
      <c r="N33" s="36"/>
      <c r="Q33"/>
      <c r="R33"/>
      <c r="S33"/>
    </row>
    <row r="34" spans="1:21" ht="15">
      <c r="A34" s="1" t="s">
        <v>26</v>
      </c>
      <c r="B34" s="82">
        <v>0.40899999999999997</v>
      </c>
      <c r="C34" s="82">
        <v>0.49399999999999999</v>
      </c>
      <c r="D34" s="27">
        <f t="shared" si="11"/>
        <v>0.45150000000000001</v>
      </c>
      <c r="E34" s="27">
        <f t="shared" si="12"/>
        <v>0.39950000000000002</v>
      </c>
      <c r="F34" s="27">
        <f t="shared" si="13"/>
        <v>-0.39848321634998979</v>
      </c>
      <c r="G34" s="28">
        <f t="shared" si="14"/>
        <v>0.23459554902317922</v>
      </c>
      <c r="H34" s="28">
        <f t="shared" si="15"/>
        <v>1.7163092733708525</v>
      </c>
      <c r="I34" s="29">
        <v>500</v>
      </c>
      <c r="J34" s="30">
        <f t="shared" si="16"/>
        <v>858.15463668542623</v>
      </c>
      <c r="K34" s="31">
        <f t="shared" si="17"/>
        <v>42.907731834271317</v>
      </c>
      <c r="L34" s="32">
        <f t="shared" si="19"/>
        <v>44.107606738389272</v>
      </c>
      <c r="M34" s="33">
        <f t="shared" si="18"/>
        <v>0.88215213476778531</v>
      </c>
      <c r="N34" s="36"/>
      <c r="Q34"/>
      <c r="R34"/>
      <c r="S34"/>
    </row>
    <row r="35" spans="1:21" ht="15">
      <c r="B35" s="82">
        <v>0.36899999999999999</v>
      </c>
      <c r="C35" s="82">
        <v>0.46400000000000002</v>
      </c>
      <c r="D35" s="27">
        <f t="shared" si="11"/>
        <v>0.41649999999999998</v>
      </c>
      <c r="E35" s="27">
        <f t="shared" si="12"/>
        <v>0.36449999999999999</v>
      </c>
      <c r="F35" s="27">
        <f t="shared" si="13"/>
        <v>-0.43830246734600659</v>
      </c>
      <c r="G35" s="28">
        <f t="shared" si="14"/>
        <v>0.19395563991469966</v>
      </c>
      <c r="H35" s="28">
        <f t="shared" si="15"/>
        <v>1.5629879864067364</v>
      </c>
      <c r="I35" s="29">
        <v>500</v>
      </c>
      <c r="J35" s="30">
        <f t="shared" si="16"/>
        <v>781.49399320336818</v>
      </c>
      <c r="K35" s="31">
        <f t="shared" si="17"/>
        <v>39.074699660168413</v>
      </c>
      <c r="L35" s="32">
        <f t="shared" si="19"/>
        <v>40.157408119462538</v>
      </c>
      <c r="M35" s="33">
        <f t="shared" si="18"/>
        <v>0.80314816238925069</v>
      </c>
      <c r="N35" s="36"/>
      <c r="Q35"/>
      <c r="R35"/>
      <c r="S35"/>
    </row>
    <row r="36" spans="1:21" ht="15">
      <c r="B36" s="82">
        <v>0.34599999999999997</v>
      </c>
      <c r="C36" s="82">
        <v>0.442</v>
      </c>
      <c r="D36" s="27">
        <f t="shared" si="11"/>
        <v>0.39400000000000002</v>
      </c>
      <c r="E36" s="27">
        <f t="shared" si="12"/>
        <v>0.34200000000000003</v>
      </c>
      <c r="F36" s="27">
        <f t="shared" si="13"/>
        <v>-0.46597389394386496</v>
      </c>
      <c r="G36" s="28">
        <f t="shared" si="14"/>
        <v>0.16571391678556743</v>
      </c>
      <c r="H36" s="28">
        <f t="shared" si="15"/>
        <v>1.4645827571420147</v>
      </c>
      <c r="I36" s="29">
        <v>500</v>
      </c>
      <c r="J36" s="30">
        <f t="shared" si="16"/>
        <v>732.29137857100739</v>
      </c>
      <c r="K36" s="31">
        <f t="shared" si="17"/>
        <v>36.614568928550369</v>
      </c>
      <c r="L36" s="32">
        <f t="shared" si="19"/>
        <v>37.666304479378418</v>
      </c>
      <c r="M36" s="33">
        <f t="shared" si="18"/>
        <v>0.75332608958756841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83">
        <v>9.9000000000000005E-2</v>
      </c>
      <c r="C40" s="83">
        <v>9.7000000000000003E-2</v>
      </c>
      <c r="D40" s="27">
        <f t="shared" ref="D40:D45" si="20">AVERAGE(B40,C40)</f>
        <v>9.8000000000000004E-2</v>
      </c>
      <c r="E40" s="27">
        <f t="shared" ref="E40:E45" si="21">D40-E$8</f>
        <v>4.5999999999999999E-2</v>
      </c>
      <c r="F40" s="27">
        <f t="shared" ref="F40:F45" si="22">LOG(E40)</f>
        <v>-1.3372421683184259</v>
      </c>
      <c r="G40" s="28">
        <f t="shared" ref="G40:G45" si="23">(F40-$B$16)/$B$15</f>
        <v>-0.72351083239984437</v>
      </c>
      <c r="H40" s="27">
        <f t="shared" ref="H40:H45" si="24">10^G40</f>
        <v>0.18901190862612921</v>
      </c>
      <c r="I40" s="41">
        <v>16</v>
      </c>
      <c r="J40" s="42">
        <f t="shared" ref="J40:J45" si="25">H40*I40</f>
        <v>3.0241905380180674</v>
      </c>
      <c r="K40" s="30">
        <f>(0.1*J40/1000)*1000</f>
        <v>0.30241905380180678</v>
      </c>
      <c r="L40" s="43">
        <f>K40*100/L22</f>
        <v>0.67395858132903064</v>
      </c>
      <c r="M40" s="30">
        <f>AVERAGE(L40:L42)</f>
        <v>0.56332979853278242</v>
      </c>
      <c r="N40" s="44">
        <f>STDEV(L40:L42)</f>
        <v>0.11885232183205205</v>
      </c>
      <c r="R40"/>
      <c r="S40"/>
      <c r="T40"/>
      <c r="U40"/>
    </row>
    <row r="41" spans="1:21" ht="15">
      <c r="B41" s="83">
        <v>7.8E-2</v>
      </c>
      <c r="C41" s="83">
        <v>0.08</v>
      </c>
      <c r="D41" s="27">
        <f t="shared" si="20"/>
        <v>7.9000000000000001E-2</v>
      </c>
      <c r="E41" s="27">
        <f t="shared" si="21"/>
        <v>2.6999999999999996E-2</v>
      </c>
      <c r="F41" s="27">
        <f t="shared" si="22"/>
        <v>-1.5686362358410126</v>
      </c>
      <c r="G41" s="28">
        <f t="shared" si="23"/>
        <v>-0.95967383489579783</v>
      </c>
      <c r="H41" s="27">
        <f t="shared" si="24"/>
        <v>0.10973019856889742</v>
      </c>
      <c r="I41" s="41">
        <v>16</v>
      </c>
      <c r="J41" s="42">
        <f t="shared" si="25"/>
        <v>1.7556831771023587</v>
      </c>
      <c r="K41" s="30">
        <f t="shared" ref="K41:K45" si="26">(0.1*J41/1000)*1000</f>
        <v>0.17556831771023587</v>
      </c>
      <c r="L41" s="43">
        <f t="shared" ref="L41:L45" si="27">K41*100/L23</f>
        <v>0.43768171167057013</v>
      </c>
      <c r="M41" s="30"/>
      <c r="N41" s="44"/>
      <c r="R41"/>
      <c r="S41"/>
      <c r="T41"/>
      <c r="U41"/>
    </row>
    <row r="42" spans="1:21" s="17" customFormat="1" ht="15">
      <c r="A42" s="1"/>
      <c r="B42" s="84">
        <v>9.4E-2</v>
      </c>
      <c r="C42" s="84">
        <v>9.2999999999999999E-2</v>
      </c>
      <c r="D42" s="27">
        <f t="shared" si="20"/>
        <v>9.35E-2</v>
      </c>
      <c r="E42" s="27">
        <f t="shared" si="21"/>
        <v>4.1499999999999995E-2</v>
      </c>
      <c r="F42" s="27">
        <f t="shared" si="22"/>
        <v>-1.3819519032879073</v>
      </c>
      <c r="G42" s="28">
        <f t="shared" si="23"/>
        <v>-0.76914201631150791</v>
      </c>
      <c r="H42" s="27">
        <f t="shared" si="24"/>
        <v>0.17016019856592754</v>
      </c>
      <c r="I42" s="41">
        <v>16</v>
      </c>
      <c r="J42" s="42">
        <f t="shared" si="25"/>
        <v>2.7225631770548406</v>
      </c>
      <c r="K42" s="30">
        <f t="shared" si="26"/>
        <v>0.27225631770548409</v>
      </c>
      <c r="L42" s="43">
        <f t="shared" si="27"/>
        <v>0.57834910259874661</v>
      </c>
      <c r="M42" s="30"/>
      <c r="N42" s="44"/>
      <c r="R42"/>
      <c r="S42"/>
      <c r="T42"/>
      <c r="U42"/>
    </row>
    <row r="43" spans="1:21" ht="15">
      <c r="A43" s="1" t="s">
        <v>34</v>
      </c>
      <c r="B43" s="85">
        <v>0.12</v>
      </c>
      <c r="C43" s="85">
        <v>0.11600000000000001</v>
      </c>
      <c r="D43" s="27">
        <f t="shared" si="20"/>
        <v>0.11799999999999999</v>
      </c>
      <c r="E43" s="27">
        <f t="shared" si="21"/>
        <v>6.5999999999999989E-2</v>
      </c>
      <c r="F43" s="27">
        <f t="shared" si="22"/>
        <v>-1.1804560644581314</v>
      </c>
      <c r="G43" s="28">
        <f t="shared" si="23"/>
        <v>-0.56349343249967077</v>
      </c>
      <c r="H43" s="27">
        <f t="shared" si="24"/>
        <v>0.27321627599552523</v>
      </c>
      <c r="I43" s="41">
        <v>16</v>
      </c>
      <c r="J43" s="42">
        <f t="shared" si="25"/>
        <v>4.3714604159284036</v>
      </c>
      <c r="K43" s="30">
        <f t="shared" si="26"/>
        <v>0.43714604159284037</v>
      </c>
      <c r="L43" s="43">
        <f t="shared" si="27"/>
        <v>0.98136371696126834</v>
      </c>
      <c r="M43" s="30">
        <f>AVERAGE(L43:L45)</f>
        <v>1.1001118783129225</v>
      </c>
      <c r="N43" s="44">
        <f>STDEV(L43:L45)</f>
        <v>0.11802689410401337</v>
      </c>
      <c r="R43"/>
      <c r="S43"/>
      <c r="T43"/>
      <c r="U43"/>
    </row>
    <row r="44" spans="1:21" ht="15">
      <c r="A44" s="45"/>
      <c r="B44" s="85">
        <v>0.123</v>
      </c>
      <c r="C44" s="85">
        <v>0.11600000000000001</v>
      </c>
      <c r="D44" s="27">
        <f t="shared" si="20"/>
        <v>0.1195</v>
      </c>
      <c r="E44" s="27">
        <f t="shared" si="21"/>
        <v>6.7499999999999991E-2</v>
      </c>
      <c r="F44" s="27">
        <f t="shared" si="22"/>
        <v>-1.1706962271689751</v>
      </c>
      <c r="G44" s="28">
        <f t="shared" si="23"/>
        <v>-0.55353244904509658</v>
      </c>
      <c r="H44" s="27">
        <f t="shared" si="24"/>
        <v>0.27955518454037531</v>
      </c>
      <c r="I44" s="41">
        <v>16</v>
      </c>
      <c r="J44" s="42">
        <f t="shared" si="25"/>
        <v>4.472882952646005</v>
      </c>
      <c r="K44" s="30">
        <f t="shared" si="26"/>
        <v>0.44728829526460051</v>
      </c>
      <c r="L44" s="43">
        <f t="shared" si="27"/>
        <v>1.1015678844045516</v>
      </c>
      <c r="M44" s="30"/>
      <c r="N44" s="44"/>
      <c r="R44"/>
      <c r="S44"/>
      <c r="T44"/>
      <c r="U44"/>
    </row>
    <row r="45" spans="1:21" ht="15">
      <c r="A45" s="46"/>
      <c r="B45" s="86">
        <v>0.12</v>
      </c>
      <c r="C45" s="86">
        <v>0.124</v>
      </c>
      <c r="D45" s="27">
        <f t="shared" si="20"/>
        <v>0.122</v>
      </c>
      <c r="E45" s="27">
        <f t="shared" si="21"/>
        <v>6.9999999999999993E-2</v>
      </c>
      <c r="F45" s="27">
        <f t="shared" si="22"/>
        <v>-1.1549019599857433</v>
      </c>
      <c r="G45" s="28">
        <f t="shared" si="23"/>
        <v>-0.53741266861964876</v>
      </c>
      <c r="H45" s="27">
        <f t="shared" si="24"/>
        <v>0.29012645493346012</v>
      </c>
      <c r="I45" s="41">
        <v>16</v>
      </c>
      <c r="J45" s="42">
        <f t="shared" si="25"/>
        <v>4.6420232789353619</v>
      </c>
      <c r="K45" s="30">
        <f t="shared" si="26"/>
        <v>0.46420232789353622</v>
      </c>
      <c r="L45" s="43">
        <f t="shared" si="27"/>
        <v>1.2174040335729477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81">
        <v>0.104</v>
      </c>
      <c r="C50" s="81">
        <v>0.105</v>
      </c>
      <c r="D50" s="27">
        <f t="shared" ref="D50:D52" si="28">AVERAGE(B50,C50)</f>
        <v>0.1045</v>
      </c>
      <c r="E50" s="27">
        <f t="shared" ref="E50:E55" si="29">D50-E$8</f>
        <v>5.2499999999999991E-2</v>
      </c>
      <c r="F50" s="27">
        <f t="shared" ref="F50:F55" si="30">LOG(E50)</f>
        <v>-1.2798406965940432</v>
      </c>
      <c r="G50" s="28">
        <f t="shared" ref="G50:G55" si="31">(F50-$B$16)/$B$15</f>
        <v>-0.66492634034585707</v>
      </c>
      <c r="H50" s="27">
        <f t="shared" ref="H50:H55" si="32">10^G50</f>
        <v>0.21630853683809312</v>
      </c>
      <c r="I50" s="41">
        <v>16</v>
      </c>
      <c r="J50" s="42">
        <f t="shared" ref="J50:J55" si="33">H50*I50</f>
        <v>3.4609365894094899</v>
      </c>
      <c r="K50" s="30">
        <f>(0.1*J50/1000)*1000</f>
        <v>0.34609365894094901</v>
      </c>
      <c r="L50" s="43">
        <f t="shared" ref="L50:L55" si="34">K50*100/L31</f>
        <v>0.77652344433908516</v>
      </c>
      <c r="M50" s="30">
        <f>AVERAGE(L50:L52)</f>
        <v>0.75697448574528525</v>
      </c>
      <c r="N50" s="44">
        <f>STDEV(L50:L52)</f>
        <v>4.6812462528650747E-2</v>
      </c>
      <c r="O50" s="48">
        <f>L50/L40</f>
        <v>1.152182739194149</v>
      </c>
      <c r="P50" s="30">
        <f>AVERAGE(O50:O52)</f>
        <v>1.3918552682478371</v>
      </c>
      <c r="Q50" s="44">
        <f>STDEV(O50:O52)</f>
        <v>0.36086821692618498</v>
      </c>
      <c r="S50"/>
      <c r="T50"/>
    </row>
    <row r="51" spans="1:25" ht="15">
      <c r="B51" s="81">
        <v>0.10199999999999999</v>
      </c>
      <c r="C51" s="81">
        <v>9.8000000000000004E-2</v>
      </c>
      <c r="D51" s="27">
        <f t="shared" si="28"/>
        <v>0.1</v>
      </c>
      <c r="E51" s="27">
        <f t="shared" si="29"/>
        <v>4.8000000000000001E-2</v>
      </c>
      <c r="F51" s="27">
        <f t="shared" si="30"/>
        <v>-1.3187587626244128</v>
      </c>
      <c r="G51" s="28">
        <f t="shared" si="31"/>
        <v>-0.70464649144338121</v>
      </c>
      <c r="H51" s="27">
        <f t="shared" si="32"/>
        <v>0.19740289093522057</v>
      </c>
      <c r="I51" s="41">
        <v>16</v>
      </c>
      <c r="J51" s="42">
        <f t="shared" si="33"/>
        <v>3.158446254963529</v>
      </c>
      <c r="K51" s="30">
        <f t="shared" ref="K51:K55" si="35">(0.1*J51/1000)*1000</f>
        <v>0.31584462549635295</v>
      </c>
      <c r="L51" s="43">
        <f t="shared" si="34"/>
        <v>0.79084385265171453</v>
      </c>
      <c r="M51" s="30"/>
      <c r="N51" s="44"/>
      <c r="O51" s="2">
        <f t="shared" ref="O51:O55" si="36">L51/L41</f>
        <v>1.8068926152595541</v>
      </c>
      <c r="P51" s="30"/>
      <c r="Q51" s="44"/>
      <c r="S51"/>
      <c r="T51"/>
    </row>
    <row r="52" spans="1:25" ht="15">
      <c r="B52" s="81">
        <v>9.8000000000000004E-2</v>
      </c>
      <c r="C52" s="81">
        <v>0.106</v>
      </c>
      <c r="D52" s="27">
        <f t="shared" si="28"/>
        <v>0.10200000000000001</v>
      </c>
      <c r="E52" s="27">
        <f t="shared" si="29"/>
        <v>0.05</v>
      </c>
      <c r="F52" s="27">
        <f t="shared" si="30"/>
        <v>-1.3010299956639813</v>
      </c>
      <c r="G52" s="28">
        <f t="shared" si="31"/>
        <v>-0.68655234200924375</v>
      </c>
      <c r="H52" s="27">
        <f t="shared" si="32"/>
        <v>0.20580108401557259</v>
      </c>
      <c r="I52" s="41">
        <v>16</v>
      </c>
      <c r="J52" s="42">
        <f t="shared" si="33"/>
        <v>3.2928173442491615</v>
      </c>
      <c r="K52" s="30">
        <f t="shared" si="35"/>
        <v>0.32928173442491615</v>
      </c>
      <c r="L52" s="43">
        <f t="shared" si="34"/>
        <v>0.70355616024505585</v>
      </c>
      <c r="M52" s="30"/>
      <c r="N52" s="44"/>
      <c r="O52" s="2">
        <f t="shared" si="36"/>
        <v>1.2164904502898084</v>
      </c>
      <c r="P52" s="30"/>
      <c r="Q52" s="44"/>
      <c r="S52"/>
      <c r="T52"/>
    </row>
    <row r="53" spans="1:25" ht="15">
      <c r="A53" s="1" t="s">
        <v>26</v>
      </c>
      <c r="B53" s="82">
        <v>0.23699999999999999</v>
      </c>
      <c r="C53" s="82">
        <v>0.222</v>
      </c>
      <c r="D53" s="27">
        <f>AVERAGE(B53:C53)</f>
        <v>0.22949999999999998</v>
      </c>
      <c r="E53" s="27">
        <f t="shared" si="29"/>
        <v>0.17749999999999999</v>
      </c>
      <c r="F53" s="27">
        <f t="shared" si="30"/>
        <v>-0.75080164260888715</v>
      </c>
      <c r="G53" s="28">
        <f t="shared" si="31"/>
        <v>-0.12498401267767821</v>
      </c>
      <c r="H53" s="27">
        <f t="shared" si="32"/>
        <v>0.74992181507372346</v>
      </c>
      <c r="I53" s="41">
        <v>16</v>
      </c>
      <c r="J53" s="42">
        <f t="shared" si="33"/>
        <v>11.998749041179575</v>
      </c>
      <c r="K53" s="30">
        <f t="shared" si="35"/>
        <v>1.1998749041179577</v>
      </c>
      <c r="L53" s="43">
        <f t="shared" si="34"/>
        <v>2.7203355449200575</v>
      </c>
      <c r="M53" s="30">
        <f>AVERAGE(L53:L55)</f>
        <v>2.7362472923822163</v>
      </c>
      <c r="N53" s="44">
        <f>STDEV(L53:L55)</f>
        <v>4.9979172202823496E-2</v>
      </c>
      <c r="O53" s="2">
        <f t="shared" si="36"/>
        <v>2.7719952326578845</v>
      </c>
      <c r="P53" s="30">
        <f>AVERAGE(O53:O55)</f>
        <v>2.5043893930177759</v>
      </c>
      <c r="Q53" s="44">
        <f>STDEV(O53:O55)</f>
        <v>0.24420414859138356</v>
      </c>
      <c r="S53"/>
      <c r="T53"/>
    </row>
    <row r="54" spans="1:25" ht="15">
      <c r="A54" s="45"/>
      <c r="B54" s="82">
        <v>0.217</v>
      </c>
      <c r="C54" s="82">
        <v>0.20799999999999999</v>
      </c>
      <c r="D54" s="27">
        <f>AVERAGE(B54:C54)</f>
        <v>0.21249999999999999</v>
      </c>
      <c r="E54" s="27">
        <f t="shared" si="29"/>
        <v>0.16049999999999998</v>
      </c>
      <c r="F54" s="27">
        <f t="shared" si="30"/>
        <v>-0.79452496325910915</v>
      </c>
      <c r="G54" s="28">
        <f t="shared" si="31"/>
        <v>-0.16960845268343516</v>
      </c>
      <c r="H54" s="27">
        <f t="shared" si="32"/>
        <v>0.67669278705882852</v>
      </c>
      <c r="I54" s="41">
        <v>16</v>
      </c>
      <c r="J54" s="42">
        <f t="shared" si="33"/>
        <v>10.827084592941256</v>
      </c>
      <c r="K54" s="30">
        <f t="shared" si="35"/>
        <v>1.0827084592941256</v>
      </c>
      <c r="L54" s="43">
        <f t="shared" si="34"/>
        <v>2.696161206602834</v>
      </c>
      <c r="M54" s="30"/>
      <c r="N54" s="44"/>
      <c r="O54" s="2">
        <f t="shared" si="36"/>
        <v>2.4475670040618822</v>
      </c>
      <c r="P54" s="30"/>
      <c r="Q54" s="44"/>
      <c r="S54"/>
      <c r="T54"/>
    </row>
    <row r="55" spans="1:25" ht="15">
      <c r="A55" s="46"/>
      <c r="B55" s="82">
        <v>0.215</v>
      </c>
      <c r="C55" s="82">
        <v>0.20100000000000001</v>
      </c>
      <c r="D55" s="27">
        <f>AVERAGE(B55:C55)</f>
        <v>0.20800000000000002</v>
      </c>
      <c r="E55" s="27">
        <f t="shared" si="29"/>
        <v>0.15600000000000003</v>
      </c>
      <c r="F55" s="27">
        <f t="shared" si="30"/>
        <v>-0.80687540164553828</v>
      </c>
      <c r="G55" s="28">
        <f t="shared" si="31"/>
        <v>-0.18221342844062771</v>
      </c>
      <c r="H55" s="27">
        <f t="shared" si="32"/>
        <v>0.65733471926752918</v>
      </c>
      <c r="I55" s="41">
        <v>16</v>
      </c>
      <c r="J55" s="42">
        <f t="shared" si="33"/>
        <v>10.517355508280467</v>
      </c>
      <c r="K55" s="30">
        <f t="shared" si="35"/>
        <v>1.0517355508280468</v>
      </c>
      <c r="L55" s="43">
        <f t="shared" si="34"/>
        <v>2.7922451256237575</v>
      </c>
      <c r="M55" s="30"/>
      <c r="N55" s="44"/>
      <c r="O55" s="2">
        <f t="shared" si="36"/>
        <v>2.29360594233356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1.3918552682478371</v>
      </c>
      <c r="O58" s="30">
        <f>Q50</f>
        <v>0.36086821692618498</v>
      </c>
    </row>
    <row r="59" spans="1:25" ht="15">
      <c r="D59"/>
      <c r="E59"/>
      <c r="G59"/>
      <c r="M59" s="2" t="s">
        <v>26</v>
      </c>
      <c r="N59" s="30">
        <f>P53</f>
        <v>2.5043893930177759</v>
      </c>
      <c r="O59" s="30">
        <f>Q53</f>
        <v>0.24420414859138356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0.56332979853278242</v>
      </c>
      <c r="C65" s="30">
        <f>N40</f>
        <v>0.11885232183205205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0.75697448574528525</v>
      </c>
      <c r="C66" s="30">
        <f>N50</f>
        <v>4.6812462528650747E-2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1.1001118783129225</v>
      </c>
      <c r="C67" s="30">
        <f>N43</f>
        <v>0.11802689410401337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2.7362472923822163</v>
      </c>
      <c r="C68" s="30">
        <f>N53</f>
        <v>4.9979172202823496E-2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  <c r="F77" s="38"/>
      <c r="G77" s="38"/>
    </row>
    <row r="78" spans="1:8">
      <c r="A78" s="52"/>
      <c r="B78" s="58"/>
      <c r="C78" s="59"/>
      <c r="D78" s="38"/>
      <c r="E78" s="38"/>
      <c r="F78" s="38"/>
      <c r="G78" s="38"/>
    </row>
    <row r="79" spans="1:8">
      <c r="A79" s="52"/>
      <c r="B79" s="42"/>
      <c r="C79" s="56"/>
      <c r="D79" s="38"/>
      <c r="E79" s="38"/>
      <c r="F79" s="38"/>
      <c r="G79" s="38"/>
    </row>
    <row r="80" spans="1:8">
      <c r="A80" s="52"/>
      <c r="B80" s="42"/>
      <c r="C80" s="56"/>
      <c r="D80" s="38"/>
      <c r="E80" s="38"/>
      <c r="F80" s="38"/>
      <c r="G80" s="38"/>
    </row>
    <row r="81" spans="1:7">
      <c r="A81" s="52"/>
      <c r="B81" s="42"/>
      <c r="C81" s="56"/>
      <c r="D81" s="38"/>
      <c r="E81" s="38"/>
      <c r="F81" s="38"/>
      <c r="G81" s="38"/>
    </row>
    <row r="82" spans="1:7">
      <c r="A82" s="52"/>
      <c r="B82" s="42"/>
      <c r="C82" s="56"/>
      <c r="D82" s="38"/>
      <c r="E82" s="38"/>
      <c r="F82" s="38"/>
      <c r="G82" s="38"/>
    </row>
    <row r="83" spans="1:7">
      <c r="A83" s="52"/>
      <c r="B83" s="38"/>
      <c r="C83" s="38"/>
      <c r="D83" s="60"/>
      <c r="E83" s="58"/>
      <c r="F83" s="58"/>
      <c r="G83" s="38"/>
    </row>
    <row r="84" spans="1:7">
      <c r="A84" s="52"/>
      <c r="B84" s="42"/>
      <c r="C84" s="56"/>
      <c r="D84" s="47"/>
      <c r="E84" s="47"/>
      <c r="F84" s="47"/>
      <c r="G84" s="38"/>
    </row>
    <row r="85" spans="1:7">
      <c r="A85" s="52"/>
      <c r="B85" s="42"/>
      <c r="C85" s="56"/>
      <c r="D85" s="47"/>
      <c r="E85" s="47"/>
      <c r="F85" s="47"/>
      <c r="G85" s="38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siMPHOSPH9</vt:lpstr>
      <vt:lpstr>siKCNK16</vt:lpstr>
      <vt:lpstr>siKCNK16!Zone_d_impression</vt:lpstr>
      <vt:lpstr>siMPHOSPH9!Zone_d_impression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aortalli</cp:lastModifiedBy>
  <dcterms:created xsi:type="dcterms:W3CDTF">2015-12-08T15:20:20Z</dcterms:created>
  <dcterms:modified xsi:type="dcterms:W3CDTF">2016-03-17T11:16:33Z</dcterms:modified>
</cp:coreProperties>
</file>