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 activeTab="2"/>
  </bookViews>
  <sheets>
    <sheet name="siNTP" sheetId="2" r:id="rId1"/>
    <sheet name="siMPHOSPH9" sheetId="10" r:id="rId2"/>
    <sheet name="siKCNK16" sheetId="11" r:id="rId3"/>
  </sheets>
  <externalReferences>
    <externalReference r:id="rId4"/>
  </externalReferences>
  <definedNames>
    <definedName name="_xlnm.Print_Area" localSheetId="2">siKCNK16!$A$1:$Q$83</definedName>
    <definedName name="_xlnm.Print_Area" localSheetId="1">siMPHOSPH9!$A$1:$Q$83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D55" i="11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E13"/>
  <c r="F13" s="1"/>
  <c r="H13" s="1"/>
  <c r="B13"/>
  <c r="G13" s="1"/>
  <c r="E12"/>
  <c r="F12" s="1"/>
  <c r="H12" s="1"/>
  <c r="B12"/>
  <c r="G12" s="1"/>
  <c r="E11"/>
  <c r="F11" s="1"/>
  <c r="H11" s="1"/>
  <c r="B11"/>
  <c r="G11" s="1"/>
  <c r="E10"/>
  <c r="F10" s="1"/>
  <c r="H10" s="1"/>
  <c r="B10"/>
  <c r="G10" s="1"/>
  <c r="E9"/>
  <c r="F9" s="1"/>
  <c r="H9" s="1"/>
  <c r="B9"/>
  <c r="G9" s="1"/>
  <c r="E8"/>
  <c r="D55" i="10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E13"/>
  <c r="F13" s="1"/>
  <c r="H13" s="1"/>
  <c r="B13"/>
  <c r="G13" s="1"/>
  <c r="E12"/>
  <c r="F12" s="1"/>
  <c r="H12" s="1"/>
  <c r="B12"/>
  <c r="G12" s="1"/>
  <c r="E11"/>
  <c r="F11" s="1"/>
  <c r="H11" s="1"/>
  <c r="B11"/>
  <c r="G11" s="1"/>
  <c r="E10"/>
  <c r="F10" s="1"/>
  <c r="H10" s="1"/>
  <c r="B10"/>
  <c r="G10" s="1"/>
  <c r="E9"/>
  <c r="F9" s="1"/>
  <c r="H9" s="1"/>
  <c r="B9"/>
  <c r="G9" s="1"/>
  <c r="E8"/>
  <c r="B16" i="11" l="1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B16" i="10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11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10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11" l="1"/>
  <c r="L41"/>
  <c r="L42"/>
  <c r="L43"/>
  <c r="L44"/>
  <c r="L45"/>
  <c r="L50"/>
  <c r="L51"/>
  <c r="O51" s="1"/>
  <c r="L52"/>
  <c r="O52" s="1"/>
  <c r="L53"/>
  <c r="L54"/>
  <c r="O54" s="1"/>
  <c r="L55"/>
  <c r="O55" s="1"/>
  <c r="L40" i="10"/>
  <c r="L41"/>
  <c r="L42"/>
  <c r="L43"/>
  <c r="L44"/>
  <c r="L45"/>
  <c r="L50"/>
  <c r="L51"/>
  <c r="O51" s="1"/>
  <c r="L52"/>
  <c r="O52" s="1"/>
  <c r="L53"/>
  <c r="L54"/>
  <c r="O54" s="1"/>
  <c r="L55"/>
  <c r="O55" s="1"/>
  <c r="O53" i="11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0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11" l="1"/>
  <c r="O58" s="1"/>
  <c r="P50"/>
  <c r="N58" s="1"/>
  <c r="Q53"/>
  <c r="O59" s="1"/>
  <c r="P53"/>
  <c r="N59" s="1"/>
  <c r="Q50" i="10"/>
  <c r="O58" s="1"/>
  <c r="P50"/>
  <c r="N58" s="1"/>
  <c r="Q53"/>
  <c r="O59" s="1"/>
  <c r="P53"/>
  <c r="N59" s="1"/>
  <c r="D55" i="2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45"/>
  <c r="L50"/>
  <c r="L51"/>
  <c r="O51" s="1"/>
  <c r="L52"/>
  <c r="O52" s="1"/>
  <c r="L53"/>
  <c r="L54"/>
  <c r="O54" s="1"/>
  <c r="L55"/>
  <c r="O55" s="1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<sst xmlns="http://schemas.openxmlformats.org/spreadsheetml/2006/main" count="300" uniqueCount="44">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</sst>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 applyProtection="1">
      <protection locked="0"/>
    </xf>
    <xf numFmtId="14" fontId="3" fillId="0" borderId="0" xfId="0" applyNumberFormat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-1.4749551929631548</c:v>
                </c:pt>
                <c:pt idx="1">
                  <c:v>-0.91901295308911279</c:v>
                </c:pt>
                <c:pt idx="2">
                  <c:v>-0.43179827593300502</c:v>
                </c:pt>
                <c:pt idx="3">
                  <c:v>6.107532362979181E-2</c:v>
                </c:pt>
                <c:pt idx="4">
                  <c:v>0.30909761741201425</c:v>
                </c:pt>
              </c:numCache>
            </c:numRef>
          </c:yVal>
        </c:ser>
        <c:axId val="53537024"/>
        <c:axId val="58709504"/>
      </c:scatterChart>
      <c:valAx>
        <c:axId val="5353702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8709504"/>
        <c:crosses val="autoZero"/>
        <c:crossBetween val="midCat"/>
      </c:valAx>
      <c:valAx>
        <c:axId val="587095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3537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0.18997355407895541</c:v>
                  </c:pt>
                  <c:pt idx="1">
                    <c:v>0.59572349362857147</c:v>
                  </c:pt>
                  <c:pt idx="2">
                    <c:v>1.0682420153403374</c:v>
                  </c:pt>
                  <c:pt idx="3">
                    <c:v>2.1767472968210906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0.18997355407895541</c:v>
                  </c:pt>
                  <c:pt idx="1">
                    <c:v>0.59572349362857147</c:v>
                  </c:pt>
                  <c:pt idx="2">
                    <c:v>1.0682420153403374</c:v>
                  </c:pt>
                  <c:pt idx="3">
                    <c:v>2.1767472968210906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0.51318527009200865</c:v>
                </c:pt>
                <c:pt idx="1">
                  <c:v>1.2745841980038677</c:v>
                </c:pt>
                <c:pt idx="2">
                  <c:v>2.2871874732443431</c:v>
                </c:pt>
                <c:pt idx="3">
                  <c:v>5.7827101891279931</c:v>
                </c:pt>
              </c:numCache>
            </c:numRef>
          </c:val>
        </c:ser>
        <c:axId val="60048128"/>
        <c:axId val="60050048"/>
      </c:barChart>
      <c:catAx>
        <c:axId val="600481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50048"/>
        <c:crosses val="autoZero"/>
        <c:auto val="1"/>
        <c:lblAlgn val="ctr"/>
        <c:lblOffset val="100"/>
      </c:catAx>
      <c:valAx>
        <c:axId val="600500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9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481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5"/>
          <c:y val="2.72008018230773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0.39750362009086765</c:v>
                  </c:pt>
                  <c:pt idx="1">
                    <c:v>0.45383398998314339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0.39750362009086765</c:v>
                  </c:pt>
                  <c:pt idx="1">
                    <c:v>0.45383398998314339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2.4193226679181787</c:v>
                </c:pt>
                <c:pt idx="1">
                  <c:v>2.6061854278425671</c:v>
                </c:pt>
              </c:numCache>
            </c:numRef>
          </c:val>
        </c:ser>
        <c:axId val="60106624"/>
        <c:axId val="60108160"/>
      </c:barChart>
      <c:catAx>
        <c:axId val="60106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108160"/>
        <c:crosses val="autoZero"/>
        <c:auto val="1"/>
        <c:lblAlgn val="ctr"/>
        <c:lblOffset val="100"/>
      </c:catAx>
      <c:valAx>
        <c:axId val="6010816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106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siMPHOSPH9!$G$9:$G$13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siMPHOSPH9!$H$9:$H$13</c:f>
              <c:numCache>
                <c:formatCode>0.00</c:formatCode>
                <c:ptCount val="5"/>
                <c:pt idx="0">
                  <c:v>-1.4749551929631548</c:v>
                </c:pt>
                <c:pt idx="1">
                  <c:v>-0.91901295308911279</c:v>
                </c:pt>
                <c:pt idx="2">
                  <c:v>-0.43179827593300502</c:v>
                </c:pt>
                <c:pt idx="3">
                  <c:v>6.107532362979181E-2</c:v>
                </c:pt>
                <c:pt idx="4">
                  <c:v>0.30909761741201425</c:v>
                </c:pt>
              </c:numCache>
            </c:numRef>
          </c:yVal>
        </c:ser>
        <c:axId val="60172544"/>
        <c:axId val="60229504"/>
      </c:scatterChart>
      <c:valAx>
        <c:axId val="6017254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229504"/>
        <c:crosses val="autoZero"/>
        <c:crossBetween val="midCat"/>
      </c:valAx>
      <c:valAx>
        <c:axId val="602295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172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siMPHOSPH9!$C$65:$C$68</c:f>
                <c:numCache>
                  <c:formatCode>General</c:formatCode>
                  <c:ptCount val="4"/>
                  <c:pt idx="0">
                    <c:v>0.3247646180627749</c:v>
                  </c:pt>
                  <c:pt idx="1">
                    <c:v>0.69322093858587708</c:v>
                  </c:pt>
                  <c:pt idx="2">
                    <c:v>0.23500921735471883</c:v>
                  </c:pt>
                  <c:pt idx="3">
                    <c:v>0.68053462543599874</c:v>
                  </c:pt>
                </c:numCache>
              </c:numRef>
            </c:plus>
            <c:minus>
              <c:numRef>
                <c:f>siMPHOSPH9!$C$65:$C$68</c:f>
                <c:numCache>
                  <c:formatCode>General</c:formatCode>
                  <c:ptCount val="4"/>
                  <c:pt idx="0">
                    <c:v>0.3247646180627749</c:v>
                  </c:pt>
                  <c:pt idx="1">
                    <c:v>0.69322093858587708</c:v>
                  </c:pt>
                  <c:pt idx="2">
                    <c:v>0.23500921735471883</c:v>
                  </c:pt>
                  <c:pt idx="3">
                    <c:v>0.68053462543599874</c:v>
                  </c:pt>
                </c:numCache>
              </c:numRef>
            </c:minus>
          </c:errBars>
          <c:cat>
            <c:strRef>
              <c:f>(siMPHOSPH9!$A$65,siMPHOSPH9!$A$66,siMPHOSPH9!$A$67,siMPHOSPH9!$A$68)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siMPHOSPH9!$B$65:$B$68</c:f>
              <c:numCache>
                <c:formatCode>0.0</c:formatCode>
                <c:ptCount val="4"/>
                <c:pt idx="0">
                  <c:v>0.60555415042335448</c:v>
                </c:pt>
                <c:pt idx="1">
                  <c:v>1.4015978435955507</c:v>
                </c:pt>
                <c:pt idx="2">
                  <c:v>1.7069972628993042</c:v>
                </c:pt>
                <c:pt idx="3">
                  <c:v>3.8265303367877785</c:v>
                </c:pt>
              </c:numCache>
            </c:numRef>
          </c:val>
        </c:ser>
        <c:axId val="60477824"/>
        <c:axId val="60479744"/>
      </c:barChart>
      <c:catAx>
        <c:axId val="60477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9744"/>
        <c:crosses val="autoZero"/>
        <c:auto val="1"/>
        <c:lblAlgn val="ctr"/>
        <c:lblOffset val="100"/>
      </c:catAx>
      <c:valAx>
        <c:axId val="6047974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siMPHOSPH9!$M$48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78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1"/>
          <c:y val="2.720080182307738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siMPHOSPH9!$O$58:$O$59</c:f>
                <c:numCache>
                  <c:formatCode>General</c:formatCode>
                  <c:ptCount val="2"/>
                  <c:pt idx="0">
                    <c:v>9.758343355189017E-2</c:v>
                  </c:pt>
                  <c:pt idx="1">
                    <c:v>0.21585792877131385</c:v>
                  </c:pt>
                </c:numCache>
              </c:numRef>
            </c:plus>
            <c:minus>
              <c:numRef>
                <c:f>siMPHOSPH9!$O$58:$O$59</c:f>
                <c:numCache>
                  <c:formatCode>General</c:formatCode>
                  <c:ptCount val="2"/>
                  <c:pt idx="0">
                    <c:v>9.758343355189017E-2</c:v>
                  </c:pt>
                  <c:pt idx="1">
                    <c:v>0.21585792877131385</c:v>
                  </c:pt>
                </c:numCache>
              </c:numRef>
            </c:minus>
          </c:errBars>
          <c:cat>
            <c:strRef>
              <c:f>siMPHOSPH9!$M$58:$M$59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siMPHOSPH9!$N$58:$N$59</c:f>
              <c:numCache>
                <c:formatCode>0.0</c:formatCode>
                <c:ptCount val="2"/>
                <c:pt idx="0">
                  <c:v>2.3446193323024751</c:v>
                </c:pt>
                <c:pt idx="1">
                  <c:v>2.2371177451326449</c:v>
                </c:pt>
              </c:numCache>
            </c:numRef>
          </c:val>
        </c:ser>
        <c:axId val="60863232"/>
        <c:axId val="62848000"/>
      </c:barChart>
      <c:catAx>
        <c:axId val="60863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2848000"/>
        <c:crosses val="autoZero"/>
        <c:auto val="1"/>
        <c:lblAlgn val="ctr"/>
        <c:lblOffset val="100"/>
      </c:catAx>
      <c:valAx>
        <c:axId val="6284800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siMPHOSPH9!$M$57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863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siKCNK16!$G$9:$G$13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siKCNK16!$H$9:$H$13</c:f>
              <c:numCache>
                <c:formatCode>0.00</c:formatCode>
                <c:ptCount val="5"/>
                <c:pt idx="0">
                  <c:v>-1.4749551929631548</c:v>
                </c:pt>
                <c:pt idx="1">
                  <c:v>-0.91901295308911279</c:v>
                </c:pt>
                <c:pt idx="2">
                  <c:v>-0.43179827593300502</c:v>
                </c:pt>
                <c:pt idx="3">
                  <c:v>6.107532362979181E-2</c:v>
                </c:pt>
                <c:pt idx="4">
                  <c:v>0.30909761741201425</c:v>
                </c:pt>
              </c:numCache>
            </c:numRef>
          </c:yVal>
        </c:ser>
        <c:axId val="63788544"/>
        <c:axId val="63790080"/>
      </c:scatterChart>
      <c:valAx>
        <c:axId val="6378854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3790080"/>
        <c:crosses val="autoZero"/>
        <c:crossBetween val="midCat"/>
      </c:valAx>
      <c:valAx>
        <c:axId val="63790080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3788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siKCNK16!$C$65:$C$68</c:f>
                <c:numCache>
                  <c:formatCode>General</c:formatCode>
                  <c:ptCount val="4"/>
                  <c:pt idx="0">
                    <c:v>0.33265373222919953</c:v>
                  </c:pt>
                  <c:pt idx="1">
                    <c:v>0.93012948384285488</c:v>
                  </c:pt>
                  <c:pt idx="2">
                    <c:v>0.80734161388326964</c:v>
                  </c:pt>
                  <c:pt idx="3">
                    <c:v>3.8770106484656188</c:v>
                  </c:pt>
                </c:numCache>
              </c:numRef>
            </c:plus>
            <c:minus>
              <c:numRef>
                <c:f>siKCNK16!$C$65:$C$68</c:f>
                <c:numCache>
                  <c:formatCode>General</c:formatCode>
                  <c:ptCount val="4"/>
                  <c:pt idx="0">
                    <c:v>0.33265373222919953</c:v>
                  </c:pt>
                  <c:pt idx="1">
                    <c:v>0.93012948384285488</c:v>
                  </c:pt>
                  <c:pt idx="2">
                    <c:v>0.80734161388326964</c:v>
                  </c:pt>
                  <c:pt idx="3">
                    <c:v>3.8770106484656188</c:v>
                  </c:pt>
                </c:numCache>
              </c:numRef>
            </c:minus>
          </c:errBars>
          <c:cat>
            <c:strRef>
              <c:f>(siKCNK16!$A$65,siKCNK16!$A$66,siKCNK16!$A$67,siKCNK16!$A$68)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siKCNK16!$B$65:$B$68</c:f>
              <c:numCache>
                <c:formatCode>0.0</c:formatCode>
                <c:ptCount val="4"/>
                <c:pt idx="0">
                  <c:v>0.5747263933411022</c:v>
                </c:pt>
                <c:pt idx="1">
                  <c:v>1.8227110320291871</c:v>
                </c:pt>
                <c:pt idx="2">
                  <c:v>2.0543342533788409</c:v>
                </c:pt>
                <c:pt idx="3">
                  <c:v>8.0848278216842626</c:v>
                </c:pt>
              </c:numCache>
            </c:numRef>
          </c:val>
        </c:ser>
        <c:axId val="80701312"/>
        <c:axId val="80702848"/>
      </c:barChart>
      <c:catAx>
        <c:axId val="807013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0702848"/>
        <c:crosses val="autoZero"/>
        <c:auto val="1"/>
        <c:lblAlgn val="ctr"/>
        <c:lblOffset val="100"/>
      </c:catAx>
      <c:valAx>
        <c:axId val="807028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07013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siKCNK16!$O$58:$O$59</c:f>
                <c:numCache>
                  <c:formatCode>General</c:formatCode>
                  <c:ptCount val="2"/>
                  <c:pt idx="0">
                    <c:v>0.20484512743163785</c:v>
                  </c:pt>
                  <c:pt idx="1">
                    <c:v>0.86398963115743344</c:v>
                  </c:pt>
                </c:numCache>
              </c:numRef>
            </c:plus>
            <c:minus>
              <c:numRef>
                <c:f>siKCNK16!$O$58:$O$59</c:f>
                <c:numCache>
                  <c:formatCode>General</c:formatCode>
                  <c:ptCount val="2"/>
                  <c:pt idx="0">
                    <c:v>0.20484512743163785</c:v>
                  </c:pt>
                  <c:pt idx="1">
                    <c:v>0.86398963115743344</c:v>
                  </c:pt>
                </c:numCache>
              </c:numRef>
            </c:minus>
          </c:errBars>
          <c:cat>
            <c:strRef>
              <c:f>siKCNK16!$M$58:$M$59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siKCNK16!$N$58:$N$59</c:f>
              <c:numCache>
                <c:formatCode>0.0</c:formatCode>
                <c:ptCount val="2"/>
                <c:pt idx="0">
                  <c:v>3.2466970027423092</c:v>
                </c:pt>
                <c:pt idx="1">
                  <c:v>3.8773125853604165</c:v>
                </c:pt>
              </c:numCache>
            </c:numRef>
          </c:val>
        </c:ser>
        <c:axId val="81331328"/>
        <c:axId val="81332864"/>
      </c:barChart>
      <c:catAx>
        <c:axId val="81331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1332864"/>
        <c:crosses val="autoZero"/>
        <c:auto val="1"/>
        <c:lblAlgn val="ctr"/>
        <c:lblOffset val="100"/>
      </c:catAx>
      <c:valAx>
        <c:axId val="8133286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813313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opLeftCell="A31" zoomScale="80" zoomScaleNormal="80" workbookViewId="0">
      <selection activeCell="B72" sqref="B72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42269</v>
      </c>
    </row>
    <row r="2" spans="1:20">
      <c r="A2" s="1" t="s">
        <v>1</v>
      </c>
      <c r="B2" s="2">
        <v>85</v>
      </c>
      <c r="C2" s="3"/>
      <c r="E2" s="4" t="s">
        <v>40</v>
      </c>
    </row>
    <row r="3" spans="1:20" ht="15">
      <c r="A3" s="1" t="s">
        <v>2</v>
      </c>
      <c r="B3" s="2" t="s">
        <v>43</v>
      </c>
      <c r="D3" s="10" t="s">
        <v>41</v>
      </c>
      <c r="E3" s="63">
        <v>109800</v>
      </c>
      <c r="F3" s="63">
        <v>116440</v>
      </c>
    </row>
    <row r="4" spans="1:20" ht="15">
      <c r="D4" s="10" t="s">
        <v>42</v>
      </c>
      <c r="E4" s="67">
        <v>343872</v>
      </c>
      <c r="F4" s="67">
        <v>345016</v>
      </c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6">
        <v>5.8999999999999997E-2</v>
      </c>
      <c r="D8" s="66">
        <v>6.3E-2</v>
      </c>
      <c r="E8" s="11">
        <f t="shared" ref="E8:E13" si="0">AVERAGE(C8:D8)</f>
        <v>6.0999999999999999E-2</v>
      </c>
      <c r="F8" s="12"/>
      <c r="G8" s="10"/>
      <c r="H8" s="10"/>
      <c r="N8"/>
      <c r="O8"/>
      <c r="P8"/>
    </row>
    <row r="9" spans="1:20" ht="15">
      <c r="A9" s="5">
        <v>3.18</v>
      </c>
      <c r="B9" s="12">
        <f>A9/23</f>
        <v>0.13826086956521741</v>
      </c>
      <c r="C9" s="66">
        <v>9.0999999999999998E-2</v>
      </c>
      <c r="D9" s="66">
        <v>9.8000000000000004E-2</v>
      </c>
      <c r="E9" s="11">
        <f t="shared" si="0"/>
        <v>9.4500000000000001E-2</v>
      </c>
      <c r="F9" s="12">
        <f>(E9-$E$8)</f>
        <v>3.3500000000000002E-2</v>
      </c>
      <c r="G9" s="12">
        <f>LOG(B9)</f>
        <v>-0.85930071603316016</v>
      </c>
      <c r="H9" s="12">
        <f>LOG(F9)</f>
        <v>-1.4749551929631548</v>
      </c>
      <c r="N9"/>
      <c r="O9"/>
      <c r="P9"/>
    </row>
    <row r="10" spans="1:20" ht="15">
      <c r="A10" s="5">
        <v>10.5</v>
      </c>
      <c r="B10" s="12">
        <f t="shared" ref="B10:B13" si="1">A10/23</f>
        <v>0.45652173913043476</v>
      </c>
      <c r="C10" s="66">
        <v>0.17199999999999999</v>
      </c>
      <c r="D10" s="66">
        <v>0.191</v>
      </c>
      <c r="E10" s="11">
        <f t="shared" si="0"/>
        <v>0.18149999999999999</v>
      </c>
      <c r="F10" s="12">
        <f>(E10-$E$8)</f>
        <v>0.1205</v>
      </c>
      <c r="G10" s="12">
        <f>LOG(B10)</f>
        <v>-0.34053853694765485</v>
      </c>
      <c r="H10" s="12">
        <f>LOG(F10)</f>
        <v>-0.91901295308911279</v>
      </c>
      <c r="N10"/>
      <c r="O10"/>
      <c r="P10"/>
    </row>
    <row r="11" spans="1:20" ht="15">
      <c r="A11" s="5">
        <v>31.1</v>
      </c>
      <c r="B11" s="12">
        <f t="shared" si="1"/>
        <v>1.3521739130434782</v>
      </c>
      <c r="C11" s="66">
        <v>0.436</v>
      </c>
      <c r="D11" s="66">
        <v>0.42599999999999999</v>
      </c>
      <c r="E11" s="11">
        <f t="shared" si="0"/>
        <v>0.43099999999999999</v>
      </c>
      <c r="F11" s="12">
        <f>(E11-$E$8)</f>
        <v>0.37</v>
      </c>
      <c r="G11" s="12">
        <f>LOG(B11)</f>
        <v>0.13103255300924463</v>
      </c>
      <c r="H11" s="12">
        <f>LOG(F11)</f>
        <v>-0.43179827593300502</v>
      </c>
      <c r="N11"/>
      <c r="O11"/>
      <c r="P11"/>
      <c r="Q11"/>
      <c r="R11"/>
      <c r="S11"/>
      <c r="T11"/>
    </row>
    <row r="12" spans="1:20" ht="15">
      <c r="A12" s="5">
        <v>103</v>
      </c>
      <c r="B12" s="12">
        <f t="shared" si="1"/>
        <v>4.4782608695652177</v>
      </c>
      <c r="C12" s="66">
        <v>1.276</v>
      </c>
      <c r="D12" s="66">
        <v>1.1479999999999999</v>
      </c>
      <c r="E12" s="11">
        <f t="shared" si="0"/>
        <v>1.212</v>
      </c>
      <c r="F12" s="12">
        <f>(E12-$E$8)</f>
        <v>1.151</v>
      </c>
      <c r="G12" s="12">
        <f>LOG(B12)</f>
        <v>0.65110938868757939</v>
      </c>
      <c r="H12" s="12">
        <f>LOG(F12)</f>
        <v>6.107532362979181E-2</v>
      </c>
      <c r="N12"/>
      <c r="O12"/>
      <c r="P12"/>
      <c r="Q12"/>
      <c r="R12"/>
      <c r="S12"/>
      <c r="T12"/>
    </row>
    <row r="13" spans="1:20" ht="15">
      <c r="A13" s="5">
        <v>214</v>
      </c>
      <c r="B13" s="12">
        <f t="shared" si="1"/>
        <v>9.304347826086957</v>
      </c>
      <c r="C13" s="66">
        <v>2.222</v>
      </c>
      <c r="D13" s="66">
        <v>1.9750000000000001</v>
      </c>
      <c r="E13" s="11">
        <f t="shared" si="0"/>
        <v>2.0985</v>
      </c>
      <c r="F13" s="12">
        <f>(E13-$E$8)</f>
        <v>2.0375000000000001</v>
      </c>
      <c r="G13" s="12">
        <f>LOG(B13)</f>
        <v>0.96868593733159802</v>
      </c>
      <c r="H13" s="12">
        <f>LOG(F13)</f>
        <v>0.30909761741201425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0.98181587606256926</v>
      </c>
      <c r="N15"/>
    </row>
    <row r="16" spans="1:20" ht="15">
      <c r="A16" s="5" t="s">
        <v>11</v>
      </c>
      <c r="B16" s="11">
        <f>INTERCEPT(H9:H13,G9:G13)</f>
        <v>-0.59931257230538193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8">
        <v>0.32500000000000001</v>
      </c>
      <c r="C22" s="68">
        <v>0.30299999999999999</v>
      </c>
      <c r="D22" s="27">
        <f t="shared" ref="D22:D27" si="2">AVERAGE(B22:C22)</f>
        <v>0.314</v>
      </c>
      <c r="E22" s="27">
        <f t="shared" ref="E22:E27" si="3">D22-E$8</f>
        <v>0.253</v>
      </c>
      <c r="F22" s="27">
        <f>LOG(E22)</f>
        <v>-0.59687947882418213</v>
      </c>
      <c r="G22" s="28">
        <f>(F22-$B$16)/$B$15</f>
        <v>2.478156587727395E-3</v>
      </c>
      <c r="H22" s="28">
        <f>10^G22</f>
        <v>1.0057224775946016</v>
      </c>
      <c r="I22" s="29">
        <v>500</v>
      </c>
      <c r="J22" s="30">
        <f>(H22*I22)</f>
        <v>502.86123879730081</v>
      </c>
      <c r="K22" s="31">
        <f>(0.05*J22/1000)*1000</f>
        <v>25.143061939865042</v>
      </c>
      <c r="L22" s="32">
        <f>K22+K40+K50</f>
        <v>25.811836488262749</v>
      </c>
      <c r="M22" s="33">
        <f>(L22*1000000/50000)/1000</f>
        <v>0.51623672976525492</v>
      </c>
      <c r="N22" s="34"/>
    </row>
    <row r="23" spans="1:17" ht="15">
      <c r="B23" s="68">
        <v>0.44700000000000001</v>
      </c>
      <c r="C23" s="68">
        <v>0.51400000000000001</v>
      </c>
      <c r="D23" s="27">
        <f t="shared" si="2"/>
        <v>0.48050000000000004</v>
      </c>
      <c r="E23" s="27">
        <f t="shared" si="3"/>
        <v>0.41950000000000004</v>
      </c>
      <c r="F23" s="27">
        <f t="shared" ref="F23:F27" si="4">LOG(E23)</f>
        <v>-0.37726803483528087</v>
      </c>
      <c r="G23" s="28">
        <f t="shared" ref="G23:G27" si="5">(F23-$B$16)/$B$15</f>
        <v>0.22615700446867756</v>
      </c>
      <c r="H23" s="28">
        <f t="shared" ref="H23:H27" si="6">10^G23</f>
        <v>1.6832824848881252</v>
      </c>
      <c r="I23" s="29">
        <v>500</v>
      </c>
      <c r="J23" s="30">
        <f t="shared" ref="J23:J27" si="7">(H23*I23)</f>
        <v>841.64124244406253</v>
      </c>
      <c r="K23" s="31">
        <f t="shared" ref="K23:K27" si="8">(0.05*J23/1000)*1000</f>
        <v>42.082062122203126</v>
      </c>
      <c r="L23" s="32">
        <f>K23+K41+K51</f>
        <v>42.814050868256103</v>
      </c>
      <c r="M23" s="33">
        <f t="shared" ref="M23:M27" si="9">(L23*1000000/50000)/1000</f>
        <v>0.85628101736512208</v>
      </c>
      <c r="N23" s="34"/>
    </row>
    <row r="24" spans="1:17" ht="15">
      <c r="B24" s="68">
        <v>0.61699999999999999</v>
      </c>
      <c r="C24" s="68">
        <v>0.76800000000000002</v>
      </c>
      <c r="D24" s="27">
        <f t="shared" si="2"/>
        <v>0.6925</v>
      </c>
      <c r="E24" s="27">
        <f t="shared" si="3"/>
        <v>0.63149999999999995</v>
      </c>
      <c r="F24" s="27">
        <f t="shared" si="4"/>
        <v>-0.1996266451086505</v>
      </c>
      <c r="G24" s="28">
        <f t="shared" si="5"/>
        <v>0.40708847446999341</v>
      </c>
      <c r="H24" s="28">
        <f t="shared" si="6"/>
        <v>2.5532213919341866</v>
      </c>
      <c r="I24" s="29">
        <v>500</v>
      </c>
      <c r="J24" s="30">
        <f t="shared" si="7"/>
        <v>1276.6106959670933</v>
      </c>
      <c r="K24" s="31">
        <f t="shared" si="8"/>
        <v>63.83053479835467</v>
      </c>
      <c r="L24" s="32">
        <f t="shared" ref="L24:L27" si="10">K24+K42+K52</f>
        <v>64.501875634462536</v>
      </c>
      <c r="M24" s="33">
        <f t="shared" si="9"/>
        <v>1.2900375126892507</v>
      </c>
      <c r="N24" s="34"/>
    </row>
    <row r="25" spans="1:17" ht="15">
      <c r="A25" s="1" t="s">
        <v>26</v>
      </c>
      <c r="B25" s="65">
        <v>0.47199999999999998</v>
      </c>
      <c r="C25" s="65">
        <v>0.504</v>
      </c>
      <c r="D25" s="27">
        <f t="shared" si="2"/>
        <v>0.48799999999999999</v>
      </c>
      <c r="E25" s="27">
        <f t="shared" si="3"/>
        <v>0.42699999999999999</v>
      </c>
      <c r="F25" s="27">
        <f t="shared" si="4"/>
        <v>-0.36957212497497616</v>
      </c>
      <c r="G25" s="28">
        <f t="shared" si="5"/>
        <v>0.23399544958648116</v>
      </c>
      <c r="H25" s="28">
        <f t="shared" si="6"/>
        <v>1.7139393492474553</v>
      </c>
      <c r="I25" s="29">
        <v>500</v>
      </c>
      <c r="J25" s="30">
        <f t="shared" si="7"/>
        <v>856.96967462372766</v>
      </c>
      <c r="K25" s="31">
        <f t="shared" si="8"/>
        <v>42.848483731186384</v>
      </c>
      <c r="L25" s="32">
        <f t="shared" si="10"/>
        <v>48.389834614860462</v>
      </c>
      <c r="M25" s="33">
        <f t="shared" si="9"/>
        <v>0.96779669229720922</v>
      </c>
      <c r="N25" s="34"/>
    </row>
    <row r="26" spans="1:17" ht="15">
      <c r="B26" s="65">
        <v>0.61699999999999999</v>
      </c>
      <c r="C26" s="65">
        <v>0.56699999999999995</v>
      </c>
      <c r="D26" s="27">
        <f t="shared" si="2"/>
        <v>0.59199999999999997</v>
      </c>
      <c r="E26" s="27">
        <f t="shared" si="3"/>
        <v>0.53099999999999992</v>
      </c>
      <c r="F26" s="27">
        <f t="shared" si="4"/>
        <v>-0.27490547891853101</v>
      </c>
      <c r="G26" s="28">
        <f t="shared" si="5"/>
        <v>0.33041540811892217</v>
      </c>
      <c r="H26" s="28">
        <f t="shared" si="6"/>
        <v>2.1400080553954868</v>
      </c>
      <c r="I26" s="29">
        <v>500</v>
      </c>
      <c r="J26" s="30">
        <f t="shared" si="7"/>
        <v>1070.0040276977434</v>
      </c>
      <c r="K26" s="31">
        <f t="shared" si="8"/>
        <v>53.50020138488717</v>
      </c>
      <c r="L26" s="32">
        <f t="shared" si="10"/>
        <v>57.302133806498816</v>
      </c>
      <c r="M26" s="33">
        <f t="shared" si="9"/>
        <v>1.1460426761299765</v>
      </c>
      <c r="N26" s="34"/>
    </row>
    <row r="27" spans="1:17" ht="15">
      <c r="B27" s="65">
        <v>0.59099999999999997</v>
      </c>
      <c r="C27" s="65">
        <v>0.63500000000000001</v>
      </c>
      <c r="D27" s="27">
        <f t="shared" si="2"/>
        <v>0.61299999999999999</v>
      </c>
      <c r="E27" s="27">
        <f t="shared" si="3"/>
        <v>0.55200000000000005</v>
      </c>
      <c r="F27" s="27">
        <f t="shared" si="4"/>
        <v>-0.25806092227080107</v>
      </c>
      <c r="G27" s="28">
        <f t="shared" si="5"/>
        <v>0.34757194129221186</v>
      </c>
      <c r="H27" s="28">
        <f t="shared" si="6"/>
        <v>2.2262397929804143</v>
      </c>
      <c r="I27" s="29">
        <v>500</v>
      </c>
      <c r="J27" s="30">
        <f t="shared" si="7"/>
        <v>1113.1198964902071</v>
      </c>
      <c r="K27" s="31">
        <f t="shared" si="8"/>
        <v>55.655994824510358</v>
      </c>
      <c r="L27" s="32">
        <f t="shared" si="10"/>
        <v>59.008837731467793</v>
      </c>
      <c r="M27" s="33">
        <f t="shared" si="9"/>
        <v>1.1801767546293558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8">
        <v>0.32500000000000001</v>
      </c>
      <c r="C31" s="68">
        <v>0.30299999999999999</v>
      </c>
      <c r="D31" s="27">
        <f t="shared" ref="D31:D36" si="11">AVERAGE(B31:C31)</f>
        <v>0.314</v>
      </c>
      <c r="E31" s="27">
        <f t="shared" ref="E31:E36" si="12">D31-E$8</f>
        <v>0.253</v>
      </c>
      <c r="F31" s="27">
        <f>LOG(E31)</f>
        <v>-0.59687947882418213</v>
      </c>
      <c r="G31" s="28">
        <f>(F31-$B$16)/$B$15</f>
        <v>2.478156587727395E-3</v>
      </c>
      <c r="H31" s="28">
        <f>10^G31</f>
        <v>1.0057224775946016</v>
      </c>
      <c r="I31" s="29">
        <v>500</v>
      </c>
      <c r="J31" s="30">
        <f>(H31*I31)</f>
        <v>502.86123879730081</v>
      </c>
      <c r="K31" s="31">
        <f>(0.05*J31/1000)*1000</f>
        <v>25.143061939865042</v>
      </c>
      <c r="L31" s="32">
        <f>K31+K50</f>
        <v>25.625301604082644</v>
      </c>
      <c r="M31" s="33">
        <f>(L31*1000000/50000)/1000</f>
        <v>0.5125060320816528</v>
      </c>
      <c r="N31" s="35"/>
      <c r="Q31"/>
    </row>
    <row r="32" spans="1:17" ht="15">
      <c r="B32" s="68">
        <v>0.44700000000000001</v>
      </c>
      <c r="C32" s="68">
        <v>0.51400000000000001</v>
      </c>
      <c r="D32" s="27">
        <f t="shared" si="11"/>
        <v>0.48050000000000004</v>
      </c>
      <c r="E32" s="27">
        <f t="shared" si="12"/>
        <v>0.41950000000000004</v>
      </c>
      <c r="F32" s="27">
        <f t="shared" ref="F32:F36" si="13">LOG(E32)</f>
        <v>-0.37726803483528087</v>
      </c>
      <c r="G32" s="28">
        <f t="shared" ref="G32:G36" si="14">(F32-$B$16)/$B$15</f>
        <v>0.22615700446867756</v>
      </c>
      <c r="H32" s="28">
        <f t="shared" ref="H32:H36" si="15">10^G32</f>
        <v>1.6832824848881252</v>
      </c>
      <c r="I32" s="29">
        <v>500</v>
      </c>
      <c r="J32" s="30">
        <f t="shared" ref="J32:J36" si="16">(H32*I32)</f>
        <v>841.64124244406253</v>
      </c>
      <c r="K32" s="31">
        <f t="shared" ref="K32:K36" si="17">(0.05*J32/1000)*1000</f>
        <v>42.082062122203126</v>
      </c>
      <c r="L32" s="32">
        <f>K32+K51</f>
        <v>42.615050236383581</v>
      </c>
      <c r="M32" s="33">
        <f t="shared" ref="M32:M36" si="18">(L32*1000000/50000)/1000</f>
        <v>0.85230100472767167</v>
      </c>
      <c r="N32" s="36"/>
      <c r="Q32"/>
    </row>
    <row r="33" spans="1:21" ht="15">
      <c r="B33" s="68">
        <v>0.61699999999999999</v>
      </c>
      <c r="C33" s="68">
        <v>0.76800000000000002</v>
      </c>
      <c r="D33" s="27">
        <f t="shared" si="11"/>
        <v>0.6925</v>
      </c>
      <c r="E33" s="27">
        <f t="shared" si="12"/>
        <v>0.63149999999999995</v>
      </c>
      <c r="F33" s="27">
        <f t="shared" si="13"/>
        <v>-0.1996266451086505</v>
      </c>
      <c r="G33" s="28">
        <f t="shared" si="14"/>
        <v>0.40708847446999341</v>
      </c>
      <c r="H33" s="28">
        <f t="shared" si="15"/>
        <v>2.5532213919341866</v>
      </c>
      <c r="I33" s="29">
        <v>500</v>
      </c>
      <c r="J33" s="30">
        <f t="shared" si="16"/>
        <v>1276.6106959670933</v>
      </c>
      <c r="K33" s="31">
        <f t="shared" si="17"/>
        <v>63.83053479835467</v>
      </c>
      <c r="L33" s="32">
        <f t="shared" ref="L33:L36" si="19">K33+K52</f>
        <v>64.274776287258163</v>
      </c>
      <c r="M33" s="33">
        <f t="shared" si="18"/>
        <v>1.2854955257451632</v>
      </c>
      <c r="N33" s="36"/>
      <c r="Q33"/>
      <c r="R33"/>
      <c r="S33"/>
    </row>
    <row r="34" spans="1:21" ht="15">
      <c r="A34" s="1" t="s">
        <v>26</v>
      </c>
      <c r="B34" s="65">
        <v>0.47199999999999998</v>
      </c>
      <c r="C34" s="65">
        <v>0.504</v>
      </c>
      <c r="D34" s="27">
        <f t="shared" si="11"/>
        <v>0.48799999999999999</v>
      </c>
      <c r="E34" s="27">
        <f t="shared" si="12"/>
        <v>0.42699999999999999</v>
      </c>
      <c r="F34" s="27">
        <f t="shared" si="13"/>
        <v>-0.36957212497497616</v>
      </c>
      <c r="G34" s="28">
        <f t="shared" si="14"/>
        <v>0.23399544958648116</v>
      </c>
      <c r="H34" s="28">
        <f t="shared" si="15"/>
        <v>1.7139393492474553</v>
      </c>
      <c r="I34" s="29">
        <v>500</v>
      </c>
      <c r="J34" s="30">
        <f t="shared" si="16"/>
        <v>856.96967462372766</v>
      </c>
      <c r="K34" s="31">
        <f t="shared" si="17"/>
        <v>42.848483731186384</v>
      </c>
      <c r="L34" s="32">
        <f t="shared" si="19"/>
        <v>46.686697273666084</v>
      </c>
      <c r="M34" s="33">
        <f t="shared" si="18"/>
        <v>0.93373394547332167</v>
      </c>
      <c r="N34" s="36"/>
      <c r="Q34"/>
      <c r="R34"/>
      <c r="S34"/>
    </row>
    <row r="35" spans="1:21" ht="15">
      <c r="B35" s="65">
        <v>0.61699999999999999</v>
      </c>
      <c r="C35" s="65">
        <v>0.56699999999999995</v>
      </c>
      <c r="D35" s="27">
        <f t="shared" si="11"/>
        <v>0.59199999999999997</v>
      </c>
      <c r="E35" s="27">
        <f t="shared" si="12"/>
        <v>0.53099999999999992</v>
      </c>
      <c r="F35" s="27">
        <f t="shared" si="13"/>
        <v>-0.27490547891853101</v>
      </c>
      <c r="G35" s="28">
        <f t="shared" si="14"/>
        <v>0.33041540811892217</v>
      </c>
      <c r="H35" s="28">
        <f t="shared" si="15"/>
        <v>2.1400080553954868</v>
      </c>
      <c r="I35" s="29">
        <v>500</v>
      </c>
      <c r="J35" s="30">
        <f t="shared" si="16"/>
        <v>1070.0040276977434</v>
      </c>
      <c r="K35" s="31">
        <f t="shared" si="17"/>
        <v>53.50020138488717</v>
      </c>
      <c r="L35" s="32">
        <f t="shared" si="19"/>
        <v>56.37011092114227</v>
      </c>
      <c r="M35" s="33">
        <f t="shared" si="18"/>
        <v>1.1274022184228454</v>
      </c>
      <c r="N35" s="36"/>
      <c r="Q35"/>
      <c r="R35"/>
      <c r="S35"/>
    </row>
    <row r="36" spans="1:21" ht="15">
      <c r="B36" s="65">
        <v>0.59099999999999997</v>
      </c>
      <c r="C36" s="65">
        <v>0.63500000000000001</v>
      </c>
      <c r="D36" s="27">
        <f t="shared" si="11"/>
        <v>0.61299999999999999</v>
      </c>
      <c r="E36" s="27">
        <f t="shared" si="12"/>
        <v>0.55200000000000005</v>
      </c>
      <c r="F36" s="27">
        <f t="shared" si="13"/>
        <v>-0.25806092227080107</v>
      </c>
      <c r="G36" s="28">
        <f t="shared" si="14"/>
        <v>0.34757194129221186</v>
      </c>
      <c r="H36" s="28">
        <f t="shared" si="15"/>
        <v>2.2262397929804143</v>
      </c>
      <c r="I36" s="29">
        <v>500</v>
      </c>
      <c r="J36" s="30">
        <f t="shared" si="16"/>
        <v>1113.1198964902071</v>
      </c>
      <c r="K36" s="31">
        <f t="shared" si="17"/>
        <v>55.655994824510358</v>
      </c>
      <c r="L36" s="32">
        <f t="shared" si="19"/>
        <v>57.99657772055933</v>
      </c>
      <c r="M36" s="33">
        <f t="shared" si="18"/>
        <v>1.1599315544111866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8">
        <v>9.0999999999999998E-2</v>
      </c>
      <c r="C40" s="68">
        <v>9.1999999999999998E-2</v>
      </c>
      <c r="D40" s="27">
        <f t="shared" ref="D40:D45" si="20">AVERAGE(B40,C40)</f>
        <v>9.1499999999999998E-2</v>
      </c>
      <c r="E40" s="27">
        <f t="shared" ref="E40:E45" si="21">D40-E$8</f>
        <v>3.0499999999999999E-2</v>
      </c>
      <c r="F40" s="27">
        <f t="shared" ref="F40:F45" si="22">LOG(E40)</f>
        <v>-1.5157001606532141</v>
      </c>
      <c r="G40" s="28">
        <f t="shared" ref="G40:G45" si="23">(F40-$B$16)/$B$15</f>
        <v>-0.93335992082636943</v>
      </c>
      <c r="H40" s="27">
        <f t="shared" ref="H40:H45" si="24">10^G40</f>
        <v>0.11658430261256643</v>
      </c>
      <c r="I40" s="41">
        <v>16</v>
      </c>
      <c r="J40" s="42">
        <f t="shared" ref="J40:J45" si="25">H40*I40</f>
        <v>1.8653488418010629</v>
      </c>
      <c r="K40" s="30">
        <f>(0.1*J40/1000)*1000</f>
        <v>0.1865348841801063</v>
      </c>
      <c r="L40" s="43">
        <f>K40*100/L22</f>
        <v>0.72267188065029053</v>
      </c>
      <c r="M40" s="30">
        <f>AVERAGE(L40:L42)</f>
        <v>0.51318527009200865</v>
      </c>
      <c r="N40" s="44">
        <f>STDEV(L40:L42)</f>
        <v>0.18997355407895541</v>
      </c>
      <c r="R40"/>
      <c r="S40"/>
      <c r="T40"/>
      <c r="U40"/>
    </row>
    <row r="41" spans="1:21" ht="15">
      <c r="B41" s="68">
        <v>9.0999999999999998E-2</v>
      </c>
      <c r="C41" s="68">
        <v>9.6000000000000002E-2</v>
      </c>
      <c r="D41" s="27">
        <f t="shared" si="20"/>
        <v>9.35E-2</v>
      </c>
      <c r="E41" s="27">
        <f t="shared" si="21"/>
        <v>3.2500000000000001E-2</v>
      </c>
      <c r="F41" s="27">
        <f t="shared" si="22"/>
        <v>-1.4881166390211256</v>
      </c>
      <c r="G41" s="28">
        <f t="shared" si="23"/>
        <v>-0.90526552725971798</v>
      </c>
      <c r="H41" s="27">
        <f t="shared" si="24"/>
        <v>0.12437539492032569</v>
      </c>
      <c r="I41" s="41">
        <v>16</v>
      </c>
      <c r="J41" s="42">
        <f t="shared" si="25"/>
        <v>1.9900063187252111</v>
      </c>
      <c r="K41" s="30">
        <f t="shared" ref="K41:K45" si="26">(0.1*J41/1000)*1000</f>
        <v>0.19900063187252112</v>
      </c>
      <c r="L41" s="43">
        <f t="shared" ref="L41:L45" si="27">K41*100/L23</f>
        <v>0.46480215685469611</v>
      </c>
      <c r="M41" s="30"/>
      <c r="N41" s="44"/>
      <c r="R41"/>
      <c r="S41"/>
      <c r="T41"/>
      <c r="U41"/>
    </row>
    <row r="42" spans="1:21" s="17" customFormat="1" ht="15">
      <c r="A42" s="1"/>
      <c r="B42" s="68">
        <v>9.4E-2</v>
      </c>
      <c r="C42" s="68">
        <v>0.10199999999999999</v>
      </c>
      <c r="D42" s="27">
        <f t="shared" si="20"/>
        <v>9.8000000000000004E-2</v>
      </c>
      <c r="E42" s="27">
        <f t="shared" si="21"/>
        <v>3.7000000000000005E-2</v>
      </c>
      <c r="F42" s="27">
        <f t="shared" si="22"/>
        <v>-1.431798275933005</v>
      </c>
      <c r="G42" s="28">
        <f t="shared" si="23"/>
        <v>-0.84790409681109125</v>
      </c>
      <c r="H42" s="27">
        <f t="shared" si="24"/>
        <v>0.14193709200274163</v>
      </c>
      <c r="I42" s="41">
        <v>16</v>
      </c>
      <c r="J42" s="42">
        <f t="shared" si="25"/>
        <v>2.270993472043866</v>
      </c>
      <c r="K42" s="30">
        <f t="shared" si="26"/>
        <v>0.22709934720438663</v>
      </c>
      <c r="L42" s="43">
        <f t="shared" si="27"/>
        <v>0.35208177277103914</v>
      </c>
      <c r="M42" s="30"/>
      <c r="N42" s="44"/>
      <c r="R42"/>
      <c r="S42"/>
      <c r="T42"/>
      <c r="U42"/>
    </row>
    <row r="43" spans="1:21" ht="15">
      <c r="A43" s="1" t="s">
        <v>34</v>
      </c>
      <c r="B43" s="65">
        <v>0.34</v>
      </c>
      <c r="C43" s="65">
        <v>0.317</v>
      </c>
      <c r="D43" s="27">
        <f t="shared" si="20"/>
        <v>0.32850000000000001</v>
      </c>
      <c r="E43" s="27">
        <f t="shared" si="21"/>
        <v>0.26750000000000002</v>
      </c>
      <c r="F43" s="27">
        <f t="shared" si="22"/>
        <v>-0.57267621364275267</v>
      </c>
      <c r="G43" s="28">
        <f t="shared" si="23"/>
        <v>2.7129688276635457E-2</v>
      </c>
      <c r="H43" s="27">
        <f t="shared" si="24"/>
        <v>1.0644608382464864</v>
      </c>
      <c r="I43" s="41">
        <v>16</v>
      </c>
      <c r="J43" s="42">
        <f t="shared" si="25"/>
        <v>17.031373411943783</v>
      </c>
      <c r="K43" s="30">
        <f t="shared" si="26"/>
        <v>1.7031373411943784</v>
      </c>
      <c r="L43" s="43">
        <f t="shared" si="27"/>
        <v>3.5196180246322788</v>
      </c>
      <c r="M43" s="30">
        <f>AVERAGE(L43:L45)</f>
        <v>2.2871874732443431</v>
      </c>
      <c r="N43" s="44">
        <f>STDEV(L43:L45)</f>
        <v>1.0682420153403374</v>
      </c>
      <c r="R43"/>
      <c r="S43"/>
      <c r="T43"/>
      <c r="U43"/>
    </row>
    <row r="44" spans="1:21" ht="15">
      <c r="A44" s="45"/>
      <c r="B44" s="65">
        <v>0.20799999999999999</v>
      </c>
      <c r="C44" s="65">
        <v>0.21</v>
      </c>
      <c r="D44" s="27">
        <f t="shared" si="20"/>
        <v>0.20899999999999999</v>
      </c>
      <c r="E44" s="27">
        <f t="shared" si="21"/>
        <v>0.14799999999999999</v>
      </c>
      <c r="F44" s="27">
        <f t="shared" si="22"/>
        <v>-0.82973828460504262</v>
      </c>
      <c r="G44" s="28">
        <f t="shared" si="23"/>
        <v>-0.2346934062868791</v>
      </c>
      <c r="H44" s="27">
        <f t="shared" si="24"/>
        <v>0.58251430334784127</v>
      </c>
      <c r="I44" s="41">
        <v>16</v>
      </c>
      <c r="J44" s="42">
        <f t="shared" si="25"/>
        <v>9.3202288535654603</v>
      </c>
      <c r="K44" s="30">
        <f t="shared" si="26"/>
        <v>0.93202288535654609</v>
      </c>
      <c r="L44" s="43">
        <f t="shared" si="27"/>
        <v>1.6265064203435342</v>
      </c>
      <c r="M44" s="30"/>
      <c r="N44" s="44"/>
      <c r="R44"/>
      <c r="S44"/>
      <c r="T44"/>
      <c r="U44"/>
    </row>
    <row r="45" spans="1:21" ht="15">
      <c r="A45" s="46"/>
      <c r="B45" s="65">
        <v>0.20699999999999999</v>
      </c>
      <c r="C45" s="65">
        <v>0.23599999999999999</v>
      </c>
      <c r="D45" s="27">
        <f t="shared" si="20"/>
        <v>0.22149999999999997</v>
      </c>
      <c r="E45" s="27">
        <f t="shared" si="21"/>
        <v>0.16049999999999998</v>
      </c>
      <c r="F45" s="27">
        <f t="shared" si="22"/>
        <v>-0.79452496325910915</v>
      </c>
      <c r="G45" s="28">
        <f t="shared" si="23"/>
        <v>-0.19882790216898744</v>
      </c>
      <c r="H45" s="27">
        <f t="shared" si="24"/>
        <v>0.63266250681778946</v>
      </c>
      <c r="I45" s="41">
        <v>16</v>
      </c>
      <c r="J45" s="42">
        <f t="shared" si="25"/>
        <v>10.122600109084631</v>
      </c>
      <c r="K45" s="30">
        <f t="shared" si="26"/>
        <v>1.0122600109084632</v>
      </c>
      <c r="L45" s="43">
        <f t="shared" si="27"/>
        <v>1.7154379747572164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8">
        <v>0.13300000000000001</v>
      </c>
      <c r="C50" s="68">
        <v>0.14399999999999999</v>
      </c>
      <c r="D50" s="27">
        <f t="shared" ref="D50:D52" si="28">AVERAGE(B50,C50)</f>
        <v>0.13850000000000001</v>
      </c>
      <c r="E50" s="27">
        <f t="shared" ref="E50:E55" si="29">D50-E$8</f>
        <v>7.7500000000000013E-2</v>
      </c>
      <c r="F50" s="27">
        <f t="shared" ref="F50:F55" si="30">LOG(E50)</f>
        <v>-1.1106982974936896</v>
      </c>
      <c r="G50" s="28">
        <f t="shared" ref="G50:G55" si="31">(F50-$B$16)/$B$15</f>
        <v>-0.5208570544195581</v>
      </c>
      <c r="H50" s="27">
        <f t="shared" ref="H50:H55" si="32">10^G50</f>
        <v>0.30139979013600021</v>
      </c>
      <c r="I50" s="41">
        <v>16</v>
      </c>
      <c r="J50" s="42">
        <f t="shared" ref="J50:J55" si="33">H50*I50</f>
        <v>4.8223966421760034</v>
      </c>
      <c r="K50" s="30">
        <f>(0.1*J50/1000)*1000</f>
        <v>0.48223966421760034</v>
      </c>
      <c r="L50" s="43">
        <f t="shared" ref="L50:L55" si="34">K50*100/L31</f>
        <v>1.8818887350803688</v>
      </c>
      <c r="M50" s="30">
        <f>AVERAGE(L50:L52)</f>
        <v>1.2745841980038677</v>
      </c>
      <c r="N50" s="44">
        <f>STDEV(L50:L52)</f>
        <v>0.59572349362857147</v>
      </c>
      <c r="O50" s="48">
        <f>L50/L40</f>
        <v>2.6040707898956388</v>
      </c>
      <c r="P50" s="30">
        <f>AVERAGE(O50:O52)</f>
        <v>2.4193226679181787</v>
      </c>
      <c r="Q50" s="44">
        <f>STDEV(O50:O52)</f>
        <v>0.39750362009086765</v>
      </c>
      <c r="S50"/>
      <c r="T50"/>
    </row>
    <row r="51" spans="1:25" ht="15">
      <c r="B51" s="68">
        <v>0.14599999999999999</v>
      </c>
      <c r="C51" s="68">
        <v>0.14699999999999999</v>
      </c>
      <c r="D51" s="27">
        <f t="shared" si="28"/>
        <v>0.14649999999999999</v>
      </c>
      <c r="E51" s="27">
        <f t="shared" si="29"/>
        <v>8.5499999999999993E-2</v>
      </c>
      <c r="F51" s="27">
        <f t="shared" si="30"/>
        <v>-1.0680338852718274</v>
      </c>
      <c r="G51" s="28">
        <f t="shared" si="31"/>
        <v>-0.47740245843872947</v>
      </c>
      <c r="H51" s="27">
        <f t="shared" si="32"/>
        <v>0.33311757136278369</v>
      </c>
      <c r="I51" s="41">
        <v>16</v>
      </c>
      <c r="J51" s="42">
        <f t="shared" si="33"/>
        <v>5.3298811418045391</v>
      </c>
      <c r="K51" s="30">
        <f t="shared" ref="K51:K55" si="35">(0.1*J51/1000)*1000</f>
        <v>0.53298811418045389</v>
      </c>
      <c r="L51" s="43">
        <f t="shared" si="34"/>
        <v>1.2507039443201289</v>
      </c>
      <c r="M51" s="30"/>
      <c r="N51" s="44"/>
      <c r="O51" s="2">
        <f t="shared" ref="O51:O55" si="36">L51/L41</f>
        <v>2.6908307671883653</v>
      </c>
      <c r="P51" s="30"/>
      <c r="Q51" s="44"/>
      <c r="S51"/>
      <c r="T51"/>
    </row>
    <row r="52" spans="1:25" ht="15">
      <c r="B52" s="68">
        <v>0.124</v>
      </c>
      <c r="C52" s="68">
        <v>0.14099999999999999</v>
      </c>
      <c r="D52" s="27">
        <f t="shared" si="28"/>
        <v>0.13250000000000001</v>
      </c>
      <c r="E52" s="27">
        <f t="shared" si="29"/>
        <v>7.1500000000000008E-2</v>
      </c>
      <c r="F52" s="27">
        <f t="shared" si="30"/>
        <v>-1.1456939581989194</v>
      </c>
      <c r="G52" s="28">
        <f t="shared" si="31"/>
        <v>-0.55650086662350695</v>
      </c>
      <c r="H52" s="27">
        <f t="shared" si="32"/>
        <v>0.27765093056468287</v>
      </c>
      <c r="I52" s="41">
        <v>16</v>
      </c>
      <c r="J52" s="42">
        <f t="shared" si="33"/>
        <v>4.442414889034926</v>
      </c>
      <c r="K52" s="30">
        <f t="shared" si="35"/>
        <v>0.44424148890349263</v>
      </c>
      <c r="L52" s="43">
        <f t="shared" si="34"/>
        <v>0.6911599146111056</v>
      </c>
      <c r="M52" s="30"/>
      <c r="N52" s="44"/>
      <c r="O52" s="2">
        <f t="shared" si="36"/>
        <v>1.9630664466705323</v>
      </c>
      <c r="P52" s="30"/>
      <c r="Q52" s="44"/>
      <c r="S52"/>
      <c r="T52"/>
    </row>
    <row r="53" spans="1:25" ht="15">
      <c r="A53" s="1" t="s">
        <v>26</v>
      </c>
      <c r="B53" s="65">
        <v>0.63500000000000001</v>
      </c>
      <c r="C53" s="65">
        <v>0.67500000000000004</v>
      </c>
      <c r="D53" s="27">
        <f>AVERAGE(B53:C53)</f>
        <v>0.65500000000000003</v>
      </c>
      <c r="E53" s="27">
        <f t="shared" si="29"/>
        <v>0.59400000000000008</v>
      </c>
      <c r="F53" s="27">
        <f t="shared" si="30"/>
        <v>-0.22621355501880638</v>
      </c>
      <c r="G53" s="28">
        <f t="shared" si="31"/>
        <v>0.38000915078174868</v>
      </c>
      <c r="H53" s="27">
        <f t="shared" si="32"/>
        <v>2.3988834640498116</v>
      </c>
      <c r="I53" s="41">
        <v>16</v>
      </c>
      <c r="J53" s="42">
        <f t="shared" si="33"/>
        <v>38.382135424796985</v>
      </c>
      <c r="K53" s="30">
        <f t="shared" si="35"/>
        <v>3.8382135424796986</v>
      </c>
      <c r="L53" s="43">
        <f t="shared" si="34"/>
        <v>8.2212145356546049</v>
      </c>
      <c r="M53" s="30">
        <f>AVERAGE(L53:L55)</f>
        <v>5.7827101891279931</v>
      </c>
      <c r="N53" s="44">
        <f>STDEV(L53:L55)</f>
        <v>2.1767472968210906</v>
      </c>
      <c r="O53" s="2">
        <f t="shared" si="36"/>
        <v>2.3358257851044892</v>
      </c>
      <c r="P53" s="30">
        <f>AVERAGE(O53:O55)</f>
        <v>2.6061854278425671</v>
      </c>
      <c r="Q53" s="44">
        <f>STDEV(O53:O55)</f>
        <v>0.45383398998314339</v>
      </c>
      <c r="S53"/>
      <c r="T53"/>
    </row>
    <row r="54" spans="1:25" ht="15">
      <c r="A54" s="45"/>
      <c r="B54" s="65">
        <v>0.51600000000000001</v>
      </c>
      <c r="C54" s="65">
        <v>0.499</v>
      </c>
      <c r="D54" s="27">
        <f>AVERAGE(B54:C54)</f>
        <v>0.50750000000000006</v>
      </c>
      <c r="E54" s="27">
        <f t="shared" si="29"/>
        <v>0.44650000000000006</v>
      </c>
      <c r="F54" s="27">
        <f t="shared" si="30"/>
        <v>-0.3501785367754347</v>
      </c>
      <c r="G54" s="28">
        <f t="shared" si="31"/>
        <v>0.25374822469673569</v>
      </c>
      <c r="H54" s="27">
        <f t="shared" si="32"/>
        <v>1.793693460159437</v>
      </c>
      <c r="I54" s="41">
        <v>16</v>
      </c>
      <c r="J54" s="42">
        <f t="shared" si="33"/>
        <v>28.699095362550992</v>
      </c>
      <c r="K54" s="30">
        <f t="shared" si="35"/>
        <v>2.8699095362550993</v>
      </c>
      <c r="L54" s="43">
        <f t="shared" si="34"/>
        <v>5.0911901526500385</v>
      </c>
      <c r="M54" s="30"/>
      <c r="N54" s="44"/>
      <c r="O54" s="2">
        <f t="shared" si="36"/>
        <v>3.1301383683285606</v>
      </c>
      <c r="P54" s="30"/>
      <c r="Q54" s="44"/>
      <c r="S54"/>
      <c r="T54"/>
    </row>
    <row r="55" spans="1:25" ht="15">
      <c r="A55" s="46"/>
      <c r="B55" s="65">
        <v>0.41699999999999998</v>
      </c>
      <c r="C55" s="65">
        <v>0.436</v>
      </c>
      <c r="D55" s="27">
        <f>AVERAGE(B55:C55)</f>
        <v>0.42649999999999999</v>
      </c>
      <c r="E55" s="27">
        <f t="shared" si="29"/>
        <v>0.36549999999999999</v>
      </c>
      <c r="F55" s="27">
        <f t="shared" si="30"/>
        <v>-0.43711261870612073</v>
      </c>
      <c r="G55" s="28">
        <f t="shared" si="31"/>
        <v>0.1652040444179215</v>
      </c>
      <c r="H55" s="27">
        <f t="shared" si="32"/>
        <v>1.4628643100306082</v>
      </c>
      <c r="I55" s="41">
        <v>16</v>
      </c>
      <c r="J55" s="42">
        <f t="shared" si="33"/>
        <v>23.405828960489732</v>
      </c>
      <c r="K55" s="30">
        <f t="shared" si="35"/>
        <v>2.3405828960489732</v>
      </c>
      <c r="L55" s="43">
        <f t="shared" si="34"/>
        <v>4.0357258790793358</v>
      </c>
      <c r="M55" s="30"/>
      <c r="N55" s="44"/>
      <c r="O55" s="2">
        <f t="shared" si="36"/>
        <v>2.352592130094652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2.4193226679181787</v>
      </c>
      <c r="O58" s="30">
        <f>Q50</f>
        <v>0.39750362009086765</v>
      </c>
    </row>
    <row r="59" spans="1:25" ht="15">
      <c r="D59"/>
      <c r="E59"/>
      <c r="G59"/>
      <c r="M59" s="2" t="s">
        <v>26</v>
      </c>
      <c r="N59" s="30">
        <f>P53</f>
        <v>2.6061854278425671</v>
      </c>
      <c r="O59" s="30">
        <f>Q53</f>
        <v>0.45383398998314339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0.51318527009200865</v>
      </c>
      <c r="C65" s="30">
        <f>N40</f>
        <v>0.18997355407895541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1.2745841980038677</v>
      </c>
      <c r="C66" s="30">
        <f>N50</f>
        <v>0.59572349362857147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2.2871874732443431</v>
      </c>
      <c r="C67" s="30">
        <f>N43</f>
        <v>1.0682420153403374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5.7827101891279931</v>
      </c>
      <c r="C68" s="30">
        <f>N53</f>
        <v>2.1767472968210906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topLeftCell="A28" zoomScale="80" zoomScaleNormal="80" workbookViewId="0">
      <selection activeCell="A58" sqref="A58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42269</v>
      </c>
    </row>
    <row r="2" spans="1:20">
      <c r="A2" s="1" t="s">
        <v>1</v>
      </c>
      <c r="B2" s="2">
        <v>85</v>
      </c>
      <c r="C2" s="3"/>
      <c r="E2" s="4" t="s">
        <v>40</v>
      </c>
    </row>
    <row r="3" spans="1:20" ht="15">
      <c r="A3" s="1" t="s">
        <v>2</v>
      </c>
      <c r="B3" s="2" t="s">
        <v>43</v>
      </c>
      <c r="D3" s="10" t="s">
        <v>41</v>
      </c>
      <c r="E3" s="63">
        <v>109800</v>
      </c>
      <c r="F3" s="63">
        <v>116440</v>
      </c>
    </row>
    <row r="4" spans="1:20" ht="15">
      <c r="D4" s="10" t="s">
        <v>42</v>
      </c>
      <c r="E4" s="67">
        <v>343872</v>
      </c>
      <c r="F4" s="67">
        <v>345016</v>
      </c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6">
        <v>5.8999999999999997E-2</v>
      </c>
      <c r="D8" s="66">
        <v>6.3E-2</v>
      </c>
      <c r="E8" s="11">
        <f t="shared" ref="E8:E13" si="0">AVERAGE(C8:D8)</f>
        <v>6.0999999999999999E-2</v>
      </c>
      <c r="F8" s="12"/>
      <c r="G8" s="10"/>
      <c r="H8" s="10"/>
      <c r="N8"/>
      <c r="O8"/>
      <c r="P8"/>
    </row>
    <row r="9" spans="1:20" ht="15">
      <c r="A9" s="5">
        <v>3.18</v>
      </c>
      <c r="B9" s="12">
        <f>A9/23</f>
        <v>0.13826086956521741</v>
      </c>
      <c r="C9" s="66">
        <v>9.0999999999999998E-2</v>
      </c>
      <c r="D9" s="66">
        <v>9.8000000000000004E-2</v>
      </c>
      <c r="E9" s="11">
        <f t="shared" si="0"/>
        <v>9.4500000000000001E-2</v>
      </c>
      <c r="F9" s="12">
        <f>(E9-$E$8)</f>
        <v>3.3500000000000002E-2</v>
      </c>
      <c r="G9" s="12">
        <f>LOG(B9)</f>
        <v>-0.85930071603316016</v>
      </c>
      <c r="H9" s="12">
        <f>LOG(F9)</f>
        <v>-1.4749551929631548</v>
      </c>
      <c r="N9"/>
      <c r="O9"/>
      <c r="P9"/>
    </row>
    <row r="10" spans="1:20" ht="15">
      <c r="A10" s="5">
        <v>10.5</v>
      </c>
      <c r="B10" s="12">
        <f t="shared" ref="B10:B13" si="1">A10/23</f>
        <v>0.45652173913043476</v>
      </c>
      <c r="C10" s="66">
        <v>0.17199999999999999</v>
      </c>
      <c r="D10" s="66">
        <v>0.191</v>
      </c>
      <c r="E10" s="11">
        <f t="shared" si="0"/>
        <v>0.18149999999999999</v>
      </c>
      <c r="F10" s="12">
        <f>(E10-$E$8)</f>
        <v>0.1205</v>
      </c>
      <c r="G10" s="12">
        <f>LOG(B10)</f>
        <v>-0.34053853694765485</v>
      </c>
      <c r="H10" s="12">
        <f>LOG(F10)</f>
        <v>-0.91901295308911279</v>
      </c>
      <c r="N10"/>
      <c r="O10"/>
      <c r="P10"/>
    </row>
    <row r="11" spans="1:20" ht="15">
      <c r="A11" s="5">
        <v>31.1</v>
      </c>
      <c r="B11" s="12">
        <f t="shared" si="1"/>
        <v>1.3521739130434782</v>
      </c>
      <c r="C11" s="66">
        <v>0.436</v>
      </c>
      <c r="D11" s="66">
        <v>0.42599999999999999</v>
      </c>
      <c r="E11" s="11">
        <f t="shared" si="0"/>
        <v>0.43099999999999999</v>
      </c>
      <c r="F11" s="12">
        <f>(E11-$E$8)</f>
        <v>0.37</v>
      </c>
      <c r="G11" s="12">
        <f>LOG(B11)</f>
        <v>0.13103255300924463</v>
      </c>
      <c r="H11" s="12">
        <f>LOG(F11)</f>
        <v>-0.43179827593300502</v>
      </c>
      <c r="N11"/>
      <c r="O11"/>
      <c r="P11"/>
      <c r="Q11"/>
      <c r="R11"/>
      <c r="S11"/>
      <c r="T11"/>
    </row>
    <row r="12" spans="1:20" ht="15">
      <c r="A12" s="5">
        <v>103</v>
      </c>
      <c r="B12" s="12">
        <f t="shared" si="1"/>
        <v>4.4782608695652177</v>
      </c>
      <c r="C12" s="66">
        <v>1.276</v>
      </c>
      <c r="D12" s="66">
        <v>1.1479999999999999</v>
      </c>
      <c r="E12" s="11">
        <f t="shared" si="0"/>
        <v>1.212</v>
      </c>
      <c r="F12" s="12">
        <f>(E12-$E$8)</f>
        <v>1.151</v>
      </c>
      <c r="G12" s="12">
        <f>LOG(B12)</f>
        <v>0.65110938868757939</v>
      </c>
      <c r="H12" s="12">
        <f>LOG(F12)</f>
        <v>6.107532362979181E-2</v>
      </c>
      <c r="N12"/>
      <c r="O12"/>
      <c r="P12"/>
      <c r="Q12"/>
      <c r="R12"/>
      <c r="S12"/>
      <c r="T12"/>
    </row>
    <row r="13" spans="1:20" ht="15">
      <c r="A13" s="5">
        <v>214</v>
      </c>
      <c r="B13" s="12">
        <f t="shared" si="1"/>
        <v>9.304347826086957</v>
      </c>
      <c r="C13" s="66">
        <v>2.222</v>
      </c>
      <c r="D13" s="66">
        <v>1.9750000000000001</v>
      </c>
      <c r="E13" s="11">
        <f t="shared" si="0"/>
        <v>2.0985</v>
      </c>
      <c r="F13" s="12">
        <f>(E13-$E$8)</f>
        <v>2.0375000000000001</v>
      </c>
      <c r="G13" s="12">
        <f>LOG(B13)</f>
        <v>0.96868593733159802</v>
      </c>
      <c r="H13" s="12">
        <f>LOG(F13)</f>
        <v>0.30909761741201425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0.98181587606256926</v>
      </c>
      <c r="N15"/>
    </row>
    <row r="16" spans="1:20" ht="15">
      <c r="A16" s="5" t="s">
        <v>11</v>
      </c>
      <c r="B16" s="11">
        <f>INTERCEPT(H9:H13,G9:G13)</f>
        <v>-0.59931257230538193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9">
        <v>0.33500000000000002</v>
      </c>
      <c r="C22" s="69">
        <v>0.39200000000000002</v>
      </c>
      <c r="D22" s="27">
        <f t="shared" ref="D22:D27" si="2">AVERAGE(B22:C22)</f>
        <v>0.36350000000000005</v>
      </c>
      <c r="E22" s="27">
        <f t="shared" ref="E22:E27" si="3">D22-E$8</f>
        <v>0.30250000000000005</v>
      </c>
      <c r="F22" s="27">
        <f>LOG(E22)</f>
        <v>-0.51927462101151223</v>
      </c>
      <c r="G22" s="28">
        <f>(F22-$B$16)/$B$15</f>
        <v>8.1520327023892045E-2</v>
      </c>
      <c r="H22" s="28">
        <f>10^G22</f>
        <v>1.20648055583864</v>
      </c>
      <c r="I22" s="29">
        <v>500</v>
      </c>
      <c r="J22" s="30">
        <f>(H22*I22)</f>
        <v>603.24027791931996</v>
      </c>
      <c r="K22" s="31">
        <f>(0.05*J22/1000)*1000</f>
        <v>30.162013895965998</v>
      </c>
      <c r="L22" s="32">
        <f>K22+K40+K50</f>
        <v>31.134127072789234</v>
      </c>
      <c r="M22" s="33">
        <f>(L22*1000000/50000)/1000</f>
        <v>0.62268254145578461</v>
      </c>
      <c r="N22" s="34"/>
    </row>
    <row r="23" spans="1:17" ht="15">
      <c r="B23" s="69">
        <v>0.70799999999999996</v>
      </c>
      <c r="C23" s="69">
        <v>0.69899999999999995</v>
      </c>
      <c r="D23" s="27">
        <f t="shared" si="2"/>
        <v>0.70350000000000001</v>
      </c>
      <c r="E23" s="27">
        <f t="shared" si="3"/>
        <v>0.64250000000000007</v>
      </c>
      <c r="F23" s="27">
        <f t="shared" ref="F23:F27" si="4">LOG(E23)</f>
        <v>-0.19212686799666781</v>
      </c>
      <c r="G23" s="28">
        <f t="shared" ref="G23:G27" si="5">(F23-$B$16)/$B$15</f>
        <v>0.41472715428240331</v>
      </c>
      <c r="H23" s="28">
        <f t="shared" ref="H23:H27" si="6">10^G23</f>
        <v>2.5985265246986859</v>
      </c>
      <c r="I23" s="29">
        <v>500</v>
      </c>
      <c r="J23" s="30">
        <f t="shared" ref="J23:J27" si="7">(H23*I23)</f>
        <v>1299.263262349343</v>
      </c>
      <c r="K23" s="31">
        <f t="shared" ref="K23:K27" si="8">(0.05*J23/1000)*1000</f>
        <v>64.963163117467147</v>
      </c>
      <c r="L23" s="32">
        <f>K23+K41+K51</f>
        <v>66.081757453505091</v>
      </c>
      <c r="M23" s="33">
        <f t="shared" ref="M23:M27" si="9">(L23*1000000/50000)/1000</f>
        <v>1.3216351490701017</v>
      </c>
      <c r="N23" s="34"/>
    </row>
    <row r="24" spans="1:17" ht="15">
      <c r="B24" s="69">
        <v>0.63600000000000001</v>
      </c>
      <c r="C24" s="69">
        <v>0.70299999999999996</v>
      </c>
      <c r="D24" s="27">
        <f t="shared" si="2"/>
        <v>0.66949999999999998</v>
      </c>
      <c r="E24" s="27">
        <f t="shared" si="3"/>
        <v>0.60850000000000004</v>
      </c>
      <c r="F24" s="27">
        <f t="shared" si="4"/>
        <v>-0.21573941743391617</v>
      </c>
      <c r="G24" s="28">
        <f t="shared" si="5"/>
        <v>0.39067727893108684</v>
      </c>
      <c r="H24" s="28">
        <f t="shared" si="6"/>
        <v>2.4585400020093959</v>
      </c>
      <c r="I24" s="29">
        <v>500</v>
      </c>
      <c r="J24" s="30">
        <f t="shared" si="7"/>
        <v>1229.2700010046979</v>
      </c>
      <c r="K24" s="31">
        <f t="shared" si="8"/>
        <v>61.463500050234899</v>
      </c>
      <c r="L24" s="32">
        <f t="shared" ref="L24:L27" si="10">K24+K42+K52</f>
        <v>62.195172390707022</v>
      </c>
      <c r="M24" s="33">
        <f t="shared" si="9"/>
        <v>1.2439034478141404</v>
      </c>
      <c r="N24" s="34"/>
    </row>
    <row r="25" spans="1:17" ht="15">
      <c r="A25" s="1" t="s">
        <v>26</v>
      </c>
      <c r="B25" s="70">
        <v>0.66500000000000004</v>
      </c>
      <c r="C25" s="70">
        <v>0.69099999999999995</v>
      </c>
      <c r="D25" s="27">
        <f t="shared" si="2"/>
        <v>0.67799999999999994</v>
      </c>
      <c r="E25" s="27">
        <f t="shared" si="3"/>
        <v>0.61699999999999999</v>
      </c>
      <c r="F25" s="27">
        <f t="shared" si="4"/>
        <v>-0.20971483596675833</v>
      </c>
      <c r="G25" s="28">
        <f t="shared" si="5"/>
        <v>0.39681344113221007</v>
      </c>
      <c r="H25" s="28">
        <f t="shared" si="6"/>
        <v>2.4935233598324595</v>
      </c>
      <c r="I25" s="29">
        <v>500</v>
      </c>
      <c r="J25" s="30">
        <f t="shared" si="7"/>
        <v>1246.7616799162297</v>
      </c>
      <c r="K25" s="31">
        <f t="shared" si="8"/>
        <v>62.338083995811488</v>
      </c>
      <c r="L25" s="32">
        <f t="shared" si="10"/>
        <v>66.065161337887673</v>
      </c>
      <c r="M25" s="33">
        <f t="shared" si="9"/>
        <v>1.3213032267577534</v>
      </c>
      <c r="N25" s="34"/>
    </row>
    <row r="26" spans="1:17" ht="15">
      <c r="B26" s="70">
        <v>0.53800000000000003</v>
      </c>
      <c r="C26" s="70">
        <v>0.64300000000000002</v>
      </c>
      <c r="D26" s="27">
        <f t="shared" si="2"/>
        <v>0.59050000000000002</v>
      </c>
      <c r="E26" s="27">
        <f t="shared" si="3"/>
        <v>0.52950000000000008</v>
      </c>
      <c r="F26" s="27">
        <f t="shared" si="4"/>
        <v>-0.27613403555649613</v>
      </c>
      <c r="G26" s="28">
        <f t="shared" si="5"/>
        <v>0.32916409749345943</v>
      </c>
      <c r="H26" s="28">
        <f t="shared" si="6"/>
        <v>2.1338510331302305</v>
      </c>
      <c r="I26" s="29">
        <v>500</v>
      </c>
      <c r="J26" s="30">
        <f t="shared" si="7"/>
        <v>1066.9255165651152</v>
      </c>
      <c r="K26" s="31">
        <f t="shared" si="8"/>
        <v>53.346275828255763</v>
      </c>
      <c r="L26" s="32">
        <f t="shared" si="10"/>
        <v>56.896553300692432</v>
      </c>
      <c r="M26" s="33">
        <f t="shared" si="9"/>
        <v>1.1379310660138484</v>
      </c>
      <c r="N26" s="34"/>
    </row>
    <row r="27" spans="1:17" ht="15">
      <c r="B27" s="70">
        <v>0.68600000000000005</v>
      </c>
      <c r="C27" s="70">
        <v>0.73699999999999999</v>
      </c>
      <c r="D27" s="27">
        <f t="shared" si="2"/>
        <v>0.71150000000000002</v>
      </c>
      <c r="E27" s="27">
        <f t="shared" si="3"/>
        <v>0.65050000000000008</v>
      </c>
      <c r="F27" s="27">
        <f t="shared" si="4"/>
        <v>-0.18675269910239489</v>
      </c>
      <c r="G27" s="28">
        <f t="shared" si="5"/>
        <v>0.42020085767761139</v>
      </c>
      <c r="H27" s="28">
        <f t="shared" si="6"/>
        <v>2.6314847508703147</v>
      </c>
      <c r="I27" s="29">
        <v>500</v>
      </c>
      <c r="J27" s="30">
        <f t="shared" si="7"/>
        <v>1315.7423754351573</v>
      </c>
      <c r="K27" s="31">
        <f t="shared" si="8"/>
        <v>65.787118771757875</v>
      </c>
      <c r="L27" s="32">
        <f t="shared" si="10"/>
        <v>68.901787233185985</v>
      </c>
      <c r="M27" s="33">
        <f t="shared" si="9"/>
        <v>1.3780357446637199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9">
        <v>0.33500000000000002</v>
      </c>
      <c r="C31" s="69">
        <v>0.39200000000000002</v>
      </c>
      <c r="D31" s="27">
        <f t="shared" ref="D31:D36" si="11">AVERAGE(B31:C31)</f>
        <v>0.36350000000000005</v>
      </c>
      <c r="E31" s="27">
        <f t="shared" ref="E31:E36" si="12">D31-E$8</f>
        <v>0.30250000000000005</v>
      </c>
      <c r="F31" s="27">
        <f>LOG(E31)</f>
        <v>-0.51927462101151223</v>
      </c>
      <c r="G31" s="28">
        <f>(F31-$B$16)/$B$15</f>
        <v>8.1520327023892045E-2</v>
      </c>
      <c r="H31" s="28">
        <f>10^G31</f>
        <v>1.20648055583864</v>
      </c>
      <c r="I31" s="29">
        <v>500</v>
      </c>
      <c r="J31" s="30">
        <f>(H31*I31)</f>
        <v>603.24027791931996</v>
      </c>
      <c r="K31" s="31">
        <f>(0.05*J31/1000)*1000</f>
        <v>30.162013895965998</v>
      </c>
      <c r="L31" s="32">
        <f>K31+K50</f>
        <v>30.831805117081196</v>
      </c>
      <c r="M31" s="33">
        <f>(L31*1000000/50000)/1000</f>
        <v>0.61663610234162392</v>
      </c>
      <c r="N31" s="35"/>
      <c r="Q31"/>
    </row>
    <row r="32" spans="1:17" ht="15">
      <c r="B32" s="69">
        <v>0.70799999999999996</v>
      </c>
      <c r="C32" s="69">
        <v>0.69899999999999995</v>
      </c>
      <c r="D32" s="27">
        <f t="shared" si="11"/>
        <v>0.70350000000000001</v>
      </c>
      <c r="E32" s="27">
        <f t="shared" si="12"/>
        <v>0.64250000000000007</v>
      </c>
      <c r="F32" s="27">
        <f t="shared" ref="F32:F36" si="13">LOG(E32)</f>
        <v>-0.19212686799666781</v>
      </c>
      <c r="G32" s="28">
        <f t="shared" ref="G32:G36" si="14">(F32-$B$16)/$B$15</f>
        <v>0.41472715428240331</v>
      </c>
      <c r="H32" s="28">
        <f t="shared" ref="H32:H36" si="15">10^G32</f>
        <v>2.5985265246986859</v>
      </c>
      <c r="I32" s="29">
        <v>500</v>
      </c>
      <c r="J32" s="30">
        <f t="shared" ref="J32:J36" si="16">(H32*I32)</f>
        <v>1299.263262349343</v>
      </c>
      <c r="K32" s="31">
        <f t="shared" ref="K32:K36" si="17">(0.05*J32/1000)*1000</f>
        <v>64.963163117467147</v>
      </c>
      <c r="L32" s="32">
        <f>K32+K51</f>
        <v>65.754280556455953</v>
      </c>
      <c r="M32" s="33">
        <f t="shared" ref="M32:M36" si="18">(L32*1000000/50000)/1000</f>
        <v>1.3150856111291191</v>
      </c>
      <c r="N32" s="36"/>
      <c r="Q32"/>
    </row>
    <row r="33" spans="1:21" ht="15">
      <c r="B33" s="69">
        <v>0.63600000000000001</v>
      </c>
      <c r="C33" s="69">
        <v>0.70299999999999996</v>
      </c>
      <c r="D33" s="27">
        <f t="shared" si="11"/>
        <v>0.66949999999999998</v>
      </c>
      <c r="E33" s="27">
        <f t="shared" si="12"/>
        <v>0.60850000000000004</v>
      </c>
      <c r="F33" s="27">
        <f t="shared" si="13"/>
        <v>-0.21573941743391617</v>
      </c>
      <c r="G33" s="28">
        <f t="shared" si="14"/>
        <v>0.39067727893108684</v>
      </c>
      <c r="H33" s="28">
        <f t="shared" si="15"/>
        <v>2.4585400020093959</v>
      </c>
      <c r="I33" s="29">
        <v>500</v>
      </c>
      <c r="J33" s="30">
        <f t="shared" si="16"/>
        <v>1229.2700010046979</v>
      </c>
      <c r="K33" s="31">
        <f t="shared" si="17"/>
        <v>61.463500050234899</v>
      </c>
      <c r="L33" s="32">
        <f t="shared" ref="L33:L36" si="19">K33+K52</f>
        <v>61.97744672272632</v>
      </c>
      <c r="M33" s="33">
        <f t="shared" si="18"/>
        <v>1.2395489344545265</v>
      </c>
      <c r="N33" s="36"/>
      <c r="Q33"/>
      <c r="R33"/>
      <c r="S33"/>
    </row>
    <row r="34" spans="1:21" ht="15">
      <c r="A34" s="1" t="s">
        <v>26</v>
      </c>
      <c r="B34" s="70">
        <v>0.66500000000000004</v>
      </c>
      <c r="C34" s="70">
        <v>0.69099999999999995</v>
      </c>
      <c r="D34" s="27">
        <f t="shared" si="11"/>
        <v>0.67799999999999994</v>
      </c>
      <c r="E34" s="27">
        <f t="shared" si="12"/>
        <v>0.61699999999999999</v>
      </c>
      <c r="F34" s="27">
        <f t="shared" si="13"/>
        <v>-0.20971483596675833</v>
      </c>
      <c r="G34" s="28">
        <f t="shared" si="14"/>
        <v>0.39681344113221007</v>
      </c>
      <c r="H34" s="28">
        <f t="shared" si="15"/>
        <v>2.4935233598324595</v>
      </c>
      <c r="I34" s="29">
        <v>500</v>
      </c>
      <c r="J34" s="30">
        <f t="shared" si="16"/>
        <v>1246.7616799162297</v>
      </c>
      <c r="K34" s="31">
        <f t="shared" si="17"/>
        <v>62.338083995811488</v>
      </c>
      <c r="L34" s="32">
        <f t="shared" si="19"/>
        <v>64.975764505613256</v>
      </c>
      <c r="M34" s="33">
        <f t="shared" si="18"/>
        <v>1.2995152901122651</v>
      </c>
      <c r="N34" s="36"/>
      <c r="Q34"/>
      <c r="R34"/>
      <c r="S34"/>
    </row>
    <row r="35" spans="1:21" ht="15">
      <c r="B35" s="70">
        <v>0.53800000000000003</v>
      </c>
      <c r="C35" s="70">
        <v>0.64300000000000002</v>
      </c>
      <c r="D35" s="27">
        <f t="shared" si="11"/>
        <v>0.59050000000000002</v>
      </c>
      <c r="E35" s="27">
        <f t="shared" si="12"/>
        <v>0.52950000000000008</v>
      </c>
      <c r="F35" s="27">
        <f t="shared" si="13"/>
        <v>-0.27613403555649613</v>
      </c>
      <c r="G35" s="28">
        <f t="shared" si="14"/>
        <v>0.32916409749345943</v>
      </c>
      <c r="H35" s="28">
        <f t="shared" si="15"/>
        <v>2.1338510331302305</v>
      </c>
      <c r="I35" s="29">
        <v>500</v>
      </c>
      <c r="J35" s="30">
        <f t="shared" si="16"/>
        <v>1066.9255165651152</v>
      </c>
      <c r="K35" s="31">
        <f t="shared" si="17"/>
        <v>53.346275828255763</v>
      </c>
      <c r="L35" s="32">
        <f t="shared" si="19"/>
        <v>55.778204140354575</v>
      </c>
      <c r="M35" s="33">
        <f t="shared" si="18"/>
        <v>1.1155640828070914</v>
      </c>
      <c r="N35" s="36"/>
      <c r="Q35"/>
      <c r="R35"/>
      <c r="S35"/>
    </row>
    <row r="36" spans="1:21" ht="15">
      <c r="B36" s="70">
        <v>0.68600000000000005</v>
      </c>
      <c r="C36" s="70">
        <v>0.73699999999999999</v>
      </c>
      <c r="D36" s="27">
        <f t="shared" si="11"/>
        <v>0.71150000000000002</v>
      </c>
      <c r="E36" s="27">
        <f t="shared" si="12"/>
        <v>0.65050000000000008</v>
      </c>
      <c r="F36" s="27">
        <f t="shared" si="13"/>
        <v>-0.18675269910239489</v>
      </c>
      <c r="G36" s="28">
        <f t="shared" si="14"/>
        <v>0.42020085767761139</v>
      </c>
      <c r="H36" s="28">
        <f t="shared" si="15"/>
        <v>2.6314847508703147</v>
      </c>
      <c r="I36" s="29">
        <v>500</v>
      </c>
      <c r="J36" s="30">
        <f t="shared" si="16"/>
        <v>1315.7423754351573</v>
      </c>
      <c r="K36" s="31">
        <f t="shared" si="17"/>
        <v>65.787118771757875</v>
      </c>
      <c r="L36" s="32">
        <f t="shared" si="19"/>
        <v>67.863826436783597</v>
      </c>
      <c r="M36" s="33">
        <f t="shared" si="18"/>
        <v>1.3572765287356718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9">
        <v>0.11</v>
      </c>
      <c r="C40" s="69">
        <v>0.11</v>
      </c>
      <c r="D40" s="27">
        <f t="shared" ref="D40:D45" si="20">AVERAGE(B40,C40)</f>
        <v>0.11</v>
      </c>
      <c r="E40" s="27">
        <f t="shared" ref="E40:E45" si="21">D40-E$8</f>
        <v>4.9000000000000002E-2</v>
      </c>
      <c r="F40" s="27">
        <f t="shared" ref="F40:F45" si="22">LOG(E40)</f>
        <v>-1.3098039199714864</v>
      </c>
      <c r="G40" s="28">
        <f t="shared" ref="G40:G45" si="23">(F40-$B$16)/$B$15</f>
        <v>-0.72365029430510674</v>
      </c>
      <c r="H40" s="27">
        <f t="shared" ref="H40:H45" si="24">10^G40</f>
        <v>0.18895122231752545</v>
      </c>
      <c r="I40" s="41">
        <v>16</v>
      </c>
      <c r="J40" s="42">
        <f t="shared" ref="J40:J45" si="25">H40*I40</f>
        <v>3.0232195570804072</v>
      </c>
      <c r="K40" s="30">
        <f>(0.1*J40/1000)*1000</f>
        <v>0.30232195570804077</v>
      </c>
      <c r="L40" s="43">
        <f>K40*100/L22</f>
        <v>0.97103077597529841</v>
      </c>
      <c r="M40" s="30">
        <f>AVERAGE(L40:L42)</f>
        <v>0.60555415042335448</v>
      </c>
      <c r="N40" s="44">
        <f>STDEV(L40:L42)</f>
        <v>0.3247646180627749</v>
      </c>
      <c r="R40"/>
      <c r="S40"/>
      <c r="T40"/>
      <c r="U40"/>
    </row>
    <row r="41" spans="1:21" ht="15">
      <c r="B41" s="69">
        <v>0.112</v>
      </c>
      <c r="C41" s="69">
        <v>0.11600000000000001</v>
      </c>
      <c r="D41" s="27">
        <f t="shared" si="20"/>
        <v>0.114</v>
      </c>
      <c r="E41" s="27">
        <f t="shared" si="21"/>
        <v>5.3000000000000005E-2</v>
      </c>
      <c r="F41" s="27">
        <f t="shared" si="22"/>
        <v>-1.2757241303992108</v>
      </c>
      <c r="G41" s="28">
        <f t="shared" si="23"/>
        <v>-0.68893931600136649</v>
      </c>
      <c r="H41" s="27">
        <f t="shared" si="24"/>
        <v>0.2046730606557145</v>
      </c>
      <c r="I41" s="41">
        <v>16</v>
      </c>
      <c r="J41" s="42">
        <f t="shared" si="25"/>
        <v>3.274768970491432</v>
      </c>
      <c r="K41" s="30">
        <f t="shared" ref="K41:K45" si="26">(0.1*J41/1000)*1000</f>
        <v>0.32747689704914323</v>
      </c>
      <c r="L41" s="43">
        <f t="shared" ref="L41:L45" si="27">K41*100/L23</f>
        <v>0.49556323812900238</v>
      </c>
      <c r="M41" s="30"/>
      <c r="N41" s="44"/>
      <c r="R41"/>
      <c r="S41"/>
      <c r="T41"/>
      <c r="U41"/>
    </row>
    <row r="42" spans="1:21" s="17" customFormat="1" ht="15">
      <c r="A42" s="1"/>
      <c r="B42" s="69">
        <v>9.2999999999999999E-2</v>
      </c>
      <c r="C42" s="69">
        <v>0.1</v>
      </c>
      <c r="D42" s="27">
        <f t="shared" si="20"/>
        <v>9.6500000000000002E-2</v>
      </c>
      <c r="E42" s="27">
        <f t="shared" si="21"/>
        <v>3.5500000000000004E-2</v>
      </c>
      <c r="F42" s="27">
        <f t="shared" si="22"/>
        <v>-1.4497716469449058</v>
      </c>
      <c r="G42" s="28">
        <f t="shared" si="23"/>
        <v>-0.86621035101832644</v>
      </c>
      <c r="H42" s="27">
        <f t="shared" si="24"/>
        <v>0.13607854248793752</v>
      </c>
      <c r="I42" s="41">
        <v>16</v>
      </c>
      <c r="J42" s="42">
        <f t="shared" si="25"/>
        <v>2.1772566798070003</v>
      </c>
      <c r="K42" s="30">
        <f t="shared" si="26"/>
        <v>0.21772566798070003</v>
      </c>
      <c r="L42" s="43">
        <f t="shared" si="27"/>
        <v>0.35006843716576275</v>
      </c>
      <c r="M42" s="30"/>
      <c r="N42" s="44"/>
      <c r="R42"/>
      <c r="S42"/>
      <c r="T42"/>
      <c r="U42"/>
    </row>
    <row r="43" spans="1:21" ht="15">
      <c r="A43" s="1" t="s">
        <v>34</v>
      </c>
      <c r="B43" s="70">
        <v>0.23899999999999999</v>
      </c>
      <c r="C43" s="70">
        <v>0.22800000000000001</v>
      </c>
      <c r="D43" s="27">
        <f t="shared" si="20"/>
        <v>0.23349999999999999</v>
      </c>
      <c r="E43" s="27">
        <f t="shared" si="21"/>
        <v>0.17249999999999999</v>
      </c>
      <c r="F43" s="27">
        <f t="shared" si="22"/>
        <v>-0.76321090059070706</v>
      </c>
      <c r="G43" s="28">
        <f t="shared" si="23"/>
        <v>-0.16693387454948855</v>
      </c>
      <c r="H43" s="27">
        <f t="shared" si="24"/>
        <v>0.68087302017151274</v>
      </c>
      <c r="I43" s="41">
        <v>16</v>
      </c>
      <c r="J43" s="42">
        <f t="shared" si="25"/>
        <v>10.893968322744204</v>
      </c>
      <c r="K43" s="30">
        <f t="shared" si="26"/>
        <v>1.0893968322744205</v>
      </c>
      <c r="L43" s="43">
        <f t="shared" si="27"/>
        <v>1.6489732412863463</v>
      </c>
      <c r="M43" s="30">
        <f>AVERAGE(L43:L45)</f>
        <v>1.7069972628993042</v>
      </c>
      <c r="N43" s="44">
        <f>STDEV(L43:L45)</f>
        <v>0.23500921735471883</v>
      </c>
      <c r="R43"/>
      <c r="S43"/>
      <c r="T43"/>
      <c r="U43"/>
    </row>
    <row r="44" spans="1:21" ht="15">
      <c r="A44" s="45"/>
      <c r="B44" s="70">
        <v>0.23699999999999999</v>
      </c>
      <c r="C44" s="70">
        <v>0.23899999999999999</v>
      </c>
      <c r="D44" s="27">
        <f t="shared" si="20"/>
        <v>0.23799999999999999</v>
      </c>
      <c r="E44" s="27">
        <f t="shared" si="21"/>
        <v>0.17699999999999999</v>
      </c>
      <c r="F44" s="27">
        <f t="shared" si="22"/>
        <v>-0.75202673363819339</v>
      </c>
      <c r="G44" s="28">
        <f t="shared" si="23"/>
        <v>-0.15554256664217891</v>
      </c>
      <c r="H44" s="27">
        <f t="shared" si="24"/>
        <v>0.69896822521115987</v>
      </c>
      <c r="I44" s="41">
        <v>16</v>
      </c>
      <c r="J44" s="42">
        <f t="shared" si="25"/>
        <v>11.183491603378558</v>
      </c>
      <c r="K44" s="30">
        <f t="shared" si="26"/>
        <v>1.1183491603378559</v>
      </c>
      <c r="L44" s="43">
        <f t="shared" si="27"/>
        <v>1.9655833182503966</v>
      </c>
      <c r="M44" s="30"/>
      <c r="N44" s="44"/>
      <c r="R44"/>
      <c r="S44"/>
      <c r="T44"/>
      <c r="U44"/>
    </row>
    <row r="45" spans="1:21" ht="15">
      <c r="A45" s="46"/>
      <c r="B45" s="70">
        <v>0.223</v>
      </c>
      <c r="C45" s="70">
        <v>0.22800000000000001</v>
      </c>
      <c r="D45" s="27">
        <f t="shared" si="20"/>
        <v>0.22550000000000001</v>
      </c>
      <c r="E45" s="27">
        <f t="shared" si="21"/>
        <v>0.16450000000000001</v>
      </c>
      <c r="F45" s="27">
        <f t="shared" si="22"/>
        <v>-0.78383409771400692</v>
      </c>
      <c r="G45" s="28">
        <f t="shared" si="23"/>
        <v>-0.18793903206029008</v>
      </c>
      <c r="H45" s="27">
        <f t="shared" si="24"/>
        <v>0.64872549775149169</v>
      </c>
      <c r="I45" s="41">
        <v>16</v>
      </c>
      <c r="J45" s="42">
        <f t="shared" si="25"/>
        <v>10.379607964023867</v>
      </c>
      <c r="K45" s="30">
        <f t="shared" si="26"/>
        <v>1.0379607964023867</v>
      </c>
      <c r="L45" s="43">
        <f t="shared" si="27"/>
        <v>1.5064352291611696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9">
        <v>0.16500000000000001</v>
      </c>
      <c r="C50" s="69">
        <v>0.17100000000000001</v>
      </c>
      <c r="D50" s="27">
        <f t="shared" ref="D50:D52" si="28">AVERAGE(B50,C50)</f>
        <v>0.16800000000000001</v>
      </c>
      <c r="E50" s="27">
        <f t="shared" ref="E50:E55" si="29">D50-E$8</f>
        <v>0.10700000000000001</v>
      </c>
      <c r="F50" s="27">
        <f t="shared" ref="F50:F55" si="30">LOG(E50)</f>
        <v>-0.97061622231479028</v>
      </c>
      <c r="G50" s="28">
        <f t="shared" ref="G50:G55" si="31">(F50-$B$16)/$B$15</f>
        <v>-0.37818053166798238</v>
      </c>
      <c r="H50" s="27">
        <f t="shared" ref="H50:H55" si="32">10^G50</f>
        <v>0.41861951319699714</v>
      </c>
      <c r="I50" s="41">
        <v>16</v>
      </c>
      <c r="J50" s="42">
        <f t="shared" ref="J50:J55" si="33">H50*I50</f>
        <v>6.6979122111519542</v>
      </c>
      <c r="K50" s="30">
        <f>(0.1*J50/1000)*1000</f>
        <v>0.66979122111519551</v>
      </c>
      <c r="L50" s="43">
        <f t="shared" ref="L50:L55" si="34">K50*100/L31</f>
        <v>2.1724035247748863</v>
      </c>
      <c r="M50" s="30">
        <f>AVERAGE(L50:L52)</f>
        <v>1.4015978435955507</v>
      </c>
      <c r="N50" s="44">
        <f>STDEV(L50:L52)</f>
        <v>0.69322093858587708</v>
      </c>
      <c r="O50" s="48">
        <f>L50/L40</f>
        <v>2.237213874702308</v>
      </c>
      <c r="P50" s="30">
        <f>AVERAGE(O50:O52)</f>
        <v>2.3446193323024751</v>
      </c>
      <c r="Q50" s="44">
        <f>STDEV(O50:O52)</f>
        <v>9.758343355189017E-2</v>
      </c>
      <c r="S50"/>
      <c r="T50"/>
    </row>
    <row r="51" spans="1:25" ht="15">
      <c r="B51" s="69">
        <v>0.182</v>
      </c>
      <c r="C51" s="69">
        <v>0.192</v>
      </c>
      <c r="D51" s="27">
        <f t="shared" si="28"/>
        <v>0.187</v>
      </c>
      <c r="E51" s="27">
        <f t="shared" si="29"/>
        <v>0.126</v>
      </c>
      <c r="F51" s="27">
        <f t="shared" si="30"/>
        <v>-0.89962945488243706</v>
      </c>
      <c r="G51" s="28">
        <f t="shared" si="31"/>
        <v>-0.30587902467154293</v>
      </c>
      <c r="H51" s="27">
        <f t="shared" si="32"/>
        <v>0.49444839936800483</v>
      </c>
      <c r="I51" s="41">
        <v>16</v>
      </c>
      <c r="J51" s="42">
        <f t="shared" si="33"/>
        <v>7.9111743898880773</v>
      </c>
      <c r="K51" s="30">
        <f t="shared" ref="K51:K55" si="35">(0.1*J51/1000)*1000</f>
        <v>0.79111743898880782</v>
      </c>
      <c r="L51" s="43">
        <f t="shared" si="34"/>
        <v>1.2031421107399425</v>
      </c>
      <c r="M51" s="30"/>
      <c r="N51" s="44"/>
      <c r="O51" s="2">
        <f t="shared" ref="O51:O55" si="36">L51/L41</f>
        <v>2.4278276073955811</v>
      </c>
      <c r="P51" s="30"/>
      <c r="Q51" s="44"/>
      <c r="S51"/>
      <c r="T51"/>
    </row>
    <row r="52" spans="1:25" ht="15">
      <c r="B52" s="69">
        <v>0.13300000000000001</v>
      </c>
      <c r="C52" s="69">
        <v>0.154</v>
      </c>
      <c r="D52" s="27">
        <f t="shared" si="28"/>
        <v>0.14350000000000002</v>
      </c>
      <c r="E52" s="27">
        <f t="shared" si="29"/>
        <v>8.2500000000000018E-2</v>
      </c>
      <c r="F52" s="27">
        <f t="shared" si="30"/>
        <v>-1.0835460514500748</v>
      </c>
      <c r="G52" s="28">
        <f t="shared" si="31"/>
        <v>-0.49320192405794178</v>
      </c>
      <c r="H52" s="27">
        <f t="shared" si="32"/>
        <v>0.3212166703071398</v>
      </c>
      <c r="I52" s="41">
        <v>16</v>
      </c>
      <c r="J52" s="42">
        <f t="shared" si="33"/>
        <v>5.1394667249142367</v>
      </c>
      <c r="K52" s="30">
        <f t="shared" si="35"/>
        <v>0.51394667249142367</v>
      </c>
      <c r="L52" s="43">
        <f t="shared" si="34"/>
        <v>0.8292478952718233</v>
      </c>
      <c r="M52" s="30"/>
      <c r="N52" s="44"/>
      <c r="O52" s="2">
        <f t="shared" si="36"/>
        <v>2.3688165148095366</v>
      </c>
      <c r="P52" s="30"/>
      <c r="Q52" s="44"/>
      <c r="S52"/>
      <c r="T52"/>
    </row>
    <row r="53" spans="1:25" ht="15">
      <c r="A53" s="1" t="s">
        <v>26</v>
      </c>
      <c r="B53" s="70">
        <v>0.46600000000000003</v>
      </c>
      <c r="C53" s="70">
        <v>0.47799999999999998</v>
      </c>
      <c r="D53" s="27">
        <f>AVERAGE(B53:C53)</f>
        <v>0.47199999999999998</v>
      </c>
      <c r="E53" s="27">
        <f t="shared" si="29"/>
        <v>0.41099999999999998</v>
      </c>
      <c r="F53" s="27">
        <f t="shared" si="30"/>
        <v>-0.38615817812393083</v>
      </c>
      <c r="G53" s="28">
        <f t="shared" si="31"/>
        <v>0.21710220763212346</v>
      </c>
      <c r="H53" s="27">
        <f t="shared" si="32"/>
        <v>1.6485503186261061</v>
      </c>
      <c r="I53" s="41">
        <v>16</v>
      </c>
      <c r="J53" s="42">
        <f t="shared" si="33"/>
        <v>26.376805098017698</v>
      </c>
      <c r="K53" s="30">
        <f t="shared" si="35"/>
        <v>2.6376805098017702</v>
      </c>
      <c r="L53" s="43">
        <f t="shared" si="34"/>
        <v>4.05948360880602</v>
      </c>
      <c r="M53" s="30">
        <f>AVERAGE(L53:L55)</f>
        <v>3.8265303367877785</v>
      </c>
      <c r="N53" s="44">
        <f>STDEV(L53:L55)</f>
        <v>0.68053462543599874</v>
      </c>
      <c r="O53" s="2">
        <f t="shared" si="36"/>
        <v>2.461825035826088</v>
      </c>
      <c r="P53" s="30">
        <f>AVERAGE(O53:O55)</f>
        <v>2.2371177451326449</v>
      </c>
      <c r="Q53" s="44">
        <f>STDEV(O53:O55)</f>
        <v>0.21585792877131385</v>
      </c>
      <c r="S53"/>
      <c r="T53"/>
    </row>
    <row r="54" spans="1:25" ht="15">
      <c r="A54" s="45"/>
      <c r="B54" s="70">
        <v>0.43</v>
      </c>
      <c r="C54" s="70">
        <v>0.45100000000000001</v>
      </c>
      <c r="D54" s="27">
        <f>AVERAGE(B54:C54)</f>
        <v>0.4405</v>
      </c>
      <c r="E54" s="27">
        <f t="shared" si="29"/>
        <v>0.3795</v>
      </c>
      <c r="F54" s="27">
        <f t="shared" si="30"/>
        <v>-0.42078821976850084</v>
      </c>
      <c r="G54" s="28">
        <f t="shared" si="31"/>
        <v>0.18183078608672251</v>
      </c>
      <c r="H54" s="27">
        <f t="shared" si="32"/>
        <v>1.519955195061756</v>
      </c>
      <c r="I54" s="41">
        <v>16</v>
      </c>
      <c r="J54" s="42">
        <f t="shared" si="33"/>
        <v>24.319283120988096</v>
      </c>
      <c r="K54" s="30">
        <f t="shared" si="35"/>
        <v>2.43192831209881</v>
      </c>
      <c r="L54" s="43">
        <f t="shared" si="34"/>
        <v>4.3599975108186602</v>
      </c>
      <c r="M54" s="30"/>
      <c r="N54" s="44"/>
      <c r="O54" s="2">
        <f t="shared" si="36"/>
        <v>2.2181697770510067</v>
      </c>
      <c r="P54" s="30"/>
      <c r="Q54" s="44"/>
      <c r="S54"/>
      <c r="T54"/>
    </row>
    <row r="55" spans="1:25" ht="15">
      <c r="A55" s="46"/>
      <c r="B55" s="70">
        <v>0.375</v>
      </c>
      <c r="C55" s="70">
        <v>0.39700000000000002</v>
      </c>
      <c r="D55" s="27">
        <f>AVERAGE(B55:C55)</f>
        <v>0.38600000000000001</v>
      </c>
      <c r="E55" s="27">
        <f t="shared" si="29"/>
        <v>0.32500000000000001</v>
      </c>
      <c r="F55" s="27">
        <f t="shared" si="30"/>
        <v>-0.48811663902112562</v>
      </c>
      <c r="G55" s="28">
        <f t="shared" si="31"/>
        <v>0.11325538320911202</v>
      </c>
      <c r="H55" s="27">
        <f t="shared" si="32"/>
        <v>1.2979422906410805</v>
      </c>
      <c r="I55" s="41">
        <v>16</v>
      </c>
      <c r="J55" s="42">
        <f t="shared" si="33"/>
        <v>20.767076650257287</v>
      </c>
      <c r="K55" s="30">
        <f t="shared" si="35"/>
        <v>2.076707665025729</v>
      </c>
      <c r="L55" s="43">
        <f t="shared" si="34"/>
        <v>3.060109890738655</v>
      </c>
      <c r="M55" s="30"/>
      <c r="N55" s="44"/>
      <c r="O55" s="2">
        <f t="shared" si="36"/>
        <v>2.031358422520841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2.3446193323024751</v>
      </c>
      <c r="O58" s="30">
        <f>Q50</f>
        <v>9.758343355189017E-2</v>
      </c>
    </row>
    <row r="59" spans="1:25" ht="15">
      <c r="D59"/>
      <c r="E59"/>
      <c r="G59"/>
      <c r="M59" s="2" t="s">
        <v>26</v>
      </c>
      <c r="N59" s="30">
        <f>P53</f>
        <v>2.2371177451326449</v>
      </c>
      <c r="O59" s="30">
        <f>Q53</f>
        <v>0.21585792877131385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0.60555415042335448</v>
      </c>
      <c r="C65" s="30">
        <f>N40</f>
        <v>0.3247646180627749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1.4015978435955507</v>
      </c>
      <c r="C66" s="30">
        <f>N50</f>
        <v>0.69322093858587708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1.7069972628993042</v>
      </c>
      <c r="C67" s="30">
        <f>N43</f>
        <v>0.23500921735471883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3.8265303367877785</v>
      </c>
      <c r="C68" s="30">
        <f>N53</f>
        <v>0.68053462543599874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topLeftCell="A28" zoomScale="80" zoomScaleNormal="80" workbookViewId="0">
      <selection activeCell="B72" sqref="B72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42269</v>
      </c>
    </row>
    <row r="2" spans="1:20">
      <c r="A2" s="1" t="s">
        <v>1</v>
      </c>
      <c r="B2" s="2">
        <v>85</v>
      </c>
      <c r="C2" s="3"/>
      <c r="E2" s="4" t="s">
        <v>40</v>
      </c>
    </row>
    <row r="3" spans="1:20" ht="15">
      <c r="A3" s="1" t="s">
        <v>2</v>
      </c>
      <c r="B3" s="2" t="s">
        <v>43</v>
      </c>
      <c r="D3" s="10" t="s">
        <v>41</v>
      </c>
      <c r="E3" s="63">
        <v>109800</v>
      </c>
      <c r="F3" s="63">
        <v>116440</v>
      </c>
    </row>
    <row r="4" spans="1:20" ht="15">
      <c r="D4" s="10" t="s">
        <v>42</v>
      </c>
      <c r="E4" s="67">
        <v>343872</v>
      </c>
      <c r="F4" s="67">
        <v>345016</v>
      </c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5">
        <v>0</v>
      </c>
      <c r="B8" s="10">
        <v>0</v>
      </c>
      <c r="C8" s="66">
        <v>5.8999999999999997E-2</v>
      </c>
      <c r="D8" s="66">
        <v>6.3E-2</v>
      </c>
      <c r="E8" s="11">
        <f t="shared" ref="E8:E13" si="0">AVERAGE(C8:D8)</f>
        <v>6.0999999999999999E-2</v>
      </c>
      <c r="F8" s="12"/>
      <c r="G8" s="10"/>
      <c r="H8" s="10"/>
      <c r="N8"/>
      <c r="O8"/>
      <c r="P8"/>
    </row>
    <row r="9" spans="1:20" ht="15">
      <c r="A9" s="5">
        <v>3.18</v>
      </c>
      <c r="B9" s="12">
        <f>A9/23</f>
        <v>0.13826086956521741</v>
      </c>
      <c r="C9" s="66">
        <v>9.0999999999999998E-2</v>
      </c>
      <c r="D9" s="66">
        <v>9.8000000000000004E-2</v>
      </c>
      <c r="E9" s="11">
        <f t="shared" si="0"/>
        <v>9.4500000000000001E-2</v>
      </c>
      <c r="F9" s="12">
        <f>(E9-$E$8)</f>
        <v>3.3500000000000002E-2</v>
      </c>
      <c r="G9" s="12">
        <f>LOG(B9)</f>
        <v>-0.85930071603316016</v>
      </c>
      <c r="H9" s="12">
        <f>LOG(F9)</f>
        <v>-1.4749551929631548</v>
      </c>
      <c r="N9"/>
      <c r="O9"/>
      <c r="P9"/>
    </row>
    <row r="10" spans="1:20" ht="15">
      <c r="A10" s="5">
        <v>10.5</v>
      </c>
      <c r="B10" s="12">
        <f t="shared" ref="B10:B13" si="1">A10/23</f>
        <v>0.45652173913043476</v>
      </c>
      <c r="C10" s="66">
        <v>0.17199999999999999</v>
      </c>
      <c r="D10" s="66">
        <v>0.191</v>
      </c>
      <c r="E10" s="11">
        <f t="shared" si="0"/>
        <v>0.18149999999999999</v>
      </c>
      <c r="F10" s="12">
        <f>(E10-$E$8)</f>
        <v>0.1205</v>
      </c>
      <c r="G10" s="12">
        <f>LOG(B10)</f>
        <v>-0.34053853694765485</v>
      </c>
      <c r="H10" s="12">
        <f>LOG(F10)</f>
        <v>-0.91901295308911279</v>
      </c>
      <c r="N10"/>
      <c r="O10"/>
      <c r="P10"/>
    </row>
    <row r="11" spans="1:20" ht="15">
      <c r="A11" s="5">
        <v>31.1</v>
      </c>
      <c r="B11" s="12">
        <f t="shared" si="1"/>
        <v>1.3521739130434782</v>
      </c>
      <c r="C11" s="66">
        <v>0.436</v>
      </c>
      <c r="D11" s="66">
        <v>0.42599999999999999</v>
      </c>
      <c r="E11" s="11">
        <f t="shared" si="0"/>
        <v>0.43099999999999999</v>
      </c>
      <c r="F11" s="12">
        <f>(E11-$E$8)</f>
        <v>0.37</v>
      </c>
      <c r="G11" s="12">
        <f>LOG(B11)</f>
        <v>0.13103255300924463</v>
      </c>
      <c r="H11" s="12">
        <f>LOG(F11)</f>
        <v>-0.43179827593300502</v>
      </c>
      <c r="N11"/>
      <c r="O11"/>
      <c r="P11"/>
      <c r="Q11"/>
      <c r="R11"/>
      <c r="S11"/>
      <c r="T11"/>
    </row>
    <row r="12" spans="1:20" ht="15">
      <c r="A12" s="5">
        <v>103</v>
      </c>
      <c r="B12" s="12">
        <f t="shared" si="1"/>
        <v>4.4782608695652177</v>
      </c>
      <c r="C12" s="66">
        <v>1.276</v>
      </c>
      <c r="D12" s="66">
        <v>1.1479999999999999</v>
      </c>
      <c r="E12" s="11">
        <f t="shared" si="0"/>
        <v>1.212</v>
      </c>
      <c r="F12" s="12">
        <f>(E12-$E$8)</f>
        <v>1.151</v>
      </c>
      <c r="G12" s="12">
        <f>LOG(B12)</f>
        <v>0.65110938868757939</v>
      </c>
      <c r="H12" s="12">
        <f>LOG(F12)</f>
        <v>6.107532362979181E-2</v>
      </c>
      <c r="N12"/>
      <c r="O12"/>
      <c r="P12"/>
      <c r="Q12"/>
      <c r="R12"/>
      <c r="S12"/>
      <c r="T12"/>
    </row>
    <row r="13" spans="1:20" ht="15">
      <c r="A13" s="5">
        <v>214</v>
      </c>
      <c r="B13" s="12">
        <f t="shared" si="1"/>
        <v>9.304347826086957</v>
      </c>
      <c r="C13" s="66">
        <v>2.222</v>
      </c>
      <c r="D13" s="66">
        <v>1.9750000000000001</v>
      </c>
      <c r="E13" s="11">
        <f t="shared" si="0"/>
        <v>2.0985</v>
      </c>
      <c r="F13" s="12">
        <f>(E13-$E$8)</f>
        <v>2.0375000000000001</v>
      </c>
      <c r="G13" s="12">
        <f>LOG(B13)</f>
        <v>0.96868593733159802</v>
      </c>
      <c r="H13" s="12">
        <f>LOG(F13)</f>
        <v>0.30909761741201425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0.98181587606256926</v>
      </c>
      <c r="N15"/>
    </row>
    <row r="16" spans="1:20" ht="15">
      <c r="A16" s="5" t="s">
        <v>11</v>
      </c>
      <c r="B16" s="11">
        <f>INTERCEPT(H9:H13,G9:G13)</f>
        <v>-0.59931257230538193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71">
        <v>0.26100000000000001</v>
      </c>
      <c r="C22" s="71">
        <v>0.27900000000000003</v>
      </c>
      <c r="D22" s="27">
        <f t="shared" ref="D22:D27" si="2">AVERAGE(B22:C22)</f>
        <v>0.27</v>
      </c>
      <c r="E22" s="27">
        <f t="shared" ref="E22:E27" si="3">D22-E$8</f>
        <v>0.20900000000000002</v>
      </c>
      <c r="F22" s="27">
        <f>LOG(E22)</f>
        <v>-0.679853713888946</v>
      </c>
      <c r="G22" s="28">
        <f>(F22-$B$16)/$B$15</f>
        <v>-8.203283685589062E-2</v>
      </c>
      <c r="H22" s="28">
        <f>10^G22</f>
        <v>0.82787956565761822</v>
      </c>
      <c r="I22" s="29">
        <v>500</v>
      </c>
      <c r="J22" s="30">
        <f>(H22*I22)</f>
        <v>413.93978282880909</v>
      </c>
      <c r="K22" s="31">
        <f>(0.05*J22/1000)*1000</f>
        <v>20.696989141440454</v>
      </c>
      <c r="L22" s="32">
        <f>K22+K40+K50</f>
        <v>21.514684231812751</v>
      </c>
      <c r="M22" s="33">
        <f>(L22*1000000/50000)/1000</f>
        <v>0.43029368463625506</v>
      </c>
      <c r="N22" s="34"/>
    </row>
    <row r="23" spans="1:17" ht="15">
      <c r="B23" s="71">
        <v>0.49399999999999999</v>
      </c>
      <c r="C23" s="71">
        <v>0.61099999999999999</v>
      </c>
      <c r="D23" s="27">
        <f t="shared" si="2"/>
        <v>0.55249999999999999</v>
      </c>
      <c r="E23" s="27">
        <f t="shared" si="3"/>
        <v>0.49149999999999999</v>
      </c>
      <c r="F23" s="27">
        <f t="shared" ref="F23:F27" si="4">LOG(E23)</f>
        <v>-0.30847647783184556</v>
      </c>
      <c r="G23" s="28">
        <f t="shared" ref="G23:G27" si="5">(F23-$B$16)/$B$15</f>
        <v>0.29622264374038493</v>
      </c>
      <c r="H23" s="28">
        <f t="shared" ref="H23:H27" si="6">10^G23</f>
        <v>1.9779834056057273</v>
      </c>
      <c r="I23" s="29">
        <v>500</v>
      </c>
      <c r="J23" s="30">
        <f t="shared" ref="J23:J27" si="7">(H23*I23)</f>
        <v>988.99170280286364</v>
      </c>
      <c r="K23" s="31">
        <f t="shared" ref="K23:K27" si="8">(0.05*J23/1000)*1000</f>
        <v>49.449585140143185</v>
      </c>
      <c r="L23" s="32">
        <f>K23+K41+K51</f>
        <v>50.416810486726632</v>
      </c>
      <c r="M23" s="33">
        <f t="shared" ref="M23:M27" si="9">(L23*1000000/50000)/1000</f>
        <v>1.0083362097345328</v>
      </c>
      <c r="N23" s="34"/>
    </row>
    <row r="24" spans="1:17" ht="15">
      <c r="B24" s="71">
        <v>0.495</v>
      </c>
      <c r="C24" s="71">
        <v>0.63500000000000001</v>
      </c>
      <c r="D24" s="27">
        <f t="shared" si="2"/>
        <v>0.56499999999999995</v>
      </c>
      <c r="E24" s="27">
        <f t="shared" si="3"/>
        <v>0.504</v>
      </c>
      <c r="F24" s="27">
        <f t="shared" si="4"/>
        <v>-0.29756946355447472</v>
      </c>
      <c r="G24" s="28">
        <f t="shared" si="5"/>
        <v>0.30733166585266919</v>
      </c>
      <c r="H24" s="28">
        <f t="shared" si="6"/>
        <v>2.0292318296456648</v>
      </c>
      <c r="I24" s="29">
        <v>500</v>
      </c>
      <c r="J24" s="30">
        <f t="shared" si="7"/>
        <v>1014.6159148228325</v>
      </c>
      <c r="K24" s="31">
        <f t="shared" si="8"/>
        <v>50.730795741141627</v>
      </c>
      <c r="L24" s="32">
        <f t="shared" ref="L24:L27" si="10">K24+K42+K52</f>
        <v>51.469699133216892</v>
      </c>
      <c r="M24" s="33">
        <f t="shared" si="9"/>
        <v>1.0293939826643379</v>
      </c>
      <c r="N24" s="34"/>
    </row>
    <row r="25" spans="1:17" ht="15">
      <c r="A25" s="1" t="s">
        <v>26</v>
      </c>
      <c r="B25" s="72">
        <v>0.48</v>
      </c>
      <c r="C25" s="72">
        <v>0.64100000000000001</v>
      </c>
      <c r="D25" s="27">
        <f t="shared" si="2"/>
        <v>0.5605</v>
      </c>
      <c r="E25" s="27">
        <f t="shared" si="3"/>
        <v>0.4995</v>
      </c>
      <c r="F25" s="27">
        <f t="shared" si="4"/>
        <v>-0.30146450743799891</v>
      </c>
      <c r="G25" s="28">
        <f t="shared" si="5"/>
        <v>0.30336448221010609</v>
      </c>
      <c r="H25" s="28">
        <f t="shared" si="6"/>
        <v>2.0107796541138239</v>
      </c>
      <c r="I25" s="29">
        <v>500</v>
      </c>
      <c r="J25" s="30">
        <f t="shared" si="7"/>
        <v>1005.3898270569119</v>
      </c>
      <c r="K25" s="31">
        <f t="shared" si="8"/>
        <v>50.269491352845598</v>
      </c>
      <c r="L25" s="32">
        <f t="shared" si="10"/>
        <v>55.215257108384385</v>
      </c>
      <c r="M25" s="33">
        <f t="shared" si="9"/>
        <v>1.1043051421676877</v>
      </c>
      <c r="N25" s="34"/>
    </row>
    <row r="26" spans="1:17" ht="15">
      <c r="B26" s="72">
        <v>0.255</v>
      </c>
      <c r="C26" s="72">
        <v>0.29299999999999998</v>
      </c>
      <c r="D26" s="27">
        <f t="shared" si="2"/>
        <v>0.27400000000000002</v>
      </c>
      <c r="E26" s="27">
        <f t="shared" si="3"/>
        <v>0.21300000000000002</v>
      </c>
      <c r="F26" s="27">
        <f t="shared" si="4"/>
        <v>-0.67162039656126227</v>
      </c>
      <c r="G26" s="28">
        <f t="shared" si="5"/>
        <v>-7.3647030995119392E-2</v>
      </c>
      <c r="H26" s="28">
        <f t="shared" si="6"/>
        <v>0.84402044924820219</v>
      </c>
      <c r="I26" s="29">
        <v>500</v>
      </c>
      <c r="J26" s="30">
        <f t="shared" si="7"/>
        <v>422.01022462410111</v>
      </c>
      <c r="K26" s="31">
        <f t="shared" si="8"/>
        <v>21.100511231205058</v>
      </c>
      <c r="L26" s="32">
        <f t="shared" si="10"/>
        <v>24.782437999373009</v>
      </c>
      <c r="M26" s="33">
        <f t="shared" si="9"/>
        <v>0.49564875998746016</v>
      </c>
      <c r="N26" s="34"/>
    </row>
    <row r="27" spans="1:17" ht="15">
      <c r="B27" s="72">
        <v>0.50700000000000001</v>
      </c>
      <c r="C27" s="72">
        <v>0.62</v>
      </c>
      <c r="D27" s="27">
        <f t="shared" si="2"/>
        <v>0.5635</v>
      </c>
      <c r="E27" s="27">
        <f t="shared" si="3"/>
        <v>0.50249999999999995</v>
      </c>
      <c r="F27" s="27">
        <f t="shared" si="4"/>
        <v>-0.29886393390747357</v>
      </c>
      <c r="G27" s="28">
        <f t="shared" si="5"/>
        <v>0.30601322073015791</v>
      </c>
      <c r="H27" s="28">
        <f t="shared" si="6"/>
        <v>2.0230807640745407</v>
      </c>
      <c r="I27" s="29">
        <v>500</v>
      </c>
      <c r="J27" s="30">
        <f t="shared" si="7"/>
        <v>1011.5403820372703</v>
      </c>
      <c r="K27" s="31">
        <f t="shared" si="8"/>
        <v>50.57701910186352</v>
      </c>
      <c r="L27" s="32">
        <f t="shared" si="10"/>
        <v>53.831736943165488</v>
      </c>
      <c r="M27" s="33">
        <f t="shared" si="9"/>
        <v>1.07663473886331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71">
        <v>0.26100000000000001</v>
      </c>
      <c r="C31" s="71">
        <v>0.27900000000000003</v>
      </c>
      <c r="D31" s="27">
        <f t="shared" ref="D31:D36" si="11">AVERAGE(B31:C31)</f>
        <v>0.27</v>
      </c>
      <c r="E31" s="27">
        <f t="shared" ref="E31:E36" si="12">D31-E$8</f>
        <v>0.20900000000000002</v>
      </c>
      <c r="F31" s="27">
        <f>LOG(E31)</f>
        <v>-0.679853713888946</v>
      </c>
      <c r="G31" s="28">
        <f>(F31-$B$16)/$B$15</f>
        <v>-8.203283685589062E-2</v>
      </c>
      <c r="H31" s="28">
        <f>10^G31</f>
        <v>0.82787956565761822</v>
      </c>
      <c r="I31" s="29">
        <v>500</v>
      </c>
      <c r="J31" s="30">
        <f>(H31*I31)</f>
        <v>413.93978282880909</v>
      </c>
      <c r="K31" s="31">
        <f>(0.05*J31/1000)*1000</f>
        <v>20.696989141440454</v>
      </c>
      <c r="L31" s="32">
        <f>K31+K50</f>
        <v>21.309445338865181</v>
      </c>
      <c r="M31" s="33">
        <f>(L31*1000000/50000)/1000</f>
        <v>0.42618890677730364</v>
      </c>
      <c r="N31" s="35"/>
      <c r="Q31"/>
    </row>
    <row r="32" spans="1:17" ht="15">
      <c r="B32" s="71">
        <v>0.49399999999999999</v>
      </c>
      <c r="C32" s="71">
        <v>0.61099999999999999</v>
      </c>
      <c r="D32" s="27">
        <f t="shared" si="11"/>
        <v>0.55249999999999999</v>
      </c>
      <c r="E32" s="27">
        <f t="shared" si="12"/>
        <v>0.49149999999999999</v>
      </c>
      <c r="F32" s="27">
        <f t="shared" ref="F32:F36" si="13">LOG(E32)</f>
        <v>-0.30847647783184556</v>
      </c>
      <c r="G32" s="28">
        <f t="shared" ref="G32:G36" si="14">(F32-$B$16)/$B$15</f>
        <v>0.29622264374038493</v>
      </c>
      <c r="H32" s="28">
        <f t="shared" ref="H32:H36" si="15">10^G32</f>
        <v>1.9779834056057273</v>
      </c>
      <c r="I32" s="29">
        <v>500</v>
      </c>
      <c r="J32" s="30">
        <f t="shared" ref="J32:J36" si="16">(H32*I32)</f>
        <v>988.99170280286364</v>
      </c>
      <c r="K32" s="31">
        <f t="shared" ref="K32:K36" si="17">(0.05*J32/1000)*1000</f>
        <v>49.449585140143185</v>
      </c>
      <c r="L32" s="32">
        <f>K32+K51</f>
        <v>50.195961059071131</v>
      </c>
      <c r="M32" s="33">
        <f t="shared" ref="M32:M36" si="18">(L32*1000000/50000)/1000</f>
        <v>1.0039192211814225</v>
      </c>
      <c r="N32" s="36"/>
      <c r="Q32"/>
    </row>
    <row r="33" spans="1:21" ht="15">
      <c r="B33" s="71">
        <v>0.495</v>
      </c>
      <c r="C33" s="71">
        <v>0.63500000000000001</v>
      </c>
      <c r="D33" s="27">
        <f t="shared" si="11"/>
        <v>0.56499999999999995</v>
      </c>
      <c r="E33" s="27">
        <f t="shared" si="12"/>
        <v>0.504</v>
      </c>
      <c r="F33" s="27">
        <f t="shared" si="13"/>
        <v>-0.29756946355447472</v>
      </c>
      <c r="G33" s="28">
        <f t="shared" si="14"/>
        <v>0.30733166585266919</v>
      </c>
      <c r="H33" s="28">
        <f t="shared" si="15"/>
        <v>2.0292318296456648</v>
      </c>
      <c r="I33" s="29">
        <v>500</v>
      </c>
      <c r="J33" s="30">
        <f t="shared" si="16"/>
        <v>1014.6159148228325</v>
      </c>
      <c r="K33" s="31">
        <f t="shared" si="17"/>
        <v>50.730795741141627</v>
      </c>
      <c r="L33" s="32">
        <f t="shared" ref="L33:L36" si="19">K33+K52</f>
        <v>51.298725022422161</v>
      </c>
      <c r="M33" s="33">
        <f t="shared" si="18"/>
        <v>1.0259745004484433</v>
      </c>
      <c r="N33" s="36"/>
      <c r="Q33"/>
      <c r="R33"/>
      <c r="S33"/>
    </row>
    <row r="34" spans="1:21" ht="15">
      <c r="A34" s="1" t="s">
        <v>26</v>
      </c>
      <c r="B34" s="72">
        <v>0.48</v>
      </c>
      <c r="C34" s="72">
        <v>0.64100000000000001</v>
      </c>
      <c r="D34" s="27">
        <f t="shared" si="11"/>
        <v>0.5605</v>
      </c>
      <c r="E34" s="27">
        <f t="shared" si="12"/>
        <v>0.4995</v>
      </c>
      <c r="F34" s="27">
        <f t="shared" si="13"/>
        <v>-0.30146450743799891</v>
      </c>
      <c r="G34" s="28">
        <f t="shared" si="14"/>
        <v>0.30336448221010609</v>
      </c>
      <c r="H34" s="28">
        <f t="shared" si="15"/>
        <v>2.0107796541138239</v>
      </c>
      <c r="I34" s="29">
        <v>500</v>
      </c>
      <c r="J34" s="30">
        <f t="shared" si="16"/>
        <v>1005.3898270569119</v>
      </c>
      <c r="K34" s="31">
        <f t="shared" si="17"/>
        <v>50.269491352845598</v>
      </c>
      <c r="L34" s="32">
        <f t="shared" si="19"/>
        <v>54.321704098278538</v>
      </c>
      <c r="M34" s="33">
        <f t="shared" si="18"/>
        <v>1.0864340819655709</v>
      </c>
      <c r="N34" s="36"/>
      <c r="Q34"/>
      <c r="R34"/>
      <c r="S34"/>
    </row>
    <row r="35" spans="1:21" ht="15">
      <c r="B35" s="72">
        <v>0.255</v>
      </c>
      <c r="C35" s="72">
        <v>0.29299999999999998</v>
      </c>
      <c r="D35" s="27">
        <f t="shared" si="11"/>
        <v>0.27400000000000002</v>
      </c>
      <c r="E35" s="27">
        <f t="shared" si="12"/>
        <v>0.21300000000000002</v>
      </c>
      <c r="F35" s="27">
        <f t="shared" si="13"/>
        <v>-0.67162039656126227</v>
      </c>
      <c r="G35" s="28">
        <f t="shared" si="14"/>
        <v>-7.3647030995119392E-2</v>
      </c>
      <c r="H35" s="28">
        <f t="shared" si="15"/>
        <v>0.84402044924820219</v>
      </c>
      <c r="I35" s="29">
        <v>500</v>
      </c>
      <c r="J35" s="30">
        <f t="shared" si="16"/>
        <v>422.01022462410111</v>
      </c>
      <c r="K35" s="31">
        <f t="shared" si="17"/>
        <v>21.100511231205058</v>
      </c>
      <c r="L35" s="32">
        <f t="shared" si="19"/>
        <v>24.042449812875752</v>
      </c>
      <c r="M35" s="33">
        <f t="shared" si="18"/>
        <v>0.48084899625751504</v>
      </c>
      <c r="N35" s="36"/>
      <c r="Q35"/>
      <c r="R35"/>
      <c r="S35"/>
    </row>
    <row r="36" spans="1:21" ht="15">
      <c r="B36" s="72">
        <v>0.50700000000000001</v>
      </c>
      <c r="C36" s="72">
        <v>0.62</v>
      </c>
      <c r="D36" s="27">
        <f t="shared" si="11"/>
        <v>0.5635</v>
      </c>
      <c r="E36" s="27">
        <f t="shared" si="12"/>
        <v>0.50249999999999995</v>
      </c>
      <c r="F36" s="27">
        <f t="shared" si="13"/>
        <v>-0.29886393390747357</v>
      </c>
      <c r="G36" s="28">
        <f t="shared" si="14"/>
        <v>0.30601322073015791</v>
      </c>
      <c r="H36" s="28">
        <f t="shared" si="15"/>
        <v>2.0230807640745407</v>
      </c>
      <c r="I36" s="29">
        <v>500</v>
      </c>
      <c r="J36" s="30">
        <f t="shared" si="16"/>
        <v>1011.5403820372703</v>
      </c>
      <c r="K36" s="31">
        <f t="shared" si="17"/>
        <v>50.57701910186352</v>
      </c>
      <c r="L36" s="32">
        <f t="shared" si="19"/>
        <v>52.992631087176747</v>
      </c>
      <c r="M36" s="33">
        <f t="shared" si="18"/>
        <v>1.0598526217435349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1">
        <v>9.6000000000000002E-2</v>
      </c>
      <c r="C40" s="71">
        <v>9.2999999999999999E-2</v>
      </c>
      <c r="D40" s="27">
        <f t="shared" ref="D40:D45" si="20">AVERAGE(B40,C40)</f>
        <v>9.4500000000000001E-2</v>
      </c>
      <c r="E40" s="27">
        <f t="shared" ref="E40:E45" si="21">D40-E$8</f>
        <v>3.3500000000000002E-2</v>
      </c>
      <c r="F40" s="27">
        <f t="shared" ref="F40:F45" si="22">LOG(E40)</f>
        <v>-1.4749551929631548</v>
      </c>
      <c r="G40" s="28">
        <f t="shared" ref="G40:G45" si="23">(F40-$B$16)/$B$15</f>
        <v>-0.89186031923766718</v>
      </c>
      <c r="H40" s="27">
        <f t="shared" ref="H40:H45" si="24">10^G40</f>
        <v>0.12827430809223009</v>
      </c>
      <c r="I40" s="41">
        <v>16</v>
      </c>
      <c r="J40" s="42">
        <f t="shared" ref="J40:J45" si="25">H40*I40</f>
        <v>2.0523889294756814</v>
      </c>
      <c r="K40" s="30">
        <f>(0.1*J40/1000)*1000</f>
        <v>0.20523889294756814</v>
      </c>
      <c r="L40" s="43">
        <f>K40*100/L22</f>
        <v>0.95394796751927713</v>
      </c>
      <c r="M40" s="30">
        <f>AVERAGE(L40:L42)</f>
        <v>0.5747263933411022</v>
      </c>
      <c r="N40" s="44">
        <f>STDEV(L40:L42)</f>
        <v>0.33265373222919953</v>
      </c>
      <c r="R40"/>
      <c r="S40"/>
      <c r="T40"/>
      <c r="U40"/>
    </row>
    <row r="41" spans="1:21" ht="15">
      <c r="B41" s="71">
        <v>0.10299999999999999</v>
      </c>
      <c r="C41" s="71">
        <v>9.0999999999999998E-2</v>
      </c>
      <c r="D41" s="27">
        <f t="shared" si="20"/>
        <v>9.7000000000000003E-2</v>
      </c>
      <c r="E41" s="27">
        <f t="shared" si="21"/>
        <v>3.6000000000000004E-2</v>
      </c>
      <c r="F41" s="27">
        <f t="shared" si="22"/>
        <v>-1.4436974992327127</v>
      </c>
      <c r="G41" s="28">
        <f t="shared" si="23"/>
        <v>-0.86002370456018151</v>
      </c>
      <c r="H41" s="27">
        <f t="shared" si="24"/>
        <v>0.13803089228468696</v>
      </c>
      <c r="I41" s="41">
        <v>16</v>
      </c>
      <c r="J41" s="42">
        <f t="shared" si="25"/>
        <v>2.2084942765549913</v>
      </c>
      <c r="K41" s="30">
        <f t="shared" ref="K41:K45" si="26">(0.1*J41/1000)*1000</f>
        <v>0.22084942765549914</v>
      </c>
      <c r="L41" s="43">
        <f t="shared" ref="L41:L45" si="27">K41*100/L23</f>
        <v>0.4380472019618194</v>
      </c>
      <c r="M41" s="30"/>
      <c r="N41" s="44"/>
      <c r="R41"/>
      <c r="S41"/>
      <c r="T41"/>
      <c r="U41"/>
    </row>
    <row r="42" spans="1:21" s="17" customFormat="1" ht="15">
      <c r="A42" s="1"/>
      <c r="B42" s="71">
        <v>8.6999999999999994E-2</v>
      </c>
      <c r="C42" s="71">
        <v>9.0999999999999998E-2</v>
      </c>
      <c r="D42" s="27">
        <f t="shared" si="20"/>
        <v>8.8999999999999996E-2</v>
      </c>
      <c r="E42" s="27">
        <f t="shared" si="21"/>
        <v>2.7999999999999997E-2</v>
      </c>
      <c r="F42" s="27">
        <f t="shared" si="22"/>
        <v>-1.5528419686577808</v>
      </c>
      <c r="G42" s="28">
        <f t="shared" si="23"/>
        <v>-0.97118962893163918</v>
      </c>
      <c r="H42" s="27">
        <f t="shared" si="24"/>
        <v>0.10685881924670561</v>
      </c>
      <c r="I42" s="41">
        <v>16</v>
      </c>
      <c r="J42" s="42">
        <f t="shared" si="25"/>
        <v>1.7097411079472897</v>
      </c>
      <c r="K42" s="30">
        <f t="shared" si="26"/>
        <v>0.17097411079472899</v>
      </c>
      <c r="L42" s="43">
        <f t="shared" si="27"/>
        <v>0.33218401054221003</v>
      </c>
      <c r="M42" s="30"/>
      <c r="N42" s="44"/>
      <c r="R42"/>
      <c r="S42"/>
      <c r="T42"/>
      <c r="U42"/>
    </row>
    <row r="43" spans="1:21" ht="15">
      <c r="A43" s="1" t="s">
        <v>34</v>
      </c>
      <c r="B43" s="72">
        <v>0.20799999999999999</v>
      </c>
      <c r="C43" s="72">
        <v>0.19800000000000001</v>
      </c>
      <c r="D43" s="27">
        <f t="shared" si="20"/>
        <v>0.20300000000000001</v>
      </c>
      <c r="E43" s="27">
        <f t="shared" si="21"/>
        <v>0.14200000000000002</v>
      </c>
      <c r="F43" s="27">
        <f t="shared" si="22"/>
        <v>-0.8477116556169435</v>
      </c>
      <c r="G43" s="28">
        <f t="shared" si="23"/>
        <v>-0.25299966049411443</v>
      </c>
      <c r="H43" s="27">
        <f t="shared" si="24"/>
        <v>0.5584706313161566</v>
      </c>
      <c r="I43" s="41">
        <v>16</v>
      </c>
      <c r="J43" s="42">
        <f t="shared" si="25"/>
        <v>8.9355301010585055</v>
      </c>
      <c r="K43" s="30">
        <f t="shared" si="26"/>
        <v>0.89355301010585064</v>
      </c>
      <c r="L43" s="43">
        <f t="shared" si="27"/>
        <v>1.6183081577467933</v>
      </c>
      <c r="M43" s="30">
        <f>AVERAGE(L43:L45)</f>
        <v>2.0543342533788409</v>
      </c>
      <c r="N43" s="44">
        <f>STDEV(L43:L45)</f>
        <v>0.80734161388326964</v>
      </c>
      <c r="R43"/>
      <c r="S43"/>
      <c r="T43"/>
      <c r="U43"/>
    </row>
    <row r="44" spans="1:21" ht="15">
      <c r="A44" s="45"/>
      <c r="B44" s="72">
        <v>0.182</v>
      </c>
      <c r="C44" s="72">
        <v>0.17599999999999999</v>
      </c>
      <c r="D44" s="27">
        <f t="shared" si="20"/>
        <v>0.17899999999999999</v>
      </c>
      <c r="E44" s="27">
        <f t="shared" si="21"/>
        <v>0.11799999999999999</v>
      </c>
      <c r="F44" s="27">
        <f t="shared" si="22"/>
        <v>-0.92811799269387463</v>
      </c>
      <c r="G44" s="28">
        <f t="shared" si="23"/>
        <v>-0.33489519614117397</v>
      </c>
      <c r="H44" s="27">
        <f t="shared" si="24"/>
        <v>0.46249261656078466</v>
      </c>
      <c r="I44" s="41">
        <v>16</v>
      </c>
      <c r="J44" s="42">
        <f t="shared" si="25"/>
        <v>7.3998818649725546</v>
      </c>
      <c r="K44" s="30">
        <f t="shared" si="26"/>
        <v>0.73998818649725551</v>
      </c>
      <c r="L44" s="43">
        <f t="shared" si="27"/>
        <v>2.9859378101378771</v>
      </c>
      <c r="M44" s="30"/>
      <c r="N44" s="44"/>
      <c r="R44"/>
      <c r="S44"/>
      <c r="T44"/>
      <c r="U44"/>
    </row>
    <row r="45" spans="1:21" ht="15">
      <c r="A45" s="46"/>
      <c r="B45" s="72">
        <v>0.191</v>
      </c>
      <c r="C45" s="72">
        <v>0.19800000000000001</v>
      </c>
      <c r="D45" s="27">
        <f t="shared" si="20"/>
        <v>0.19450000000000001</v>
      </c>
      <c r="E45" s="27">
        <f t="shared" si="21"/>
        <v>0.13350000000000001</v>
      </c>
      <c r="F45" s="27">
        <f t="shared" si="22"/>
        <v>-0.87451873429940596</v>
      </c>
      <c r="G45" s="28">
        <f t="shared" si="23"/>
        <v>-0.28030323068078566</v>
      </c>
      <c r="H45" s="27">
        <f t="shared" si="24"/>
        <v>0.52444115999296326</v>
      </c>
      <c r="I45" s="41">
        <v>16</v>
      </c>
      <c r="J45" s="42">
        <f t="shared" si="25"/>
        <v>8.3910585598874121</v>
      </c>
      <c r="K45" s="30">
        <f t="shared" si="26"/>
        <v>0.83910585598874121</v>
      </c>
      <c r="L45" s="43">
        <f t="shared" si="27"/>
        <v>1.5587567922518515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1">
        <v>0.158</v>
      </c>
      <c r="C50" s="71">
        <v>0.16</v>
      </c>
      <c r="D50" s="27">
        <f t="shared" ref="D50:D52" si="28">AVERAGE(B50,C50)</f>
        <v>0.159</v>
      </c>
      <c r="E50" s="27">
        <f t="shared" ref="E50:E55" si="29">D50-E$8</f>
        <v>9.8000000000000004E-2</v>
      </c>
      <c r="F50" s="27">
        <f t="shared" ref="F50:F55" si="30">LOG(E50)</f>
        <v>-1.0087739243075051</v>
      </c>
      <c r="G50" s="28">
        <f t="shared" ref="G50:G55" si="31">(F50-$B$16)/$B$15</f>
        <v>-0.4170449490430006</v>
      </c>
      <c r="H50" s="27">
        <f t="shared" ref="H50:H55" si="32">10^G50</f>
        <v>0.38278512339045523</v>
      </c>
      <c r="I50" s="41">
        <v>16</v>
      </c>
      <c r="J50" s="42">
        <f t="shared" ref="J50:J55" si="33">H50*I50</f>
        <v>6.1245619742472837</v>
      </c>
      <c r="K50" s="30">
        <f>(0.1*J50/1000)*1000</f>
        <v>0.61245619742472845</v>
      </c>
      <c r="L50" s="43">
        <f t="shared" ref="L50:L55" si="34">K50*100/L31</f>
        <v>2.8741067056668137</v>
      </c>
      <c r="M50" s="30">
        <f>AVERAGE(L50:L52)</f>
        <v>1.8227110320291871</v>
      </c>
      <c r="N50" s="44">
        <f>STDEV(L50:L52)</f>
        <v>0.93012948384285488</v>
      </c>
      <c r="O50" s="48">
        <f>L50/L40</f>
        <v>3.012854792427381</v>
      </c>
      <c r="P50" s="30">
        <f>AVERAGE(O50:O52)</f>
        <v>3.2466970027423092</v>
      </c>
      <c r="Q50" s="44">
        <f>STDEV(O50:O52)</f>
        <v>0.20484512743163785</v>
      </c>
      <c r="S50"/>
      <c r="T50"/>
    </row>
    <row r="51" spans="1:25" ht="15">
      <c r="B51" s="71">
        <v>0.188</v>
      </c>
      <c r="C51" s="71">
        <v>0.17199999999999999</v>
      </c>
      <c r="D51" s="27">
        <f t="shared" si="28"/>
        <v>0.18</v>
      </c>
      <c r="E51" s="27">
        <f t="shared" si="29"/>
        <v>0.11899999999999999</v>
      </c>
      <c r="F51" s="27">
        <f t="shared" si="30"/>
        <v>-0.9244530386074693</v>
      </c>
      <c r="G51" s="28">
        <f t="shared" si="31"/>
        <v>-0.33116236376826197</v>
      </c>
      <c r="H51" s="27">
        <f t="shared" si="32"/>
        <v>0.46648494932996587</v>
      </c>
      <c r="I51" s="41">
        <v>16</v>
      </c>
      <c r="J51" s="42">
        <f t="shared" si="33"/>
        <v>7.4637591892794539</v>
      </c>
      <c r="K51" s="30">
        <f t="shared" ref="K51:K55" si="35">(0.1*J51/1000)*1000</f>
        <v>0.74637591892794541</v>
      </c>
      <c r="L51" s="43">
        <f t="shared" si="34"/>
        <v>1.4869242528290323</v>
      </c>
      <c r="M51" s="30"/>
      <c r="N51" s="44"/>
      <c r="O51" s="2">
        <f t="shared" ref="O51:O55" si="36">L51/L41</f>
        <v>3.3944384216352876</v>
      </c>
      <c r="P51" s="30"/>
      <c r="Q51" s="44"/>
      <c r="S51"/>
      <c r="T51"/>
    </row>
    <row r="52" spans="1:25" ht="15">
      <c r="B52" s="71">
        <v>0.14399999999999999</v>
      </c>
      <c r="C52" s="71">
        <v>0.16</v>
      </c>
      <c r="D52" s="27">
        <f t="shared" si="28"/>
        <v>0.152</v>
      </c>
      <c r="E52" s="27">
        <f t="shared" si="29"/>
        <v>9.0999999999999998E-2</v>
      </c>
      <c r="F52" s="27">
        <f t="shared" si="30"/>
        <v>-1.0409586076789064</v>
      </c>
      <c r="G52" s="28">
        <f t="shared" si="31"/>
        <v>-0.44982572205359123</v>
      </c>
      <c r="H52" s="27">
        <f t="shared" si="32"/>
        <v>0.35495580080033229</v>
      </c>
      <c r="I52" s="41">
        <v>16</v>
      </c>
      <c r="J52" s="42">
        <f t="shared" si="33"/>
        <v>5.6792928128053166</v>
      </c>
      <c r="K52" s="30">
        <f t="shared" si="35"/>
        <v>0.56792928128053166</v>
      </c>
      <c r="L52" s="43">
        <f t="shared" si="34"/>
        <v>1.1071021375917147</v>
      </c>
      <c r="M52" s="30"/>
      <c r="N52" s="44"/>
      <c r="O52" s="2">
        <f t="shared" si="36"/>
        <v>3.3327977941642595</v>
      </c>
      <c r="P52" s="30"/>
      <c r="Q52" s="44"/>
      <c r="S52"/>
      <c r="T52"/>
    </row>
    <row r="53" spans="1:25" ht="15">
      <c r="A53" s="1" t="s">
        <v>26</v>
      </c>
      <c r="B53" s="72">
        <v>0.65700000000000003</v>
      </c>
      <c r="C53" s="72">
        <v>0.71799999999999997</v>
      </c>
      <c r="D53" s="27">
        <f>AVERAGE(B53:C53)</f>
        <v>0.6875</v>
      </c>
      <c r="E53" s="27">
        <f t="shared" si="29"/>
        <v>0.62650000000000006</v>
      </c>
      <c r="F53" s="27">
        <f t="shared" si="30"/>
        <v>-0.20307892466983116</v>
      </c>
      <c r="G53" s="28">
        <f t="shared" si="31"/>
        <v>0.4035722555481468</v>
      </c>
      <c r="H53" s="27">
        <f t="shared" si="32"/>
        <v>2.532632965895588</v>
      </c>
      <c r="I53" s="41">
        <v>16</v>
      </c>
      <c r="J53" s="42">
        <f t="shared" si="33"/>
        <v>40.522127454329407</v>
      </c>
      <c r="K53" s="30">
        <f t="shared" si="35"/>
        <v>4.0522127454329411</v>
      </c>
      <c r="L53" s="43">
        <f t="shared" si="34"/>
        <v>7.4596568953391067</v>
      </c>
      <c r="M53" s="30">
        <f>AVERAGE(L53:L55)</f>
        <v>8.0848278216842626</v>
      </c>
      <c r="N53" s="44">
        <f>STDEV(L53:L55)</f>
        <v>3.8770106484656188</v>
      </c>
      <c r="O53" s="2">
        <f t="shared" si="36"/>
        <v>4.6095404386549932</v>
      </c>
      <c r="P53" s="30">
        <f>AVERAGE(O53:O55)</f>
        <v>3.8773125853604165</v>
      </c>
      <c r="Q53" s="44">
        <f>STDEV(O53:O55)</f>
        <v>0.86398963115743344</v>
      </c>
      <c r="S53"/>
      <c r="T53"/>
    </row>
    <row r="54" spans="1:25" ht="15">
      <c r="A54" s="45"/>
      <c r="B54" s="72">
        <v>0.49199999999999999</v>
      </c>
      <c r="C54" s="72">
        <v>0.54500000000000004</v>
      </c>
      <c r="D54" s="27">
        <f>AVERAGE(B54:C54)</f>
        <v>0.51849999999999996</v>
      </c>
      <c r="E54" s="27">
        <f t="shared" si="29"/>
        <v>0.45749999999999996</v>
      </c>
      <c r="F54" s="27">
        <f t="shared" si="30"/>
        <v>-0.33960890159753293</v>
      </c>
      <c r="G54" s="28">
        <f t="shared" si="31"/>
        <v>0.2645136191414556</v>
      </c>
      <c r="H54" s="27">
        <f t="shared" si="32"/>
        <v>1.8387116135441848</v>
      </c>
      <c r="I54" s="41">
        <v>16</v>
      </c>
      <c r="J54" s="42">
        <f t="shared" si="33"/>
        <v>29.419385816706956</v>
      </c>
      <c r="K54" s="30">
        <f t="shared" si="35"/>
        <v>2.941938581670696</v>
      </c>
      <c r="L54" s="43">
        <f t="shared" si="34"/>
        <v>12.236434325819673</v>
      </c>
      <c r="M54" s="30"/>
      <c r="N54" s="44"/>
      <c r="O54" s="2">
        <f t="shared" si="36"/>
        <v>4.098020489333182</v>
      </c>
      <c r="P54" s="30"/>
      <c r="Q54" s="44"/>
      <c r="S54"/>
      <c r="T54"/>
    </row>
    <row r="55" spans="1:25" ht="15">
      <c r="A55" s="46"/>
      <c r="B55" s="72">
        <v>0.40400000000000003</v>
      </c>
      <c r="C55" s="72">
        <v>0.47199999999999998</v>
      </c>
      <c r="D55" s="27">
        <f>AVERAGE(B55:C55)</f>
        <v>0.438</v>
      </c>
      <c r="E55" s="27">
        <f t="shared" si="29"/>
        <v>0.377</v>
      </c>
      <c r="F55" s="27">
        <f t="shared" si="30"/>
        <v>-0.42365864979420714</v>
      </c>
      <c r="G55" s="28">
        <f t="shared" si="31"/>
        <v>0.17890719308350306</v>
      </c>
      <c r="H55" s="27">
        <f t="shared" si="32"/>
        <v>1.5097574908207672</v>
      </c>
      <c r="I55" s="41">
        <v>16</v>
      </c>
      <c r="J55" s="42">
        <f t="shared" si="33"/>
        <v>24.156119853132274</v>
      </c>
      <c r="K55" s="30">
        <f t="shared" si="35"/>
        <v>2.4156119853132276</v>
      </c>
      <c r="L55" s="43">
        <f t="shared" si="34"/>
        <v>4.5583922438940041</v>
      </c>
      <c r="M55" s="30"/>
      <c r="N55" s="44"/>
      <c r="O55" s="2">
        <f t="shared" si="36"/>
        <v>2.9243768280930738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3.2466970027423092</v>
      </c>
      <c r="O58" s="30">
        <f>Q50</f>
        <v>0.20484512743163785</v>
      </c>
    </row>
    <row r="59" spans="1:25" ht="15">
      <c r="D59"/>
      <c r="E59"/>
      <c r="G59"/>
      <c r="M59" s="2" t="s">
        <v>26</v>
      </c>
      <c r="N59" s="30">
        <f>P53</f>
        <v>3.8773125853604165</v>
      </c>
      <c r="O59" s="30">
        <f>Q53</f>
        <v>0.86398963115743344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0.5747263933411022</v>
      </c>
      <c r="C65" s="30">
        <f>N40</f>
        <v>0.33265373222919953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1.8227110320291871</v>
      </c>
      <c r="C66" s="30">
        <f>N50</f>
        <v>0.93012948384285488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2.0543342533788409</v>
      </c>
      <c r="C67" s="30">
        <f>N43</f>
        <v>0.80734161388326964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8.0848278216842626</v>
      </c>
      <c r="C68" s="30">
        <f>N53</f>
        <v>3.8770106484656188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siMPHOSPH9</vt:lpstr>
      <vt:lpstr>siKCNK16</vt:lpstr>
      <vt:lpstr>siKCNK16!Zone_d_impression</vt:lpstr>
      <vt:lpstr>siMPHOSPH9!Zone_d_impression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2016-03-02T15:30:38Z</dcterms:modified>
</cp:coreProperties>
</file>