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95" windowHeight="11505" activeTab="2"/>
  </bookViews>
  <sheets>
    <sheet name="siNTP" sheetId="3" r:id="rId1"/>
    <sheet name="siGPSM1" sheetId="10" r:id="rId2"/>
    <sheet name="siDUSP9" sheetId="11" r:id="rId3"/>
  </sheets>
  <externalReferences>
    <externalReference r:id="rId4"/>
  </externalReferences>
  <definedNames>
    <definedName name="_xlnm.Print_Area" localSheetId="2">siDUSP9!$A$1:$Q$83</definedName>
    <definedName name="_xlnm.Print_Area" localSheetId="1">siGPSM1!$A$1:$Q$83</definedName>
    <definedName name="_xlnm.Print_Area" localSheetId="0">siNTP!$A$1:$Q$83</definedName>
  </definedNames>
  <calcPr calcId="125725"/>
</workbook>
</file>

<file path=xl/calcChain.xml><?xml version="1.0" encoding="utf-8"?>
<calcChain xmlns="http://schemas.openxmlformats.org/spreadsheetml/2006/main">
  <c r="D55" i="11"/>
  <c r="D54"/>
  <c r="D53"/>
  <c r="D52"/>
  <c r="D51"/>
  <c r="D50"/>
  <c r="D45"/>
  <c r="D44"/>
  <c r="D43"/>
  <c r="D42"/>
  <c r="D41"/>
  <c r="D40"/>
  <c r="D36"/>
  <c r="D35"/>
  <c r="D34"/>
  <c r="D33"/>
  <c r="D32"/>
  <c r="D31"/>
  <c r="D27"/>
  <c r="D26"/>
  <c r="D25"/>
  <c r="D24"/>
  <c r="D23"/>
  <c r="D22"/>
  <c r="E13"/>
  <c r="B13"/>
  <c r="G13" s="1"/>
  <c r="E12"/>
  <c r="B12"/>
  <c r="G12" s="1"/>
  <c r="E11"/>
  <c r="B11"/>
  <c r="G11" s="1"/>
  <c r="E10"/>
  <c r="B10"/>
  <c r="G10" s="1"/>
  <c r="E9"/>
  <c r="B9"/>
  <c r="G9" s="1"/>
  <c r="E8"/>
  <c r="D55" i="10"/>
  <c r="D54"/>
  <c r="D53"/>
  <c r="D52"/>
  <c r="D51"/>
  <c r="D50"/>
  <c r="D45"/>
  <c r="D44"/>
  <c r="D43"/>
  <c r="D42"/>
  <c r="D41"/>
  <c r="D40"/>
  <c r="D36"/>
  <c r="D35"/>
  <c r="D34"/>
  <c r="D33"/>
  <c r="D32"/>
  <c r="D31"/>
  <c r="D27"/>
  <c r="D26"/>
  <c r="D25"/>
  <c r="D24"/>
  <c r="D23"/>
  <c r="D22"/>
  <c r="E13"/>
  <c r="B13"/>
  <c r="G13" s="1"/>
  <c r="E12"/>
  <c r="B12"/>
  <c r="G12" s="1"/>
  <c r="E11"/>
  <c r="B11"/>
  <c r="G11" s="1"/>
  <c r="E10"/>
  <c r="B10"/>
  <c r="G10" s="1"/>
  <c r="E9"/>
  <c r="B9"/>
  <c r="G9" s="1"/>
  <c r="E8"/>
  <c r="F9" l="1"/>
  <c r="H9" s="1"/>
  <c r="F10"/>
  <c r="H10" s="1"/>
  <c r="F11"/>
  <c r="H11" s="1"/>
  <c r="F12"/>
  <c r="H12" s="1"/>
  <c r="F13"/>
  <c r="H13" s="1"/>
  <c r="E22"/>
  <c r="F22" s="1"/>
  <c r="E23"/>
  <c r="F23" s="1"/>
  <c r="E24"/>
  <c r="F24" s="1"/>
  <c r="E25"/>
  <c r="F25" s="1"/>
  <c r="E26"/>
  <c r="F26" s="1"/>
  <c r="E27"/>
  <c r="F27" s="1"/>
  <c r="E31"/>
  <c r="F31" s="1"/>
  <c r="E32"/>
  <c r="F32" s="1"/>
  <c r="E33"/>
  <c r="F33" s="1"/>
  <c r="E34"/>
  <c r="F34" s="1"/>
  <c r="E35"/>
  <c r="F35" s="1"/>
  <c r="E36"/>
  <c r="F36" s="1"/>
  <c r="E40"/>
  <c r="F40" s="1"/>
  <c r="E41"/>
  <c r="F41" s="1"/>
  <c r="E42"/>
  <c r="F42" s="1"/>
  <c r="E43"/>
  <c r="F43" s="1"/>
  <c r="E44"/>
  <c r="F44" s="1"/>
  <c r="E45"/>
  <c r="F45" s="1"/>
  <c r="E50"/>
  <c r="F50" s="1"/>
  <c r="E51"/>
  <c r="F51" s="1"/>
  <c r="E52"/>
  <c r="F52" s="1"/>
  <c r="E53"/>
  <c r="F53" s="1"/>
  <c r="E54"/>
  <c r="F54" s="1"/>
  <c r="E55"/>
  <c r="F55" s="1"/>
  <c r="F9" i="11"/>
  <c r="H9" s="1"/>
  <c r="F10"/>
  <c r="H10" s="1"/>
  <c r="F11"/>
  <c r="H11" s="1"/>
  <c r="F12"/>
  <c r="H12" s="1"/>
  <c r="F13"/>
  <c r="H13" s="1"/>
  <c r="E22"/>
  <c r="F22" s="1"/>
  <c r="E23"/>
  <c r="F23" s="1"/>
  <c r="E24"/>
  <c r="F24" s="1"/>
  <c r="E25"/>
  <c r="F25" s="1"/>
  <c r="E26"/>
  <c r="F26" s="1"/>
  <c r="E27"/>
  <c r="F27" s="1"/>
  <c r="E31"/>
  <c r="F31" s="1"/>
  <c r="E32"/>
  <c r="F32" s="1"/>
  <c r="E33"/>
  <c r="F33" s="1"/>
  <c r="E34"/>
  <c r="F34" s="1"/>
  <c r="E35"/>
  <c r="F35" s="1"/>
  <c r="E36"/>
  <c r="F36" s="1"/>
  <c r="E40"/>
  <c r="F40" s="1"/>
  <c r="E41"/>
  <c r="F41" s="1"/>
  <c r="E42"/>
  <c r="F42" s="1"/>
  <c r="E43"/>
  <c r="F43" s="1"/>
  <c r="E44"/>
  <c r="F44" s="1"/>
  <c r="E45"/>
  <c r="F45" s="1"/>
  <c r="E50"/>
  <c r="F50" s="1"/>
  <c r="E51"/>
  <c r="F51" s="1"/>
  <c r="E52"/>
  <c r="F52" s="1"/>
  <c r="E53"/>
  <c r="F53" s="1"/>
  <c r="E54"/>
  <c r="F54" s="1"/>
  <c r="E55"/>
  <c r="F55" s="1"/>
  <c r="B16"/>
  <c r="B15"/>
  <c r="G22"/>
  <c r="H22" s="1"/>
  <c r="J22" s="1"/>
  <c r="K22" s="1"/>
  <c r="G23"/>
  <c r="H23" s="1"/>
  <c r="J23" s="1"/>
  <c r="K23" s="1"/>
  <c r="G24"/>
  <c r="H24" s="1"/>
  <c r="J24" s="1"/>
  <c r="K24" s="1"/>
  <c r="G25"/>
  <c r="H25" s="1"/>
  <c r="J25" s="1"/>
  <c r="K25" s="1"/>
  <c r="G26"/>
  <c r="H26" s="1"/>
  <c r="J26" s="1"/>
  <c r="K26" s="1"/>
  <c r="G27"/>
  <c r="H27" s="1"/>
  <c r="J27" s="1"/>
  <c r="K27" s="1"/>
  <c r="G31"/>
  <c r="H31" s="1"/>
  <c r="J31" s="1"/>
  <c r="K31" s="1"/>
  <c r="G32"/>
  <c r="H32" s="1"/>
  <c r="J32" s="1"/>
  <c r="K32" s="1"/>
  <c r="G33"/>
  <c r="H33" s="1"/>
  <c r="J33" s="1"/>
  <c r="K33" s="1"/>
  <c r="G34"/>
  <c r="H34" s="1"/>
  <c r="J34" s="1"/>
  <c r="K34" s="1"/>
  <c r="G35"/>
  <c r="H35" s="1"/>
  <c r="J35" s="1"/>
  <c r="K35" s="1"/>
  <c r="G36"/>
  <c r="H36" s="1"/>
  <c r="J36" s="1"/>
  <c r="K36" s="1"/>
  <c r="G40"/>
  <c r="H40" s="1"/>
  <c r="J40" s="1"/>
  <c r="K40" s="1"/>
  <c r="G41"/>
  <c r="H41" s="1"/>
  <c r="J41" s="1"/>
  <c r="K41" s="1"/>
  <c r="G42"/>
  <c r="H42" s="1"/>
  <c r="J42" s="1"/>
  <c r="K42" s="1"/>
  <c r="G43"/>
  <c r="H43" s="1"/>
  <c r="J43" s="1"/>
  <c r="K43" s="1"/>
  <c r="G44"/>
  <c r="H44" s="1"/>
  <c r="J44" s="1"/>
  <c r="K44" s="1"/>
  <c r="G45"/>
  <c r="H45" s="1"/>
  <c r="J45" s="1"/>
  <c r="K45" s="1"/>
  <c r="G50"/>
  <c r="H50" s="1"/>
  <c r="J50" s="1"/>
  <c r="K50" s="1"/>
  <c r="G51"/>
  <c r="H51" s="1"/>
  <c r="J51" s="1"/>
  <c r="K51" s="1"/>
  <c r="G52"/>
  <c r="H52" s="1"/>
  <c r="J52" s="1"/>
  <c r="K52" s="1"/>
  <c r="G53"/>
  <c r="H53" s="1"/>
  <c r="J53" s="1"/>
  <c r="K53" s="1"/>
  <c r="G54"/>
  <c r="H54" s="1"/>
  <c r="J54" s="1"/>
  <c r="K54" s="1"/>
  <c r="G55"/>
  <c r="H55" s="1"/>
  <c r="J55" s="1"/>
  <c r="K55" s="1"/>
  <c r="B16" i="10"/>
  <c r="B15"/>
  <c r="G22"/>
  <c r="H22" s="1"/>
  <c r="J22" s="1"/>
  <c r="K22" s="1"/>
  <c r="G23"/>
  <c r="H23" s="1"/>
  <c r="J23" s="1"/>
  <c r="K23" s="1"/>
  <c r="G24"/>
  <c r="H24" s="1"/>
  <c r="J24" s="1"/>
  <c r="K24" s="1"/>
  <c r="G25"/>
  <c r="H25" s="1"/>
  <c r="J25" s="1"/>
  <c r="K25" s="1"/>
  <c r="G26"/>
  <c r="H26" s="1"/>
  <c r="J26" s="1"/>
  <c r="K26" s="1"/>
  <c r="G27"/>
  <c r="H27" s="1"/>
  <c r="J27" s="1"/>
  <c r="K27" s="1"/>
  <c r="G31"/>
  <c r="H31" s="1"/>
  <c r="J31" s="1"/>
  <c r="K31" s="1"/>
  <c r="G32"/>
  <c r="H32" s="1"/>
  <c r="J32" s="1"/>
  <c r="K32" s="1"/>
  <c r="G33"/>
  <c r="H33" s="1"/>
  <c r="J33" s="1"/>
  <c r="K33" s="1"/>
  <c r="G34"/>
  <c r="H34" s="1"/>
  <c r="J34" s="1"/>
  <c r="K34" s="1"/>
  <c r="G35"/>
  <c r="H35" s="1"/>
  <c r="J35" s="1"/>
  <c r="K35" s="1"/>
  <c r="G36"/>
  <c r="H36" s="1"/>
  <c r="J36" s="1"/>
  <c r="K36" s="1"/>
  <c r="G40"/>
  <c r="H40" s="1"/>
  <c r="J40" s="1"/>
  <c r="K40" s="1"/>
  <c r="G41"/>
  <c r="H41" s="1"/>
  <c r="J41" s="1"/>
  <c r="K41" s="1"/>
  <c r="G42"/>
  <c r="H42" s="1"/>
  <c r="J42" s="1"/>
  <c r="K42" s="1"/>
  <c r="G43"/>
  <c r="H43" s="1"/>
  <c r="J43" s="1"/>
  <c r="K43" s="1"/>
  <c r="G44"/>
  <c r="H44" s="1"/>
  <c r="J44" s="1"/>
  <c r="K44" s="1"/>
  <c r="G45"/>
  <c r="H45" s="1"/>
  <c r="J45" s="1"/>
  <c r="K45" s="1"/>
  <c r="G50"/>
  <c r="H50" s="1"/>
  <c r="J50" s="1"/>
  <c r="K50" s="1"/>
  <c r="G51"/>
  <c r="H51" s="1"/>
  <c r="J51" s="1"/>
  <c r="K51" s="1"/>
  <c r="G52"/>
  <c r="H52" s="1"/>
  <c r="J52" s="1"/>
  <c r="K52" s="1"/>
  <c r="G53"/>
  <c r="H53" s="1"/>
  <c r="J53" s="1"/>
  <c r="K53" s="1"/>
  <c r="G54"/>
  <c r="H54" s="1"/>
  <c r="J54" s="1"/>
  <c r="K54" s="1"/>
  <c r="G55"/>
  <c r="H55" s="1"/>
  <c r="J55" s="1"/>
  <c r="K55" s="1"/>
  <c r="L36" i="11" l="1"/>
  <c r="M36" s="1"/>
  <c r="L35"/>
  <c r="M35" s="1"/>
  <c r="L34"/>
  <c r="M34" s="1"/>
  <c r="L33"/>
  <c r="M33" s="1"/>
  <c r="L32"/>
  <c r="M32" s="1"/>
  <c r="L31"/>
  <c r="M31" s="1"/>
  <c r="L27"/>
  <c r="M27" s="1"/>
  <c r="L26"/>
  <c r="M26" s="1"/>
  <c r="L25"/>
  <c r="M25" s="1"/>
  <c r="L24"/>
  <c r="M24" s="1"/>
  <c r="L23"/>
  <c r="M23" s="1"/>
  <c r="L22"/>
  <c r="M22" s="1"/>
  <c r="L36" i="10"/>
  <c r="M36" s="1"/>
  <c r="L35"/>
  <c r="M35" s="1"/>
  <c r="L34"/>
  <c r="M34" s="1"/>
  <c r="L33"/>
  <c r="M33" s="1"/>
  <c r="L32"/>
  <c r="M32" s="1"/>
  <c r="L31"/>
  <c r="M31" s="1"/>
  <c r="L27"/>
  <c r="M27" s="1"/>
  <c r="L26"/>
  <c r="M26" s="1"/>
  <c r="L25"/>
  <c r="M25" s="1"/>
  <c r="L24"/>
  <c r="M24" s="1"/>
  <c r="L23"/>
  <c r="M23" s="1"/>
  <c r="L22"/>
  <c r="M22" s="1"/>
  <c r="L40" i="11" l="1"/>
  <c r="L41"/>
  <c r="L42"/>
  <c r="L43"/>
  <c r="L44"/>
  <c r="L45"/>
  <c r="L50"/>
  <c r="L51"/>
  <c r="O51" s="1"/>
  <c r="L52"/>
  <c r="O52" s="1"/>
  <c r="L53"/>
  <c r="L54"/>
  <c r="O54" s="1"/>
  <c r="L55"/>
  <c r="O55" s="1"/>
  <c r="L40" i="10"/>
  <c r="L41"/>
  <c r="L42"/>
  <c r="L43"/>
  <c r="L44"/>
  <c r="L45"/>
  <c r="L50"/>
  <c r="L51"/>
  <c r="O51" s="1"/>
  <c r="L52"/>
  <c r="O52" s="1"/>
  <c r="L53"/>
  <c r="L54"/>
  <c r="O54" s="1"/>
  <c r="L55"/>
  <c r="O55" s="1"/>
  <c r="O53" i="11" l="1"/>
  <c r="N53"/>
  <c r="C68" s="1"/>
  <c r="M53"/>
  <c r="B68" s="1"/>
  <c r="O50"/>
  <c r="N50"/>
  <c r="C66" s="1"/>
  <c r="M50"/>
  <c r="B66" s="1"/>
  <c r="N43"/>
  <c r="C67" s="1"/>
  <c r="M43"/>
  <c r="B67" s="1"/>
  <c r="N40"/>
  <c r="C65" s="1"/>
  <c r="M40"/>
  <c r="B65" s="1"/>
  <c r="O53" i="10"/>
  <c r="N53"/>
  <c r="C68" s="1"/>
  <c r="M53"/>
  <c r="B68" s="1"/>
  <c r="O50"/>
  <c r="N50"/>
  <c r="C66" s="1"/>
  <c r="M50"/>
  <c r="B66" s="1"/>
  <c r="N43"/>
  <c r="C67" s="1"/>
  <c r="M43"/>
  <c r="B67" s="1"/>
  <c r="N40"/>
  <c r="C65" s="1"/>
  <c r="M40"/>
  <c r="B65" s="1"/>
  <c r="Q50" i="11" l="1"/>
  <c r="O58" s="1"/>
  <c r="P50"/>
  <c r="N58" s="1"/>
  <c r="Q53"/>
  <c r="O59" s="1"/>
  <c r="P53"/>
  <c r="N59" s="1"/>
  <c r="Q50" i="10"/>
  <c r="O58" s="1"/>
  <c r="P50"/>
  <c r="N58" s="1"/>
  <c r="Q53"/>
  <c r="O59" s="1"/>
  <c r="P53"/>
  <c r="N59" s="1"/>
  <c r="D55" i="3" l="1"/>
  <c r="D54"/>
  <c r="D53"/>
  <c r="D52"/>
  <c r="D51"/>
  <c r="D50"/>
  <c r="D45"/>
  <c r="D44"/>
  <c r="D43"/>
  <c r="D42"/>
  <c r="D41"/>
  <c r="D40"/>
  <c r="D36"/>
  <c r="D35"/>
  <c r="D34"/>
  <c r="D33"/>
  <c r="D32"/>
  <c r="D31"/>
  <c r="D27"/>
  <c r="D26"/>
  <c r="D25"/>
  <c r="D24"/>
  <c r="D23"/>
  <c r="D22"/>
  <c r="E13"/>
  <c r="B13"/>
  <c r="G13" s="1"/>
  <c r="E12"/>
  <c r="B12"/>
  <c r="G12" s="1"/>
  <c r="E11"/>
  <c r="B11"/>
  <c r="G11" s="1"/>
  <c r="E10"/>
  <c r="B10"/>
  <c r="G10" s="1"/>
  <c r="E9"/>
  <c r="B9"/>
  <c r="G9" s="1"/>
  <c r="E8"/>
  <c r="E22" s="1"/>
  <c r="F9" l="1"/>
  <c r="H9" s="1"/>
  <c r="F10"/>
  <c r="H10" s="1"/>
  <c r="F11"/>
  <c r="H11" s="1"/>
  <c r="F12"/>
  <c r="H12" s="1"/>
  <c r="F13"/>
  <c r="H13" s="1"/>
  <c r="F22"/>
  <c r="E23"/>
  <c r="F23" s="1"/>
  <c r="E24"/>
  <c r="F24" s="1"/>
  <c r="E25"/>
  <c r="F25" s="1"/>
  <c r="E26"/>
  <c r="F26" s="1"/>
  <c r="E27"/>
  <c r="F27" s="1"/>
  <c r="E31"/>
  <c r="F31" s="1"/>
  <c r="E32"/>
  <c r="F32" s="1"/>
  <c r="E33"/>
  <c r="F33" s="1"/>
  <c r="E34"/>
  <c r="F34" s="1"/>
  <c r="E35"/>
  <c r="F35" s="1"/>
  <c r="E36"/>
  <c r="F36" s="1"/>
  <c r="E40"/>
  <c r="F40" s="1"/>
  <c r="E41"/>
  <c r="F41" s="1"/>
  <c r="E42"/>
  <c r="F42" s="1"/>
  <c r="E43"/>
  <c r="F43" s="1"/>
  <c r="E44"/>
  <c r="F44" s="1"/>
  <c r="E45"/>
  <c r="F45" s="1"/>
  <c r="E50"/>
  <c r="F50" s="1"/>
  <c r="E51"/>
  <c r="F51" s="1"/>
  <c r="E52"/>
  <c r="F52" s="1"/>
  <c r="E53"/>
  <c r="F53" s="1"/>
  <c r="E54"/>
  <c r="F54" s="1"/>
  <c r="E55"/>
  <c r="F55" s="1"/>
  <c r="B16"/>
  <c r="B15"/>
  <c r="G22"/>
  <c r="H22" s="1"/>
  <c r="J22" s="1"/>
  <c r="K22" s="1"/>
  <c r="G23"/>
  <c r="H23" s="1"/>
  <c r="J23" s="1"/>
  <c r="K23" s="1"/>
  <c r="G24"/>
  <c r="H24" s="1"/>
  <c r="J24" s="1"/>
  <c r="K24" s="1"/>
  <c r="G25"/>
  <c r="H25" s="1"/>
  <c r="J25" s="1"/>
  <c r="K25" s="1"/>
  <c r="G26"/>
  <c r="H26" s="1"/>
  <c r="J26" s="1"/>
  <c r="K26" s="1"/>
  <c r="G27"/>
  <c r="H27" s="1"/>
  <c r="J27" s="1"/>
  <c r="K27" s="1"/>
  <c r="G31"/>
  <c r="H31" s="1"/>
  <c r="J31" s="1"/>
  <c r="K31" s="1"/>
  <c r="G32"/>
  <c r="H32" s="1"/>
  <c r="J32" s="1"/>
  <c r="K32" s="1"/>
  <c r="G33"/>
  <c r="H33" s="1"/>
  <c r="J33" s="1"/>
  <c r="K33" s="1"/>
  <c r="G34"/>
  <c r="H34" s="1"/>
  <c r="J34" s="1"/>
  <c r="K34" s="1"/>
  <c r="G35"/>
  <c r="H35" s="1"/>
  <c r="J35" s="1"/>
  <c r="K35" s="1"/>
  <c r="G36"/>
  <c r="H36" s="1"/>
  <c r="J36" s="1"/>
  <c r="K36" s="1"/>
  <c r="G40"/>
  <c r="H40" s="1"/>
  <c r="J40" s="1"/>
  <c r="K40" s="1"/>
  <c r="G41"/>
  <c r="H41" s="1"/>
  <c r="J41" s="1"/>
  <c r="K41" s="1"/>
  <c r="G42"/>
  <c r="H42" s="1"/>
  <c r="J42" s="1"/>
  <c r="K42" s="1"/>
  <c r="G43"/>
  <c r="H43" s="1"/>
  <c r="J43" s="1"/>
  <c r="K43" s="1"/>
  <c r="G44"/>
  <c r="H44" s="1"/>
  <c r="J44" s="1"/>
  <c r="K44" s="1"/>
  <c r="G45"/>
  <c r="H45" s="1"/>
  <c r="J45" s="1"/>
  <c r="K45" s="1"/>
  <c r="G50"/>
  <c r="H50" s="1"/>
  <c r="J50" s="1"/>
  <c r="K50" s="1"/>
  <c r="G51"/>
  <c r="H51" s="1"/>
  <c r="J51" s="1"/>
  <c r="K51" s="1"/>
  <c r="G52"/>
  <c r="H52" s="1"/>
  <c r="J52" s="1"/>
  <c r="K52" s="1"/>
  <c r="G53"/>
  <c r="H53" s="1"/>
  <c r="J53" s="1"/>
  <c r="K53" s="1"/>
  <c r="G54"/>
  <c r="H54" s="1"/>
  <c r="J54" s="1"/>
  <c r="K54" s="1"/>
  <c r="G55"/>
  <c r="H55" s="1"/>
  <c r="J55" s="1"/>
  <c r="K55" s="1"/>
  <c r="L36" l="1"/>
  <c r="M36" s="1"/>
  <c r="L35"/>
  <c r="M35" s="1"/>
  <c r="L34"/>
  <c r="M34" s="1"/>
  <c r="L33"/>
  <c r="M33" s="1"/>
  <c r="L32"/>
  <c r="M32" s="1"/>
  <c r="L31"/>
  <c r="M31" s="1"/>
  <c r="L27"/>
  <c r="M27" s="1"/>
  <c r="L26"/>
  <c r="M26" s="1"/>
  <c r="L25"/>
  <c r="M25" s="1"/>
  <c r="L24"/>
  <c r="M24" s="1"/>
  <c r="L23"/>
  <c r="M23" s="1"/>
  <c r="L22"/>
  <c r="M22" s="1"/>
  <c r="L40" l="1"/>
  <c r="L41"/>
  <c r="L42"/>
  <c r="L43"/>
  <c r="L44"/>
  <c r="L45"/>
  <c r="L50"/>
  <c r="L51"/>
  <c r="O51" s="1"/>
  <c r="L52"/>
  <c r="O52" s="1"/>
  <c r="L53"/>
  <c r="L54"/>
  <c r="O54" s="1"/>
  <c r="L55"/>
  <c r="O55" s="1"/>
  <c r="O53" l="1"/>
  <c r="N53"/>
  <c r="C68" s="1"/>
  <c r="M53"/>
  <c r="B68" s="1"/>
  <c r="O50"/>
  <c r="N50"/>
  <c r="C66" s="1"/>
  <c r="M50"/>
  <c r="B66" s="1"/>
  <c r="N43"/>
  <c r="C67" s="1"/>
  <c r="M43"/>
  <c r="B67" s="1"/>
  <c r="N40"/>
  <c r="C65" s="1"/>
  <c r="M40"/>
  <c r="B65" s="1"/>
  <c r="Q50" l="1"/>
  <c r="O58" s="1"/>
  <c r="P50"/>
  <c r="N58" s="1"/>
  <c r="Q53"/>
  <c r="O59" s="1"/>
  <c r="P53"/>
  <c r="N59" s="1"/>
</calcChain>
</file>

<file path=xl/sharedStrings.xml><?xml version="1.0" encoding="utf-8"?>
<sst xmlns="http://schemas.openxmlformats.org/spreadsheetml/2006/main" count="291" uniqueCount="41">
  <si>
    <t>Date</t>
  </si>
  <si>
    <t>passage</t>
  </si>
  <si>
    <t>operateur</t>
  </si>
  <si>
    <t>mU/L</t>
    <phoneticPr fontId="0" type="noConversion"/>
  </si>
  <si>
    <t>Calibrator µg/L</t>
  </si>
  <si>
    <t xml:space="preserve">  Dulicate O.D</t>
  </si>
  <si>
    <t>Means</t>
  </si>
  <si>
    <t>Means-blank</t>
  </si>
  <si>
    <t>log (Conc)</t>
    <phoneticPr fontId="0" type="noConversion"/>
  </si>
  <si>
    <t>log (Abs)</t>
    <phoneticPr fontId="0" type="noConversion"/>
  </si>
  <si>
    <t>Slope</t>
  </si>
  <si>
    <t>Intercept</t>
  </si>
  <si>
    <t>Insulin content samples dil 500X (LYSAT)</t>
  </si>
  <si>
    <t>ng insulin/TOTAL CELLS</t>
  </si>
  <si>
    <t>Samples</t>
  </si>
  <si>
    <t>O.D</t>
  </si>
  <si>
    <t>mean</t>
    <phoneticPr fontId="0" type="noConversion"/>
  </si>
  <si>
    <t>mean-BK</t>
    <phoneticPr fontId="0" type="noConversion"/>
  </si>
  <si>
    <t>log conc</t>
    <phoneticPr fontId="0" type="noConversion"/>
  </si>
  <si>
    <t>µg/L</t>
  </si>
  <si>
    <t>dilutions to measure</t>
    <phoneticPr fontId="0" type="noConversion"/>
  </si>
  <si>
    <t>Final conc  µg/L</t>
  </si>
  <si>
    <t>Total ng (in 50 ul)</t>
  </si>
  <si>
    <t>Total content</t>
  </si>
  <si>
    <t>ug insulin/million cells</t>
  </si>
  <si>
    <t>16,7 mM Glc</t>
  </si>
  <si>
    <t>16,7 mM Glc + IBMX</t>
  </si>
  <si>
    <t>Insulin secretion samples 0,5 mM dil 16x (SN1)</t>
  </si>
  <si>
    <t xml:space="preserve"> insulin secretion (% of content) </t>
  </si>
  <si>
    <t>Total ng (in 100 ul)</t>
    <phoneticPr fontId="0" type="noConversion"/>
  </si>
  <si>
    <t xml:space="preserve"> insulin secretion (% of content) </t>
    <phoneticPr fontId="0" type="noConversion"/>
  </si>
  <si>
    <t>Mean tripl</t>
  </si>
  <si>
    <t>Ectype</t>
  </si>
  <si>
    <t>0,5 mM Glc</t>
  </si>
  <si>
    <t>0,5 mM Glc + IBMX</t>
  </si>
  <si>
    <t>Insulin secretion samples 16,7 mM Glc dil 16x (SN2)</t>
  </si>
  <si>
    <t>16,7mM/0,5mM</t>
  </si>
  <si>
    <t>Fold change</t>
  </si>
  <si>
    <t>Mean</t>
  </si>
  <si>
    <t>ectype</t>
  </si>
  <si>
    <t>Ana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</si>
</sst>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4"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0"/>
      <name val="Comic Sans MS"/>
      <family val="4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48"/>
      <name val="Arial"/>
      <family val="2"/>
    </font>
    <font>
      <b/>
      <sz val="8"/>
      <name val="Arial"/>
      <family val="2"/>
    </font>
    <font>
      <sz val="18"/>
      <color indexed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2"/>
      <name val="Arial"/>
      <family val="2"/>
    </font>
    <font>
      <b/>
      <sz val="10"/>
      <name val="Comic Sans MS"/>
      <family val="4"/>
    </font>
    <font>
      <sz val="10"/>
      <color rgb="FFFF0000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2" borderId="1" applyNumberFormat="0" applyFont="0" applyAlignment="0" applyProtection="0"/>
    <xf numFmtId="0" fontId="2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6" fillId="0" borderId="2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1" fillId="0" borderId="0" xfId="1" applyFill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8" fillId="0" borderId="0" xfId="0" applyNumberFormat="1" applyFont="1" applyAlignment="1">
      <alignment horizontal="center"/>
    </xf>
    <xf numFmtId="2" fontId="10" fillId="0" borderId="5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" fontId="3" fillId="4" borderId="0" xfId="0" applyNumberFormat="1" applyFont="1" applyFill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2" fontId="8" fillId="0" borderId="6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11" xfId="0" applyFont="1" applyBorder="1" applyAlignment="1">
      <alignment horizontal="center"/>
    </xf>
    <xf numFmtId="2" fontId="8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5" borderId="0" xfId="0" applyFill="1"/>
    <xf numFmtId="0" fontId="0" fillId="0" borderId="0" xfId="0" applyProtection="1">
      <protection locked="0"/>
    </xf>
    <xf numFmtId="164" fontId="12" fillId="6" borderId="0" xfId="0" applyNumberFormat="1" applyFont="1" applyFill="1" applyBorder="1"/>
    <xf numFmtId="0" fontId="0" fillId="9" borderId="0" xfId="0" applyFill="1"/>
    <xf numFmtId="0" fontId="13" fillId="9" borderId="0" xfId="0" applyFont="1" applyFill="1"/>
    <xf numFmtId="0" fontId="0" fillId="9" borderId="12" xfId="0" applyFill="1" applyBorder="1"/>
    <xf numFmtId="0" fontId="0" fillId="8" borderId="0" xfId="0" applyFill="1"/>
    <xf numFmtId="0" fontId="0" fillId="7" borderId="0" xfId="0" applyFill="1"/>
    <xf numFmtId="0" fontId="0" fillId="7" borderId="12" xfId="0" applyFill="1" applyBorder="1"/>
    <xf numFmtId="0" fontId="0" fillId="10" borderId="0" xfId="0" applyFill="1"/>
    <xf numFmtId="0" fontId="0" fillId="11" borderId="0" xfId="0" applyFill="1"/>
    <xf numFmtId="0" fontId="13" fillId="11" borderId="12" xfId="0" applyFont="1" applyFill="1" applyBorder="1"/>
    <xf numFmtId="0" fontId="0" fillId="11" borderId="12" xfId="0" applyFill="1" applyBorder="1"/>
  </cellXfs>
  <cellStyles count="6">
    <cellStyle name="Commentaire 2" xfId="2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siNTP!$G$9:$G$13</c:f>
              <c:numCache>
                <c:formatCode>0.00</c:formatCode>
                <c:ptCount val="5"/>
                <c:pt idx="0">
                  <c:v>-0.88460658129793046</c:v>
                </c:pt>
                <c:pt idx="1">
                  <c:v>-0.37316887913897734</c:v>
                </c:pt>
                <c:pt idx="2">
                  <c:v>0.11248842805866238</c:v>
                </c:pt>
                <c:pt idx="3">
                  <c:v>0.65530550328118742</c:v>
                </c:pt>
                <c:pt idx="4">
                  <c:v>0.95424250943932487</c:v>
                </c:pt>
              </c:numCache>
            </c:numRef>
          </c:xVal>
          <c:yVal>
            <c:numRef>
              <c:f>siNTP!$H$9:$H$13</c:f>
              <c:numCache>
                <c:formatCode>0.00</c:formatCode>
                <c:ptCount val="5"/>
                <c:pt idx="0">
                  <c:v>-1.5376020021010439</c:v>
                </c:pt>
                <c:pt idx="1">
                  <c:v>-0.98296666070121974</c:v>
                </c:pt>
                <c:pt idx="2">
                  <c:v>-0.49552913750558103</c:v>
                </c:pt>
                <c:pt idx="3">
                  <c:v>2.5100961046813336E-2</c:v>
                </c:pt>
                <c:pt idx="4">
                  <c:v>0.31993843998030869</c:v>
                </c:pt>
              </c:numCache>
            </c:numRef>
          </c:yVal>
        </c:ser>
        <c:axId val="70088576"/>
        <c:axId val="70090112"/>
      </c:scatterChart>
      <c:valAx>
        <c:axId val="70088576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70090112"/>
        <c:crosses val="autoZero"/>
        <c:crossBetween val="midCat"/>
      </c:valAx>
      <c:valAx>
        <c:axId val="70090112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0885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siNTP!$C$65:$C$68</c:f>
                <c:numCache>
                  <c:formatCode>General</c:formatCode>
                  <c:ptCount val="4"/>
                  <c:pt idx="0">
                    <c:v>0.14443042638824191</c:v>
                  </c:pt>
                  <c:pt idx="1">
                    <c:v>0.11056927334187788</c:v>
                  </c:pt>
                  <c:pt idx="2">
                    <c:v>0.48801822112861926</c:v>
                  </c:pt>
                  <c:pt idx="3">
                    <c:v>0.6998286008186072</c:v>
                  </c:pt>
                </c:numCache>
              </c:numRef>
            </c:plus>
            <c:minus>
              <c:numRef>
                <c:f>siNTP!$C$65:$C$68</c:f>
                <c:numCache>
                  <c:formatCode>General</c:formatCode>
                  <c:ptCount val="4"/>
                  <c:pt idx="0">
                    <c:v>0.14443042638824191</c:v>
                  </c:pt>
                  <c:pt idx="1">
                    <c:v>0.11056927334187788</c:v>
                  </c:pt>
                  <c:pt idx="2">
                    <c:v>0.48801822112861926</c:v>
                  </c:pt>
                  <c:pt idx="3">
                    <c:v>0.6998286008186072</c:v>
                  </c:pt>
                </c:numCache>
              </c:numRef>
            </c:minus>
          </c:errBars>
          <c:cat>
            <c:strRef>
              <c:f>(siNTP!$A$65,siNTP!$A$66,siNTP!$A$67,siNTP!$A$68)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siNTP!$B$65:$B$68</c:f>
              <c:numCache>
                <c:formatCode>0.0</c:formatCode>
                <c:ptCount val="4"/>
                <c:pt idx="0">
                  <c:v>0.17924905694032991</c:v>
                </c:pt>
                <c:pt idx="1">
                  <c:v>0.3178729064330707</c:v>
                </c:pt>
                <c:pt idx="2">
                  <c:v>1.6934813486671798</c:v>
                </c:pt>
                <c:pt idx="3">
                  <c:v>4.0745887706249349</c:v>
                </c:pt>
              </c:numCache>
            </c:numRef>
          </c:val>
        </c:ser>
        <c:axId val="70523520"/>
        <c:axId val="70525312"/>
      </c:barChart>
      <c:catAx>
        <c:axId val="7052352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525312"/>
        <c:crosses val="autoZero"/>
        <c:auto val="1"/>
        <c:lblAlgn val="ctr"/>
        <c:lblOffset val="100"/>
      </c:catAx>
      <c:valAx>
        <c:axId val="7052531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52352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19"/>
          <c:y val="2.7200801823077412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siNTP!$O$58:$O$59</c:f>
                <c:numCache>
                  <c:formatCode>General</c:formatCode>
                  <c:ptCount val="2"/>
                  <c:pt idx="0">
                    <c:v>1.6760095910318362</c:v>
                  </c:pt>
                  <c:pt idx="1">
                    <c:v>1.1442042801363721</c:v>
                  </c:pt>
                </c:numCache>
              </c:numRef>
            </c:plus>
            <c:minus>
              <c:numRef>
                <c:f>siNTP!$O$58:$O$59</c:f>
                <c:numCache>
                  <c:formatCode>General</c:formatCode>
                  <c:ptCount val="2"/>
                  <c:pt idx="0">
                    <c:v>1.6760095910318362</c:v>
                  </c:pt>
                  <c:pt idx="1">
                    <c:v>1.1442042801363721</c:v>
                  </c:pt>
                </c:numCache>
              </c:numRef>
            </c:minus>
          </c:errBars>
          <c:cat>
            <c:strRef>
              <c:f>siNTP!$M$58:$M$59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siNTP!$N$58:$N$59</c:f>
              <c:numCache>
                <c:formatCode>0.0</c:formatCode>
                <c:ptCount val="2"/>
                <c:pt idx="0">
                  <c:v>2.4284105253810977</c:v>
                </c:pt>
                <c:pt idx="1">
                  <c:v>2.6026833413930359</c:v>
                </c:pt>
              </c:numCache>
            </c:numRef>
          </c:val>
        </c:ser>
        <c:axId val="70570368"/>
        <c:axId val="70571904"/>
      </c:barChart>
      <c:catAx>
        <c:axId val="705703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571904"/>
        <c:crosses val="autoZero"/>
        <c:auto val="1"/>
        <c:lblAlgn val="ctr"/>
        <c:lblOffset val="100"/>
      </c:catAx>
      <c:valAx>
        <c:axId val="70571904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siNTP!$M$57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5703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siGPSM1!$G$9:$G$13</c:f>
              <c:numCache>
                <c:formatCode>0.00</c:formatCode>
                <c:ptCount val="5"/>
                <c:pt idx="0">
                  <c:v>-0.88460658129793046</c:v>
                </c:pt>
                <c:pt idx="1">
                  <c:v>-0.37316887913897734</c:v>
                </c:pt>
                <c:pt idx="2">
                  <c:v>0.11248842805866238</c:v>
                </c:pt>
                <c:pt idx="3">
                  <c:v>0.65530550328118742</c:v>
                </c:pt>
                <c:pt idx="4">
                  <c:v>0.95424250943932487</c:v>
                </c:pt>
              </c:numCache>
            </c:numRef>
          </c:xVal>
          <c:yVal>
            <c:numRef>
              <c:f>siGPSM1!$H$9:$H$13</c:f>
              <c:numCache>
                <c:formatCode>0.00</c:formatCode>
                <c:ptCount val="5"/>
                <c:pt idx="0">
                  <c:v>-1.5376020021010439</c:v>
                </c:pt>
                <c:pt idx="1">
                  <c:v>-0.98296666070121974</c:v>
                </c:pt>
                <c:pt idx="2">
                  <c:v>-0.49552913750558103</c:v>
                </c:pt>
                <c:pt idx="3">
                  <c:v>2.5100961046813336E-2</c:v>
                </c:pt>
                <c:pt idx="4">
                  <c:v>0.31993843998030869</c:v>
                </c:pt>
              </c:numCache>
            </c:numRef>
          </c:yVal>
        </c:ser>
        <c:axId val="71023232"/>
        <c:axId val="71029120"/>
      </c:scatterChart>
      <c:valAx>
        <c:axId val="71023232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71029120"/>
        <c:crosses val="autoZero"/>
        <c:crossBetween val="midCat"/>
      </c:valAx>
      <c:valAx>
        <c:axId val="71029120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0232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siGPSM1!$C$65:$C$68</c:f>
                <c:numCache>
                  <c:formatCode>General</c:formatCode>
                  <c:ptCount val="4"/>
                  <c:pt idx="0">
                    <c:v>0.10907018761729753</c:v>
                  </c:pt>
                  <c:pt idx="1">
                    <c:v>0.33503582426109124</c:v>
                  </c:pt>
                  <c:pt idx="2">
                    <c:v>0.32769691242478</c:v>
                  </c:pt>
                  <c:pt idx="3">
                    <c:v>0.21217746611722849</c:v>
                  </c:pt>
                </c:numCache>
              </c:numRef>
            </c:plus>
            <c:minus>
              <c:numRef>
                <c:f>siGPSM1!$C$65:$C$68</c:f>
                <c:numCache>
                  <c:formatCode>General</c:formatCode>
                  <c:ptCount val="4"/>
                  <c:pt idx="0">
                    <c:v>0.10907018761729753</c:v>
                  </c:pt>
                  <c:pt idx="1">
                    <c:v>0.33503582426109124</c:v>
                  </c:pt>
                  <c:pt idx="2">
                    <c:v>0.32769691242478</c:v>
                  </c:pt>
                  <c:pt idx="3">
                    <c:v>0.21217746611722849</c:v>
                  </c:pt>
                </c:numCache>
              </c:numRef>
            </c:minus>
          </c:errBars>
          <c:cat>
            <c:strRef>
              <c:f>(siGPSM1!$A$65,siGPSM1!$A$66,siGPSM1!$A$67,siGPSM1!$A$68)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siGPSM1!$B$65:$B$68</c:f>
              <c:numCache>
                <c:formatCode>0.0</c:formatCode>
                <c:ptCount val="4"/>
                <c:pt idx="0">
                  <c:v>0.30785943152073397</c:v>
                </c:pt>
                <c:pt idx="1">
                  <c:v>0.86558075940133394</c:v>
                </c:pt>
                <c:pt idx="2">
                  <c:v>1.5860879302717537</c:v>
                </c:pt>
                <c:pt idx="3">
                  <c:v>5.8551845259713851</c:v>
                </c:pt>
              </c:numCache>
            </c:numRef>
          </c:val>
        </c:ser>
        <c:axId val="71040384"/>
        <c:axId val="70878336"/>
      </c:barChart>
      <c:catAx>
        <c:axId val="7104038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878336"/>
        <c:crosses val="autoZero"/>
        <c:auto val="1"/>
        <c:lblAlgn val="ctr"/>
        <c:lblOffset val="100"/>
      </c:catAx>
      <c:valAx>
        <c:axId val="70878336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siGPSM1!$M$48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040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24"/>
          <c:y val="2.720080182307741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siGPSM1!$O$58:$O$59</c:f>
                <c:numCache>
                  <c:formatCode>General</c:formatCode>
                  <c:ptCount val="2"/>
                  <c:pt idx="0">
                    <c:v>1.6393902944911531</c:v>
                  </c:pt>
                  <c:pt idx="1">
                    <c:v>0.9995184179856611</c:v>
                  </c:pt>
                </c:numCache>
              </c:numRef>
            </c:plus>
            <c:minus>
              <c:numRef>
                <c:f>siGPSM1!$O$58:$O$59</c:f>
                <c:numCache>
                  <c:formatCode>General</c:formatCode>
                  <c:ptCount val="2"/>
                  <c:pt idx="0">
                    <c:v>1.6393902944911531</c:v>
                  </c:pt>
                  <c:pt idx="1">
                    <c:v>0.9995184179856611</c:v>
                  </c:pt>
                </c:numCache>
              </c:numRef>
            </c:minus>
          </c:errBars>
          <c:cat>
            <c:strRef>
              <c:f>siGPSM1!$M$58:$M$59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siGPSM1!$N$58:$N$59</c:f>
              <c:numCache>
                <c:formatCode>0.0</c:formatCode>
                <c:ptCount val="2"/>
                <c:pt idx="0">
                  <c:v>3.137939355758625</c:v>
                </c:pt>
                <c:pt idx="1">
                  <c:v>3.8292338080041746</c:v>
                </c:pt>
              </c:numCache>
            </c:numRef>
          </c:val>
        </c:ser>
        <c:axId val="70911104"/>
        <c:axId val="70912640"/>
      </c:barChart>
      <c:catAx>
        <c:axId val="70911104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912640"/>
        <c:crosses val="autoZero"/>
        <c:auto val="1"/>
        <c:lblAlgn val="ctr"/>
        <c:lblOffset val="100"/>
      </c:catAx>
      <c:valAx>
        <c:axId val="7091264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siGPSM1!$M$57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091110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  <c:spPr>
              <a:solidFill>
                <a:srgbClr val="4F81BD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2565769903762029"/>
                  <c:y val="0.4121613444152812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siDUSP9!$G$9:$G$13</c:f>
              <c:numCache>
                <c:formatCode>0.00</c:formatCode>
                <c:ptCount val="5"/>
                <c:pt idx="0">
                  <c:v>-0.88460658129793046</c:v>
                </c:pt>
                <c:pt idx="1">
                  <c:v>-0.37316887913897734</c:v>
                </c:pt>
                <c:pt idx="2">
                  <c:v>0.11248842805866238</c:v>
                </c:pt>
                <c:pt idx="3">
                  <c:v>0.65530550328118742</c:v>
                </c:pt>
                <c:pt idx="4">
                  <c:v>0.95424250943932487</c:v>
                </c:pt>
              </c:numCache>
            </c:numRef>
          </c:xVal>
          <c:yVal>
            <c:numRef>
              <c:f>siDUSP9!$H$9:$H$13</c:f>
              <c:numCache>
                <c:formatCode>0.00</c:formatCode>
                <c:ptCount val="5"/>
                <c:pt idx="0">
                  <c:v>-1.5376020021010439</c:v>
                </c:pt>
                <c:pt idx="1">
                  <c:v>-0.98296666070121974</c:v>
                </c:pt>
                <c:pt idx="2">
                  <c:v>-0.49552913750558103</c:v>
                </c:pt>
                <c:pt idx="3">
                  <c:v>2.5100961046813336E-2</c:v>
                </c:pt>
                <c:pt idx="4">
                  <c:v>0.31993843998030869</c:v>
                </c:pt>
              </c:numCache>
            </c:numRef>
          </c:yVal>
        </c:ser>
        <c:axId val="71069056"/>
        <c:axId val="71074944"/>
      </c:scatterChart>
      <c:valAx>
        <c:axId val="71069056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71074944"/>
        <c:crosses val="autoZero"/>
        <c:crossBetween val="midCat"/>
      </c:valAx>
      <c:valAx>
        <c:axId val="71074944"/>
        <c:scaling>
          <c:orientation val="minMax"/>
        </c:scaling>
        <c:axPos val="l"/>
        <c:numFmt formatCode="0.0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0690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158374877696501"/>
          <c:y val="3.4924464383812477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'[1]juillet P59'!$A$51:$A$53</c:f>
              <c:strCache>
                <c:ptCount val="1"/>
                <c:pt idx="0">
                  <c:v>0,5 mM Glc 11 mM Glc 11 mM Glc + FSK</c:v>
                </c:pt>
              </c:strCache>
            </c:strRef>
          </c:tx>
          <c:errBars>
            <c:errBarType val="both"/>
            <c:errValType val="cust"/>
            <c:plus>
              <c:numRef>
                <c:f>siDUSP9!$C$65:$C$68</c:f>
                <c:numCache>
                  <c:formatCode>General</c:formatCode>
                  <c:ptCount val="4"/>
                  <c:pt idx="0">
                    <c:v>4.3767282732183589E-2</c:v>
                  </c:pt>
                  <c:pt idx="1">
                    <c:v>0.43725414360655263</c:v>
                  </c:pt>
                  <c:pt idx="2">
                    <c:v>0.49871924798143791</c:v>
                  </c:pt>
                  <c:pt idx="3">
                    <c:v>1.2162498825380088</c:v>
                  </c:pt>
                </c:numCache>
              </c:numRef>
            </c:plus>
            <c:minus>
              <c:numRef>
                <c:f>siDUSP9!$C$65:$C$68</c:f>
                <c:numCache>
                  <c:formatCode>General</c:formatCode>
                  <c:ptCount val="4"/>
                  <c:pt idx="0">
                    <c:v>4.3767282732183589E-2</c:v>
                  </c:pt>
                  <c:pt idx="1">
                    <c:v>0.43725414360655263</c:v>
                  </c:pt>
                  <c:pt idx="2">
                    <c:v>0.49871924798143791</c:v>
                  </c:pt>
                  <c:pt idx="3">
                    <c:v>1.2162498825380088</c:v>
                  </c:pt>
                </c:numCache>
              </c:numRef>
            </c:minus>
          </c:errBars>
          <c:cat>
            <c:strRef>
              <c:f>(siDUSP9!$A$65,siDUSP9!$A$66,siDUSP9!$A$67,siDUSP9!$A$68)</c:f>
              <c:strCache>
                <c:ptCount val="4"/>
                <c:pt idx="0">
                  <c:v>0,5 mM Glc</c:v>
                </c:pt>
                <c:pt idx="1">
                  <c:v>16,7 mM Glc</c:v>
                </c:pt>
                <c:pt idx="2">
                  <c:v>0,5 mM Glc + IBMX</c:v>
                </c:pt>
                <c:pt idx="3">
                  <c:v>16,7 mM Glc + IBMX</c:v>
                </c:pt>
              </c:strCache>
            </c:strRef>
          </c:cat>
          <c:val>
            <c:numRef>
              <c:f>siDUSP9!$B$65:$B$68</c:f>
              <c:numCache>
                <c:formatCode>0.0</c:formatCode>
                <c:ptCount val="4"/>
                <c:pt idx="0">
                  <c:v>0.16381539569796039</c:v>
                </c:pt>
                <c:pt idx="1">
                  <c:v>0.71876580360644449</c:v>
                </c:pt>
                <c:pt idx="2">
                  <c:v>1.5524403832767024</c:v>
                </c:pt>
                <c:pt idx="3">
                  <c:v>6.143241549241619</c:v>
                </c:pt>
              </c:numCache>
            </c:numRef>
          </c:val>
        </c:ser>
        <c:axId val="71102848"/>
        <c:axId val="71104384"/>
      </c:barChart>
      <c:catAx>
        <c:axId val="7110284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104384"/>
        <c:crosses val="autoZero"/>
        <c:auto val="1"/>
        <c:lblAlgn val="ctr"/>
        <c:lblOffset val="100"/>
      </c:catAx>
      <c:valAx>
        <c:axId val="71104384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siDUSP9!$M$48</c:f>
              <c:strCache>
                <c:ptCount val="1"/>
                <c:pt idx="0">
                  <c:v> insulin secretion (% of content) </c:v>
                </c:pt>
              </c:strCache>
            </c:strRef>
          </c:tx>
          <c:layout>
            <c:manualLayout>
              <c:xMode val="edge"/>
              <c:yMode val="edge"/>
              <c:x val="2.7148722883121052E-2"/>
              <c:y val="0.2049764779515062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10284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18"/>
  <c:chart>
    <c:title>
      <c:tx>
        <c:rich>
          <a:bodyPr/>
          <a:lstStyle/>
          <a:p>
            <a:pPr>
              <a:defRPr sz="1400">
                <a:latin typeface="Arial"/>
                <a:cs typeface="Arial"/>
              </a:defRPr>
            </a:pPr>
            <a:r>
              <a:rPr lang="en-US" sz="1400">
                <a:latin typeface="Arial"/>
                <a:cs typeface="Arial"/>
              </a:rPr>
              <a:t>Insulin secretion Human </a:t>
            </a:r>
            <a:r>
              <a:rPr lang="en-US" sz="1400">
                <a:latin typeface="Symbol" charset="2"/>
                <a:cs typeface="Symbol" charset="2"/>
              </a:rPr>
              <a:t>b</a:t>
            </a:r>
            <a:r>
              <a:rPr lang="en-US" sz="1400">
                <a:latin typeface="Arial"/>
                <a:cs typeface="Arial"/>
              </a:rPr>
              <a:t>-cell line</a:t>
            </a:r>
          </a:p>
        </c:rich>
      </c:tx>
      <c:layout>
        <c:manualLayout>
          <c:xMode val="edge"/>
          <c:yMode val="edge"/>
          <c:x val="0.10979318391296328"/>
          <c:y val="2.7200801823077429E-2"/>
        </c:manualLayout>
      </c:layout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NTP</c:v>
          </c:tx>
          <c:errBars>
            <c:errBarType val="both"/>
            <c:errValType val="cust"/>
            <c:plus>
              <c:numRef>
                <c:f>siDUSP9!$O$58:$O$59</c:f>
                <c:numCache>
                  <c:formatCode>General</c:formatCode>
                  <c:ptCount val="2"/>
                  <c:pt idx="0">
                    <c:v>4.6665729292717835</c:v>
                  </c:pt>
                  <c:pt idx="1">
                    <c:v>1.0124758183154121</c:v>
                  </c:pt>
                </c:numCache>
              </c:numRef>
            </c:plus>
            <c:minus>
              <c:numRef>
                <c:f>siDUSP9!$O$58:$O$59</c:f>
                <c:numCache>
                  <c:formatCode>General</c:formatCode>
                  <c:ptCount val="2"/>
                  <c:pt idx="0">
                    <c:v>4.6665729292717835</c:v>
                  </c:pt>
                  <c:pt idx="1">
                    <c:v>1.0124758183154121</c:v>
                  </c:pt>
                </c:numCache>
              </c:numRef>
            </c:minus>
          </c:errBars>
          <c:cat>
            <c:strRef>
              <c:f>siDUSP9!$M$58:$M$59</c:f>
              <c:strCache>
                <c:ptCount val="2"/>
                <c:pt idx="0">
                  <c:v>16,7 mM Glc</c:v>
                </c:pt>
                <c:pt idx="1">
                  <c:v>16,7 mM Glc + IBMX</c:v>
                </c:pt>
              </c:strCache>
            </c:strRef>
          </c:cat>
          <c:val>
            <c:numRef>
              <c:f>siDUSP9!$N$58:$N$59</c:f>
              <c:numCache>
                <c:formatCode>0.0</c:formatCode>
                <c:ptCount val="2"/>
                <c:pt idx="0">
                  <c:v>5.1826312321902774</c:v>
                </c:pt>
                <c:pt idx="1">
                  <c:v>4.1171548733905103</c:v>
                </c:pt>
              </c:numCache>
            </c:numRef>
          </c:val>
        </c:ser>
        <c:axId val="71153536"/>
        <c:axId val="71155072"/>
      </c:barChart>
      <c:catAx>
        <c:axId val="7115353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155072"/>
        <c:crosses val="autoZero"/>
        <c:auto val="1"/>
        <c:lblAlgn val="ctr"/>
        <c:lblOffset val="100"/>
      </c:catAx>
      <c:valAx>
        <c:axId val="71155072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strRef>
              <c:f>siDUSP9!$M$57</c:f>
              <c:strCache>
                <c:ptCount val="1"/>
                <c:pt idx="0">
                  <c:v>Fold change</c:v>
                </c:pt>
              </c:strCache>
            </c:strRef>
          </c:tx>
          <c:layout>
            <c:manualLayout>
              <c:xMode val="edge"/>
              <c:yMode val="edge"/>
              <c:x val="2.3714092174040566E-2"/>
              <c:y val="0.48323914522412659"/>
            </c:manualLayout>
          </c:layout>
          <c:spPr>
            <a:noFill/>
            <a:ln w="25400">
              <a:noFill/>
            </a:ln>
          </c:spPr>
          <c:txPr>
            <a:bodyPr/>
            <a:lstStyle/>
            <a:p>
              <a:pPr>
                <a:defRPr/>
              </a:pPr>
              <a:endParaRPr lang="fr-FR"/>
            </a:p>
          </c:txPr>
        </c:title>
        <c:numFmt formatCode="0.0" sourceLinked="1"/>
        <c:tickLblPos val="nextTo"/>
        <c:spPr>
          <a:ln w="3175">
            <a:solidFill>
              <a:srgbClr val="808080"/>
            </a:solidFill>
            <a:prstDash val="solid"/>
          </a:ln>
        </c:spPr>
        <c:crossAx val="7115353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57150</xdr:rowOff>
    </xdr:from>
    <xdr:to>
      <xdr:col>11</xdr:col>
      <xdr:colOff>962025</xdr:colOff>
      <xdr:row>16</xdr:row>
      <xdr:rowOff>133350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</xdr:colOff>
      <xdr:row>56</xdr:row>
      <xdr:rowOff>116681</xdr:rowOff>
    </xdr:from>
    <xdr:to>
      <xdr:col>8</xdr:col>
      <xdr:colOff>428626</xdr:colOff>
      <xdr:row>73</xdr:row>
      <xdr:rowOff>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619123</xdr:colOff>
      <xdr:row>60</xdr:row>
      <xdr:rowOff>119063</xdr:rowOff>
    </xdr:from>
    <xdr:to>
      <xdr:col>14</xdr:col>
      <xdr:colOff>572455</xdr:colOff>
      <xdr:row>80</xdr:row>
      <xdr:rowOff>2381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fils/marlene/Mes%20documents/Endo%20cell-betaTrophin/ELISA/Insulin%20secretion%20Human%20beta%20cell%20line%20october%20marianas%20formu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ptember"/>
      <sheetName val="September (2)"/>
      <sheetName val="October"/>
      <sheetName val="October (2)"/>
      <sheetName val="November 7"/>
      <sheetName val="November 7 (3)"/>
      <sheetName val="November 18"/>
      <sheetName val="November 18 (2)"/>
      <sheetName val="February"/>
      <sheetName val="Sheet3"/>
      <sheetName val="February (2)"/>
      <sheetName val="February (3)"/>
      <sheetName val="February (4)"/>
      <sheetName val="juillet P59"/>
      <sheetName val="juillet P66"/>
      <sheetName val="juillet P88"/>
      <sheetName val="sept P64 P73"/>
      <sheetName val="sept P64 P73 (2)"/>
      <sheetName val="sept P64bis"/>
      <sheetName val="multislip P74"/>
      <sheetName val="multislip P82"/>
      <sheetName val="nov P81"/>
      <sheetName val="nov P81 (2)"/>
      <sheetName val="dec2014 P73"/>
      <sheetName val="dec2014 P73 MEL"/>
      <sheetName val="dec2014 P75"/>
      <sheetName val="dec2014 P75 MEL"/>
      <sheetName val="dec2014 P76-77"/>
      <sheetName val="dec2014 P76-77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1">
          <cell r="A51" t="str">
            <v>0,5 mM Glc</v>
          </cell>
        </row>
        <row r="52">
          <cell r="A52" t="str">
            <v>11 mM Glc</v>
          </cell>
        </row>
        <row r="53">
          <cell r="A53" t="str">
            <v>11 mM Glc + FSK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opLeftCell="A28" zoomScale="80" zoomScaleNormal="80" workbookViewId="0">
      <selection activeCell="B50" sqref="B50:C55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6" style="2" bestFit="1" customWidth="1"/>
    <col min="5" max="5" width="8.625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/>
      <c r="C1" s="63">
        <v>42423</v>
      </c>
    </row>
    <row r="2" spans="1:20">
      <c r="A2" s="1" t="s">
        <v>1</v>
      </c>
      <c r="C2" s="3">
        <v>94</v>
      </c>
      <c r="E2" s="4"/>
    </row>
    <row r="3" spans="1:20">
      <c r="A3" s="1" t="s">
        <v>2</v>
      </c>
      <c r="B3" s="2" t="s">
        <v>40</v>
      </c>
      <c r="D3" s="10"/>
      <c r="E3" s="10"/>
      <c r="F3" s="10"/>
    </row>
    <row r="4" spans="1:20" ht="15">
      <c r="D4" s="10"/>
      <c r="E4" s="65"/>
      <c r="F4" s="65"/>
    </row>
    <row r="5" spans="1:20">
      <c r="A5" s="2"/>
    </row>
    <row r="6" spans="1:20" ht="15">
      <c r="N6"/>
      <c r="O6"/>
      <c r="P6"/>
    </row>
    <row r="7" spans="1:20" ht="15">
      <c r="A7" s="5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5">
        <v>0</v>
      </c>
      <c r="B8" s="10">
        <v>0</v>
      </c>
      <c r="C8" s="64">
        <v>7.1999999999999995E-2</v>
      </c>
      <c r="D8" s="64">
        <v>6.3E-2</v>
      </c>
      <c r="E8" s="11">
        <f t="shared" ref="E8:E13" si="0">AVERAGE(C8:D8)</f>
        <v>6.7500000000000004E-2</v>
      </c>
      <c r="F8" s="12"/>
      <c r="G8" s="10"/>
      <c r="H8" s="10"/>
      <c r="N8"/>
      <c r="O8"/>
      <c r="P8"/>
    </row>
    <row r="9" spans="1:20" ht="15">
      <c r="A9" s="5">
        <v>3</v>
      </c>
      <c r="B9" s="12">
        <f>A9/23</f>
        <v>0.13043478260869565</v>
      </c>
      <c r="C9" s="64">
        <v>9.9000000000000005E-2</v>
      </c>
      <c r="D9" s="64">
        <v>9.4E-2</v>
      </c>
      <c r="E9" s="11">
        <f t="shared" si="0"/>
        <v>9.6500000000000002E-2</v>
      </c>
      <c r="F9" s="12">
        <f>(E9-$E$8)</f>
        <v>2.8999999999999998E-2</v>
      </c>
      <c r="G9" s="12">
        <f>LOG(B9)</f>
        <v>-0.88460658129793046</v>
      </c>
      <c r="H9" s="12">
        <f>LOG(F9)</f>
        <v>-1.5376020021010439</v>
      </c>
      <c r="N9"/>
      <c r="O9"/>
      <c r="P9"/>
    </row>
    <row r="10" spans="1:20" ht="15">
      <c r="A10" s="5">
        <v>9.74</v>
      </c>
      <c r="B10" s="12">
        <f t="shared" ref="B10:B13" si="1">A10/23</f>
        <v>0.42347826086956525</v>
      </c>
      <c r="C10" s="64">
        <v>0.17799999999999999</v>
      </c>
      <c r="D10" s="64">
        <v>0.16500000000000001</v>
      </c>
      <c r="E10" s="11">
        <f t="shared" si="0"/>
        <v>0.17149999999999999</v>
      </c>
      <c r="F10" s="12">
        <f>(E10-$E$8)</f>
        <v>0.10399999999999998</v>
      </c>
      <c r="G10" s="12">
        <f>LOG(B10)</f>
        <v>-0.37316887913897734</v>
      </c>
      <c r="H10" s="12">
        <f>LOG(F10)</f>
        <v>-0.98296666070121974</v>
      </c>
      <c r="N10"/>
      <c r="O10"/>
      <c r="P10"/>
    </row>
    <row r="11" spans="1:20" ht="15">
      <c r="A11" s="5">
        <v>29.8</v>
      </c>
      <c r="B11" s="12">
        <f t="shared" si="1"/>
        <v>1.2956521739130435</v>
      </c>
      <c r="C11" s="64">
        <v>0.39200000000000002</v>
      </c>
      <c r="D11" s="64">
        <v>0.38200000000000001</v>
      </c>
      <c r="E11" s="11">
        <f t="shared" si="0"/>
        <v>0.38700000000000001</v>
      </c>
      <c r="F11" s="12">
        <f>(E11-$E$8)</f>
        <v>0.31950000000000001</v>
      </c>
      <c r="G11" s="12">
        <f>LOG(B11)</f>
        <v>0.11248842805866238</v>
      </c>
      <c r="H11" s="12">
        <f>LOG(F11)</f>
        <v>-0.49552913750558103</v>
      </c>
      <c r="N11"/>
      <c r="O11"/>
      <c r="P11"/>
      <c r="Q11"/>
      <c r="R11"/>
      <c r="S11"/>
      <c r="T11"/>
    </row>
    <row r="12" spans="1:20" ht="15">
      <c r="A12" s="5">
        <v>104</v>
      </c>
      <c r="B12" s="12">
        <f t="shared" si="1"/>
        <v>4.5217391304347823</v>
      </c>
      <c r="C12" s="64">
        <v>1.105</v>
      </c>
      <c r="D12" s="64">
        <v>1.149</v>
      </c>
      <c r="E12" s="11">
        <f t="shared" si="0"/>
        <v>1.127</v>
      </c>
      <c r="F12" s="12">
        <f>(E12-$E$8)</f>
        <v>1.0594999999999999</v>
      </c>
      <c r="G12" s="12">
        <f>LOG(B12)</f>
        <v>0.65530550328118742</v>
      </c>
      <c r="H12" s="12">
        <f>LOG(F12)</f>
        <v>2.5100961046813336E-2</v>
      </c>
      <c r="N12"/>
      <c r="O12"/>
      <c r="P12"/>
      <c r="Q12"/>
      <c r="R12"/>
      <c r="S12"/>
      <c r="T12"/>
    </row>
    <row r="13" spans="1:20" ht="15">
      <c r="A13" s="5">
        <v>207</v>
      </c>
      <c r="B13" s="12">
        <f t="shared" si="1"/>
        <v>9</v>
      </c>
      <c r="C13" s="64">
        <v>2.19</v>
      </c>
      <c r="D13" s="64">
        <v>2.1230000000000002</v>
      </c>
      <c r="E13" s="11">
        <f t="shared" si="0"/>
        <v>2.1565000000000003</v>
      </c>
      <c r="F13" s="12">
        <f>(E13-$E$8)</f>
        <v>2.0890000000000004</v>
      </c>
      <c r="G13" s="12">
        <f>LOG(B13)</f>
        <v>0.95424250943932487</v>
      </c>
      <c r="H13" s="12">
        <f>LOG(F13)</f>
        <v>0.31993843998030869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1.0043344205080476</v>
      </c>
      <c r="N15"/>
    </row>
    <row r="16" spans="1:20" ht="15">
      <c r="A16" s="5" t="s">
        <v>11</v>
      </c>
      <c r="B16" s="11">
        <f>INTERCEPT(H9:H13,G9:G13)</f>
        <v>-0.62746633638745419</v>
      </c>
      <c r="C16" s="13"/>
      <c r="G16" s="13"/>
      <c r="H16" s="13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17</v>
      </c>
      <c r="F20" s="21" t="s">
        <v>9</v>
      </c>
      <c r="G20" s="21" t="s">
        <v>18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6.5">
      <c r="A22" s="1" t="s">
        <v>25</v>
      </c>
      <c r="B22" s="66">
        <v>0.7</v>
      </c>
      <c r="C22" s="66">
        <v>0.75900000000000001</v>
      </c>
      <c r="D22" s="27">
        <f t="shared" ref="D22:D27" si="2">AVERAGE(B22:C22)</f>
        <v>0.72950000000000004</v>
      </c>
      <c r="E22" s="27">
        <f>D22-E$8</f>
        <v>0.66200000000000003</v>
      </c>
      <c r="F22" s="27">
        <f>LOG(E22)</f>
        <v>-0.17914201056030005</v>
      </c>
      <c r="G22" s="28">
        <f>(F22-$B$16)/$B$15</f>
        <v>0.44638948608409446</v>
      </c>
      <c r="H22" s="28">
        <f>10^G22</f>
        <v>2.795049387302182</v>
      </c>
      <c r="I22" s="29">
        <v>500</v>
      </c>
      <c r="J22" s="30">
        <f>(H22*I22)</f>
        <v>1397.524693651091</v>
      </c>
      <c r="K22" s="31">
        <f>(0.05*J22/1000)*1000</f>
        <v>69.876234682554554</v>
      </c>
      <c r="L22" s="32">
        <f>K22+K40+K50</f>
        <v>70.221914057005492</v>
      </c>
      <c r="M22" s="33">
        <f>(L22*1000000/50000)/1000</f>
        <v>1.4044382811401099</v>
      </c>
      <c r="N22" s="34"/>
    </row>
    <row r="23" spans="1:17" ht="16.5">
      <c r="B23" s="66">
        <v>0.68700000000000006</v>
      </c>
      <c r="C23" s="66">
        <v>0.76500000000000001</v>
      </c>
      <c r="D23" s="27">
        <f t="shared" si="2"/>
        <v>0.72599999999999998</v>
      </c>
      <c r="E23" s="27">
        <f t="shared" ref="E23:E27" si="3">D23-E$8</f>
        <v>0.65849999999999997</v>
      </c>
      <c r="F23" s="27">
        <f t="shared" ref="F23:F27" si="4">LOG(E23)</f>
        <v>-0.1814442207021974</v>
      </c>
      <c r="G23" s="28">
        <f t="shared" ref="G23:G27" si="5">(F23-$B$16)/$B$15</f>
        <v>0.44409721162362858</v>
      </c>
      <c r="H23" s="28">
        <f t="shared" ref="H23:H27" si="6">10^G23</f>
        <v>2.7803355429580421</v>
      </c>
      <c r="I23" s="29">
        <v>500</v>
      </c>
      <c r="J23" s="30">
        <f t="shared" ref="J23:J27" si="7">(H23*I23)</f>
        <v>1390.167771479021</v>
      </c>
      <c r="K23" s="31">
        <f t="shared" ref="K23:K27" si="8">(0.05*J23/1000)*1000</f>
        <v>69.508388573951052</v>
      </c>
      <c r="L23" s="32">
        <f>K23+K41+K51</f>
        <v>69.710925774716543</v>
      </c>
      <c r="M23" s="33">
        <f t="shared" ref="M23:M27" si="9">(L23*1000000/50000)/1000</f>
        <v>1.394218515494331</v>
      </c>
      <c r="N23" s="34"/>
    </row>
    <row r="24" spans="1:17" ht="16.5">
      <c r="B24" s="66">
        <v>0.66100000000000003</v>
      </c>
      <c r="C24" s="66">
        <v>0.77600000000000002</v>
      </c>
      <c r="D24" s="27">
        <f t="shared" si="2"/>
        <v>0.71850000000000003</v>
      </c>
      <c r="E24" s="27">
        <f t="shared" si="3"/>
        <v>0.65100000000000002</v>
      </c>
      <c r="F24" s="27">
        <f t="shared" si="4"/>
        <v>-0.18641901143180803</v>
      </c>
      <c r="G24" s="28">
        <f t="shared" si="5"/>
        <v>0.43914389066994253</v>
      </c>
      <c r="H24" s="28">
        <f t="shared" si="6"/>
        <v>2.748804737638447</v>
      </c>
      <c r="I24" s="29">
        <v>500</v>
      </c>
      <c r="J24" s="30">
        <f t="shared" si="7"/>
        <v>1374.4023688192235</v>
      </c>
      <c r="K24" s="31">
        <f t="shared" si="8"/>
        <v>68.720118440961173</v>
      </c>
      <c r="L24" s="32">
        <f t="shared" ref="L24:L27" si="10">K24+K42+K52</f>
        <v>69.209252193273784</v>
      </c>
      <c r="M24" s="33">
        <f t="shared" si="9"/>
        <v>1.3841850438654755</v>
      </c>
      <c r="N24" s="34"/>
    </row>
    <row r="25" spans="1:17" ht="16.5">
      <c r="A25" s="1" t="s">
        <v>26</v>
      </c>
      <c r="B25" s="66">
        <v>0.57899999999999996</v>
      </c>
      <c r="C25" s="66">
        <v>0.65300000000000002</v>
      </c>
      <c r="D25" s="27">
        <f t="shared" si="2"/>
        <v>0.61599999999999999</v>
      </c>
      <c r="E25" s="27">
        <f t="shared" si="3"/>
        <v>0.54849999999999999</v>
      </c>
      <c r="F25" s="27">
        <f t="shared" si="4"/>
        <v>-0.26082336808927009</v>
      </c>
      <c r="G25" s="28">
        <f t="shared" si="5"/>
        <v>0.36506064196497012</v>
      </c>
      <c r="H25" s="28">
        <f t="shared" si="6"/>
        <v>2.3177182579877522</v>
      </c>
      <c r="I25" s="29">
        <v>500</v>
      </c>
      <c r="J25" s="30">
        <f t="shared" si="7"/>
        <v>1158.8591289938761</v>
      </c>
      <c r="K25" s="31">
        <f t="shared" si="8"/>
        <v>57.94295644969381</v>
      </c>
      <c r="L25" s="32">
        <f t="shared" si="10"/>
        <v>61.443512729845899</v>
      </c>
      <c r="M25" s="33">
        <f t="shared" si="9"/>
        <v>1.2288702545969179</v>
      </c>
      <c r="N25" s="34"/>
    </row>
    <row r="26" spans="1:17" ht="16.5">
      <c r="B26" s="66">
        <v>0.57599999999999996</v>
      </c>
      <c r="C26" s="66">
        <v>0.56699999999999995</v>
      </c>
      <c r="D26" s="27">
        <f t="shared" si="2"/>
        <v>0.5714999999999999</v>
      </c>
      <c r="E26" s="27">
        <f t="shared" si="3"/>
        <v>0.50399999999999989</v>
      </c>
      <c r="F26" s="27">
        <f t="shared" si="4"/>
        <v>-0.29756946355447478</v>
      </c>
      <c r="G26" s="28">
        <f t="shared" si="5"/>
        <v>0.32847313215263441</v>
      </c>
      <c r="H26" s="28">
        <f t="shared" si="6"/>
        <v>2.1304587615588533</v>
      </c>
      <c r="I26" s="29">
        <v>500</v>
      </c>
      <c r="J26" s="30">
        <f t="shared" si="7"/>
        <v>1065.2293807794267</v>
      </c>
      <c r="K26" s="31">
        <f t="shared" si="8"/>
        <v>53.261469038971342</v>
      </c>
      <c r="L26" s="32">
        <f t="shared" si="10"/>
        <v>56.061621820035008</v>
      </c>
      <c r="M26" s="33">
        <f t="shared" si="9"/>
        <v>1.1212324364007002</v>
      </c>
      <c r="N26" s="34"/>
    </row>
    <row r="27" spans="1:17" ht="16.5">
      <c r="B27" s="66">
        <v>0.59199999999999997</v>
      </c>
      <c r="C27" s="66">
        <v>0.61699999999999999</v>
      </c>
      <c r="D27" s="27">
        <f t="shared" si="2"/>
        <v>0.60450000000000004</v>
      </c>
      <c r="E27" s="27">
        <f t="shared" si="3"/>
        <v>0.53700000000000003</v>
      </c>
      <c r="F27" s="27">
        <f t="shared" si="4"/>
        <v>-0.27002571430044436</v>
      </c>
      <c r="G27" s="28">
        <f t="shared" si="5"/>
        <v>0.35589801045173453</v>
      </c>
      <c r="H27" s="28">
        <f t="shared" si="6"/>
        <v>2.2693318602855799</v>
      </c>
      <c r="I27" s="29">
        <v>500</v>
      </c>
      <c r="J27" s="30">
        <f t="shared" si="7"/>
        <v>1134.6659301427899</v>
      </c>
      <c r="K27" s="31">
        <f t="shared" si="8"/>
        <v>56.733296507139499</v>
      </c>
      <c r="L27" s="32">
        <f t="shared" si="10"/>
        <v>60.617205305373524</v>
      </c>
      <c r="M27" s="33">
        <f t="shared" si="9"/>
        <v>1.2123441061074705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17</v>
      </c>
      <c r="F29" s="21" t="s">
        <v>9</v>
      </c>
      <c r="G29" s="21" t="s">
        <v>18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6.5">
      <c r="A31" s="1" t="s">
        <v>25</v>
      </c>
      <c r="B31" s="66">
        <v>0.7</v>
      </c>
      <c r="C31" s="66">
        <v>0.75900000000000001</v>
      </c>
      <c r="D31" s="27">
        <f t="shared" ref="D31:D36" si="11">AVERAGE(B31:C31)</f>
        <v>0.72950000000000004</v>
      </c>
      <c r="E31" s="27">
        <f t="shared" ref="E31:E36" si="12">D31-E$8</f>
        <v>0.66200000000000003</v>
      </c>
      <c r="F31" s="27">
        <f>LOG(E31)</f>
        <v>-0.17914201056030005</v>
      </c>
      <c r="G31" s="28">
        <f>(F31-$B$16)/$B$15</f>
        <v>0.44638948608409446</v>
      </c>
      <c r="H31" s="28">
        <f>10^G31</f>
        <v>2.795049387302182</v>
      </c>
      <c r="I31" s="29">
        <v>500</v>
      </c>
      <c r="J31" s="30">
        <f>(H31*I31)</f>
        <v>1397.524693651091</v>
      </c>
      <c r="K31" s="31">
        <f>(0.05*J31/1000)*1000</f>
        <v>69.876234682554554</v>
      </c>
      <c r="L31" s="32">
        <f>K31+K50</f>
        <v>70.156551425867747</v>
      </c>
      <c r="M31" s="33">
        <f>(L31*1000000/50000)/1000</f>
        <v>1.4031310285173548</v>
      </c>
      <c r="N31" s="35"/>
      <c r="Q31"/>
    </row>
    <row r="32" spans="1:17" ht="16.5">
      <c r="B32" s="66">
        <v>0.68700000000000006</v>
      </c>
      <c r="C32" s="66">
        <v>0.76500000000000001</v>
      </c>
      <c r="D32" s="27">
        <f t="shared" si="11"/>
        <v>0.72599999999999998</v>
      </c>
      <c r="E32" s="27">
        <f t="shared" si="12"/>
        <v>0.65849999999999997</v>
      </c>
      <c r="F32" s="27">
        <f t="shared" ref="F32:F36" si="13">LOG(E32)</f>
        <v>-0.1814442207021974</v>
      </c>
      <c r="G32" s="28">
        <f t="shared" ref="G32:G36" si="14">(F32-$B$16)/$B$15</f>
        <v>0.44409721162362858</v>
      </c>
      <c r="H32" s="28">
        <f t="shared" ref="H32:H36" si="15">10^G32</f>
        <v>2.7803355429580421</v>
      </c>
      <c r="I32" s="29">
        <v>500</v>
      </c>
      <c r="J32" s="30">
        <f t="shared" ref="J32:J36" si="16">(H32*I32)</f>
        <v>1390.167771479021</v>
      </c>
      <c r="K32" s="31">
        <f t="shared" ref="K32:K36" si="17">(0.05*J32/1000)*1000</f>
        <v>69.508388573951052</v>
      </c>
      <c r="L32" s="32">
        <f>K32+K51</f>
        <v>69.642138234089259</v>
      </c>
      <c r="M32" s="33">
        <f t="shared" ref="M32:M36" si="18">(L32*1000000/50000)/1000</f>
        <v>1.3928427646817851</v>
      </c>
      <c r="N32" s="36"/>
      <c r="Q32"/>
    </row>
    <row r="33" spans="1:21" ht="16.5">
      <c r="B33" s="66">
        <v>0.66100000000000003</v>
      </c>
      <c r="C33" s="66">
        <v>0.77600000000000002</v>
      </c>
      <c r="D33" s="27">
        <f t="shared" si="11"/>
        <v>0.71850000000000003</v>
      </c>
      <c r="E33" s="27">
        <f t="shared" si="12"/>
        <v>0.65100000000000002</v>
      </c>
      <c r="F33" s="27">
        <f t="shared" si="13"/>
        <v>-0.18641901143180803</v>
      </c>
      <c r="G33" s="28">
        <f t="shared" si="14"/>
        <v>0.43914389066994253</v>
      </c>
      <c r="H33" s="28">
        <f t="shared" si="15"/>
        <v>2.748804737638447</v>
      </c>
      <c r="I33" s="29">
        <v>500</v>
      </c>
      <c r="J33" s="30">
        <f t="shared" si="16"/>
        <v>1374.4023688192235</v>
      </c>
      <c r="K33" s="31">
        <f t="shared" si="17"/>
        <v>68.720118440961173</v>
      </c>
      <c r="L33" s="32">
        <f t="shared" ref="L33:L36" si="19">K33+K52</f>
        <v>68.969793954245191</v>
      </c>
      <c r="M33" s="33">
        <f t="shared" si="18"/>
        <v>1.3793958790849039</v>
      </c>
      <c r="N33" s="36"/>
      <c r="Q33"/>
      <c r="R33"/>
      <c r="S33"/>
    </row>
    <row r="34" spans="1:21" ht="16.5">
      <c r="A34" s="1" t="s">
        <v>26</v>
      </c>
      <c r="B34" s="66">
        <v>0.57899999999999996</v>
      </c>
      <c r="C34" s="66">
        <v>0.65300000000000002</v>
      </c>
      <c r="D34" s="27">
        <f t="shared" si="11"/>
        <v>0.61599999999999999</v>
      </c>
      <c r="E34" s="27">
        <f t="shared" si="12"/>
        <v>0.54849999999999999</v>
      </c>
      <c r="F34" s="27">
        <f t="shared" si="13"/>
        <v>-0.26082336808927009</v>
      </c>
      <c r="G34" s="28">
        <f t="shared" si="14"/>
        <v>0.36506064196497012</v>
      </c>
      <c r="H34" s="28">
        <f t="shared" si="15"/>
        <v>2.3177182579877522</v>
      </c>
      <c r="I34" s="29">
        <v>500</v>
      </c>
      <c r="J34" s="30">
        <f t="shared" si="16"/>
        <v>1158.8591289938761</v>
      </c>
      <c r="K34" s="31">
        <f t="shared" si="17"/>
        <v>57.94295644969381</v>
      </c>
      <c r="L34" s="32">
        <f t="shared" si="19"/>
        <v>60.725146055887073</v>
      </c>
      <c r="M34" s="33">
        <f t="shared" si="18"/>
        <v>1.2145029211177414</v>
      </c>
      <c r="N34" s="36"/>
      <c r="Q34"/>
      <c r="R34"/>
      <c r="S34"/>
    </row>
    <row r="35" spans="1:21" ht="16.5">
      <c r="B35" s="66">
        <v>0.57599999999999996</v>
      </c>
      <c r="C35" s="66">
        <v>0.56699999999999995</v>
      </c>
      <c r="D35" s="27">
        <f t="shared" si="11"/>
        <v>0.5714999999999999</v>
      </c>
      <c r="E35" s="27">
        <f t="shared" si="12"/>
        <v>0.50399999999999989</v>
      </c>
      <c r="F35" s="27">
        <f t="shared" si="13"/>
        <v>-0.29756946355447478</v>
      </c>
      <c r="G35" s="28">
        <f t="shared" si="14"/>
        <v>0.32847313215263441</v>
      </c>
      <c r="H35" s="28">
        <f t="shared" si="15"/>
        <v>2.1304587615588533</v>
      </c>
      <c r="I35" s="29">
        <v>500</v>
      </c>
      <c r="J35" s="30">
        <f t="shared" si="16"/>
        <v>1065.2293807794267</v>
      </c>
      <c r="K35" s="31">
        <f t="shared" si="17"/>
        <v>53.261469038971342</v>
      </c>
      <c r="L35" s="32">
        <f t="shared" si="19"/>
        <v>55.065491900187432</v>
      </c>
      <c r="M35" s="33">
        <f t="shared" si="18"/>
        <v>1.1013098380037487</v>
      </c>
      <c r="N35" s="36"/>
      <c r="Q35"/>
      <c r="R35"/>
      <c r="S35"/>
    </row>
    <row r="36" spans="1:21" ht="16.5">
      <c r="B36" s="66">
        <v>0.59199999999999997</v>
      </c>
      <c r="C36" s="66">
        <v>0.61699999999999999</v>
      </c>
      <c r="D36" s="27">
        <f t="shared" si="11"/>
        <v>0.60450000000000004</v>
      </c>
      <c r="E36" s="27">
        <f t="shared" si="12"/>
        <v>0.53700000000000003</v>
      </c>
      <c r="F36" s="27">
        <f t="shared" si="13"/>
        <v>-0.27002571430044436</v>
      </c>
      <c r="G36" s="28">
        <f t="shared" si="14"/>
        <v>0.35589801045173453</v>
      </c>
      <c r="H36" s="28">
        <f t="shared" si="15"/>
        <v>2.2693318602855799</v>
      </c>
      <c r="I36" s="29">
        <v>500</v>
      </c>
      <c r="J36" s="30">
        <f t="shared" si="16"/>
        <v>1134.6659301427899</v>
      </c>
      <c r="K36" s="31">
        <f t="shared" si="17"/>
        <v>56.733296507139499</v>
      </c>
      <c r="L36" s="32">
        <f t="shared" si="19"/>
        <v>59.323363733516061</v>
      </c>
      <c r="M36" s="33">
        <f t="shared" si="18"/>
        <v>1.1864672746703211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17</v>
      </c>
      <c r="F39" s="21" t="s">
        <v>9</v>
      </c>
      <c r="G39" s="21" t="s">
        <v>18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67">
        <v>7.4999999999999997E-2</v>
      </c>
      <c r="C40" s="67">
        <v>7.9000000000000001E-2</v>
      </c>
      <c r="D40" s="27">
        <f t="shared" ref="D40:D45" si="20">AVERAGE(B40,C40)</f>
        <v>7.6999999999999999E-2</v>
      </c>
      <c r="E40" s="27">
        <f t="shared" ref="E40:E45" si="21">D40-E$8</f>
        <v>9.4999999999999946E-3</v>
      </c>
      <c r="F40" s="27">
        <f t="shared" ref="F40:F45" si="22">LOG(E40)</f>
        <v>-2.0222763947111524</v>
      </c>
      <c r="G40" s="28">
        <f t="shared" ref="G40:G45" si="23">(F40-$B$16)/$B$15</f>
        <v>-1.3887904564877172</v>
      </c>
      <c r="H40" s="27">
        <f t="shared" ref="H40:H45" si="24">10^G40</f>
        <v>4.085164446108721E-2</v>
      </c>
      <c r="I40" s="41">
        <v>16</v>
      </c>
      <c r="J40" s="42">
        <f t="shared" ref="J40:J45" si="25">H40*I40</f>
        <v>0.65362631137739535</v>
      </c>
      <c r="K40" s="30">
        <f>(0.1*J40/1000)*1000</f>
        <v>6.5362631137739532E-2</v>
      </c>
      <c r="L40" s="43">
        <f>K40*100/L22</f>
        <v>9.3080104715856593E-2</v>
      </c>
      <c r="M40" s="30">
        <f>AVERAGE(L40:L42)</f>
        <v>0.17924905694032991</v>
      </c>
      <c r="N40" s="44">
        <f>STDEV(L40:L42)</f>
        <v>0.14443042638824191</v>
      </c>
      <c r="R40"/>
      <c r="S40"/>
      <c r="T40"/>
      <c r="U40"/>
    </row>
    <row r="41" spans="1:21" ht="15">
      <c r="B41" s="67">
        <v>7.5999999999999998E-2</v>
      </c>
      <c r="C41" s="67">
        <v>7.9000000000000001E-2</v>
      </c>
      <c r="D41" s="27">
        <f t="shared" si="20"/>
        <v>7.7499999999999999E-2</v>
      </c>
      <c r="E41" s="27">
        <f t="shared" si="21"/>
        <v>9.999999999999995E-3</v>
      </c>
      <c r="F41" s="27">
        <f t="shared" si="22"/>
        <v>-2</v>
      </c>
      <c r="G41" s="28">
        <f t="shared" si="23"/>
        <v>-1.3666102003337124</v>
      </c>
      <c r="H41" s="27">
        <f t="shared" si="24"/>
        <v>4.2992212892052524E-2</v>
      </c>
      <c r="I41" s="41">
        <v>16</v>
      </c>
      <c r="J41" s="42">
        <f t="shared" si="25"/>
        <v>0.68787540627284038</v>
      </c>
      <c r="K41" s="30">
        <f t="shared" ref="K41:K45" si="26">(0.1*J41/1000)*1000</f>
        <v>6.8787540627284038E-2</v>
      </c>
      <c r="L41" s="43">
        <f t="shared" ref="L41:L45" si="27">K41*100/L23</f>
        <v>9.8675408284754976E-2</v>
      </c>
      <c r="M41" s="30"/>
      <c r="N41" s="44"/>
      <c r="R41"/>
      <c r="S41"/>
      <c r="T41"/>
      <c r="U41"/>
    </row>
    <row r="42" spans="1:21" s="17" customFormat="1" ht="15">
      <c r="A42" s="1"/>
      <c r="B42" s="68">
        <v>0.108</v>
      </c>
      <c r="C42" s="68">
        <v>9.7000000000000003E-2</v>
      </c>
      <c r="D42" s="27">
        <f t="shared" si="20"/>
        <v>0.10250000000000001</v>
      </c>
      <c r="E42" s="27">
        <f t="shared" si="21"/>
        <v>3.5000000000000003E-2</v>
      </c>
      <c r="F42" s="27">
        <f t="shared" si="22"/>
        <v>-1.4559319556497243</v>
      </c>
      <c r="G42" s="28">
        <f t="shared" si="23"/>
        <v>-0.82489019827000121</v>
      </c>
      <c r="H42" s="27">
        <f t="shared" si="24"/>
        <v>0.14966139939287154</v>
      </c>
      <c r="I42" s="41">
        <v>16</v>
      </c>
      <c r="J42" s="42">
        <f t="shared" si="25"/>
        <v>2.3945823902859447</v>
      </c>
      <c r="K42" s="30">
        <f t="shared" si="26"/>
        <v>0.23945823902859448</v>
      </c>
      <c r="L42" s="43">
        <f t="shared" si="27"/>
        <v>0.34599165782037827</v>
      </c>
      <c r="M42" s="30"/>
      <c r="N42" s="44"/>
      <c r="R42"/>
      <c r="S42"/>
      <c r="T42"/>
      <c r="U42"/>
    </row>
    <row r="43" spans="1:21" ht="15">
      <c r="A43" s="1" t="s">
        <v>34</v>
      </c>
      <c r="B43" s="67">
        <v>0.17100000000000001</v>
      </c>
      <c r="C43" s="67">
        <v>0.17499999999999999</v>
      </c>
      <c r="D43" s="27">
        <f t="shared" si="20"/>
        <v>0.17299999999999999</v>
      </c>
      <c r="E43" s="27">
        <f t="shared" si="21"/>
        <v>0.10549999999999998</v>
      </c>
      <c r="F43" s="27">
        <f t="shared" si="22"/>
        <v>-0.97674754036628864</v>
      </c>
      <c r="G43" s="28">
        <f t="shared" si="23"/>
        <v>-0.34777380606167896</v>
      </c>
      <c r="H43" s="27">
        <f t="shared" si="24"/>
        <v>0.4489791712242685</v>
      </c>
      <c r="I43" s="41">
        <v>16</v>
      </c>
      <c r="J43" s="42">
        <f t="shared" si="25"/>
        <v>7.183666739588296</v>
      </c>
      <c r="K43" s="30">
        <f t="shared" si="26"/>
        <v>0.71836667395882969</v>
      </c>
      <c r="L43" s="43">
        <f t="shared" si="27"/>
        <v>1.1691497475369543</v>
      </c>
      <c r="M43" s="30">
        <f>AVERAGE(L43:L45)</f>
        <v>1.6934813486671798</v>
      </c>
      <c r="N43" s="44">
        <f>STDEV(L43:L45)</f>
        <v>0.48801822112861926</v>
      </c>
      <c r="R43"/>
      <c r="S43"/>
      <c r="T43"/>
      <c r="U43"/>
    </row>
    <row r="44" spans="1:21" ht="15">
      <c r="A44" s="45"/>
      <c r="B44" s="67">
        <v>0.21</v>
      </c>
      <c r="C44" s="67">
        <v>0.218</v>
      </c>
      <c r="D44" s="27">
        <f t="shared" si="20"/>
        <v>0.214</v>
      </c>
      <c r="E44" s="27">
        <f t="shared" si="21"/>
        <v>0.14649999999999999</v>
      </c>
      <c r="F44" s="27">
        <f t="shared" si="22"/>
        <v>-0.83416237530987181</v>
      </c>
      <c r="G44" s="28">
        <f t="shared" si="23"/>
        <v>-0.2058039978534833</v>
      </c>
      <c r="H44" s="27">
        <f t="shared" si="24"/>
        <v>0.62258119990473537</v>
      </c>
      <c r="I44" s="41">
        <v>16</v>
      </c>
      <c r="J44" s="42">
        <f t="shared" si="25"/>
        <v>9.9612991984757659</v>
      </c>
      <c r="K44" s="30">
        <f t="shared" si="26"/>
        <v>0.99612991984757671</v>
      </c>
      <c r="L44" s="43">
        <f t="shared" si="27"/>
        <v>1.7768482029386903</v>
      </c>
      <c r="M44" s="30"/>
      <c r="N44" s="44"/>
      <c r="R44"/>
      <c r="S44"/>
      <c r="T44"/>
      <c r="U44"/>
    </row>
    <row r="45" spans="1:21" ht="15">
      <c r="A45" s="46"/>
      <c r="B45" s="67">
        <v>0.25800000000000001</v>
      </c>
      <c r="C45" s="67">
        <v>0.25800000000000001</v>
      </c>
      <c r="D45" s="27">
        <f t="shared" si="20"/>
        <v>0.25800000000000001</v>
      </c>
      <c r="E45" s="27">
        <f t="shared" si="21"/>
        <v>0.1905</v>
      </c>
      <c r="F45" s="27">
        <f t="shared" si="22"/>
        <v>-0.72010501998836185</v>
      </c>
      <c r="G45" s="28">
        <f t="shared" si="23"/>
        <v>-9.2238881501289102E-2</v>
      </c>
      <c r="H45" s="27">
        <f t="shared" si="24"/>
        <v>0.80865098241091282</v>
      </c>
      <c r="I45" s="41">
        <v>16</v>
      </c>
      <c r="J45" s="42">
        <f t="shared" si="25"/>
        <v>12.938415718574605</v>
      </c>
      <c r="K45" s="30">
        <f t="shared" si="26"/>
        <v>1.2938415718574605</v>
      </c>
      <c r="L45" s="43">
        <f t="shared" si="27"/>
        <v>2.1344460955258948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17</v>
      </c>
      <c r="F49" s="21" t="s">
        <v>9</v>
      </c>
      <c r="G49" s="21" t="s">
        <v>18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69">
        <v>0.111</v>
      </c>
      <c r="C50" s="69">
        <v>0.106</v>
      </c>
      <c r="D50" s="27">
        <f t="shared" ref="D50:D52" si="28">AVERAGE(B50,C50)</f>
        <v>0.1085</v>
      </c>
      <c r="E50" s="27">
        <f t="shared" ref="E50:E55" si="29">D50-E$8</f>
        <v>4.0999999999999995E-2</v>
      </c>
      <c r="F50" s="27">
        <f t="shared" ref="F50:F55" si="30">LOG(E50)</f>
        <v>-1.3872161432802645</v>
      </c>
      <c r="G50" s="28">
        <f t="shared" ref="G50:G55" si="31">(F50-$B$16)/$B$15</f>
        <v>-0.75647094372060564</v>
      </c>
      <c r="H50" s="27">
        <f t="shared" ref="H50:H55" si="32">10^G50</f>
        <v>0.17519796457074807</v>
      </c>
      <c r="I50" s="41">
        <v>16</v>
      </c>
      <c r="J50" s="42">
        <f t="shared" ref="J50:J55" si="33">H50*I50</f>
        <v>2.8031674331319691</v>
      </c>
      <c r="K50" s="30">
        <f>(0.1*J50/1000)*1000</f>
        <v>0.28031674331319695</v>
      </c>
      <c r="L50" s="43">
        <f t="shared" ref="L50:L55" si="34">K50*100/L31</f>
        <v>0.3995588973745367</v>
      </c>
      <c r="M50" s="30">
        <f>AVERAGE(L50:L52)</f>
        <v>0.3178729064330707</v>
      </c>
      <c r="N50" s="44">
        <f>STDEV(L50:L52)</f>
        <v>0.11056927334187788</v>
      </c>
      <c r="O50" s="48">
        <f>L50/L40</f>
        <v>4.2926348073442826</v>
      </c>
      <c r="P50" s="30">
        <f>AVERAGE(O50:O52)</f>
        <v>2.4284105253810977</v>
      </c>
      <c r="Q50" s="44">
        <f>STDEV(O50:O52)</f>
        <v>1.6760095910318362</v>
      </c>
      <c r="S50"/>
      <c r="T50"/>
    </row>
    <row r="51" spans="1:25" ht="15">
      <c r="B51" s="67">
        <v>0.09</v>
      </c>
      <c r="C51" s="67">
        <v>8.4000000000000005E-2</v>
      </c>
      <c r="D51" s="27">
        <f t="shared" si="28"/>
        <v>8.6999999999999994E-2</v>
      </c>
      <c r="E51" s="27">
        <f t="shared" si="29"/>
        <v>1.949999999999999E-2</v>
      </c>
      <c r="F51" s="27">
        <f t="shared" si="30"/>
        <v>-1.7099653886374822</v>
      </c>
      <c r="G51" s="28">
        <f t="shared" si="31"/>
        <v>-1.0778272955162091</v>
      </c>
      <c r="H51" s="27">
        <f t="shared" si="32"/>
        <v>8.3593537586381467E-2</v>
      </c>
      <c r="I51" s="41">
        <v>16</v>
      </c>
      <c r="J51" s="42">
        <f t="shared" si="33"/>
        <v>1.3374966013821035</v>
      </c>
      <c r="K51" s="30">
        <f t="shared" ref="K51:K55" si="35">(0.1*J51/1000)*1000</f>
        <v>0.13374966013821035</v>
      </c>
      <c r="L51" s="43">
        <f t="shared" si="34"/>
        <v>0.19205277656558367</v>
      </c>
      <c r="M51" s="30"/>
      <c r="N51" s="44"/>
      <c r="O51" s="2">
        <f t="shared" ref="O51:O55" si="36">L51/L41</f>
        <v>1.9463084055488544</v>
      </c>
      <c r="P51" s="30"/>
      <c r="Q51" s="44"/>
      <c r="S51"/>
      <c r="T51"/>
    </row>
    <row r="52" spans="1:25" ht="15">
      <c r="B52" s="67">
        <v>0.105</v>
      </c>
      <c r="C52" s="67">
        <v>0.10299999999999999</v>
      </c>
      <c r="D52" s="27">
        <f t="shared" si="28"/>
        <v>0.104</v>
      </c>
      <c r="E52" s="27">
        <f t="shared" si="29"/>
        <v>3.6499999999999991E-2</v>
      </c>
      <c r="F52" s="27">
        <f t="shared" si="30"/>
        <v>-1.4377071355435254</v>
      </c>
      <c r="G52" s="28">
        <f t="shared" si="31"/>
        <v>-0.8067440312821369</v>
      </c>
      <c r="H52" s="27">
        <f t="shared" si="32"/>
        <v>0.15604719580251022</v>
      </c>
      <c r="I52" s="41">
        <v>16</v>
      </c>
      <c r="J52" s="42">
        <f t="shared" si="33"/>
        <v>2.4967551328401636</v>
      </c>
      <c r="K52" s="30">
        <f t="shared" si="35"/>
        <v>0.24967551328401641</v>
      </c>
      <c r="L52" s="43">
        <f t="shared" si="34"/>
        <v>0.36200704535909162</v>
      </c>
      <c r="M52" s="30"/>
      <c r="N52" s="44"/>
      <c r="O52" s="2">
        <f t="shared" si="36"/>
        <v>1.0462883632501561</v>
      </c>
      <c r="P52" s="30"/>
      <c r="Q52" s="44"/>
      <c r="S52"/>
      <c r="T52"/>
    </row>
    <row r="53" spans="1:25" ht="15">
      <c r="A53" s="1" t="s">
        <v>26</v>
      </c>
      <c r="B53" s="69">
        <v>0.48699999999999999</v>
      </c>
      <c r="C53" s="69">
        <v>0.47</v>
      </c>
      <c r="D53" s="27">
        <f>AVERAGE(B53:C53)</f>
        <v>0.47849999999999998</v>
      </c>
      <c r="E53" s="27">
        <f t="shared" si="29"/>
        <v>0.41099999999999998</v>
      </c>
      <c r="F53" s="27">
        <f t="shared" si="30"/>
        <v>-0.38615817812393083</v>
      </c>
      <c r="G53" s="28">
        <f t="shared" si="31"/>
        <v>0.24026674117318059</v>
      </c>
      <c r="H53" s="27">
        <f t="shared" si="32"/>
        <v>1.7388685038707896</v>
      </c>
      <c r="I53" s="41">
        <v>16</v>
      </c>
      <c r="J53" s="42">
        <f t="shared" si="33"/>
        <v>27.821896061932634</v>
      </c>
      <c r="K53" s="30">
        <f t="shared" si="35"/>
        <v>2.7821896061932634</v>
      </c>
      <c r="L53" s="43">
        <f t="shared" si="34"/>
        <v>4.5816103984875323</v>
      </c>
      <c r="M53" s="30">
        <f>AVERAGE(L53:L55)</f>
        <v>4.0745887706249349</v>
      </c>
      <c r="N53" s="44">
        <f>STDEV(L53:L55)</f>
        <v>0.6998286008186072</v>
      </c>
      <c r="O53" s="2">
        <f t="shared" si="36"/>
        <v>3.9187541272104816</v>
      </c>
      <c r="P53" s="30">
        <f>AVERAGE(O53:O55)</f>
        <v>2.6026833413930359</v>
      </c>
      <c r="Q53" s="44">
        <f>STDEV(O53:O55)</f>
        <v>1.1442042801363721</v>
      </c>
      <c r="S53"/>
      <c r="T53"/>
    </row>
    <row r="54" spans="1:25" ht="15">
      <c r="A54" s="45"/>
      <c r="B54" s="67">
        <v>0.36599999999999999</v>
      </c>
      <c r="C54" s="67">
        <v>0.30099999999999999</v>
      </c>
      <c r="D54" s="27">
        <f>AVERAGE(B54:C54)</f>
        <v>0.33350000000000002</v>
      </c>
      <c r="E54" s="27">
        <f t="shared" si="29"/>
        <v>0.26600000000000001</v>
      </c>
      <c r="F54" s="27">
        <f t="shared" si="30"/>
        <v>-0.57511836336893296</v>
      </c>
      <c r="G54" s="28">
        <f t="shared" si="31"/>
        <v>5.2122054118229615E-2</v>
      </c>
      <c r="H54" s="27">
        <f t="shared" si="32"/>
        <v>1.1275142882600577</v>
      </c>
      <c r="I54" s="41">
        <v>16</v>
      </c>
      <c r="J54" s="42">
        <f t="shared" si="33"/>
        <v>18.040228612160924</v>
      </c>
      <c r="K54" s="30">
        <f t="shared" si="35"/>
        <v>1.8040228612160925</v>
      </c>
      <c r="L54" s="43">
        <f t="shared" si="34"/>
        <v>3.2761404628620996</v>
      </c>
      <c r="M54" s="30"/>
      <c r="N54" s="44"/>
      <c r="O54" s="2">
        <f t="shared" si="36"/>
        <v>1.8437931036786164</v>
      </c>
      <c r="P54" s="30"/>
      <c r="Q54" s="44"/>
      <c r="S54"/>
      <c r="T54"/>
    </row>
    <row r="55" spans="1:25" ht="15">
      <c r="A55" s="46"/>
      <c r="B55" s="67">
        <v>0.49199999999999999</v>
      </c>
      <c r="C55" s="67">
        <v>0.40799999999999997</v>
      </c>
      <c r="D55" s="27">
        <f>AVERAGE(B55:C55)</f>
        <v>0.44999999999999996</v>
      </c>
      <c r="E55" s="27">
        <f t="shared" si="29"/>
        <v>0.38249999999999995</v>
      </c>
      <c r="F55" s="27">
        <f t="shared" si="30"/>
        <v>-0.41736856051036364</v>
      </c>
      <c r="G55" s="28">
        <f t="shared" si="31"/>
        <v>0.20919105388303982</v>
      </c>
      <c r="H55" s="27">
        <f t="shared" si="32"/>
        <v>1.6187920164853491</v>
      </c>
      <c r="I55" s="41">
        <v>16</v>
      </c>
      <c r="J55" s="42">
        <f t="shared" si="33"/>
        <v>25.900672263765586</v>
      </c>
      <c r="K55" s="30">
        <f t="shared" si="35"/>
        <v>2.5900672263765587</v>
      </c>
      <c r="L55" s="43">
        <f t="shared" si="34"/>
        <v>4.3660154505251736</v>
      </c>
      <c r="M55" s="30"/>
      <c r="N55" s="44"/>
      <c r="O55" s="2">
        <f t="shared" si="36"/>
        <v>2.0455027932900101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2.4284105253810977</v>
      </c>
      <c r="O58" s="30">
        <f>Q50</f>
        <v>1.6760095910318362</v>
      </c>
    </row>
    <row r="59" spans="1:25" ht="15">
      <c r="D59"/>
      <c r="E59"/>
      <c r="G59"/>
      <c r="M59" s="2" t="s">
        <v>26</v>
      </c>
      <c r="N59" s="30">
        <f>P53</f>
        <v>2.6026833413930359</v>
      </c>
      <c r="O59" s="30">
        <f>Q53</f>
        <v>1.1442042801363721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0.17924905694032991</v>
      </c>
      <c r="C65" s="30">
        <f>N40</f>
        <v>0.14443042638824191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0.3178729064330707</v>
      </c>
      <c r="C66" s="30">
        <f>N50</f>
        <v>0.11056927334187788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1.6934813486671798</v>
      </c>
      <c r="C67" s="30">
        <f>N43</f>
        <v>0.48801822112861926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4.0745887706249349</v>
      </c>
      <c r="C68" s="30">
        <f>N53</f>
        <v>0.6998286008186072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  <c r="H76" s="38"/>
    </row>
    <row r="77" spans="1:8">
      <c r="A77" s="55"/>
      <c r="B77" s="38"/>
      <c r="C77" s="56"/>
      <c r="D77" s="57"/>
      <c r="E77" s="38"/>
      <c r="F77" s="38"/>
      <c r="G77" s="38"/>
    </row>
    <row r="78" spans="1:8">
      <c r="A78" s="52"/>
      <c r="B78" s="58"/>
      <c r="C78" s="59"/>
      <c r="D78" s="38"/>
      <c r="E78" s="38"/>
      <c r="F78" s="38"/>
      <c r="G78" s="38"/>
    </row>
    <row r="79" spans="1:8">
      <c r="A79" s="52"/>
      <c r="B79" s="42"/>
      <c r="C79" s="56"/>
      <c r="D79" s="38"/>
      <c r="E79" s="38"/>
      <c r="F79" s="38"/>
      <c r="G79" s="38"/>
    </row>
    <row r="80" spans="1:8">
      <c r="A80" s="52"/>
      <c r="B80" s="42"/>
      <c r="C80" s="56"/>
      <c r="D80" s="38"/>
      <c r="E80" s="38"/>
      <c r="F80" s="38"/>
      <c r="G80" s="38"/>
    </row>
    <row r="81" spans="1:7">
      <c r="A81" s="52"/>
      <c r="B81" s="42"/>
      <c r="C81" s="56"/>
      <c r="D81" s="38"/>
      <c r="E81" s="38"/>
      <c r="F81" s="38"/>
      <c r="G81" s="38"/>
    </row>
    <row r="82" spans="1:7">
      <c r="A82" s="52"/>
      <c r="B82" s="42"/>
      <c r="C82" s="56"/>
      <c r="D82" s="38"/>
      <c r="E82" s="38"/>
      <c r="F82" s="38"/>
      <c r="G82" s="38"/>
    </row>
    <row r="83" spans="1:7">
      <c r="A83" s="52"/>
      <c r="B83" s="38"/>
      <c r="C83" s="38"/>
      <c r="D83" s="60"/>
      <c r="E83" s="58"/>
      <c r="F83" s="58"/>
      <c r="G83" s="38"/>
    </row>
    <row r="84" spans="1:7">
      <c r="A84" s="52"/>
      <c r="B84" s="42"/>
      <c r="C84" s="56"/>
      <c r="D84" s="47"/>
      <c r="E84" s="47"/>
      <c r="F84" s="47"/>
      <c r="G84" s="38"/>
    </row>
    <row r="85" spans="1:7">
      <c r="A85" s="52"/>
      <c r="B85" s="42"/>
      <c r="C85" s="56"/>
      <c r="D85" s="47"/>
      <c r="E85" s="47"/>
      <c r="F85" s="47"/>
      <c r="G85" s="38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>
      <c r="C97" s="47"/>
      <c r="D97" s="47"/>
      <c r="E97" s="61"/>
      <c r="F97" s="61"/>
    </row>
    <row r="98" spans="2:6">
      <c r="C98" s="47"/>
      <c r="D98" s="47"/>
      <c r="E98" s="61"/>
      <c r="F98" s="61"/>
    </row>
    <row r="99" spans="2:6">
      <c r="C99" s="47"/>
      <c r="D99" s="47"/>
      <c r="E99" s="61"/>
      <c r="F99" s="61"/>
    </row>
    <row r="100" spans="2:6">
      <c r="C100" s="47"/>
      <c r="D100" s="47"/>
      <c r="E100" s="61"/>
      <c r="F100" s="61"/>
    </row>
    <row r="101" spans="2:6">
      <c r="C101" s="47"/>
      <c r="D101" s="47"/>
      <c r="E101" s="61"/>
      <c r="F101" s="61"/>
    </row>
    <row r="102" spans="2:6">
      <c r="C102" s="47"/>
      <c r="D102" s="47"/>
      <c r="E102" s="61"/>
      <c r="F102" s="61"/>
    </row>
    <row r="103" spans="2:6">
      <c r="C103" s="47"/>
      <c r="D103" s="47"/>
      <c r="E103" s="61"/>
      <c r="F103" s="61"/>
    </row>
    <row r="104" spans="2:6">
      <c r="C104" s="47"/>
      <c r="D104" s="47"/>
      <c r="E104" s="61"/>
      <c r="F104" s="61"/>
    </row>
    <row r="105" spans="2:6">
      <c r="C105" s="47"/>
      <c r="D105" s="47"/>
      <c r="E105" s="61"/>
      <c r="F105" s="61"/>
    </row>
    <row r="106" spans="2:6">
      <c r="C106" s="47"/>
    </row>
    <row r="107" spans="2:6">
      <c r="C107" s="47"/>
    </row>
    <row r="108" spans="2:6" ht="13.5" thickBot="1">
      <c r="B108" s="62"/>
      <c r="C108" s="62"/>
      <c r="D108" s="62"/>
      <c r="E108" s="62"/>
    </row>
    <row r="109" spans="2:6">
      <c r="B109" s="61"/>
      <c r="C109" s="61"/>
      <c r="D109" s="61"/>
      <c r="E109" s="61"/>
    </row>
    <row r="110" spans="2:6">
      <c r="B110" s="61"/>
      <c r="C110" s="61"/>
      <c r="D110" s="61"/>
      <c r="E110" s="61"/>
    </row>
    <row r="111" spans="2:6">
      <c r="B111" s="61"/>
      <c r="C111" s="61"/>
      <c r="D111" s="61"/>
      <c r="E111" s="61"/>
    </row>
    <row r="112" spans="2:6">
      <c r="B112" s="61"/>
      <c r="C112" s="61"/>
      <c r="D112" s="61"/>
      <c r="E112" s="61"/>
    </row>
    <row r="113" spans="2:5">
      <c r="B113" s="61"/>
      <c r="C113" s="61"/>
      <c r="D113" s="61"/>
      <c r="E113" s="61"/>
    </row>
    <row r="114" spans="2:5">
      <c r="B114" s="61"/>
      <c r="C114" s="61"/>
      <c r="D114" s="61"/>
      <c r="E114" s="61"/>
    </row>
    <row r="115" spans="2:5">
      <c r="B115" s="61"/>
      <c r="C115" s="61"/>
      <c r="D115" s="61"/>
      <c r="E115" s="61"/>
    </row>
    <row r="116" spans="2:5">
      <c r="B116" s="61"/>
      <c r="C116" s="61"/>
      <c r="D116" s="61"/>
      <c r="E116" s="61"/>
    </row>
    <row r="117" spans="2:5">
      <c r="B117" s="61"/>
      <c r="C117" s="61"/>
      <c r="D117" s="61"/>
      <c r="E117" s="61"/>
    </row>
    <row r="118" spans="2:5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8"/>
  <sheetViews>
    <sheetView topLeftCell="A25" zoomScale="80" zoomScaleNormal="80" workbookViewId="0">
      <selection activeCell="B50" sqref="B50:C55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6" style="2" bestFit="1" customWidth="1"/>
    <col min="5" max="5" width="8.625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/>
    </row>
    <row r="2" spans="1:20">
      <c r="A2" s="1" t="s">
        <v>1</v>
      </c>
      <c r="C2" s="3"/>
      <c r="E2" s="4"/>
    </row>
    <row r="3" spans="1:20">
      <c r="A3" s="1" t="s">
        <v>2</v>
      </c>
      <c r="B3" s="2" t="s">
        <v>40</v>
      </c>
      <c r="D3" s="10"/>
      <c r="E3" s="10"/>
      <c r="F3" s="10"/>
    </row>
    <row r="4" spans="1:20" ht="15">
      <c r="D4" s="10"/>
      <c r="E4" s="65"/>
      <c r="F4" s="65"/>
    </row>
    <row r="5" spans="1:20">
      <c r="A5" s="2"/>
    </row>
    <row r="6" spans="1:20" ht="15">
      <c r="N6"/>
      <c r="O6"/>
      <c r="P6"/>
    </row>
    <row r="7" spans="1:20" ht="15">
      <c r="A7" s="5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5">
        <v>0</v>
      </c>
      <c r="B8" s="10">
        <v>0</v>
      </c>
      <c r="C8" s="64">
        <v>7.1999999999999995E-2</v>
      </c>
      <c r="D8" s="64">
        <v>6.3E-2</v>
      </c>
      <c r="E8" s="11">
        <f t="shared" ref="E8:E13" si="0">AVERAGE(C8:D8)</f>
        <v>6.7500000000000004E-2</v>
      </c>
      <c r="F8" s="12"/>
      <c r="G8" s="10"/>
      <c r="H8" s="10"/>
      <c r="N8"/>
      <c r="O8"/>
      <c r="P8"/>
    </row>
    <row r="9" spans="1:20" ht="15">
      <c r="A9" s="5">
        <v>3</v>
      </c>
      <c r="B9" s="12">
        <f>A9/23</f>
        <v>0.13043478260869565</v>
      </c>
      <c r="C9" s="64">
        <v>9.9000000000000005E-2</v>
      </c>
      <c r="D9" s="64">
        <v>9.4E-2</v>
      </c>
      <c r="E9" s="11">
        <f t="shared" si="0"/>
        <v>9.6500000000000002E-2</v>
      </c>
      <c r="F9" s="12">
        <f>(E9-$E$8)</f>
        <v>2.8999999999999998E-2</v>
      </c>
      <c r="G9" s="12">
        <f>LOG(B9)</f>
        <v>-0.88460658129793046</v>
      </c>
      <c r="H9" s="12">
        <f>LOG(F9)</f>
        <v>-1.5376020021010439</v>
      </c>
      <c r="N9"/>
      <c r="O9"/>
      <c r="P9"/>
    </row>
    <row r="10" spans="1:20" ht="15">
      <c r="A10" s="5">
        <v>9.74</v>
      </c>
      <c r="B10" s="12">
        <f t="shared" ref="B10:B13" si="1">A10/23</f>
        <v>0.42347826086956525</v>
      </c>
      <c r="C10" s="64">
        <v>0.17799999999999999</v>
      </c>
      <c r="D10" s="64">
        <v>0.16500000000000001</v>
      </c>
      <c r="E10" s="11">
        <f t="shared" si="0"/>
        <v>0.17149999999999999</v>
      </c>
      <c r="F10" s="12">
        <f>(E10-$E$8)</f>
        <v>0.10399999999999998</v>
      </c>
      <c r="G10" s="12">
        <f>LOG(B10)</f>
        <v>-0.37316887913897734</v>
      </c>
      <c r="H10" s="12">
        <f>LOG(F10)</f>
        <v>-0.98296666070121974</v>
      </c>
      <c r="N10"/>
      <c r="O10"/>
      <c r="P10"/>
    </row>
    <row r="11" spans="1:20" ht="15">
      <c r="A11" s="5">
        <v>29.8</v>
      </c>
      <c r="B11" s="12">
        <f t="shared" si="1"/>
        <v>1.2956521739130435</v>
      </c>
      <c r="C11" s="64">
        <v>0.39200000000000002</v>
      </c>
      <c r="D11" s="64">
        <v>0.38200000000000001</v>
      </c>
      <c r="E11" s="11">
        <f t="shared" si="0"/>
        <v>0.38700000000000001</v>
      </c>
      <c r="F11" s="12">
        <f>(E11-$E$8)</f>
        <v>0.31950000000000001</v>
      </c>
      <c r="G11" s="12">
        <f>LOG(B11)</f>
        <v>0.11248842805866238</v>
      </c>
      <c r="H11" s="12">
        <f>LOG(F11)</f>
        <v>-0.49552913750558103</v>
      </c>
      <c r="N11"/>
      <c r="O11"/>
      <c r="P11"/>
      <c r="Q11"/>
      <c r="R11"/>
      <c r="S11"/>
      <c r="T11"/>
    </row>
    <row r="12" spans="1:20" ht="15">
      <c r="A12" s="5">
        <v>104</v>
      </c>
      <c r="B12" s="12">
        <f t="shared" si="1"/>
        <v>4.5217391304347823</v>
      </c>
      <c r="C12" s="64">
        <v>1.105</v>
      </c>
      <c r="D12" s="64">
        <v>1.149</v>
      </c>
      <c r="E12" s="11">
        <f t="shared" si="0"/>
        <v>1.127</v>
      </c>
      <c r="F12" s="12">
        <f>(E12-$E$8)</f>
        <v>1.0594999999999999</v>
      </c>
      <c r="G12" s="12">
        <f>LOG(B12)</f>
        <v>0.65530550328118742</v>
      </c>
      <c r="H12" s="12">
        <f>LOG(F12)</f>
        <v>2.5100961046813336E-2</v>
      </c>
      <c r="N12"/>
      <c r="O12"/>
      <c r="P12"/>
      <c r="Q12"/>
      <c r="R12"/>
      <c r="S12"/>
      <c r="T12"/>
    </row>
    <row r="13" spans="1:20" ht="15">
      <c r="A13" s="5">
        <v>207</v>
      </c>
      <c r="B13" s="12">
        <f t="shared" si="1"/>
        <v>9</v>
      </c>
      <c r="C13" s="64">
        <v>2.19</v>
      </c>
      <c r="D13" s="64">
        <v>2.1230000000000002</v>
      </c>
      <c r="E13" s="11">
        <f t="shared" si="0"/>
        <v>2.1565000000000003</v>
      </c>
      <c r="F13" s="12">
        <f>(E13-$E$8)</f>
        <v>2.0890000000000004</v>
      </c>
      <c r="G13" s="12">
        <f>LOG(B13)</f>
        <v>0.95424250943932487</v>
      </c>
      <c r="H13" s="12">
        <f>LOG(F13)</f>
        <v>0.31993843998030869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1.0043344205080476</v>
      </c>
      <c r="N15"/>
    </row>
    <row r="16" spans="1:20" ht="15">
      <c r="A16" s="5" t="s">
        <v>11</v>
      </c>
      <c r="B16" s="11">
        <f>INTERCEPT(H9:H13,G9:G13)</f>
        <v>-0.62746633638745419</v>
      </c>
      <c r="C16" s="13"/>
      <c r="G16" s="13"/>
      <c r="H16" s="13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17</v>
      </c>
      <c r="F20" s="21" t="s">
        <v>9</v>
      </c>
      <c r="G20" s="21" t="s">
        <v>18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5">
      <c r="A22" s="1" t="s">
        <v>25</v>
      </c>
      <c r="B22" s="70">
        <v>0.66800000000000004</v>
      </c>
      <c r="C22" s="70">
        <v>0.68200000000000005</v>
      </c>
      <c r="D22" s="27">
        <f t="shared" ref="D22:D27" si="2">AVERAGE(B22:C22)</f>
        <v>0.67500000000000004</v>
      </c>
      <c r="E22" s="27">
        <f>D22-E$8</f>
        <v>0.60750000000000004</v>
      </c>
      <c r="F22" s="27">
        <f>LOG(E22)</f>
        <v>-0.21645371772965016</v>
      </c>
      <c r="G22" s="28">
        <f>(F22-$B$16)/$B$15</f>
        <v>0.40923880558618242</v>
      </c>
      <c r="H22" s="28">
        <f>10^G22</f>
        <v>2.5658945575900378</v>
      </c>
      <c r="I22" s="29">
        <v>500</v>
      </c>
      <c r="J22" s="30">
        <f>(H22*I22)</f>
        <v>1282.947278795019</v>
      </c>
      <c r="K22" s="31">
        <f>(0.05*J22/1000)*1000</f>
        <v>64.147363939750946</v>
      </c>
      <c r="L22" s="32">
        <f>K22+K40+K50</f>
        <v>65.169584574451676</v>
      </c>
      <c r="M22" s="33">
        <f>(L22*1000000/50000)/1000</f>
        <v>1.3033916914890336</v>
      </c>
      <c r="N22" s="34"/>
    </row>
    <row r="23" spans="1:17" ht="15">
      <c r="B23" s="70">
        <v>0.60699999999999998</v>
      </c>
      <c r="C23" s="70">
        <v>0.60899999999999999</v>
      </c>
      <c r="D23" s="27">
        <f t="shared" si="2"/>
        <v>0.60799999999999998</v>
      </c>
      <c r="E23" s="27">
        <f t="shared" ref="E23:E27" si="3">D23-E$8</f>
        <v>0.54049999999999998</v>
      </c>
      <c r="F23" s="27">
        <f t="shared" ref="F23:F27" si="4">LOG(E23)</f>
        <v>-0.26720430171067089</v>
      </c>
      <c r="G23" s="28">
        <f t="shared" ref="G23:G27" si="5">(F23-$B$16)/$B$15</f>
        <v>0.35870724663060233</v>
      </c>
      <c r="H23" s="28">
        <f t="shared" ref="H23:H27" si="6">10^G23</f>
        <v>2.284058624287244</v>
      </c>
      <c r="I23" s="29">
        <v>500</v>
      </c>
      <c r="J23" s="30">
        <f t="shared" ref="J23:J27" si="7">(H23*I23)</f>
        <v>1142.0293121436221</v>
      </c>
      <c r="K23" s="31">
        <f t="shared" ref="K23:K27" si="8">(0.05*J23/1000)*1000</f>
        <v>57.101465607181105</v>
      </c>
      <c r="L23" s="32">
        <f>K23+K41+K51</f>
        <v>57.624617177634455</v>
      </c>
      <c r="M23" s="33">
        <f t="shared" ref="M23:M27" si="9">(L23*1000000/50000)/1000</f>
        <v>1.152492343552689</v>
      </c>
      <c r="N23" s="34"/>
    </row>
    <row r="24" spans="1:17" ht="15">
      <c r="B24" s="70">
        <v>0.57799999999999996</v>
      </c>
      <c r="C24" s="70">
        <v>0.58199999999999996</v>
      </c>
      <c r="D24" s="27">
        <f t="shared" si="2"/>
        <v>0.57999999999999996</v>
      </c>
      <c r="E24" s="27">
        <f t="shared" si="3"/>
        <v>0.51249999999999996</v>
      </c>
      <c r="F24" s="27">
        <f t="shared" si="4"/>
        <v>-0.29030613027220814</v>
      </c>
      <c r="G24" s="28">
        <f t="shared" si="5"/>
        <v>0.33570511896295646</v>
      </c>
      <c r="H24" s="28">
        <f t="shared" si="6"/>
        <v>2.1662327578412084</v>
      </c>
      <c r="I24" s="29">
        <v>500</v>
      </c>
      <c r="J24" s="30">
        <f t="shared" si="7"/>
        <v>1083.1163789206041</v>
      </c>
      <c r="K24" s="31">
        <f t="shared" si="8"/>
        <v>54.155818946030209</v>
      </c>
      <c r="L24" s="32">
        <f t="shared" ref="L24:L27" si="10">K24+K42+K52</f>
        <v>54.722698882486888</v>
      </c>
      <c r="M24" s="33">
        <f t="shared" si="9"/>
        <v>1.0944539776497377</v>
      </c>
      <c r="N24" s="34"/>
    </row>
    <row r="25" spans="1:17" ht="15">
      <c r="A25" s="1" t="s">
        <v>26</v>
      </c>
      <c r="B25" s="70">
        <v>0.63400000000000001</v>
      </c>
      <c r="C25" s="70">
        <v>0.629</v>
      </c>
      <c r="D25" s="27">
        <f t="shared" si="2"/>
        <v>0.63149999999999995</v>
      </c>
      <c r="E25" s="27">
        <f t="shared" si="3"/>
        <v>0.56399999999999995</v>
      </c>
      <c r="F25" s="27">
        <f t="shared" si="4"/>
        <v>-0.24872089601665776</v>
      </c>
      <c r="G25" s="28">
        <f t="shared" si="5"/>
        <v>0.37711088322473918</v>
      </c>
      <c r="H25" s="28">
        <f t="shared" si="6"/>
        <v>2.3829277961998452</v>
      </c>
      <c r="I25" s="29">
        <v>500</v>
      </c>
      <c r="J25" s="30">
        <f t="shared" si="7"/>
        <v>1191.4638980999225</v>
      </c>
      <c r="K25" s="31">
        <f t="shared" si="8"/>
        <v>59.573194904996129</v>
      </c>
      <c r="L25" s="32">
        <f t="shared" si="10"/>
        <v>64.18546887458632</v>
      </c>
      <c r="M25" s="33">
        <f t="shared" si="9"/>
        <v>1.2837093774917263</v>
      </c>
      <c r="N25" s="34"/>
    </row>
    <row r="26" spans="1:17" ht="15">
      <c r="B26" s="70">
        <v>0.52600000000000002</v>
      </c>
      <c r="C26" s="70">
        <v>0.53300000000000003</v>
      </c>
      <c r="D26" s="27">
        <f t="shared" si="2"/>
        <v>0.52950000000000008</v>
      </c>
      <c r="E26" s="27">
        <f t="shared" si="3"/>
        <v>0.46200000000000008</v>
      </c>
      <c r="F26" s="27">
        <f t="shared" si="4"/>
        <v>-0.33535802444387441</v>
      </c>
      <c r="G26" s="28">
        <f t="shared" si="5"/>
        <v>0.29084765589913303</v>
      </c>
      <c r="H26" s="28">
        <f t="shared" si="6"/>
        <v>1.9536540225367158</v>
      </c>
      <c r="I26" s="29">
        <v>500</v>
      </c>
      <c r="J26" s="30">
        <f t="shared" si="7"/>
        <v>976.82701126835786</v>
      </c>
      <c r="K26" s="31">
        <f t="shared" si="8"/>
        <v>48.841350563417897</v>
      </c>
      <c r="L26" s="32">
        <f t="shared" si="10"/>
        <v>52.727408037012793</v>
      </c>
      <c r="M26" s="33">
        <f t="shared" si="9"/>
        <v>1.0545481607402558</v>
      </c>
      <c r="N26" s="34"/>
    </row>
    <row r="27" spans="1:17" ht="15">
      <c r="B27" s="70">
        <v>0.55900000000000005</v>
      </c>
      <c r="C27" s="70">
        <v>0.57399999999999995</v>
      </c>
      <c r="D27" s="27">
        <f t="shared" si="2"/>
        <v>0.5665</v>
      </c>
      <c r="E27" s="27">
        <f t="shared" si="3"/>
        <v>0.499</v>
      </c>
      <c r="F27" s="27">
        <f t="shared" si="4"/>
        <v>-0.30189945437661009</v>
      </c>
      <c r="G27" s="28">
        <f t="shared" si="5"/>
        <v>0.32416182833418622</v>
      </c>
      <c r="H27" s="28">
        <f t="shared" si="6"/>
        <v>2.1094140207635173</v>
      </c>
      <c r="I27" s="29">
        <v>500</v>
      </c>
      <c r="J27" s="30">
        <f t="shared" si="7"/>
        <v>1054.7070103817587</v>
      </c>
      <c r="K27" s="31">
        <f t="shared" si="8"/>
        <v>52.735350519087937</v>
      </c>
      <c r="L27" s="32">
        <f t="shared" si="10"/>
        <v>57.005341912179802</v>
      </c>
      <c r="M27" s="33">
        <f t="shared" si="9"/>
        <v>1.1401068382435959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17</v>
      </c>
      <c r="F29" s="21" t="s">
        <v>9</v>
      </c>
      <c r="G29" s="21" t="s">
        <v>18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5">
      <c r="A31" s="1" t="s">
        <v>25</v>
      </c>
      <c r="B31" s="70">
        <v>0.66800000000000004</v>
      </c>
      <c r="C31" s="70">
        <v>0.68200000000000005</v>
      </c>
      <c r="D31" s="27">
        <f t="shared" ref="D31:D36" si="11">AVERAGE(B31:C31)</f>
        <v>0.67500000000000004</v>
      </c>
      <c r="E31" s="27">
        <f t="shared" ref="E31:E36" si="12">D31-E$8</f>
        <v>0.60750000000000004</v>
      </c>
      <c r="F31" s="27">
        <f>LOG(E31)</f>
        <v>-0.21645371772965016</v>
      </c>
      <c r="G31" s="28">
        <f>(F31-$B$16)/$B$15</f>
        <v>0.40923880558618242</v>
      </c>
      <c r="H31" s="28">
        <f>10^G31</f>
        <v>2.5658945575900378</v>
      </c>
      <c r="I31" s="29">
        <v>500</v>
      </c>
      <c r="J31" s="30">
        <f>(H31*I31)</f>
        <v>1282.947278795019</v>
      </c>
      <c r="K31" s="31">
        <f>(0.05*J31/1000)*1000</f>
        <v>64.147363939750946</v>
      </c>
      <c r="L31" s="32">
        <f>K31+K50</f>
        <v>64.930126335423083</v>
      </c>
      <c r="M31" s="33">
        <f>(L31*1000000/50000)/1000</f>
        <v>1.2986025267084618</v>
      </c>
      <c r="N31" s="35"/>
      <c r="Q31"/>
    </row>
    <row r="32" spans="1:17" ht="15">
      <c r="B32" s="70">
        <v>0.60699999999999998</v>
      </c>
      <c r="C32" s="70">
        <v>0.60899999999999999</v>
      </c>
      <c r="D32" s="27">
        <f t="shared" si="11"/>
        <v>0.60799999999999998</v>
      </c>
      <c r="E32" s="27">
        <f t="shared" si="12"/>
        <v>0.54049999999999998</v>
      </c>
      <c r="F32" s="27">
        <f t="shared" ref="F32:F36" si="13">LOG(E32)</f>
        <v>-0.26720430171067089</v>
      </c>
      <c r="G32" s="28">
        <f t="shared" ref="G32:G36" si="14">(F32-$B$16)/$B$15</f>
        <v>0.35870724663060233</v>
      </c>
      <c r="H32" s="28">
        <f t="shared" ref="H32:H36" si="15">10^G32</f>
        <v>2.284058624287244</v>
      </c>
      <c r="I32" s="29">
        <v>500</v>
      </c>
      <c r="J32" s="30">
        <f t="shared" ref="J32:J36" si="16">(H32*I32)</f>
        <v>1142.0293121436221</v>
      </c>
      <c r="K32" s="31">
        <f t="shared" ref="K32:K36" si="17">(0.05*J32/1000)*1000</f>
        <v>57.101465607181105</v>
      </c>
      <c r="L32" s="32">
        <f>K32+K51</f>
        <v>57.409006745460715</v>
      </c>
      <c r="M32" s="33">
        <f t="shared" ref="M32:M36" si="18">(L32*1000000/50000)/1000</f>
        <v>1.1481801349092142</v>
      </c>
      <c r="N32" s="36"/>
      <c r="Q32"/>
    </row>
    <row r="33" spans="1:21" ht="15">
      <c r="B33" s="70">
        <v>0.57799999999999996</v>
      </c>
      <c r="C33" s="70">
        <v>0.58199999999999996</v>
      </c>
      <c r="D33" s="27">
        <f t="shared" si="11"/>
        <v>0.57999999999999996</v>
      </c>
      <c r="E33" s="27">
        <f t="shared" si="12"/>
        <v>0.51249999999999996</v>
      </c>
      <c r="F33" s="27">
        <f t="shared" si="13"/>
        <v>-0.29030613027220814</v>
      </c>
      <c r="G33" s="28">
        <f t="shared" si="14"/>
        <v>0.33570511896295646</v>
      </c>
      <c r="H33" s="28">
        <f t="shared" si="15"/>
        <v>2.1662327578412084</v>
      </c>
      <c r="I33" s="29">
        <v>500</v>
      </c>
      <c r="J33" s="30">
        <f t="shared" si="16"/>
        <v>1083.1163789206041</v>
      </c>
      <c r="K33" s="31">
        <f t="shared" si="17"/>
        <v>54.155818946030209</v>
      </c>
      <c r="L33" s="32">
        <f t="shared" ref="L33:L36" si="19">K33+K52</f>
        <v>54.623116762800656</v>
      </c>
      <c r="M33" s="33">
        <f t="shared" si="18"/>
        <v>1.0924623352560132</v>
      </c>
      <c r="N33" s="36"/>
      <c r="Q33"/>
      <c r="R33"/>
      <c r="S33"/>
    </row>
    <row r="34" spans="1:21" ht="15">
      <c r="A34" s="1" t="s">
        <v>26</v>
      </c>
      <c r="B34" s="70">
        <v>0.63400000000000001</v>
      </c>
      <c r="C34" s="70">
        <v>0.629</v>
      </c>
      <c r="D34" s="27">
        <f t="shared" si="11"/>
        <v>0.63149999999999995</v>
      </c>
      <c r="E34" s="27">
        <f t="shared" si="12"/>
        <v>0.56399999999999995</v>
      </c>
      <c r="F34" s="27">
        <f t="shared" si="13"/>
        <v>-0.24872089601665776</v>
      </c>
      <c r="G34" s="28">
        <f t="shared" si="14"/>
        <v>0.37711088322473918</v>
      </c>
      <c r="H34" s="28">
        <f t="shared" si="15"/>
        <v>2.3829277961998452</v>
      </c>
      <c r="I34" s="29">
        <v>500</v>
      </c>
      <c r="J34" s="30">
        <f t="shared" si="16"/>
        <v>1191.4638980999225</v>
      </c>
      <c r="K34" s="31">
        <f t="shared" si="17"/>
        <v>59.573194904996129</v>
      </c>
      <c r="L34" s="32">
        <f t="shared" si="19"/>
        <v>63.402706478914197</v>
      </c>
      <c r="M34" s="33">
        <f t="shared" si="18"/>
        <v>1.2680541295782839</v>
      </c>
      <c r="N34" s="36"/>
      <c r="Q34"/>
      <c r="R34"/>
      <c r="S34"/>
    </row>
    <row r="35" spans="1:21" ht="15">
      <c r="B35" s="70">
        <v>0.52600000000000002</v>
      </c>
      <c r="C35" s="70">
        <v>0.53300000000000003</v>
      </c>
      <c r="D35" s="27">
        <f t="shared" si="11"/>
        <v>0.52950000000000008</v>
      </c>
      <c r="E35" s="27">
        <f t="shared" si="12"/>
        <v>0.46200000000000008</v>
      </c>
      <c r="F35" s="27">
        <f t="shared" si="13"/>
        <v>-0.33535802444387441</v>
      </c>
      <c r="G35" s="28">
        <f t="shared" si="14"/>
        <v>0.29084765589913303</v>
      </c>
      <c r="H35" s="28">
        <f t="shared" si="15"/>
        <v>1.9536540225367158</v>
      </c>
      <c r="I35" s="29">
        <v>500</v>
      </c>
      <c r="J35" s="30">
        <f t="shared" si="16"/>
        <v>976.82701126835786</v>
      </c>
      <c r="K35" s="31">
        <f t="shared" si="17"/>
        <v>48.841350563417897</v>
      </c>
      <c r="L35" s="32">
        <f t="shared" si="19"/>
        <v>51.751589551399071</v>
      </c>
      <c r="M35" s="33">
        <f t="shared" si="18"/>
        <v>1.0350317910279814</v>
      </c>
      <c r="N35" s="36"/>
      <c r="Q35"/>
      <c r="R35"/>
      <c r="S35"/>
    </row>
    <row r="36" spans="1:21" ht="15">
      <c r="B36" s="70">
        <v>0.55900000000000005</v>
      </c>
      <c r="C36" s="70">
        <v>0.57399999999999995</v>
      </c>
      <c r="D36" s="27">
        <f t="shared" si="11"/>
        <v>0.5665</v>
      </c>
      <c r="E36" s="27">
        <f t="shared" si="12"/>
        <v>0.499</v>
      </c>
      <c r="F36" s="27">
        <f t="shared" si="13"/>
        <v>-0.30189945437661009</v>
      </c>
      <c r="G36" s="28">
        <f t="shared" si="14"/>
        <v>0.32416182833418622</v>
      </c>
      <c r="H36" s="28">
        <f t="shared" si="15"/>
        <v>2.1094140207635173</v>
      </c>
      <c r="I36" s="29">
        <v>500</v>
      </c>
      <c r="J36" s="30">
        <f t="shared" si="16"/>
        <v>1054.7070103817587</v>
      </c>
      <c r="K36" s="31">
        <f t="shared" si="17"/>
        <v>52.735350519087937</v>
      </c>
      <c r="L36" s="32">
        <f t="shared" si="19"/>
        <v>56.043065398549274</v>
      </c>
      <c r="M36" s="33">
        <f t="shared" si="18"/>
        <v>1.1208613079709855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17</v>
      </c>
      <c r="F39" s="21" t="s">
        <v>9</v>
      </c>
      <c r="G39" s="21" t="s">
        <v>18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71">
        <v>0.10100000000000001</v>
      </c>
      <c r="C40" s="71">
        <v>0.104</v>
      </c>
      <c r="D40" s="27">
        <f t="shared" ref="D40:D45" si="20">AVERAGE(B40,C40)</f>
        <v>0.10250000000000001</v>
      </c>
      <c r="E40" s="27">
        <f t="shared" ref="E40:E45" si="21">D40-E$8</f>
        <v>3.5000000000000003E-2</v>
      </c>
      <c r="F40" s="27">
        <f t="shared" ref="F40:F45" si="22">LOG(E40)</f>
        <v>-1.4559319556497243</v>
      </c>
      <c r="G40" s="28">
        <f t="shared" ref="G40:G45" si="23">(F40-$B$16)/$B$15</f>
        <v>-0.82489019827000121</v>
      </c>
      <c r="H40" s="27">
        <f t="shared" ref="H40:H45" si="24">10^G40</f>
        <v>0.14966139939287154</v>
      </c>
      <c r="I40" s="41">
        <v>16</v>
      </c>
      <c r="J40" s="42">
        <f t="shared" ref="J40:J45" si="25">H40*I40</f>
        <v>2.3945823902859447</v>
      </c>
      <c r="K40" s="30">
        <f>(0.1*J40/1000)*1000</f>
        <v>0.23945823902859448</v>
      </c>
      <c r="L40" s="43">
        <f>K40*100/L22</f>
        <v>0.36743864579193419</v>
      </c>
      <c r="M40" s="30">
        <f>AVERAGE(L40:L42)</f>
        <v>0.30785943152073397</v>
      </c>
      <c r="N40" s="44">
        <f>STDEV(L40:L42)</f>
        <v>0.10907018761729753</v>
      </c>
      <c r="R40"/>
      <c r="S40"/>
      <c r="T40"/>
      <c r="U40"/>
    </row>
    <row r="41" spans="1:21" ht="15">
      <c r="B41" s="71">
        <v>9.5000000000000001E-2</v>
      </c>
      <c r="C41" s="71">
        <v>0.10299999999999999</v>
      </c>
      <c r="D41" s="27">
        <f t="shared" si="20"/>
        <v>9.9000000000000005E-2</v>
      </c>
      <c r="E41" s="27">
        <f t="shared" si="21"/>
        <v>3.15E-2</v>
      </c>
      <c r="F41" s="27">
        <f t="shared" si="22"/>
        <v>-1.5016894462103996</v>
      </c>
      <c r="G41" s="28">
        <f t="shared" si="23"/>
        <v>-0.87045021257034616</v>
      </c>
      <c r="H41" s="27">
        <f t="shared" si="24"/>
        <v>0.13475652010858657</v>
      </c>
      <c r="I41" s="41">
        <v>16</v>
      </c>
      <c r="J41" s="42">
        <f t="shared" si="25"/>
        <v>2.1561043217373852</v>
      </c>
      <c r="K41" s="30">
        <f t="shared" ref="K41:K45" si="26">(0.1*J41/1000)*1000</f>
        <v>0.21561043217373854</v>
      </c>
      <c r="L41" s="43">
        <f t="shared" ref="L41:L45" si="27">K41*100/L23</f>
        <v>0.37416375627988085</v>
      </c>
      <c r="M41" s="30"/>
      <c r="N41" s="44"/>
      <c r="R41"/>
      <c r="S41"/>
      <c r="T41"/>
      <c r="U41"/>
    </row>
    <row r="42" spans="1:21" s="17" customFormat="1" ht="15">
      <c r="A42" s="1"/>
      <c r="B42" s="71">
        <v>8.2000000000000003E-2</v>
      </c>
      <c r="C42" s="71">
        <v>8.2000000000000003E-2</v>
      </c>
      <c r="D42" s="27">
        <f t="shared" si="20"/>
        <v>8.2000000000000003E-2</v>
      </c>
      <c r="E42" s="27">
        <f t="shared" si="21"/>
        <v>1.4499999999999999E-2</v>
      </c>
      <c r="F42" s="27">
        <f t="shared" si="22"/>
        <v>-1.8386319977650252</v>
      </c>
      <c r="G42" s="28">
        <f t="shared" si="23"/>
        <v>-1.2059386163076009</v>
      </c>
      <c r="H42" s="27">
        <f t="shared" si="24"/>
        <v>6.2238824803895337E-2</v>
      </c>
      <c r="I42" s="41">
        <v>16</v>
      </c>
      <c r="J42" s="42">
        <f t="shared" si="25"/>
        <v>0.9958211968623254</v>
      </c>
      <c r="K42" s="30">
        <f t="shared" si="26"/>
        <v>9.958211968623254E-2</v>
      </c>
      <c r="L42" s="43">
        <f t="shared" si="27"/>
        <v>0.18197589249038698</v>
      </c>
      <c r="M42" s="30"/>
      <c r="N42" s="44"/>
      <c r="R42"/>
      <c r="S42"/>
      <c r="T42"/>
      <c r="U42"/>
    </row>
    <row r="43" spans="1:21" ht="15">
      <c r="A43" s="1" t="s">
        <v>34</v>
      </c>
      <c r="B43" s="71">
        <v>0.192</v>
      </c>
      <c r="C43" s="71">
        <v>0.17299999999999999</v>
      </c>
      <c r="D43" s="27">
        <f t="shared" si="20"/>
        <v>0.1825</v>
      </c>
      <c r="E43" s="27">
        <f t="shared" si="21"/>
        <v>0.11499999999999999</v>
      </c>
      <c r="F43" s="27">
        <f t="shared" si="22"/>
        <v>-0.9393021596463883</v>
      </c>
      <c r="G43" s="28">
        <f t="shared" si="23"/>
        <v>-0.31049002891008198</v>
      </c>
      <c r="H43" s="27">
        <f t="shared" si="24"/>
        <v>0.48922649729508166</v>
      </c>
      <c r="I43" s="41">
        <v>16</v>
      </c>
      <c r="J43" s="42">
        <f t="shared" si="25"/>
        <v>7.8276239567213066</v>
      </c>
      <c r="K43" s="30">
        <f t="shared" si="26"/>
        <v>0.78276239567213068</v>
      </c>
      <c r="L43" s="43">
        <f t="shared" si="27"/>
        <v>1.2195320987708149</v>
      </c>
      <c r="M43" s="30">
        <f>AVERAGE(L43:L45)</f>
        <v>1.5860879302717537</v>
      </c>
      <c r="N43" s="44">
        <f>STDEV(L43:L45)</f>
        <v>0.32769691242478</v>
      </c>
      <c r="R43"/>
      <c r="S43"/>
      <c r="T43"/>
      <c r="U43"/>
    </row>
    <row r="44" spans="1:21" ht="15">
      <c r="A44" s="45"/>
      <c r="B44" s="71">
        <v>0.221</v>
      </c>
      <c r="C44" s="71">
        <v>0.20100000000000001</v>
      </c>
      <c r="D44" s="27">
        <f t="shared" si="20"/>
        <v>0.21100000000000002</v>
      </c>
      <c r="E44" s="27">
        <f t="shared" si="21"/>
        <v>0.14350000000000002</v>
      </c>
      <c r="F44" s="27">
        <f t="shared" si="22"/>
        <v>-0.84314809892998877</v>
      </c>
      <c r="G44" s="28">
        <f t="shared" si="23"/>
        <v>-0.2147509416568944</v>
      </c>
      <c r="H44" s="27">
        <f t="shared" si="24"/>
        <v>0.60988655350857612</v>
      </c>
      <c r="I44" s="41">
        <v>16</v>
      </c>
      <c r="J44" s="42">
        <f t="shared" si="25"/>
        <v>9.758184856137218</v>
      </c>
      <c r="K44" s="30">
        <f t="shared" si="26"/>
        <v>0.97581848561372186</v>
      </c>
      <c r="L44" s="43">
        <f t="shared" si="27"/>
        <v>1.8506854820717367</v>
      </c>
      <c r="M44" s="30"/>
      <c r="N44" s="44"/>
      <c r="R44"/>
      <c r="S44"/>
      <c r="T44"/>
      <c r="U44"/>
    </row>
    <row r="45" spans="1:21" ht="15">
      <c r="A45" s="46"/>
      <c r="B45" s="71">
        <v>0.218</v>
      </c>
      <c r="C45" s="71">
        <v>0.2</v>
      </c>
      <c r="D45" s="27">
        <f t="shared" si="20"/>
        <v>0.20900000000000002</v>
      </c>
      <c r="E45" s="27">
        <f t="shared" si="21"/>
        <v>0.14150000000000001</v>
      </c>
      <c r="F45" s="27">
        <f t="shared" si="22"/>
        <v>-0.84924356013969093</v>
      </c>
      <c r="G45" s="28">
        <f t="shared" si="23"/>
        <v>-0.22082009659695784</v>
      </c>
      <c r="H45" s="27">
        <f t="shared" si="24"/>
        <v>0.60142282101908473</v>
      </c>
      <c r="I45" s="41">
        <v>16</v>
      </c>
      <c r="J45" s="42">
        <f t="shared" si="25"/>
        <v>9.6227651363053557</v>
      </c>
      <c r="K45" s="30">
        <f t="shared" si="26"/>
        <v>0.96227651363053557</v>
      </c>
      <c r="L45" s="43">
        <f t="shared" si="27"/>
        <v>1.6880462099727094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17</v>
      </c>
      <c r="F49" s="21" t="s">
        <v>9</v>
      </c>
      <c r="G49" s="21" t="s">
        <v>18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72">
        <v>0.16900000000000001</v>
      </c>
      <c r="C50" s="72">
        <v>0.19600000000000001</v>
      </c>
      <c r="D50" s="27">
        <f t="shared" ref="D50:D52" si="28">AVERAGE(B50,C50)</f>
        <v>0.1825</v>
      </c>
      <c r="E50" s="27">
        <f t="shared" ref="E50:E55" si="29">D50-E$8</f>
        <v>0.11499999999999999</v>
      </c>
      <c r="F50" s="27">
        <f t="shared" ref="F50:F55" si="30">LOG(E50)</f>
        <v>-0.9393021596463883</v>
      </c>
      <c r="G50" s="28">
        <f t="shared" ref="G50:G55" si="31">(F50-$B$16)/$B$15</f>
        <v>-0.31049002891008198</v>
      </c>
      <c r="H50" s="27">
        <f t="shared" ref="H50:H55" si="32">10^G50</f>
        <v>0.48922649729508166</v>
      </c>
      <c r="I50" s="41">
        <v>16</v>
      </c>
      <c r="J50" s="42">
        <f t="shared" ref="J50:J55" si="33">H50*I50</f>
        <v>7.8276239567213066</v>
      </c>
      <c r="K50" s="30">
        <f>(0.1*J50/1000)*1000</f>
        <v>0.78276239567213068</v>
      </c>
      <c r="L50" s="43">
        <f t="shared" ref="L50:L55" si="34">K50*100/L31</f>
        <v>1.2055457764373534</v>
      </c>
      <c r="M50" s="30">
        <f>AVERAGE(L50:L52)</f>
        <v>0.86558075940133394</v>
      </c>
      <c r="N50" s="44">
        <f>STDEV(L50:L52)</f>
        <v>0.33503582426109124</v>
      </c>
      <c r="O50" s="48">
        <f>L50/L40</f>
        <v>3.2809444249911746</v>
      </c>
      <c r="P50" s="30">
        <f>AVERAGE(O50:O52)</f>
        <v>3.137939355758625</v>
      </c>
      <c r="Q50" s="44">
        <f>STDEV(O50:O52)</f>
        <v>1.6393902944911531</v>
      </c>
      <c r="S50"/>
      <c r="T50"/>
    </row>
    <row r="51" spans="1:25" ht="15">
      <c r="B51" s="71">
        <v>0.113</v>
      </c>
      <c r="C51" s="71">
        <v>0.112</v>
      </c>
      <c r="D51" s="27">
        <f t="shared" si="28"/>
        <v>0.1125</v>
      </c>
      <c r="E51" s="27">
        <f t="shared" si="29"/>
        <v>4.4999999999999998E-2</v>
      </c>
      <c r="F51" s="27">
        <f t="shared" si="30"/>
        <v>-1.3467874862246563</v>
      </c>
      <c r="G51" s="28">
        <f t="shared" si="31"/>
        <v>-0.71621676520190347</v>
      </c>
      <c r="H51" s="27">
        <f t="shared" si="32"/>
        <v>0.19221321142475797</v>
      </c>
      <c r="I51" s="41">
        <v>16</v>
      </c>
      <c r="J51" s="42">
        <f t="shared" si="33"/>
        <v>3.0754113827961276</v>
      </c>
      <c r="K51" s="30">
        <f t="shared" ref="K51:K55" si="35">(0.1*J51/1000)*1000</f>
        <v>0.30754113827961277</v>
      </c>
      <c r="L51" s="43">
        <f t="shared" si="34"/>
        <v>0.53570189716603978</v>
      </c>
      <c r="M51" s="30"/>
      <c r="N51" s="44"/>
      <c r="O51" s="2">
        <f t="shared" ref="O51:O55" si="36">L51/L41</f>
        <v>1.4317311288839147</v>
      </c>
      <c r="P51" s="30"/>
      <c r="Q51" s="44"/>
      <c r="S51"/>
      <c r="T51"/>
    </row>
    <row r="52" spans="1:25" ht="15">
      <c r="B52" s="71">
        <v>0.13700000000000001</v>
      </c>
      <c r="C52" s="71">
        <v>0.13500000000000001</v>
      </c>
      <c r="D52" s="27">
        <f t="shared" si="28"/>
        <v>0.13600000000000001</v>
      </c>
      <c r="E52" s="27">
        <f t="shared" si="29"/>
        <v>6.8500000000000005E-2</v>
      </c>
      <c r="F52" s="27">
        <f t="shared" si="30"/>
        <v>-1.1643094285075744</v>
      </c>
      <c r="G52" s="28">
        <f t="shared" si="31"/>
        <v>-0.53452623066384142</v>
      </c>
      <c r="H52" s="27">
        <f t="shared" si="32"/>
        <v>0.29206113548153151</v>
      </c>
      <c r="I52" s="41">
        <v>16</v>
      </c>
      <c r="J52" s="42">
        <f t="shared" si="33"/>
        <v>4.6729781677045041</v>
      </c>
      <c r="K52" s="30">
        <f t="shared" si="35"/>
        <v>0.46729781677045046</v>
      </c>
      <c r="L52" s="43">
        <f t="shared" si="34"/>
        <v>0.855494604600609</v>
      </c>
      <c r="M52" s="30"/>
      <c r="N52" s="44"/>
      <c r="O52" s="2">
        <f t="shared" si="36"/>
        <v>4.7011425134007858</v>
      </c>
      <c r="P52" s="30"/>
      <c r="Q52" s="44"/>
      <c r="S52"/>
      <c r="T52"/>
    </row>
    <row r="53" spans="1:25" ht="15">
      <c r="A53" s="1" t="s">
        <v>26</v>
      </c>
      <c r="B53" s="72">
        <v>0.627</v>
      </c>
      <c r="C53" s="72">
        <v>0.64100000000000001</v>
      </c>
      <c r="D53" s="27">
        <f>AVERAGE(B53:C53)</f>
        <v>0.63400000000000001</v>
      </c>
      <c r="E53" s="27">
        <f t="shared" si="29"/>
        <v>0.5665</v>
      </c>
      <c r="F53" s="27">
        <f t="shared" si="30"/>
        <v>-0.24680008580058393</v>
      </c>
      <c r="G53" s="28">
        <f t="shared" si="31"/>
        <v>0.37902340377252863</v>
      </c>
      <c r="H53" s="27">
        <f t="shared" si="32"/>
        <v>2.3934447336987916</v>
      </c>
      <c r="I53" s="41">
        <v>16</v>
      </c>
      <c r="J53" s="42">
        <f t="shared" si="33"/>
        <v>38.295115739180666</v>
      </c>
      <c r="K53" s="30">
        <f t="shared" si="35"/>
        <v>3.829511573918067</v>
      </c>
      <c r="L53" s="43">
        <f t="shared" si="34"/>
        <v>6.0399812351727373</v>
      </c>
      <c r="M53" s="30">
        <f>AVERAGE(L53:L55)</f>
        <v>5.8551845259713851</v>
      </c>
      <c r="N53" s="44">
        <f>STDEV(L53:L55)</f>
        <v>0.21217746611722849</v>
      </c>
      <c r="O53" s="2">
        <f t="shared" si="36"/>
        <v>4.9527037798025377</v>
      </c>
      <c r="P53" s="30">
        <f>AVERAGE(O53:O55)</f>
        <v>3.8292338080041746</v>
      </c>
      <c r="Q53" s="44">
        <f>STDEV(O53:O55)</f>
        <v>0.9995184179856611</v>
      </c>
      <c r="S53"/>
      <c r="T53"/>
    </row>
    <row r="54" spans="1:25" ht="15">
      <c r="A54" s="45"/>
      <c r="B54" s="71">
        <v>0.54900000000000004</v>
      </c>
      <c r="C54" s="71">
        <v>0.44600000000000001</v>
      </c>
      <c r="D54" s="27">
        <f>AVERAGE(B54:C54)</f>
        <v>0.49750000000000005</v>
      </c>
      <c r="E54" s="27">
        <f t="shared" si="29"/>
        <v>0.43000000000000005</v>
      </c>
      <c r="F54" s="27">
        <f t="shared" si="30"/>
        <v>-0.36653154442041341</v>
      </c>
      <c r="G54" s="28">
        <f t="shared" si="31"/>
        <v>0.25980867193125334</v>
      </c>
      <c r="H54" s="27">
        <f t="shared" si="32"/>
        <v>1.8188993674882334</v>
      </c>
      <c r="I54" s="41">
        <v>16</v>
      </c>
      <c r="J54" s="42">
        <f t="shared" si="33"/>
        <v>29.102389879811735</v>
      </c>
      <c r="K54" s="30">
        <f t="shared" si="35"/>
        <v>2.9102389879811739</v>
      </c>
      <c r="L54" s="43">
        <f t="shared" si="34"/>
        <v>5.623477487760562</v>
      </c>
      <c r="M54" s="30"/>
      <c r="N54" s="44"/>
      <c r="O54" s="2">
        <f t="shared" si="36"/>
        <v>3.0385916689989916</v>
      </c>
      <c r="P54" s="30"/>
      <c r="Q54" s="44"/>
      <c r="S54"/>
      <c r="T54"/>
    </row>
    <row r="55" spans="1:25" ht="15">
      <c r="A55" s="46"/>
      <c r="B55" s="71">
        <v>0.60299999999999998</v>
      </c>
      <c r="C55" s="71">
        <v>0.51</v>
      </c>
      <c r="D55" s="27">
        <f>AVERAGE(B55:C55)</f>
        <v>0.55649999999999999</v>
      </c>
      <c r="E55" s="27">
        <f t="shared" si="29"/>
        <v>0.48899999999999999</v>
      </c>
      <c r="F55" s="27">
        <f t="shared" si="30"/>
        <v>-0.31069114087637978</v>
      </c>
      <c r="G55" s="28">
        <f t="shared" si="31"/>
        <v>0.31540808424233047</v>
      </c>
      <c r="H55" s="27">
        <f t="shared" si="32"/>
        <v>2.0673217996633331</v>
      </c>
      <c r="I55" s="41">
        <v>16</v>
      </c>
      <c r="J55" s="42">
        <f t="shared" si="33"/>
        <v>33.077148794613329</v>
      </c>
      <c r="K55" s="30">
        <f t="shared" si="35"/>
        <v>3.3077148794613329</v>
      </c>
      <c r="L55" s="43">
        <f t="shared" si="34"/>
        <v>5.9020948549808558</v>
      </c>
      <c r="M55" s="30"/>
      <c r="N55" s="44"/>
      <c r="O55" s="2">
        <f t="shared" si="36"/>
        <v>3.4964059752109957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3.137939355758625</v>
      </c>
      <c r="O58" s="30">
        <f>Q50</f>
        <v>1.6393902944911531</v>
      </c>
    </row>
    <row r="59" spans="1:25" ht="15">
      <c r="D59"/>
      <c r="E59"/>
      <c r="G59"/>
      <c r="M59" s="2" t="s">
        <v>26</v>
      </c>
      <c r="N59" s="30">
        <f>P53</f>
        <v>3.8292338080041746</v>
      </c>
      <c r="O59" s="30">
        <f>Q53</f>
        <v>0.9995184179856611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0.30785943152073397</v>
      </c>
      <c r="C65" s="30">
        <f>N40</f>
        <v>0.10907018761729753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0.86558075940133394</v>
      </c>
      <c r="C66" s="30">
        <f>N50</f>
        <v>0.33503582426109124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1.5860879302717537</v>
      </c>
      <c r="C67" s="30">
        <f>N43</f>
        <v>0.32769691242478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5.8551845259713851</v>
      </c>
      <c r="C68" s="30">
        <f>N53</f>
        <v>0.21217746611722849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  <c r="H76" s="38"/>
    </row>
    <row r="77" spans="1:8">
      <c r="A77" s="55"/>
      <c r="B77" s="38"/>
      <c r="C77" s="56"/>
      <c r="D77" s="57"/>
      <c r="E77" s="38"/>
      <c r="F77" s="38"/>
      <c r="G77" s="38"/>
    </row>
    <row r="78" spans="1:8">
      <c r="A78" s="52"/>
      <c r="B78" s="58"/>
      <c r="C78" s="59"/>
      <c r="D78" s="38"/>
      <c r="E78" s="38"/>
      <c r="F78" s="38"/>
      <c r="G78" s="38"/>
    </row>
    <row r="79" spans="1:8">
      <c r="A79" s="52"/>
      <c r="B79" s="42"/>
      <c r="C79" s="56"/>
      <c r="D79" s="38"/>
      <c r="E79" s="38"/>
      <c r="F79" s="38"/>
      <c r="G79" s="38"/>
    </row>
    <row r="80" spans="1:8">
      <c r="A80" s="52"/>
      <c r="B80" s="42"/>
      <c r="C80" s="56"/>
      <c r="D80" s="38"/>
      <c r="E80" s="38"/>
      <c r="F80" s="38"/>
      <c r="G80" s="38"/>
    </row>
    <row r="81" spans="1:7">
      <c r="A81" s="52"/>
      <c r="B81" s="42"/>
      <c r="C81" s="56"/>
      <c r="D81" s="38"/>
      <c r="E81" s="38"/>
      <c r="F81" s="38"/>
      <c r="G81" s="38"/>
    </row>
    <row r="82" spans="1:7">
      <c r="A82" s="52"/>
      <c r="B82" s="42"/>
      <c r="C82" s="56"/>
      <c r="D82" s="38"/>
      <c r="E82" s="38"/>
      <c r="F82" s="38"/>
      <c r="G82" s="38"/>
    </row>
    <row r="83" spans="1:7">
      <c r="A83" s="52"/>
      <c r="B83" s="38"/>
      <c r="C83" s="38"/>
      <c r="D83" s="60"/>
      <c r="E83" s="58"/>
      <c r="F83" s="58"/>
      <c r="G83" s="38"/>
    </row>
    <row r="84" spans="1:7">
      <c r="A84" s="52"/>
      <c r="B84" s="42"/>
      <c r="C84" s="56"/>
      <c r="D84" s="47"/>
      <c r="E84" s="47"/>
      <c r="F84" s="47"/>
      <c r="G84" s="38"/>
    </row>
    <row r="85" spans="1:7">
      <c r="A85" s="52"/>
      <c r="B85" s="42"/>
      <c r="C85" s="56"/>
      <c r="D85" s="47"/>
      <c r="E85" s="47"/>
      <c r="F85" s="47"/>
      <c r="G85" s="38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>
      <c r="C97" s="47"/>
      <c r="D97" s="47"/>
      <c r="E97" s="61"/>
      <c r="F97" s="61"/>
    </row>
    <row r="98" spans="2:6">
      <c r="C98" s="47"/>
      <c r="D98" s="47"/>
      <c r="E98" s="61"/>
      <c r="F98" s="61"/>
    </row>
    <row r="99" spans="2:6">
      <c r="C99" s="47"/>
      <c r="D99" s="47"/>
      <c r="E99" s="61"/>
      <c r="F99" s="61"/>
    </row>
    <row r="100" spans="2:6">
      <c r="C100" s="47"/>
      <c r="D100" s="47"/>
      <c r="E100" s="61"/>
      <c r="F100" s="61"/>
    </row>
    <row r="101" spans="2:6">
      <c r="C101" s="47"/>
      <c r="D101" s="47"/>
      <c r="E101" s="61"/>
      <c r="F101" s="61"/>
    </row>
    <row r="102" spans="2:6">
      <c r="C102" s="47"/>
      <c r="D102" s="47"/>
      <c r="E102" s="61"/>
      <c r="F102" s="61"/>
    </row>
    <row r="103" spans="2:6">
      <c r="C103" s="47"/>
      <c r="D103" s="47"/>
      <c r="E103" s="61"/>
      <c r="F103" s="61"/>
    </row>
    <row r="104" spans="2:6">
      <c r="C104" s="47"/>
      <c r="D104" s="47"/>
      <c r="E104" s="61"/>
      <c r="F104" s="61"/>
    </row>
    <row r="105" spans="2:6">
      <c r="C105" s="47"/>
      <c r="D105" s="47"/>
      <c r="E105" s="61"/>
      <c r="F105" s="61"/>
    </row>
    <row r="106" spans="2:6">
      <c r="C106" s="47"/>
    </row>
    <row r="107" spans="2:6">
      <c r="C107" s="47"/>
    </row>
    <row r="108" spans="2:6" ht="13.5" thickBot="1">
      <c r="B108" s="62"/>
      <c r="C108" s="62"/>
      <c r="D108" s="62"/>
      <c r="E108" s="62"/>
    </row>
    <row r="109" spans="2:6">
      <c r="B109" s="61"/>
      <c r="C109" s="61"/>
      <c r="D109" s="61"/>
      <c r="E109" s="61"/>
    </row>
    <row r="110" spans="2:6">
      <c r="B110" s="61"/>
      <c r="C110" s="61"/>
      <c r="D110" s="61"/>
      <c r="E110" s="61"/>
    </row>
    <row r="111" spans="2:6">
      <c r="B111" s="61"/>
      <c r="C111" s="61"/>
      <c r="D111" s="61"/>
      <c r="E111" s="61"/>
    </row>
    <row r="112" spans="2:6">
      <c r="B112" s="61"/>
      <c r="C112" s="61"/>
      <c r="D112" s="61"/>
      <c r="E112" s="61"/>
    </row>
    <row r="113" spans="2:5">
      <c r="B113" s="61"/>
      <c r="C113" s="61"/>
      <c r="D113" s="61"/>
      <c r="E113" s="61"/>
    </row>
    <row r="114" spans="2:5">
      <c r="B114" s="61"/>
      <c r="C114" s="61"/>
      <c r="D114" s="61"/>
      <c r="E114" s="61"/>
    </row>
    <row r="115" spans="2:5">
      <c r="B115" s="61"/>
      <c r="C115" s="61"/>
      <c r="D115" s="61"/>
      <c r="E115" s="61"/>
    </row>
    <row r="116" spans="2:5">
      <c r="B116" s="61"/>
      <c r="C116" s="61"/>
      <c r="D116" s="61"/>
      <c r="E116" s="61"/>
    </row>
    <row r="117" spans="2:5">
      <c r="B117" s="61"/>
      <c r="C117" s="61"/>
      <c r="D117" s="61"/>
      <c r="E117" s="61"/>
    </row>
    <row r="118" spans="2:5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8"/>
  <sheetViews>
    <sheetView tabSelected="1" topLeftCell="A31" zoomScale="80" zoomScaleNormal="80" workbookViewId="0">
      <selection activeCell="B50" sqref="B50:C55"/>
    </sheetView>
  </sheetViews>
  <sheetFormatPr baseColWidth="10" defaultColWidth="8.75" defaultRowHeight="12.75"/>
  <cols>
    <col min="1" max="1" width="28.125" style="1" customWidth="1"/>
    <col min="2" max="2" width="9.5" style="2" bestFit="1" customWidth="1"/>
    <col min="3" max="3" width="11.875" style="2" bestFit="1" customWidth="1"/>
    <col min="4" max="4" width="6" style="2" bestFit="1" customWidth="1"/>
    <col min="5" max="5" width="8.625" style="2" bestFit="1" customWidth="1"/>
    <col min="6" max="8" width="11" style="2" bestFit="1" customWidth="1"/>
    <col min="9" max="9" width="12.125" style="2" bestFit="1" customWidth="1"/>
    <col min="10" max="10" width="12" style="2" bestFit="1" customWidth="1"/>
    <col min="11" max="11" width="12.125" style="2" bestFit="1" customWidth="1"/>
    <col min="12" max="12" width="13" style="2" bestFit="1" customWidth="1"/>
    <col min="13" max="13" width="14.875" style="2" bestFit="1" customWidth="1"/>
    <col min="14" max="14" width="13.75" style="2" bestFit="1" customWidth="1"/>
    <col min="15" max="15" width="14" style="2" customWidth="1"/>
    <col min="16" max="16" width="11.375" style="2" customWidth="1"/>
    <col min="17" max="17" width="10.375" style="2" bestFit="1" customWidth="1"/>
    <col min="18" max="16384" width="8.75" style="2"/>
  </cols>
  <sheetData>
    <row r="1" spans="1:20">
      <c r="A1" s="1" t="s">
        <v>0</v>
      </c>
      <c r="B1" s="63"/>
    </row>
    <row r="2" spans="1:20">
      <c r="A2" s="1" t="s">
        <v>1</v>
      </c>
      <c r="C2" s="3"/>
      <c r="E2" s="4"/>
    </row>
    <row r="3" spans="1:20">
      <c r="A3" s="1" t="s">
        <v>2</v>
      </c>
      <c r="B3" s="2" t="s">
        <v>40</v>
      </c>
      <c r="D3" s="10"/>
      <c r="E3" s="10"/>
      <c r="F3" s="10"/>
    </row>
    <row r="4" spans="1:20" ht="15">
      <c r="D4" s="10"/>
      <c r="E4" s="65"/>
      <c r="F4" s="65"/>
    </row>
    <row r="5" spans="1:20">
      <c r="A5" s="2"/>
    </row>
    <row r="6" spans="1:20" ht="15">
      <c r="N6"/>
      <c r="O6"/>
      <c r="P6"/>
    </row>
    <row r="7" spans="1:20" ht="15">
      <c r="A7" s="5" t="s">
        <v>3</v>
      </c>
      <c r="B7" s="6" t="s">
        <v>4</v>
      </c>
      <c r="C7" s="7" t="s">
        <v>5</v>
      </c>
      <c r="D7" s="7"/>
      <c r="E7" s="8" t="s">
        <v>6</v>
      </c>
      <c r="F7" s="9" t="s">
        <v>7</v>
      </c>
      <c r="G7" s="10" t="s">
        <v>8</v>
      </c>
      <c r="H7" s="10" t="s">
        <v>9</v>
      </c>
      <c r="N7"/>
      <c r="O7"/>
      <c r="P7"/>
    </row>
    <row r="8" spans="1:20" ht="15">
      <c r="A8" s="5">
        <v>0</v>
      </c>
      <c r="B8" s="10">
        <v>0</v>
      </c>
      <c r="C8" s="64">
        <v>7.1999999999999995E-2</v>
      </c>
      <c r="D8" s="64">
        <v>6.3E-2</v>
      </c>
      <c r="E8" s="11">
        <f t="shared" ref="E8:E13" si="0">AVERAGE(C8:D8)</f>
        <v>6.7500000000000004E-2</v>
      </c>
      <c r="F8" s="12"/>
      <c r="G8" s="10"/>
      <c r="H8" s="10"/>
      <c r="N8"/>
      <c r="O8"/>
      <c r="P8"/>
    </row>
    <row r="9" spans="1:20" ht="15">
      <c r="A9" s="5">
        <v>3</v>
      </c>
      <c r="B9" s="12">
        <f>A9/23</f>
        <v>0.13043478260869565</v>
      </c>
      <c r="C9" s="64">
        <v>9.9000000000000005E-2</v>
      </c>
      <c r="D9" s="64">
        <v>9.4E-2</v>
      </c>
      <c r="E9" s="11">
        <f t="shared" si="0"/>
        <v>9.6500000000000002E-2</v>
      </c>
      <c r="F9" s="12">
        <f>(E9-$E$8)</f>
        <v>2.8999999999999998E-2</v>
      </c>
      <c r="G9" s="12">
        <f>LOG(B9)</f>
        <v>-0.88460658129793046</v>
      </c>
      <c r="H9" s="12">
        <f>LOG(F9)</f>
        <v>-1.5376020021010439</v>
      </c>
      <c r="N9"/>
      <c r="O9"/>
      <c r="P9"/>
    </row>
    <row r="10" spans="1:20" ht="15">
      <c r="A10" s="5">
        <v>9.74</v>
      </c>
      <c r="B10" s="12">
        <f t="shared" ref="B10:B13" si="1">A10/23</f>
        <v>0.42347826086956525</v>
      </c>
      <c r="C10" s="64">
        <v>0.17799999999999999</v>
      </c>
      <c r="D10" s="64">
        <v>0.16500000000000001</v>
      </c>
      <c r="E10" s="11">
        <f t="shared" si="0"/>
        <v>0.17149999999999999</v>
      </c>
      <c r="F10" s="12">
        <f>(E10-$E$8)</f>
        <v>0.10399999999999998</v>
      </c>
      <c r="G10" s="12">
        <f>LOG(B10)</f>
        <v>-0.37316887913897734</v>
      </c>
      <c r="H10" s="12">
        <f>LOG(F10)</f>
        <v>-0.98296666070121974</v>
      </c>
      <c r="N10"/>
      <c r="O10"/>
      <c r="P10"/>
    </row>
    <row r="11" spans="1:20" ht="15">
      <c r="A11" s="5">
        <v>29.8</v>
      </c>
      <c r="B11" s="12">
        <f t="shared" si="1"/>
        <v>1.2956521739130435</v>
      </c>
      <c r="C11" s="64">
        <v>0.39200000000000002</v>
      </c>
      <c r="D11" s="64">
        <v>0.38200000000000001</v>
      </c>
      <c r="E11" s="11">
        <f t="shared" si="0"/>
        <v>0.38700000000000001</v>
      </c>
      <c r="F11" s="12">
        <f>(E11-$E$8)</f>
        <v>0.31950000000000001</v>
      </c>
      <c r="G11" s="12">
        <f>LOG(B11)</f>
        <v>0.11248842805866238</v>
      </c>
      <c r="H11" s="12">
        <f>LOG(F11)</f>
        <v>-0.49552913750558103</v>
      </c>
      <c r="N11"/>
      <c r="O11"/>
      <c r="P11"/>
      <c r="Q11"/>
      <c r="R11"/>
      <c r="S11"/>
      <c r="T11"/>
    </row>
    <row r="12" spans="1:20" ht="15">
      <c r="A12" s="5">
        <v>104</v>
      </c>
      <c r="B12" s="12">
        <f t="shared" si="1"/>
        <v>4.5217391304347823</v>
      </c>
      <c r="C12" s="64">
        <v>1.105</v>
      </c>
      <c r="D12" s="64">
        <v>1.149</v>
      </c>
      <c r="E12" s="11">
        <f t="shared" si="0"/>
        <v>1.127</v>
      </c>
      <c r="F12" s="12">
        <f>(E12-$E$8)</f>
        <v>1.0594999999999999</v>
      </c>
      <c r="G12" s="12">
        <f>LOG(B12)</f>
        <v>0.65530550328118742</v>
      </c>
      <c r="H12" s="12">
        <f>LOG(F12)</f>
        <v>2.5100961046813336E-2</v>
      </c>
      <c r="N12"/>
      <c r="O12"/>
      <c r="P12"/>
      <c r="Q12"/>
      <c r="R12"/>
      <c r="S12"/>
      <c r="T12"/>
    </row>
    <row r="13" spans="1:20" ht="15">
      <c r="A13" s="5">
        <v>207</v>
      </c>
      <c r="B13" s="12">
        <f t="shared" si="1"/>
        <v>9</v>
      </c>
      <c r="C13" s="64">
        <v>2.19</v>
      </c>
      <c r="D13" s="64">
        <v>2.1230000000000002</v>
      </c>
      <c r="E13" s="11">
        <f t="shared" si="0"/>
        <v>2.1565000000000003</v>
      </c>
      <c r="F13" s="12">
        <f>(E13-$E$8)</f>
        <v>2.0890000000000004</v>
      </c>
      <c r="G13" s="12">
        <f>LOG(B13)</f>
        <v>0.95424250943932487</v>
      </c>
      <c r="H13" s="12">
        <f>LOG(F13)</f>
        <v>0.31993843998030869</v>
      </c>
      <c r="N13"/>
      <c r="O13"/>
      <c r="P13"/>
    </row>
    <row r="14" spans="1:20" ht="15">
      <c r="N14"/>
    </row>
    <row r="15" spans="1:20" ht="15">
      <c r="A15" s="5" t="s">
        <v>10</v>
      </c>
      <c r="B15" s="11">
        <f>SLOPE(H9:H13,G9:G13)</f>
        <v>1.0043344205080476</v>
      </c>
      <c r="N15"/>
    </row>
    <row r="16" spans="1:20" ht="15">
      <c r="A16" s="5" t="s">
        <v>11</v>
      </c>
      <c r="B16" s="11">
        <f>INTERCEPT(H9:H13,G9:G13)</f>
        <v>-0.62746633638745419</v>
      </c>
      <c r="C16" s="13"/>
      <c r="G16" s="13"/>
      <c r="H16" s="13"/>
    </row>
    <row r="17" spans="1:17" ht="15">
      <c r="B17"/>
      <c r="C17"/>
      <c r="D17"/>
      <c r="E17"/>
      <c r="F17"/>
      <c r="G17"/>
    </row>
    <row r="18" spans="1:17" ht="15">
      <c r="B18"/>
      <c r="C18"/>
      <c r="D18"/>
      <c r="E18"/>
      <c r="F18"/>
      <c r="G18"/>
    </row>
    <row r="19" spans="1:17" ht="23.25">
      <c r="A19" s="14" t="s">
        <v>12</v>
      </c>
      <c r="B19" s="15"/>
      <c r="C19" s="15"/>
      <c r="K19" s="16"/>
      <c r="L19" s="17" t="s">
        <v>13</v>
      </c>
      <c r="M19" s="18"/>
    </row>
    <row r="20" spans="1:17" s="17" customFormat="1">
      <c r="A20" s="19" t="s">
        <v>14</v>
      </c>
      <c r="B20" s="9" t="s">
        <v>15</v>
      </c>
      <c r="C20" s="9" t="s">
        <v>15</v>
      </c>
      <c r="D20" s="9" t="s">
        <v>16</v>
      </c>
      <c r="E20" s="20" t="s">
        <v>17</v>
      </c>
      <c r="F20" s="21" t="s">
        <v>9</v>
      </c>
      <c r="G20" s="21" t="s">
        <v>18</v>
      </c>
      <c r="H20" s="21" t="s">
        <v>19</v>
      </c>
      <c r="I20" s="9" t="s">
        <v>20</v>
      </c>
      <c r="J20" s="21" t="s">
        <v>21</v>
      </c>
      <c r="K20" s="21" t="s">
        <v>22</v>
      </c>
      <c r="L20" s="21" t="s">
        <v>23</v>
      </c>
      <c r="M20" s="22" t="s">
        <v>24</v>
      </c>
    </row>
    <row r="21" spans="1:17" s="24" customFormat="1">
      <c r="A21" s="23"/>
      <c r="L21" s="25"/>
      <c r="M21" s="26"/>
    </row>
    <row r="22" spans="1:17" ht="15">
      <c r="A22" s="1" t="s">
        <v>25</v>
      </c>
      <c r="B22" s="73">
        <v>0.65800000000000003</v>
      </c>
      <c r="C22" s="73">
        <v>0.64300000000000002</v>
      </c>
      <c r="D22" s="27">
        <f t="shared" ref="D22:D27" si="2">AVERAGE(B22:C22)</f>
        <v>0.65050000000000008</v>
      </c>
      <c r="E22" s="27">
        <f>D22-E$8</f>
        <v>0.58300000000000007</v>
      </c>
      <c r="F22" s="27">
        <f>LOG(E22)</f>
        <v>-0.23433144524098587</v>
      </c>
      <c r="G22" s="28">
        <f>(F22-$B$16)/$B$15</f>
        <v>0.39143823324067606</v>
      </c>
      <c r="H22" s="28">
        <f>10^G22</f>
        <v>2.4628515386509888</v>
      </c>
      <c r="I22" s="29">
        <v>500</v>
      </c>
      <c r="J22" s="30">
        <f>(H22*I22)</f>
        <v>1231.4257693254945</v>
      </c>
      <c r="K22" s="31">
        <f>(0.05*J22/1000)*1000</f>
        <v>61.571288466274723</v>
      </c>
      <c r="L22" s="32">
        <f>K22+K40+K50</f>
        <v>62.405929655970148</v>
      </c>
      <c r="M22" s="33">
        <f>(L22*1000000/50000)/1000</f>
        <v>1.248118593119403</v>
      </c>
      <c r="N22" s="34"/>
    </row>
    <row r="23" spans="1:17" ht="15">
      <c r="B23" s="73">
        <v>0.61699999999999999</v>
      </c>
      <c r="C23" s="73">
        <v>0.629</v>
      </c>
      <c r="D23" s="27">
        <f t="shared" si="2"/>
        <v>0.623</v>
      </c>
      <c r="E23" s="27">
        <f t="shared" ref="E23:E27" si="3">D23-E$8</f>
        <v>0.55549999999999999</v>
      </c>
      <c r="F23" s="27">
        <f t="shared" ref="F23:F27" si="4">LOG(E23)</f>
        <v>-0.25531593672311359</v>
      </c>
      <c r="G23" s="28">
        <f t="shared" ref="G23:G27" si="5">(F23-$B$16)/$B$15</f>
        <v>0.37054430483034373</v>
      </c>
      <c r="H23" s="28">
        <f t="shared" ref="H23:H27" si="6">10^G23</f>
        <v>2.3471686983945714</v>
      </c>
      <c r="I23" s="29">
        <v>500</v>
      </c>
      <c r="J23" s="30">
        <f t="shared" ref="J23:J27" si="7">(H23*I23)</f>
        <v>1173.5843491972857</v>
      </c>
      <c r="K23" s="31">
        <f t="shared" ref="K23:K27" si="8">(0.05*J23/1000)*1000</f>
        <v>58.67921745986429</v>
      </c>
      <c r="L23" s="32">
        <f>K23+K41+K51</f>
        <v>59.045514113460079</v>
      </c>
      <c r="M23" s="33">
        <f t="shared" ref="M23:M27" si="9">(L23*1000000/50000)/1000</f>
        <v>1.1809102822692017</v>
      </c>
      <c r="N23" s="34"/>
    </row>
    <row r="24" spans="1:17" ht="15">
      <c r="B24" s="73">
        <v>0.67200000000000004</v>
      </c>
      <c r="C24" s="73">
        <v>0.68100000000000005</v>
      </c>
      <c r="D24" s="27">
        <f t="shared" si="2"/>
        <v>0.6765000000000001</v>
      </c>
      <c r="E24" s="27">
        <f t="shared" si="3"/>
        <v>0.6090000000000001</v>
      </c>
      <c r="F24" s="27">
        <f t="shared" si="4"/>
        <v>-0.21538270736712459</v>
      </c>
      <c r="G24" s="28">
        <f t="shared" si="5"/>
        <v>0.41030519377387764</v>
      </c>
      <c r="H24" s="28">
        <f t="shared" si="6"/>
        <v>2.572202723734669</v>
      </c>
      <c r="I24" s="29">
        <v>500</v>
      </c>
      <c r="J24" s="30">
        <f t="shared" si="7"/>
        <v>1286.1013618673344</v>
      </c>
      <c r="K24" s="31">
        <f t="shared" si="8"/>
        <v>64.305068093366728</v>
      </c>
      <c r="L24" s="32">
        <f t="shared" ref="L24:L27" si="10">K24+K42+K52</f>
        <v>64.749748452346779</v>
      </c>
      <c r="M24" s="33">
        <f t="shared" si="9"/>
        <v>1.2949949690469358</v>
      </c>
      <c r="N24" s="34"/>
    </row>
    <row r="25" spans="1:17" ht="15">
      <c r="A25" s="1" t="s">
        <v>26</v>
      </c>
      <c r="B25" s="73">
        <v>0.64200000000000002</v>
      </c>
      <c r="C25" s="73">
        <v>0.60799999999999998</v>
      </c>
      <c r="D25" s="27">
        <f t="shared" si="2"/>
        <v>0.625</v>
      </c>
      <c r="E25" s="27">
        <f t="shared" si="3"/>
        <v>0.5575</v>
      </c>
      <c r="F25" s="27">
        <f t="shared" si="4"/>
        <v>-0.25375512827980173</v>
      </c>
      <c r="G25" s="28">
        <f t="shared" si="5"/>
        <v>0.37209837727020129</v>
      </c>
      <c r="H25" s="28">
        <f t="shared" si="6"/>
        <v>2.3555828148803175</v>
      </c>
      <c r="I25" s="29">
        <v>500</v>
      </c>
      <c r="J25" s="30">
        <f t="shared" si="7"/>
        <v>1177.7914074401588</v>
      </c>
      <c r="K25" s="31">
        <f t="shared" si="8"/>
        <v>58.889570372007938</v>
      </c>
      <c r="L25" s="32">
        <f t="shared" si="10"/>
        <v>63.299384540333634</v>
      </c>
      <c r="M25" s="33">
        <f t="shared" si="9"/>
        <v>1.2659876908066727</v>
      </c>
      <c r="N25" s="34"/>
    </row>
    <row r="26" spans="1:17" ht="15">
      <c r="B26" s="73">
        <v>0.54</v>
      </c>
      <c r="C26" s="73">
        <v>0.54</v>
      </c>
      <c r="D26" s="27">
        <f t="shared" si="2"/>
        <v>0.54</v>
      </c>
      <c r="E26" s="27">
        <f t="shared" si="3"/>
        <v>0.47250000000000003</v>
      </c>
      <c r="F26" s="27">
        <f t="shared" si="4"/>
        <v>-0.32559818715471822</v>
      </c>
      <c r="G26" s="28">
        <f t="shared" si="5"/>
        <v>0.30056537251808463</v>
      </c>
      <c r="H26" s="28">
        <f t="shared" si="6"/>
        <v>1.9978614754782411</v>
      </c>
      <c r="I26" s="29">
        <v>500</v>
      </c>
      <c r="J26" s="30">
        <f t="shared" si="7"/>
        <v>998.93073773912056</v>
      </c>
      <c r="K26" s="31">
        <f t="shared" si="8"/>
        <v>49.946536886956032</v>
      </c>
      <c r="L26" s="32">
        <f t="shared" si="10"/>
        <v>53.376600371646497</v>
      </c>
      <c r="M26" s="33">
        <f t="shared" si="9"/>
        <v>1.06753200743293</v>
      </c>
      <c r="N26" s="34"/>
    </row>
    <row r="27" spans="1:17" ht="15">
      <c r="B27" s="73">
        <v>0.53900000000000003</v>
      </c>
      <c r="C27" s="73">
        <v>0.52900000000000003</v>
      </c>
      <c r="D27" s="27">
        <f t="shared" si="2"/>
        <v>0.53400000000000003</v>
      </c>
      <c r="E27" s="27">
        <f t="shared" si="3"/>
        <v>0.46650000000000003</v>
      </c>
      <c r="F27" s="27">
        <f t="shared" si="4"/>
        <v>-0.33114835191748121</v>
      </c>
      <c r="G27" s="28">
        <f t="shared" si="5"/>
        <v>0.29503916068123909</v>
      </c>
      <c r="H27" s="28">
        <f t="shared" si="6"/>
        <v>1.9726005990714914</v>
      </c>
      <c r="I27" s="29">
        <v>500</v>
      </c>
      <c r="J27" s="30">
        <f t="shared" si="7"/>
        <v>986.30029953574569</v>
      </c>
      <c r="K27" s="31">
        <f t="shared" si="8"/>
        <v>49.315014976787289</v>
      </c>
      <c r="L27" s="32">
        <f t="shared" si="10"/>
        <v>54.43087126477279</v>
      </c>
      <c r="M27" s="33">
        <f t="shared" si="9"/>
        <v>1.0886174252954559</v>
      </c>
      <c r="N27" s="34"/>
    </row>
    <row r="28" spans="1:17" ht="23.25">
      <c r="A28" s="14" t="s">
        <v>12</v>
      </c>
      <c r="B28" s="15"/>
      <c r="C28" s="15"/>
      <c r="K28" s="16"/>
      <c r="L28" s="17" t="s">
        <v>13</v>
      </c>
      <c r="M28" s="18"/>
    </row>
    <row r="29" spans="1:17" s="17" customFormat="1">
      <c r="A29" s="19" t="s">
        <v>14</v>
      </c>
      <c r="B29" s="9" t="s">
        <v>15</v>
      </c>
      <c r="C29" s="9" t="s">
        <v>15</v>
      </c>
      <c r="D29" s="9" t="s">
        <v>16</v>
      </c>
      <c r="E29" s="20" t="s">
        <v>17</v>
      </c>
      <c r="F29" s="21" t="s">
        <v>9</v>
      </c>
      <c r="G29" s="21" t="s">
        <v>18</v>
      </c>
      <c r="H29" s="21" t="s">
        <v>19</v>
      </c>
      <c r="I29" s="9" t="s">
        <v>20</v>
      </c>
      <c r="J29" s="21" t="s">
        <v>21</v>
      </c>
      <c r="K29" s="21" t="s">
        <v>22</v>
      </c>
      <c r="L29" s="21" t="s">
        <v>23</v>
      </c>
      <c r="M29" s="22" t="s">
        <v>24</v>
      </c>
    </row>
    <row r="30" spans="1:17" s="24" customFormat="1">
      <c r="A30" s="23"/>
      <c r="L30" s="25"/>
      <c r="M30" s="26"/>
    </row>
    <row r="31" spans="1:17" ht="15">
      <c r="A31" s="1" t="s">
        <v>25</v>
      </c>
      <c r="B31" s="73">
        <v>0.65800000000000003</v>
      </c>
      <c r="C31" s="73">
        <v>0.64300000000000002</v>
      </c>
      <c r="D31" s="27">
        <f t="shared" ref="D31:D36" si="11">AVERAGE(B31:C31)</f>
        <v>0.65050000000000008</v>
      </c>
      <c r="E31" s="27">
        <f t="shared" ref="E31:E36" si="12">D31-E$8</f>
        <v>0.58300000000000007</v>
      </c>
      <c r="F31" s="27">
        <f>LOG(E31)</f>
        <v>-0.23433144524098587</v>
      </c>
      <c r="G31" s="28">
        <f>(F31-$B$16)/$B$15</f>
        <v>0.39143823324067606</v>
      </c>
      <c r="H31" s="28">
        <f>10^G31</f>
        <v>2.4628515386509888</v>
      </c>
      <c r="I31" s="29">
        <v>500</v>
      </c>
      <c r="J31" s="30">
        <f>(H31*I31)</f>
        <v>1231.4257693254945</v>
      </c>
      <c r="K31" s="31">
        <f>(0.05*J31/1000)*1000</f>
        <v>61.571288466274723</v>
      </c>
      <c r="L31" s="32">
        <f>K31+K50</f>
        <v>62.333717945128988</v>
      </c>
      <c r="M31" s="33">
        <f>(L31*1000000/50000)/1000</f>
        <v>1.2466743589025797</v>
      </c>
      <c r="N31" s="35"/>
      <c r="Q31"/>
    </row>
    <row r="32" spans="1:17" ht="15">
      <c r="B32" s="73">
        <v>0.61699999999999999</v>
      </c>
      <c r="C32" s="73">
        <v>0.629</v>
      </c>
      <c r="D32" s="27">
        <f t="shared" si="11"/>
        <v>0.623</v>
      </c>
      <c r="E32" s="27">
        <f t="shared" si="12"/>
        <v>0.55549999999999999</v>
      </c>
      <c r="F32" s="27">
        <f t="shared" ref="F32:F36" si="13">LOG(E32)</f>
        <v>-0.25531593672311359</v>
      </c>
      <c r="G32" s="28">
        <f t="shared" ref="G32:G36" si="14">(F32-$B$16)/$B$15</f>
        <v>0.37054430483034373</v>
      </c>
      <c r="H32" s="28">
        <f t="shared" ref="H32:H36" si="15">10^G32</f>
        <v>2.3471686983945714</v>
      </c>
      <c r="I32" s="29">
        <v>500</v>
      </c>
      <c r="J32" s="30">
        <f t="shared" ref="J32:J36" si="16">(H32*I32)</f>
        <v>1173.5843491972857</v>
      </c>
      <c r="K32" s="31">
        <f t="shared" ref="K32:K36" si="17">(0.05*J32/1000)*1000</f>
        <v>58.67921745986429</v>
      </c>
      <c r="L32" s="32">
        <f>K32+K51</f>
        <v>58.942513198683777</v>
      </c>
      <c r="M32" s="33">
        <f t="shared" ref="M32:M36" si="18">(L32*1000000/50000)/1000</f>
        <v>1.1788502639736755</v>
      </c>
      <c r="N32" s="36"/>
      <c r="Q32"/>
    </row>
    <row r="33" spans="1:21" ht="15">
      <c r="B33" s="73">
        <v>0.67200000000000004</v>
      </c>
      <c r="C33" s="73">
        <v>0.68100000000000005</v>
      </c>
      <c r="D33" s="27">
        <f t="shared" si="11"/>
        <v>0.6765000000000001</v>
      </c>
      <c r="E33" s="27">
        <f t="shared" si="12"/>
        <v>0.6090000000000001</v>
      </c>
      <c r="F33" s="27">
        <f t="shared" si="13"/>
        <v>-0.21538270736712459</v>
      </c>
      <c r="G33" s="28">
        <f t="shared" si="14"/>
        <v>0.41030519377387764</v>
      </c>
      <c r="H33" s="28">
        <f t="shared" si="15"/>
        <v>2.572202723734669</v>
      </c>
      <c r="I33" s="29">
        <v>500</v>
      </c>
      <c r="J33" s="30">
        <f t="shared" si="16"/>
        <v>1286.1013618673344</v>
      </c>
      <c r="K33" s="31">
        <f t="shared" si="17"/>
        <v>64.305068093366728</v>
      </c>
      <c r="L33" s="32">
        <f t="shared" ref="L33:L36" si="19">K33+K52</f>
        <v>64.619413660600046</v>
      </c>
      <c r="M33" s="33">
        <f t="shared" si="18"/>
        <v>1.2923882732120009</v>
      </c>
      <c r="N33" s="36"/>
      <c r="Q33"/>
      <c r="R33"/>
      <c r="S33"/>
    </row>
    <row r="34" spans="1:21" ht="15">
      <c r="A34" s="1" t="s">
        <v>26</v>
      </c>
      <c r="B34" s="73">
        <v>0.64200000000000002</v>
      </c>
      <c r="C34" s="73">
        <v>0.60799999999999998</v>
      </c>
      <c r="D34" s="27">
        <f t="shared" si="11"/>
        <v>0.625</v>
      </c>
      <c r="E34" s="27">
        <f t="shared" si="12"/>
        <v>0.5575</v>
      </c>
      <c r="F34" s="27">
        <f t="shared" si="13"/>
        <v>-0.25375512827980173</v>
      </c>
      <c r="G34" s="28">
        <f t="shared" si="14"/>
        <v>0.37209837727020129</v>
      </c>
      <c r="H34" s="28">
        <f t="shared" si="15"/>
        <v>2.3555828148803175</v>
      </c>
      <c r="I34" s="29">
        <v>500</v>
      </c>
      <c r="J34" s="30">
        <f t="shared" si="16"/>
        <v>1177.7914074401588</v>
      </c>
      <c r="K34" s="31">
        <f t="shared" si="17"/>
        <v>58.889570372007938</v>
      </c>
      <c r="L34" s="32">
        <f t="shared" si="19"/>
        <v>62.59118784445711</v>
      </c>
      <c r="M34" s="33">
        <f t="shared" si="18"/>
        <v>1.2518237568891422</v>
      </c>
      <c r="N34" s="36"/>
      <c r="Q34"/>
      <c r="R34"/>
      <c r="S34"/>
    </row>
    <row r="35" spans="1:21" ht="15">
      <c r="B35" s="73">
        <v>0.54</v>
      </c>
      <c r="C35" s="73">
        <v>0.54</v>
      </c>
      <c r="D35" s="27">
        <f t="shared" si="11"/>
        <v>0.54</v>
      </c>
      <c r="E35" s="27">
        <f t="shared" si="12"/>
        <v>0.47250000000000003</v>
      </c>
      <c r="F35" s="27">
        <f t="shared" si="13"/>
        <v>-0.32559818715471822</v>
      </c>
      <c r="G35" s="28">
        <f t="shared" si="14"/>
        <v>0.30056537251808463</v>
      </c>
      <c r="H35" s="28">
        <f t="shared" si="15"/>
        <v>1.9978614754782411</v>
      </c>
      <c r="I35" s="29">
        <v>500</v>
      </c>
      <c r="J35" s="30">
        <f t="shared" si="16"/>
        <v>998.93073773912056</v>
      </c>
      <c r="K35" s="31">
        <f t="shared" si="17"/>
        <v>49.946536886956032</v>
      </c>
      <c r="L35" s="32">
        <f t="shared" si="19"/>
        <v>52.607392995752129</v>
      </c>
      <c r="M35" s="33">
        <f t="shared" si="18"/>
        <v>1.0521478599150424</v>
      </c>
      <c r="N35" s="36"/>
      <c r="Q35"/>
      <c r="R35"/>
      <c r="S35"/>
    </row>
    <row r="36" spans="1:21" ht="15">
      <c r="B36" s="73">
        <v>0.53900000000000003</v>
      </c>
      <c r="C36" s="73">
        <v>0.52900000000000003</v>
      </c>
      <c r="D36" s="27">
        <f t="shared" si="11"/>
        <v>0.53400000000000003</v>
      </c>
      <c r="E36" s="27">
        <f t="shared" si="12"/>
        <v>0.46650000000000003</v>
      </c>
      <c r="F36" s="27">
        <f t="shared" si="13"/>
        <v>-0.33114835191748121</v>
      </c>
      <c r="G36" s="28">
        <f t="shared" si="14"/>
        <v>0.29503916068123909</v>
      </c>
      <c r="H36" s="28">
        <f t="shared" si="15"/>
        <v>1.9726005990714914</v>
      </c>
      <c r="I36" s="29">
        <v>500</v>
      </c>
      <c r="J36" s="30">
        <f t="shared" si="16"/>
        <v>986.30029953574569</v>
      </c>
      <c r="K36" s="31">
        <f t="shared" si="17"/>
        <v>49.315014976787289</v>
      </c>
      <c r="L36" s="32">
        <f t="shared" si="19"/>
        <v>53.289226527102699</v>
      </c>
      <c r="M36" s="33">
        <f t="shared" si="18"/>
        <v>1.0657845305420539</v>
      </c>
      <c r="N36" s="37"/>
      <c r="Q36"/>
      <c r="R36"/>
      <c r="S36"/>
    </row>
    <row r="37" spans="1:21" ht="15">
      <c r="R37"/>
      <c r="S37"/>
    </row>
    <row r="38" spans="1:21" ht="23.25">
      <c r="A38" s="14" t="s">
        <v>27</v>
      </c>
      <c r="E38" s="28"/>
      <c r="F38" s="27"/>
      <c r="H38" s="38"/>
      <c r="M38" s="39" t="s">
        <v>28</v>
      </c>
      <c r="R38"/>
      <c r="S38"/>
      <c r="T38"/>
    </row>
    <row r="39" spans="1:21" ht="15">
      <c r="A39" s="19" t="s">
        <v>14</v>
      </c>
      <c r="B39" s="21" t="s">
        <v>15</v>
      </c>
      <c r="C39" s="21" t="s">
        <v>15</v>
      </c>
      <c r="D39" s="9" t="s">
        <v>16</v>
      </c>
      <c r="E39" s="20" t="s">
        <v>17</v>
      </c>
      <c r="F39" s="21" t="s">
        <v>9</v>
      </c>
      <c r="G39" s="21" t="s">
        <v>18</v>
      </c>
      <c r="H39" s="21" t="s">
        <v>19</v>
      </c>
      <c r="I39" s="9" t="s">
        <v>20</v>
      </c>
      <c r="J39" s="21" t="s">
        <v>21</v>
      </c>
      <c r="K39" s="21" t="s">
        <v>29</v>
      </c>
      <c r="L39" s="21" t="s">
        <v>30</v>
      </c>
      <c r="M39" s="17" t="s">
        <v>31</v>
      </c>
      <c r="N39" s="40" t="s">
        <v>32</v>
      </c>
      <c r="R39"/>
      <c r="S39"/>
      <c r="T39"/>
    </row>
    <row r="40" spans="1:21" ht="15">
      <c r="A40" s="1" t="s">
        <v>33</v>
      </c>
      <c r="B40" s="74">
        <v>8.3000000000000004E-2</v>
      </c>
      <c r="C40" s="74">
        <v>7.2999999999999995E-2</v>
      </c>
      <c r="D40" s="27">
        <f t="shared" ref="D40:D45" si="20">AVERAGE(B40,C40)</f>
        <v>7.8E-2</v>
      </c>
      <c r="E40" s="27">
        <f t="shared" ref="E40:E45" si="21">D40-E$8</f>
        <v>1.0499999999999995E-2</v>
      </c>
      <c r="F40" s="27">
        <f t="shared" ref="F40:F45" si="22">LOG(E40)</f>
        <v>-1.9788107009300622</v>
      </c>
      <c r="G40" s="28">
        <f t="shared" ref="G40:G45" si="23">(F40-$B$16)/$B$15</f>
        <v>-1.3455123482266234</v>
      </c>
      <c r="H40" s="27">
        <f t="shared" ref="H40:H45" si="24">10^G40</f>
        <v>4.513231927572451E-2</v>
      </c>
      <c r="I40" s="41">
        <v>16</v>
      </c>
      <c r="J40" s="42">
        <f t="shared" ref="J40:J45" si="25">H40*I40</f>
        <v>0.72211710841159216</v>
      </c>
      <c r="K40" s="30">
        <f>(0.1*J40/1000)*1000</f>
        <v>7.2211710841159224E-2</v>
      </c>
      <c r="L40" s="43">
        <f>K40*100/L22</f>
        <v>0.11571289978251448</v>
      </c>
      <c r="M40" s="30">
        <f>AVERAGE(L40:L42)</f>
        <v>0.16381539569796039</v>
      </c>
      <c r="N40" s="44">
        <f>STDEV(L40:L42)</f>
        <v>4.3767282732183589E-2</v>
      </c>
      <c r="R40"/>
      <c r="S40"/>
      <c r="T40"/>
      <c r="U40"/>
    </row>
    <row r="41" spans="1:21" ht="15">
      <c r="B41" s="74">
        <v>8.5000000000000006E-2</v>
      </c>
      <c r="C41" s="74">
        <v>0.08</v>
      </c>
      <c r="D41" s="27">
        <f t="shared" si="20"/>
        <v>8.2500000000000004E-2</v>
      </c>
      <c r="E41" s="27">
        <f t="shared" si="21"/>
        <v>1.4999999999999999E-2</v>
      </c>
      <c r="F41" s="27">
        <f t="shared" si="22"/>
        <v>-1.8239087409443189</v>
      </c>
      <c r="G41" s="28">
        <f t="shared" si="23"/>
        <v>-1.1912789008581806</v>
      </c>
      <c r="H41" s="27">
        <f t="shared" si="24"/>
        <v>6.4375571735187237E-2</v>
      </c>
      <c r="I41" s="41">
        <v>16</v>
      </c>
      <c r="J41" s="42">
        <f t="shared" si="25"/>
        <v>1.0300091477629958</v>
      </c>
      <c r="K41" s="30">
        <f t="shared" ref="K41:K45" si="26">(0.1*J41/1000)*1000</f>
        <v>0.10300091477629958</v>
      </c>
      <c r="L41" s="43">
        <f t="shared" ref="L41:L45" si="27">K41*100/L23</f>
        <v>0.17444325165562305</v>
      </c>
      <c r="M41" s="30"/>
      <c r="N41" s="44"/>
      <c r="R41"/>
      <c r="S41"/>
      <c r="T41"/>
      <c r="U41"/>
    </row>
    <row r="42" spans="1:21" s="17" customFormat="1" ht="15">
      <c r="A42" s="1"/>
      <c r="B42" s="74">
        <v>8.5999999999999993E-2</v>
      </c>
      <c r="C42" s="74">
        <v>8.6999999999999994E-2</v>
      </c>
      <c r="D42" s="27">
        <f t="shared" si="20"/>
        <v>8.6499999999999994E-2</v>
      </c>
      <c r="E42" s="27">
        <f t="shared" si="21"/>
        <v>1.8999999999999989E-2</v>
      </c>
      <c r="F42" s="27">
        <f t="shared" si="22"/>
        <v>-1.7212463990471714</v>
      </c>
      <c r="G42" s="28">
        <f t="shared" si="23"/>
        <v>-1.0890596203069722</v>
      </c>
      <c r="H42" s="27">
        <f t="shared" si="24"/>
        <v>8.1459244841708203E-2</v>
      </c>
      <c r="I42" s="41">
        <v>16</v>
      </c>
      <c r="J42" s="42">
        <f t="shared" si="25"/>
        <v>1.3033479174673313</v>
      </c>
      <c r="K42" s="30">
        <f t="shared" si="26"/>
        <v>0.13033479174673313</v>
      </c>
      <c r="L42" s="43">
        <f t="shared" si="27"/>
        <v>0.2012900356557436</v>
      </c>
      <c r="M42" s="30"/>
      <c r="N42" s="44"/>
      <c r="R42"/>
      <c r="S42"/>
      <c r="T42"/>
      <c r="U42"/>
    </row>
    <row r="43" spans="1:21" ht="15">
      <c r="A43" s="1" t="s">
        <v>34</v>
      </c>
      <c r="B43" s="74">
        <v>0.17899999999999999</v>
      </c>
      <c r="C43" s="74">
        <v>0.16400000000000001</v>
      </c>
      <c r="D43" s="27">
        <f t="shared" si="20"/>
        <v>0.17149999999999999</v>
      </c>
      <c r="E43" s="27">
        <f t="shared" si="21"/>
        <v>0.10399999999999998</v>
      </c>
      <c r="F43" s="27">
        <f t="shared" si="22"/>
        <v>-0.98296666070121974</v>
      </c>
      <c r="G43" s="28">
        <f t="shared" si="23"/>
        <v>-0.3539660864495055</v>
      </c>
      <c r="H43" s="27">
        <f t="shared" si="24"/>
        <v>0.44262293492282889</v>
      </c>
      <c r="I43" s="41">
        <v>16</v>
      </c>
      <c r="J43" s="42">
        <f t="shared" si="25"/>
        <v>7.0819669587652623</v>
      </c>
      <c r="K43" s="30">
        <f t="shared" si="26"/>
        <v>0.70819669587652623</v>
      </c>
      <c r="L43" s="43">
        <f t="shared" si="27"/>
        <v>1.1188050263352427</v>
      </c>
      <c r="M43" s="30">
        <f>AVERAGE(L43:L45)</f>
        <v>1.5524403832767024</v>
      </c>
      <c r="N43" s="44">
        <f>STDEV(L43:L45)</f>
        <v>0.49871924798143791</v>
      </c>
      <c r="R43"/>
      <c r="S43"/>
      <c r="T43"/>
      <c r="U43"/>
    </row>
    <row r="44" spans="1:21" ht="15">
      <c r="A44" s="45"/>
      <c r="B44" s="74">
        <v>0.17499999999999999</v>
      </c>
      <c r="C44" s="74">
        <v>0.186</v>
      </c>
      <c r="D44" s="27">
        <f t="shared" si="20"/>
        <v>0.18049999999999999</v>
      </c>
      <c r="E44" s="27">
        <f t="shared" si="21"/>
        <v>0.11299999999999999</v>
      </c>
      <c r="F44" s="27">
        <f t="shared" si="22"/>
        <v>-0.94692155651658028</v>
      </c>
      <c r="G44" s="28">
        <f t="shared" si="23"/>
        <v>-0.31807654263958024</v>
      </c>
      <c r="H44" s="27">
        <f t="shared" si="24"/>
        <v>0.48075460993397989</v>
      </c>
      <c r="I44" s="41">
        <v>16</v>
      </c>
      <c r="J44" s="42">
        <f t="shared" si="25"/>
        <v>7.6920737589436783</v>
      </c>
      <c r="K44" s="30">
        <f t="shared" si="26"/>
        <v>0.76920737589436783</v>
      </c>
      <c r="L44" s="43">
        <f t="shared" si="27"/>
        <v>1.4410947316587976</v>
      </c>
      <c r="M44" s="30"/>
      <c r="N44" s="44"/>
      <c r="R44"/>
      <c r="S44"/>
      <c r="T44"/>
      <c r="U44"/>
    </row>
    <row r="45" spans="1:21" ht="15">
      <c r="A45" s="46"/>
      <c r="B45" s="74">
        <v>0.24099999999999999</v>
      </c>
      <c r="C45" s="74">
        <v>0.23</v>
      </c>
      <c r="D45" s="27">
        <f t="shared" si="20"/>
        <v>0.23549999999999999</v>
      </c>
      <c r="E45" s="27">
        <f t="shared" si="21"/>
        <v>0.16799999999999998</v>
      </c>
      <c r="F45" s="27">
        <f t="shared" si="22"/>
        <v>-0.77469071827413716</v>
      </c>
      <c r="G45" s="28">
        <f t="shared" si="23"/>
        <v>-0.14658900350364251</v>
      </c>
      <c r="H45" s="27">
        <f t="shared" si="24"/>
        <v>0.71352796104380922</v>
      </c>
      <c r="I45" s="41">
        <v>16</v>
      </c>
      <c r="J45" s="42">
        <f t="shared" si="25"/>
        <v>11.416447376700948</v>
      </c>
      <c r="K45" s="30">
        <f t="shared" si="26"/>
        <v>1.1416447376700949</v>
      </c>
      <c r="L45" s="43">
        <f t="shared" si="27"/>
        <v>2.097421391836066</v>
      </c>
      <c r="M45" s="30"/>
      <c r="N45" s="44"/>
      <c r="R45"/>
      <c r="S45"/>
      <c r="T45"/>
      <c r="U45"/>
    </row>
    <row r="46" spans="1:21" ht="15">
      <c r="E46" s="28"/>
      <c r="F46" s="27"/>
      <c r="G46" s="30"/>
      <c r="H46" s="47"/>
      <c r="R46"/>
      <c r="S46"/>
      <c r="T46"/>
    </row>
    <row r="47" spans="1:21">
      <c r="E47" s="28"/>
      <c r="F47" s="27"/>
      <c r="G47" s="30"/>
      <c r="H47" s="47"/>
    </row>
    <row r="48" spans="1:21" ht="23.25">
      <c r="A48" s="14" t="s">
        <v>35</v>
      </c>
      <c r="E48" s="28"/>
      <c r="F48" s="27"/>
      <c r="H48" s="38"/>
      <c r="M48" s="39" t="s">
        <v>28</v>
      </c>
    </row>
    <row r="49" spans="1:25">
      <c r="A49" s="19" t="s">
        <v>14</v>
      </c>
      <c r="B49" s="21" t="s">
        <v>15</v>
      </c>
      <c r="C49" s="21" t="s">
        <v>15</v>
      </c>
      <c r="D49" s="9" t="s">
        <v>16</v>
      </c>
      <c r="E49" s="20" t="s">
        <v>17</v>
      </c>
      <c r="F49" s="21" t="s">
        <v>9</v>
      </c>
      <c r="G49" s="21" t="s">
        <v>18</v>
      </c>
      <c r="H49" s="21" t="s">
        <v>19</v>
      </c>
      <c r="I49" s="9" t="s">
        <v>20</v>
      </c>
      <c r="J49" s="21" t="s">
        <v>21</v>
      </c>
      <c r="K49" s="21" t="s">
        <v>29</v>
      </c>
      <c r="L49" s="21" t="s">
        <v>30</v>
      </c>
      <c r="M49" s="17" t="s">
        <v>31</v>
      </c>
      <c r="N49" s="40" t="s">
        <v>32</v>
      </c>
      <c r="O49" s="2" t="s">
        <v>36</v>
      </c>
      <c r="P49" s="17" t="s">
        <v>31</v>
      </c>
      <c r="Q49" s="40" t="s">
        <v>32</v>
      </c>
    </row>
    <row r="50" spans="1:25" ht="15">
      <c r="A50" s="1" t="s">
        <v>25</v>
      </c>
      <c r="B50" s="75">
        <v>0.184</v>
      </c>
      <c r="C50" s="75">
        <v>0.17499999999999999</v>
      </c>
      <c r="D50" s="27">
        <f t="shared" ref="D50:D52" si="28">AVERAGE(B50,C50)</f>
        <v>0.17949999999999999</v>
      </c>
      <c r="E50" s="27">
        <f t="shared" ref="E50:E55" si="29">D50-E$8</f>
        <v>0.11199999999999999</v>
      </c>
      <c r="F50" s="27">
        <f t="shared" ref="F50:F55" si="30">LOG(E50)</f>
        <v>-0.9507819773298184</v>
      </c>
      <c r="G50" s="28">
        <f t="shared" ref="G50:G55" si="31">(F50-$B$16)/$B$15</f>
        <v>-0.3219203029791744</v>
      </c>
      <c r="H50" s="27">
        <f t="shared" ref="H50:H55" si="32">10^G50</f>
        <v>0.47651842428391572</v>
      </c>
      <c r="I50" s="41">
        <v>16</v>
      </c>
      <c r="J50" s="42">
        <f t="shared" ref="J50:J55" si="33">H50*I50</f>
        <v>7.6242947885426515</v>
      </c>
      <c r="K50" s="30">
        <f>(0.1*J50/1000)*1000</f>
        <v>0.76242947885426515</v>
      </c>
      <c r="L50" s="43">
        <f t="shared" ref="L50:L55" si="34">K50*100/L31</f>
        <v>1.2231413494786485</v>
      </c>
      <c r="M50" s="30">
        <f>AVERAGE(L50:L52)</f>
        <v>0.71876580360644449</v>
      </c>
      <c r="N50" s="44">
        <f>STDEV(L50:L52)</f>
        <v>0.43725414360655263</v>
      </c>
      <c r="O50" s="48">
        <f>L50/L40</f>
        <v>10.570483945848524</v>
      </c>
      <c r="P50" s="30">
        <f>AVERAGE(O50:O52)</f>
        <v>5.1826312321902774</v>
      </c>
      <c r="Q50" s="44">
        <f>STDEV(O50:O52)</f>
        <v>4.6665729292717835</v>
      </c>
      <c r="S50"/>
      <c r="T50"/>
    </row>
    <row r="51" spans="1:25" ht="15">
      <c r="B51" s="74">
        <v>0.109</v>
      </c>
      <c r="C51" s="74">
        <v>0.10299999999999999</v>
      </c>
      <c r="D51" s="27">
        <f t="shared" si="28"/>
        <v>0.106</v>
      </c>
      <c r="E51" s="27">
        <f t="shared" si="29"/>
        <v>3.8499999999999993E-2</v>
      </c>
      <c r="F51" s="27">
        <f t="shared" si="30"/>
        <v>-1.4145392704914994</v>
      </c>
      <c r="G51" s="28">
        <f t="shared" si="31"/>
        <v>-0.78367615211863439</v>
      </c>
      <c r="H51" s="27">
        <f t="shared" si="32"/>
        <v>0.16455983676217795</v>
      </c>
      <c r="I51" s="41">
        <v>16</v>
      </c>
      <c r="J51" s="42">
        <f t="shared" si="33"/>
        <v>2.6329573881948471</v>
      </c>
      <c r="K51" s="30">
        <f t="shared" ref="K51:K55" si="35">(0.1*J51/1000)*1000</f>
        <v>0.2632957388194847</v>
      </c>
      <c r="L51" s="43">
        <f t="shared" si="34"/>
        <v>0.44669920661843149</v>
      </c>
      <c r="M51" s="30"/>
      <c r="N51" s="44"/>
      <c r="O51" s="2">
        <f t="shared" ref="O51:O55" si="36">L51/L41</f>
        <v>2.5607135981406848</v>
      </c>
      <c r="P51" s="30"/>
      <c r="Q51" s="44"/>
      <c r="S51"/>
      <c r="T51"/>
    </row>
    <row r="52" spans="1:25" ht="15">
      <c r="B52" s="74">
        <v>0.11700000000000001</v>
      </c>
      <c r="C52" s="74">
        <v>0.11</v>
      </c>
      <c r="D52" s="27">
        <f t="shared" si="28"/>
        <v>0.1135</v>
      </c>
      <c r="E52" s="27">
        <f t="shared" si="29"/>
        <v>4.5999999999999999E-2</v>
      </c>
      <c r="F52" s="27">
        <f t="shared" si="30"/>
        <v>-1.3372421683184259</v>
      </c>
      <c r="G52" s="28">
        <f t="shared" si="31"/>
        <v>-0.70671264216149043</v>
      </c>
      <c r="H52" s="27">
        <f t="shared" si="32"/>
        <v>0.1964659795208232</v>
      </c>
      <c r="I52" s="41">
        <v>16</v>
      </c>
      <c r="J52" s="42">
        <f t="shared" si="33"/>
        <v>3.1434556723331712</v>
      </c>
      <c r="K52" s="30">
        <f t="shared" si="35"/>
        <v>0.31434556723331714</v>
      </c>
      <c r="L52" s="43">
        <f t="shared" si="34"/>
        <v>0.48645685472225342</v>
      </c>
      <c r="M52" s="30"/>
      <c r="N52" s="44"/>
      <c r="O52" s="2">
        <f t="shared" si="36"/>
        <v>2.4166961525816237</v>
      </c>
      <c r="P52" s="30"/>
      <c r="Q52" s="44"/>
      <c r="S52"/>
      <c r="T52"/>
    </row>
    <row r="53" spans="1:25" ht="15">
      <c r="A53" s="1" t="s">
        <v>26</v>
      </c>
      <c r="B53" s="76">
        <v>0.57499999999999996</v>
      </c>
      <c r="C53" s="76">
        <v>0.65500000000000003</v>
      </c>
      <c r="D53" s="27">
        <f>AVERAGE(B53:C53)</f>
        <v>0.61499999999999999</v>
      </c>
      <c r="E53" s="27">
        <f t="shared" si="29"/>
        <v>0.54749999999999999</v>
      </c>
      <c r="F53" s="27">
        <f t="shared" si="30"/>
        <v>-0.26161587648784407</v>
      </c>
      <c r="G53" s="28">
        <f t="shared" si="31"/>
        <v>0.36427155380629378</v>
      </c>
      <c r="H53" s="27">
        <f t="shared" si="32"/>
        <v>2.3135109202807316</v>
      </c>
      <c r="I53" s="41">
        <v>16</v>
      </c>
      <c r="J53" s="42">
        <f t="shared" si="33"/>
        <v>37.016174724491705</v>
      </c>
      <c r="K53" s="30">
        <f t="shared" si="35"/>
        <v>3.7016174724491706</v>
      </c>
      <c r="L53" s="43">
        <f t="shared" si="34"/>
        <v>5.9139594564779854</v>
      </c>
      <c r="M53" s="30">
        <f>AVERAGE(L53:L55)</f>
        <v>6.143241549241619</v>
      </c>
      <c r="N53" s="44">
        <f>STDEV(L53:L55)</f>
        <v>1.2162498825380088</v>
      </c>
      <c r="O53" s="2">
        <f t="shared" si="36"/>
        <v>5.2859607503281856</v>
      </c>
      <c r="P53" s="30">
        <f>AVERAGE(O53:O55)</f>
        <v>4.1171548733905103</v>
      </c>
      <c r="Q53" s="44">
        <f>STDEV(O53:O55)</f>
        <v>1.0124758183154121</v>
      </c>
      <c r="S53"/>
      <c r="T53"/>
    </row>
    <row r="54" spans="1:25" ht="15">
      <c r="A54" s="45"/>
      <c r="B54" s="74">
        <v>0.51400000000000001</v>
      </c>
      <c r="C54" s="74">
        <v>0.40699999999999997</v>
      </c>
      <c r="D54" s="27">
        <f>AVERAGE(B54:C54)</f>
        <v>0.46050000000000002</v>
      </c>
      <c r="E54" s="27">
        <f t="shared" si="29"/>
        <v>0.39300000000000002</v>
      </c>
      <c r="F54" s="27">
        <f t="shared" si="30"/>
        <v>-0.40560744962457329</v>
      </c>
      <c r="G54" s="28">
        <f t="shared" si="31"/>
        <v>0.22090140717337209</v>
      </c>
      <c r="H54" s="27">
        <f t="shared" si="32"/>
        <v>1.6630350679975614</v>
      </c>
      <c r="I54" s="41">
        <v>16</v>
      </c>
      <c r="J54" s="42">
        <f t="shared" si="33"/>
        <v>26.608561087960982</v>
      </c>
      <c r="K54" s="30">
        <f t="shared" si="35"/>
        <v>2.6608561087960982</v>
      </c>
      <c r="L54" s="43">
        <f t="shared" si="34"/>
        <v>5.0579509024728777</v>
      </c>
      <c r="M54" s="30"/>
      <c r="N54" s="44"/>
      <c r="O54" s="2">
        <f t="shared" si="36"/>
        <v>3.5097976499094083</v>
      </c>
      <c r="P54" s="30"/>
      <c r="Q54" s="44"/>
      <c r="S54"/>
      <c r="T54"/>
    </row>
    <row r="55" spans="1:25" ht="15">
      <c r="A55" s="46"/>
      <c r="B55" s="74">
        <v>0.69499999999999995</v>
      </c>
      <c r="C55" s="74">
        <v>0.61599999999999999</v>
      </c>
      <c r="D55" s="27">
        <f>AVERAGE(B55:C55)</f>
        <v>0.65549999999999997</v>
      </c>
      <c r="E55" s="27">
        <f t="shared" si="29"/>
        <v>0.58799999999999997</v>
      </c>
      <c r="F55" s="27">
        <f t="shared" si="30"/>
        <v>-0.23062267392386154</v>
      </c>
      <c r="G55" s="28">
        <f t="shared" si="31"/>
        <v>0.39513099856006856</v>
      </c>
      <c r="H55" s="27">
        <f t="shared" si="32"/>
        <v>2.4838822189471292</v>
      </c>
      <c r="I55" s="41">
        <v>16</v>
      </c>
      <c r="J55" s="42">
        <f t="shared" si="33"/>
        <v>39.742115503154068</v>
      </c>
      <c r="K55" s="30">
        <f t="shared" si="35"/>
        <v>3.974211550315407</v>
      </c>
      <c r="L55" s="43">
        <f t="shared" si="34"/>
        <v>7.4578142887739949</v>
      </c>
      <c r="M55" s="30"/>
      <c r="N55" s="44"/>
      <c r="O55" s="2">
        <f t="shared" si="36"/>
        <v>3.5557062199339367</v>
      </c>
      <c r="P55" s="30"/>
      <c r="Q55" s="44"/>
      <c r="S55"/>
      <c r="T55"/>
      <c r="Y55" s="1"/>
    </row>
    <row r="56" spans="1:25">
      <c r="D56" s="27"/>
      <c r="E56" s="28"/>
      <c r="F56" s="27"/>
      <c r="G56" s="30"/>
      <c r="H56" s="47"/>
    </row>
    <row r="57" spans="1:25">
      <c r="B57" s="30"/>
      <c r="C57" s="30"/>
      <c r="D57" s="27"/>
      <c r="E57" s="28"/>
      <c r="F57" s="27"/>
      <c r="G57" s="30"/>
      <c r="H57" s="47"/>
      <c r="M57" s="2" t="s">
        <v>37</v>
      </c>
      <c r="N57" s="2" t="s">
        <v>38</v>
      </c>
      <c r="O57" s="40" t="s">
        <v>32</v>
      </c>
    </row>
    <row r="58" spans="1:25" ht="15">
      <c r="C58"/>
      <c r="D58"/>
      <c r="E58"/>
      <c r="F58"/>
      <c r="G58"/>
      <c r="H58" s="47"/>
      <c r="M58" s="2" t="s">
        <v>25</v>
      </c>
      <c r="N58" s="30">
        <f>P50</f>
        <v>5.1826312321902774</v>
      </c>
      <c r="O58" s="30">
        <f>Q50</f>
        <v>4.6665729292717835</v>
      </c>
    </row>
    <row r="59" spans="1:25" ht="15">
      <c r="D59"/>
      <c r="E59"/>
      <c r="G59"/>
      <c r="M59" s="2" t="s">
        <v>26</v>
      </c>
      <c r="N59" s="30">
        <f>P53</f>
        <v>4.1171548733905103</v>
      </c>
      <c r="O59" s="30">
        <f>Q53</f>
        <v>1.0124758183154121</v>
      </c>
    </row>
    <row r="60" spans="1:25">
      <c r="G60" s="30"/>
      <c r="H60" s="47"/>
    </row>
    <row r="61" spans="1:25" ht="15">
      <c r="A61" s="49"/>
      <c r="D61"/>
      <c r="E61"/>
      <c r="F61"/>
      <c r="G61" s="30"/>
      <c r="H61" s="47"/>
    </row>
    <row r="62" spans="1:25" ht="15">
      <c r="C62" s="27"/>
      <c r="D62"/>
      <c r="E62"/>
      <c r="F62"/>
      <c r="G62" s="30"/>
      <c r="H62" s="47"/>
    </row>
    <row r="63" spans="1:25" ht="15">
      <c r="C63" s="27"/>
      <c r="D63"/>
      <c r="E63"/>
      <c r="F63"/>
      <c r="G63" s="30"/>
      <c r="H63" s="47"/>
    </row>
    <row r="64" spans="1:25" ht="13.5" thickBot="1">
      <c r="B64" s="50" t="s">
        <v>16</v>
      </c>
      <c r="C64" s="51" t="s">
        <v>39</v>
      </c>
      <c r="D64" s="27"/>
      <c r="E64" s="28"/>
      <c r="F64" s="27"/>
      <c r="G64" s="30"/>
      <c r="H64" s="47"/>
    </row>
    <row r="65" spans="1:8">
      <c r="A65" s="1" t="s">
        <v>33</v>
      </c>
      <c r="B65" s="30">
        <f>M40</f>
        <v>0.16381539569796039</v>
      </c>
      <c r="C65" s="30">
        <f>N40</f>
        <v>4.3767282732183589E-2</v>
      </c>
      <c r="D65" s="27"/>
      <c r="E65" s="28"/>
      <c r="F65" s="27"/>
      <c r="G65" s="30"/>
      <c r="H65" s="47"/>
    </row>
    <row r="66" spans="1:8">
      <c r="A66" s="1" t="s">
        <v>25</v>
      </c>
      <c r="B66" s="30">
        <f>M50</f>
        <v>0.71876580360644449</v>
      </c>
      <c r="C66" s="30">
        <f>N50</f>
        <v>0.43725414360655263</v>
      </c>
      <c r="D66" s="27"/>
      <c r="E66" s="28"/>
      <c r="F66" s="27"/>
      <c r="G66" s="30"/>
      <c r="H66" s="47"/>
    </row>
    <row r="67" spans="1:8">
      <c r="A67" s="52" t="s">
        <v>34</v>
      </c>
      <c r="B67" s="30">
        <f>M43</f>
        <v>1.5524403832767024</v>
      </c>
      <c r="C67" s="30">
        <f>N43</f>
        <v>0.49871924798143791</v>
      </c>
      <c r="D67" s="27"/>
      <c r="E67" s="28"/>
      <c r="F67" s="27"/>
      <c r="G67" s="30"/>
      <c r="H67" s="47"/>
    </row>
    <row r="68" spans="1:8">
      <c r="A68" s="45" t="s">
        <v>26</v>
      </c>
      <c r="B68" s="30">
        <f>M53</f>
        <v>6.143241549241619</v>
      </c>
      <c r="C68" s="30">
        <f>N53</f>
        <v>1.2162498825380088</v>
      </c>
      <c r="D68" s="27"/>
      <c r="E68" s="28"/>
      <c r="F68" s="27"/>
      <c r="G68" s="30"/>
      <c r="H68" s="47"/>
    </row>
    <row r="69" spans="1:8">
      <c r="A69" s="53"/>
      <c r="C69" s="27"/>
      <c r="D69" s="27"/>
      <c r="E69" s="28"/>
      <c r="F69" s="27"/>
      <c r="G69" s="30"/>
      <c r="H69" s="47"/>
    </row>
    <row r="70" spans="1:8">
      <c r="A70" s="53"/>
      <c r="C70" s="27"/>
      <c r="D70" s="27"/>
      <c r="E70" s="28"/>
      <c r="F70" s="27"/>
      <c r="G70" s="30"/>
      <c r="H70" s="47"/>
    </row>
    <row r="71" spans="1:8">
      <c r="A71" s="53"/>
      <c r="B71" s="48"/>
      <c r="C71" s="27"/>
      <c r="D71" s="27"/>
      <c r="E71" s="28"/>
      <c r="F71" s="27"/>
      <c r="G71" s="30"/>
      <c r="H71" s="47"/>
    </row>
    <row r="72" spans="1:8">
      <c r="A72" s="53"/>
      <c r="B72" s="48"/>
      <c r="C72" s="27"/>
      <c r="D72" s="27"/>
      <c r="E72" s="28"/>
      <c r="F72" s="27"/>
      <c r="G72" s="30"/>
      <c r="H72" s="47"/>
    </row>
    <row r="73" spans="1:8">
      <c r="C73" s="27"/>
      <c r="D73" s="27"/>
      <c r="E73" s="28"/>
      <c r="F73" s="27"/>
      <c r="G73" s="30"/>
      <c r="H73" s="47"/>
    </row>
    <row r="74" spans="1:8">
      <c r="C74" s="27"/>
      <c r="D74" s="28"/>
      <c r="H74" s="47"/>
    </row>
    <row r="75" spans="1:8">
      <c r="A75" s="54"/>
      <c r="C75" s="27"/>
      <c r="D75" s="28"/>
      <c r="H75" s="38"/>
    </row>
    <row r="76" spans="1:8">
      <c r="A76" s="54"/>
      <c r="C76" s="27"/>
      <c r="D76" s="28"/>
      <c r="H76" s="38"/>
    </row>
    <row r="77" spans="1:8">
      <c r="A77" s="55"/>
      <c r="B77" s="38"/>
      <c r="C77" s="56"/>
      <c r="D77" s="57"/>
      <c r="E77" s="38"/>
      <c r="F77" s="38"/>
      <c r="G77" s="38"/>
    </row>
    <row r="78" spans="1:8">
      <c r="A78" s="52"/>
      <c r="B78" s="58"/>
      <c r="C78" s="59"/>
      <c r="D78" s="38"/>
      <c r="E78" s="38"/>
      <c r="F78" s="38"/>
      <c r="G78" s="38"/>
    </row>
    <row r="79" spans="1:8">
      <c r="A79" s="52"/>
      <c r="B79" s="42"/>
      <c r="C79" s="56"/>
      <c r="D79" s="38"/>
      <c r="E79" s="38"/>
      <c r="F79" s="38"/>
      <c r="G79" s="38"/>
    </row>
    <row r="80" spans="1:8">
      <c r="A80" s="52"/>
      <c r="B80" s="42"/>
      <c r="C80" s="56"/>
      <c r="D80" s="38"/>
      <c r="E80" s="38"/>
      <c r="F80" s="38"/>
      <c r="G80" s="38"/>
    </row>
    <row r="81" spans="1:7">
      <c r="A81" s="52"/>
      <c r="B81" s="42"/>
      <c r="C81" s="56"/>
      <c r="D81" s="38"/>
      <c r="E81" s="38"/>
      <c r="F81" s="38"/>
      <c r="G81" s="38"/>
    </row>
    <row r="82" spans="1:7">
      <c r="A82" s="52"/>
      <c r="B82" s="42"/>
      <c r="C82" s="56"/>
      <c r="D82" s="38"/>
      <c r="E82" s="38"/>
      <c r="F82" s="38"/>
      <c r="G82" s="38"/>
    </row>
    <row r="83" spans="1:7">
      <c r="A83" s="52"/>
      <c r="B83" s="38"/>
      <c r="C83" s="38"/>
      <c r="D83" s="60"/>
      <c r="E83" s="58"/>
      <c r="F83" s="58"/>
      <c r="G83" s="38"/>
    </row>
    <row r="84" spans="1:7">
      <c r="A84" s="52"/>
      <c r="B84" s="42"/>
      <c r="C84" s="56"/>
      <c r="D84" s="47"/>
      <c r="E84" s="47"/>
      <c r="F84" s="47"/>
      <c r="G84" s="38"/>
    </row>
    <row r="85" spans="1:7">
      <c r="A85" s="52"/>
      <c r="B85" s="42"/>
      <c r="C85" s="56"/>
      <c r="D85" s="47"/>
      <c r="E85" s="47"/>
      <c r="F85" s="47"/>
      <c r="G85" s="38"/>
    </row>
    <row r="86" spans="1:7">
      <c r="A86" s="52"/>
      <c r="B86" s="42"/>
      <c r="C86" s="56"/>
      <c r="D86" s="47"/>
      <c r="E86" s="47"/>
      <c r="F86" s="47"/>
      <c r="G86" s="38"/>
    </row>
    <row r="87" spans="1:7">
      <c r="A87" s="52"/>
      <c r="B87" s="42"/>
      <c r="C87" s="56"/>
      <c r="D87" s="47"/>
      <c r="E87" s="47"/>
      <c r="F87" s="47"/>
      <c r="G87" s="38"/>
    </row>
    <row r="88" spans="1:7">
      <c r="A88" s="52"/>
      <c r="B88" s="38"/>
      <c r="C88" s="47"/>
      <c r="D88" s="47"/>
      <c r="E88" s="47"/>
      <c r="F88" s="47"/>
      <c r="G88" s="38"/>
    </row>
    <row r="89" spans="1:7">
      <c r="A89" s="52"/>
      <c r="B89" s="38"/>
      <c r="C89" s="47"/>
      <c r="D89" s="47"/>
      <c r="E89" s="47"/>
      <c r="F89" s="47"/>
      <c r="G89" s="38"/>
    </row>
    <row r="90" spans="1:7">
      <c r="C90" s="47"/>
      <c r="D90" s="47"/>
      <c r="E90" s="61"/>
      <c r="F90" s="61"/>
    </row>
    <row r="91" spans="1:7">
      <c r="C91" s="47"/>
      <c r="D91" s="47"/>
      <c r="E91" s="61"/>
      <c r="F91" s="61"/>
    </row>
    <row r="92" spans="1:7">
      <c r="C92" s="47"/>
      <c r="D92" s="47"/>
      <c r="E92" s="61"/>
      <c r="F92" s="61"/>
    </row>
    <row r="93" spans="1:7">
      <c r="C93" s="47"/>
      <c r="D93" s="47"/>
      <c r="E93" s="61"/>
      <c r="F93" s="61"/>
    </row>
    <row r="94" spans="1:7">
      <c r="C94" s="47"/>
      <c r="E94" s="61"/>
      <c r="F94" s="61"/>
    </row>
    <row r="95" spans="1:7">
      <c r="C95" s="47"/>
      <c r="E95" s="61"/>
      <c r="F95" s="61"/>
    </row>
    <row r="96" spans="1:7">
      <c r="C96" s="47"/>
      <c r="D96" s="47"/>
      <c r="E96" s="61"/>
      <c r="F96" s="61"/>
    </row>
    <row r="97" spans="2:6">
      <c r="C97" s="47"/>
      <c r="D97" s="47"/>
      <c r="E97" s="61"/>
      <c r="F97" s="61"/>
    </row>
    <row r="98" spans="2:6">
      <c r="C98" s="47"/>
      <c r="D98" s="47"/>
      <c r="E98" s="61"/>
      <c r="F98" s="61"/>
    </row>
    <row r="99" spans="2:6">
      <c r="C99" s="47"/>
      <c r="D99" s="47"/>
      <c r="E99" s="61"/>
      <c r="F99" s="61"/>
    </row>
    <row r="100" spans="2:6">
      <c r="C100" s="47"/>
      <c r="D100" s="47"/>
      <c r="E100" s="61"/>
      <c r="F100" s="61"/>
    </row>
    <row r="101" spans="2:6">
      <c r="C101" s="47"/>
      <c r="D101" s="47"/>
      <c r="E101" s="61"/>
      <c r="F101" s="61"/>
    </row>
    <row r="102" spans="2:6">
      <c r="C102" s="47"/>
      <c r="D102" s="47"/>
      <c r="E102" s="61"/>
      <c r="F102" s="61"/>
    </row>
    <row r="103" spans="2:6">
      <c r="C103" s="47"/>
      <c r="D103" s="47"/>
      <c r="E103" s="61"/>
      <c r="F103" s="61"/>
    </row>
    <row r="104" spans="2:6">
      <c r="C104" s="47"/>
      <c r="D104" s="47"/>
      <c r="E104" s="61"/>
      <c r="F104" s="61"/>
    </row>
    <row r="105" spans="2:6">
      <c r="C105" s="47"/>
      <c r="D105" s="47"/>
      <c r="E105" s="61"/>
      <c r="F105" s="61"/>
    </row>
    <row r="106" spans="2:6">
      <c r="C106" s="47"/>
    </row>
    <row r="107" spans="2:6">
      <c r="C107" s="47"/>
    </row>
    <row r="108" spans="2:6" ht="13.5" thickBot="1">
      <c r="B108" s="62"/>
      <c r="C108" s="62"/>
      <c r="D108" s="62"/>
      <c r="E108" s="62"/>
    </row>
    <row r="109" spans="2:6">
      <c r="B109" s="61"/>
      <c r="C109" s="61"/>
      <c r="D109" s="61"/>
      <c r="E109" s="61"/>
    </row>
    <row r="110" spans="2:6">
      <c r="B110" s="61"/>
      <c r="C110" s="61"/>
      <c r="D110" s="61"/>
      <c r="E110" s="61"/>
    </row>
    <row r="111" spans="2:6">
      <c r="B111" s="61"/>
      <c r="C111" s="61"/>
      <c r="D111" s="61"/>
      <c r="E111" s="61"/>
    </row>
    <row r="112" spans="2:6">
      <c r="B112" s="61"/>
      <c r="C112" s="61"/>
      <c r="D112" s="61"/>
      <c r="E112" s="61"/>
    </row>
    <row r="113" spans="2:5">
      <c r="B113" s="61"/>
      <c r="C113" s="61"/>
      <c r="D113" s="61"/>
      <c r="E113" s="61"/>
    </row>
    <row r="114" spans="2:5">
      <c r="B114" s="61"/>
      <c r="C114" s="61"/>
      <c r="D114" s="61"/>
      <c r="E114" s="61"/>
    </row>
    <row r="115" spans="2:5">
      <c r="B115" s="61"/>
      <c r="C115" s="61"/>
      <c r="D115" s="61"/>
      <c r="E115" s="61"/>
    </row>
    <row r="116" spans="2:5">
      <c r="B116" s="61"/>
      <c r="C116" s="61"/>
      <c r="D116" s="61"/>
      <c r="E116" s="61"/>
    </row>
    <row r="117" spans="2:5">
      <c r="B117" s="61"/>
      <c r="C117" s="61"/>
      <c r="D117" s="61"/>
      <c r="E117" s="61"/>
    </row>
    <row r="118" spans="2:5">
      <c r="B118" s="61"/>
      <c r="C118" s="61"/>
      <c r="D118" s="61"/>
      <c r="E118" s="61"/>
    </row>
  </sheetData>
  <pageMargins left="0.7" right="0.7" top="0.75" bottom="0.75" header="0.3" footer="0.3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siNTP</vt:lpstr>
      <vt:lpstr>siGPSM1</vt:lpstr>
      <vt:lpstr>siDUSP9</vt:lpstr>
      <vt:lpstr>siDUSP9!Zone_d_impression</vt:lpstr>
      <vt:lpstr>siGPSM1!Zone_d_impression</vt:lpstr>
      <vt:lpstr>siNTP!Zone_d_impression</vt:lpstr>
    </vt:vector>
  </TitlesOfParts>
  <Company>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aortalli</cp:lastModifiedBy>
  <dcterms:created xsi:type="dcterms:W3CDTF">2015-12-08T15:20:20Z</dcterms:created>
  <dcterms:modified xsi:type="dcterms:W3CDTF">2016-03-11T09:38:52Z</dcterms:modified>
</cp:coreProperties>
</file>