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esktop\Fichiers stats_Clara\"/>
    </mc:Choice>
  </mc:AlternateContent>
  <bookViews>
    <workbookView xWindow="0" yWindow="0" windowWidth="25200" windowHeight="11985" activeTab="2"/>
  </bookViews>
  <sheets>
    <sheet name="siNTP" sheetId="1" r:id="rId1"/>
    <sheet name="siPRC1" sheetId="8" r:id="rId2"/>
    <sheet name="siGCK" sheetId="9" r:id="rId3"/>
  </sheets>
  <externalReferences>
    <externalReference r:id="rId4"/>
  </externalReference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B10" i="9" l="1"/>
  <c r="B11" i="9"/>
  <c r="B12" i="9"/>
  <c r="B13" i="9"/>
  <c r="B9" i="9"/>
  <c r="B10" i="8"/>
  <c r="B11" i="8"/>
  <c r="B12" i="8"/>
  <c r="B13" i="8"/>
  <c r="B9" i="8"/>
  <c r="B10" i="1"/>
  <c r="B11" i="1"/>
  <c r="B12" i="1"/>
  <c r="B13" i="1"/>
  <c r="B9" i="1"/>
  <c r="E51" i="1" l="1"/>
  <c r="E45" i="1"/>
  <c r="E42" i="1"/>
  <c r="E35" i="1"/>
  <c r="E33" i="1"/>
  <c r="F33" i="1"/>
  <c r="F31" i="1"/>
  <c r="E31" i="1"/>
  <c r="D55" i="9" l="1"/>
  <c r="D54" i="9"/>
  <c r="D53" i="9"/>
  <c r="D52" i="9"/>
  <c r="D51" i="9"/>
  <c r="D50" i="9"/>
  <c r="D45" i="9"/>
  <c r="D44" i="9"/>
  <c r="D43" i="9"/>
  <c r="D42" i="9"/>
  <c r="D41" i="9"/>
  <c r="D40" i="9"/>
  <c r="D36" i="9"/>
  <c r="D35" i="9"/>
  <c r="D34" i="9"/>
  <c r="D33" i="9"/>
  <c r="D32" i="9"/>
  <c r="D31" i="9"/>
  <c r="D27" i="9"/>
  <c r="D26" i="9"/>
  <c r="D25" i="9"/>
  <c r="D24" i="9"/>
  <c r="D23" i="9"/>
  <c r="D22" i="9"/>
  <c r="G13" i="9"/>
  <c r="E13" i="9"/>
  <c r="G12" i="9"/>
  <c r="E12" i="9"/>
  <c r="G11" i="9"/>
  <c r="E11" i="9"/>
  <c r="G10" i="9"/>
  <c r="E10" i="9"/>
  <c r="G9" i="9"/>
  <c r="E9" i="9"/>
  <c r="E8" i="9"/>
  <c r="F12" i="9" l="1"/>
  <c r="H12" i="9" s="1"/>
  <c r="F11" i="9"/>
  <c r="H11" i="9" s="1"/>
  <c r="E24" i="9"/>
  <c r="F24" i="9" s="1"/>
  <c r="E31" i="9"/>
  <c r="F31" i="9" s="1"/>
  <c r="E35" i="9"/>
  <c r="F35" i="9" s="1"/>
  <c r="E42" i="9"/>
  <c r="F42" i="9" s="1"/>
  <c r="E23" i="9"/>
  <c r="F23" i="9" s="1"/>
  <c r="E27" i="9"/>
  <c r="F27" i="9" s="1"/>
  <c r="E36" i="9"/>
  <c r="F36" i="9" s="1"/>
  <c r="E43" i="9"/>
  <c r="F43" i="9" s="1"/>
  <c r="F10" i="9"/>
  <c r="H10" i="9" s="1"/>
  <c r="E52" i="9"/>
  <c r="F52" i="9" s="1"/>
  <c r="E54" i="9"/>
  <c r="F54" i="9" s="1"/>
  <c r="E50" i="9"/>
  <c r="F50" i="9" s="1"/>
  <c r="E45" i="9"/>
  <c r="F45" i="9" s="1"/>
  <c r="E44" i="9"/>
  <c r="F44" i="9" s="1"/>
  <c r="E40" i="9"/>
  <c r="F40" i="9" s="1"/>
  <c r="E25" i="9"/>
  <c r="F25" i="9" s="1"/>
  <c r="E51" i="9"/>
  <c r="F51" i="9" s="1"/>
  <c r="E33" i="9"/>
  <c r="F33" i="9" s="1"/>
  <c r="E55" i="9"/>
  <c r="F55" i="9" s="1"/>
  <c r="F9" i="9"/>
  <c r="H9" i="9" s="1"/>
  <c r="F13" i="9"/>
  <c r="H13" i="9" s="1"/>
  <c r="E22" i="9"/>
  <c r="F22" i="9" s="1"/>
  <c r="E26" i="9"/>
  <c r="F26" i="9" s="1"/>
  <c r="E32" i="9"/>
  <c r="F32" i="9" s="1"/>
  <c r="E34" i="9"/>
  <c r="F34" i="9" s="1"/>
  <c r="E41" i="9"/>
  <c r="F41" i="9" s="1"/>
  <c r="E53" i="9"/>
  <c r="F53" i="9" s="1"/>
  <c r="B16" i="9" l="1"/>
  <c r="G25" i="9" s="1"/>
  <c r="H25" i="9" s="1"/>
  <c r="J25" i="9" s="1"/>
  <c r="K25" i="9" s="1"/>
  <c r="B15" i="9"/>
  <c r="G45" i="9" l="1"/>
  <c r="H45" i="9" s="1"/>
  <c r="J45" i="9" s="1"/>
  <c r="K45" i="9" s="1"/>
  <c r="G33" i="9"/>
  <c r="H33" i="9" s="1"/>
  <c r="J33" i="9" s="1"/>
  <c r="K33" i="9" s="1"/>
  <c r="G26" i="9"/>
  <c r="H26" i="9" s="1"/>
  <c r="J26" i="9" s="1"/>
  <c r="K26" i="9" s="1"/>
  <c r="G51" i="9"/>
  <c r="H51" i="9" s="1"/>
  <c r="J51" i="9" s="1"/>
  <c r="K51" i="9" s="1"/>
  <c r="G41" i="9"/>
  <c r="H41" i="9" s="1"/>
  <c r="J41" i="9" s="1"/>
  <c r="K41" i="9" s="1"/>
  <c r="G53" i="9"/>
  <c r="H53" i="9" s="1"/>
  <c r="J53" i="9" s="1"/>
  <c r="K53" i="9" s="1"/>
  <c r="G43" i="9"/>
  <c r="H43" i="9" s="1"/>
  <c r="J43" i="9" s="1"/>
  <c r="K43" i="9" s="1"/>
  <c r="G54" i="9"/>
  <c r="H54" i="9" s="1"/>
  <c r="J54" i="9" s="1"/>
  <c r="K54" i="9" s="1"/>
  <c r="G52" i="9"/>
  <c r="H52" i="9" s="1"/>
  <c r="J52" i="9" s="1"/>
  <c r="K52" i="9" s="1"/>
  <c r="G36" i="9"/>
  <c r="H36" i="9" s="1"/>
  <c r="J36" i="9" s="1"/>
  <c r="K36" i="9" s="1"/>
  <c r="G44" i="9"/>
  <c r="H44" i="9" s="1"/>
  <c r="J44" i="9" s="1"/>
  <c r="K44" i="9" s="1"/>
  <c r="G40" i="9"/>
  <c r="H40" i="9" s="1"/>
  <c r="J40" i="9" s="1"/>
  <c r="K40" i="9" s="1"/>
  <c r="G24" i="9"/>
  <c r="H24" i="9" s="1"/>
  <c r="J24" i="9" s="1"/>
  <c r="K24" i="9" s="1"/>
  <c r="G35" i="9"/>
  <c r="H35" i="9" s="1"/>
  <c r="J35" i="9" s="1"/>
  <c r="K35" i="9" s="1"/>
  <c r="G31" i="9"/>
  <c r="H31" i="9" s="1"/>
  <c r="J31" i="9" s="1"/>
  <c r="K31" i="9" s="1"/>
  <c r="G23" i="9"/>
  <c r="H23" i="9" s="1"/>
  <c r="J23" i="9" s="1"/>
  <c r="K23" i="9" s="1"/>
  <c r="L23" i="9" s="1"/>
  <c r="M23" i="9" s="1"/>
  <c r="G42" i="9"/>
  <c r="H42" i="9" s="1"/>
  <c r="J42" i="9" s="1"/>
  <c r="K42" i="9" s="1"/>
  <c r="G27" i="9"/>
  <c r="H27" i="9" s="1"/>
  <c r="J27" i="9" s="1"/>
  <c r="K27" i="9" s="1"/>
  <c r="G34" i="9"/>
  <c r="H34" i="9" s="1"/>
  <c r="J34" i="9" s="1"/>
  <c r="K34" i="9" s="1"/>
  <c r="G22" i="9"/>
  <c r="H22" i="9" s="1"/>
  <c r="J22" i="9" s="1"/>
  <c r="K22" i="9" s="1"/>
  <c r="G55" i="9"/>
  <c r="H55" i="9" s="1"/>
  <c r="J55" i="9" s="1"/>
  <c r="K55" i="9" s="1"/>
  <c r="G50" i="9"/>
  <c r="H50" i="9" s="1"/>
  <c r="J50" i="9" s="1"/>
  <c r="K50" i="9" s="1"/>
  <c r="G32" i="9"/>
  <c r="H32" i="9" s="1"/>
  <c r="J32" i="9" s="1"/>
  <c r="K32" i="9" s="1"/>
  <c r="L34" i="9" l="1"/>
  <c r="M34" i="9" s="1"/>
  <c r="L25" i="9"/>
  <c r="M25" i="9" s="1"/>
  <c r="L33" i="9"/>
  <c r="L52" i="9" s="1"/>
  <c r="L26" i="9"/>
  <c r="M26" i="9" s="1"/>
  <c r="L32" i="9"/>
  <c r="M32" i="9" s="1"/>
  <c r="L35" i="9"/>
  <c r="M35" i="9" s="1"/>
  <c r="L31" i="9"/>
  <c r="M31" i="9" s="1"/>
  <c r="L43" i="9"/>
  <c r="L41" i="9"/>
  <c r="L24" i="9"/>
  <c r="M24" i="9" s="1"/>
  <c r="L22" i="9"/>
  <c r="L53" i="9"/>
  <c r="L27" i="9"/>
  <c r="L36" i="9"/>
  <c r="M36" i="9" s="1"/>
  <c r="M33" i="9" l="1"/>
  <c r="L51" i="9"/>
  <c r="L44" i="9"/>
  <c r="L50" i="9"/>
  <c r="N50" i="9" s="1"/>
  <c r="L54" i="9"/>
  <c r="N53" i="9" s="1"/>
  <c r="L42" i="9"/>
  <c r="O52" i="9" s="1"/>
  <c r="M27" i="9"/>
  <c r="L45" i="9"/>
  <c r="M43" i="9" s="1"/>
  <c r="O53" i="9"/>
  <c r="M22" i="9"/>
  <c r="L40" i="9"/>
  <c r="L55" i="9"/>
  <c r="N43" i="9" l="1"/>
  <c r="C67" i="9" s="1"/>
  <c r="M53" i="9"/>
  <c r="B68" i="9" s="1"/>
  <c r="M40" i="9"/>
  <c r="B65" i="9" s="1"/>
  <c r="N40" i="9"/>
  <c r="C65" i="9" s="1"/>
  <c r="C66" i="9"/>
  <c r="O51" i="9"/>
  <c r="M50" i="9"/>
  <c r="B66" i="9" s="1"/>
  <c r="O54" i="9"/>
  <c r="P53" i="9" s="1"/>
  <c r="N59" i="9" s="1"/>
  <c r="B67" i="9"/>
  <c r="O50" i="9"/>
  <c r="P50" i="9" s="1"/>
  <c r="O55" i="9"/>
  <c r="Q53" i="9" s="1"/>
  <c r="O59" i="9" s="1"/>
  <c r="C68" i="9"/>
  <c r="Q50" i="9" l="1"/>
  <c r="O58" i="9" s="1"/>
  <c r="N58" i="9"/>
  <c r="D55" i="8" l="1"/>
  <c r="D54" i="8"/>
  <c r="D53" i="8"/>
  <c r="D52" i="8"/>
  <c r="D51" i="8"/>
  <c r="D50" i="8"/>
  <c r="D45" i="8"/>
  <c r="D44" i="8"/>
  <c r="D43" i="8"/>
  <c r="D42" i="8"/>
  <c r="D41" i="8"/>
  <c r="D40" i="8"/>
  <c r="D36" i="8"/>
  <c r="D35" i="8"/>
  <c r="D34" i="8"/>
  <c r="D33" i="8"/>
  <c r="D32" i="8"/>
  <c r="D31" i="8"/>
  <c r="D27" i="8"/>
  <c r="D26" i="8"/>
  <c r="D25" i="8"/>
  <c r="D24" i="8"/>
  <c r="D23" i="8"/>
  <c r="D22" i="8"/>
  <c r="G13" i="8"/>
  <c r="E13" i="8"/>
  <c r="G12" i="8"/>
  <c r="E12" i="8"/>
  <c r="G11" i="8"/>
  <c r="E11" i="8"/>
  <c r="G10" i="8"/>
  <c r="E10" i="8"/>
  <c r="F10" i="8" s="1"/>
  <c r="H10" i="8" s="1"/>
  <c r="G9" i="8"/>
  <c r="E9" i="8"/>
  <c r="E8" i="8"/>
  <c r="E54" i="8" s="1"/>
  <c r="F54" i="8" s="1"/>
  <c r="F12" i="8" l="1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B16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2" i="8"/>
  <c r="F22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B15" i="8" l="1"/>
  <c r="G26" i="8" s="1"/>
  <c r="H26" i="8" s="1"/>
  <c r="J26" i="8" s="1"/>
  <c r="K26" i="8" s="1"/>
  <c r="G45" i="8" l="1"/>
  <c r="H45" i="8" s="1"/>
  <c r="J45" i="8" s="1"/>
  <c r="K45" i="8" s="1"/>
  <c r="G34" i="8"/>
  <c r="H34" i="8" s="1"/>
  <c r="J34" i="8" s="1"/>
  <c r="K34" i="8" s="1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L26" i="8" s="1"/>
  <c r="M26" i="8" s="1"/>
  <c r="G35" i="8"/>
  <c r="H35" i="8" s="1"/>
  <c r="J35" i="8" s="1"/>
  <c r="K35" i="8" s="1"/>
  <c r="G27" i="8"/>
  <c r="H27" i="8" s="1"/>
  <c r="J27" i="8" s="1"/>
  <c r="K27" i="8" s="1"/>
  <c r="L27" i="8" s="1"/>
  <c r="M27" i="8" s="1"/>
  <c r="G51" i="8"/>
  <c r="H51" i="8" s="1"/>
  <c r="J51" i="8" s="1"/>
  <c r="K51" i="8" s="1"/>
  <c r="G53" i="8"/>
  <c r="H53" i="8" s="1"/>
  <c r="J53" i="8" s="1"/>
  <c r="K53" i="8" s="1"/>
  <c r="L25" i="8" s="1"/>
  <c r="M25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G22" i="8"/>
  <c r="H22" i="8" s="1"/>
  <c r="J22" i="8" s="1"/>
  <c r="K22" i="8" s="1"/>
  <c r="L33" i="8" l="1"/>
  <c r="M33" i="8" s="1"/>
  <c r="L34" i="8"/>
  <c r="M34" i="8" s="1"/>
  <c r="L36" i="8"/>
  <c r="M36" i="8" s="1"/>
  <c r="L22" i="8"/>
  <c r="M22" i="8" s="1"/>
  <c r="L31" i="8"/>
  <c r="M31" i="8" s="1"/>
  <c r="L35" i="8"/>
  <c r="M35" i="8" s="1"/>
  <c r="L32" i="8"/>
  <c r="M32" i="8" s="1"/>
  <c r="L23" i="8"/>
  <c r="M23" i="8" s="1"/>
  <c r="L24" i="8"/>
  <c r="M24" i="8" s="1"/>
  <c r="L52" i="8"/>
  <c r="L44" i="8"/>
  <c r="L43" i="8"/>
  <c r="L45" i="8"/>
  <c r="L53" i="8" l="1"/>
  <c r="L40" i="8"/>
  <c r="L55" i="8"/>
  <c r="N53" i="8" s="1"/>
  <c r="C68" i="8" s="1"/>
  <c r="L54" i="8"/>
  <c r="O54" i="8" s="1"/>
  <c r="L50" i="8"/>
  <c r="L51" i="8"/>
  <c r="N50" i="8" s="1"/>
  <c r="C66" i="8" s="1"/>
  <c r="L42" i="8"/>
  <c r="O52" i="8" s="1"/>
  <c r="L41" i="8"/>
  <c r="O53" i="8"/>
  <c r="O55" i="8"/>
  <c r="M43" i="8"/>
  <c r="B67" i="8" s="1"/>
  <c r="N43" i="8"/>
  <c r="C67" i="8" s="1"/>
  <c r="N40" i="8" l="1"/>
  <c r="C65" i="8" s="1"/>
  <c r="M50" i="8"/>
  <c r="B66" i="8" s="1"/>
  <c r="O50" i="8"/>
  <c r="M40" i="8"/>
  <c r="B65" i="8" s="1"/>
  <c r="M53" i="8"/>
  <c r="B68" i="8" s="1"/>
  <c r="P53" i="8"/>
  <c r="N59" i="8" s="1"/>
  <c r="O51" i="8"/>
  <c r="P50" i="8" s="1"/>
  <c r="N58" i="8" s="1"/>
  <c r="Q53" i="8"/>
  <c r="O59" i="8" s="1"/>
  <c r="Q50" i="8" l="1"/>
  <c r="O58" i="8" s="1"/>
  <c r="D55" i="1"/>
  <c r="D54" i="1"/>
  <c r="D53" i="1"/>
  <c r="D52" i="1"/>
  <c r="D51" i="1"/>
  <c r="D50" i="1"/>
  <c r="D45" i="1"/>
  <c r="D44" i="1"/>
  <c r="D43" i="1"/>
  <c r="D42" i="1"/>
  <c r="D41" i="1"/>
  <c r="D40" i="1"/>
  <c r="D36" i="1"/>
  <c r="D35" i="1"/>
  <c r="D34" i="1"/>
  <c r="D33" i="1"/>
  <c r="D32" i="1"/>
  <c r="D31" i="1"/>
  <c r="D27" i="1"/>
  <c r="D26" i="1"/>
  <c r="D25" i="1"/>
  <c r="D24" i="1"/>
  <c r="D23" i="1"/>
  <c r="D22" i="1"/>
  <c r="E13" i="1"/>
  <c r="G13" i="1"/>
  <c r="E12" i="1"/>
  <c r="G12" i="1"/>
  <c r="E11" i="1"/>
  <c r="G11" i="1"/>
  <c r="E10" i="1"/>
  <c r="G10" i="1"/>
  <c r="E9" i="1"/>
  <c r="G9" i="1"/>
  <c r="E8" i="1"/>
  <c r="E36" i="1" l="1"/>
  <c r="F36" i="1" s="1"/>
  <c r="E22" i="1"/>
  <c r="F22" i="1" s="1"/>
  <c r="E26" i="1"/>
  <c r="F26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F45" i="1"/>
  <c r="E53" i="1"/>
  <c r="F53" i="1" s="1"/>
  <c r="E24" i="1"/>
  <c r="F24" i="1" s="1"/>
  <c r="F35" i="1"/>
  <c r="F42" i="1"/>
  <c r="E50" i="1"/>
  <c r="F50" i="1" s="1"/>
  <c r="F9" i="1"/>
  <c r="H9" i="1" s="1"/>
  <c r="F11" i="1"/>
  <c r="H11" i="1" s="1"/>
  <c r="F13" i="1"/>
  <c r="H13" i="1" s="1"/>
  <c r="E25" i="1"/>
  <c r="F25" i="1" s="1"/>
  <c r="E43" i="1"/>
  <c r="F43" i="1" s="1"/>
  <c r="F51" i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7" i="1" l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5" i="1"/>
  <c r="H25" i="1" s="1"/>
  <c r="J25" i="1" s="1"/>
  <c r="K25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31" i="1" l="1"/>
  <c r="M31" i="1" s="1"/>
  <c r="L22" i="1"/>
  <c r="M22" i="1" s="1"/>
  <c r="L33" i="1"/>
  <c r="M33" i="1" s="1"/>
  <c r="L32" i="1"/>
  <c r="M32" i="1" s="1"/>
  <c r="L24" i="1"/>
  <c r="M24" i="1" s="1"/>
  <c r="L50" i="1"/>
  <c r="L23" i="1"/>
  <c r="L26" i="1"/>
  <c r="M26" i="1" s="1"/>
  <c r="L35" i="1"/>
  <c r="L36" i="1"/>
  <c r="M36" i="1" s="1"/>
  <c r="L34" i="1"/>
  <c r="M34" i="1" s="1"/>
  <c r="L25" i="1"/>
  <c r="M25" i="1" s="1"/>
  <c r="L27" i="1"/>
  <c r="M27" i="1" s="1"/>
  <c r="L40" i="1" l="1"/>
  <c r="L51" i="1"/>
  <c r="N50" i="1" s="1"/>
  <c r="L52" i="1"/>
  <c r="L43" i="1"/>
  <c r="L44" i="1"/>
  <c r="L55" i="1"/>
  <c r="L42" i="1"/>
  <c r="L53" i="1"/>
  <c r="M23" i="1"/>
  <c r="L41" i="1"/>
  <c r="M35" i="1"/>
  <c r="L54" i="1"/>
  <c r="L45" i="1"/>
  <c r="N40" i="1" l="1"/>
  <c r="M40" i="1"/>
  <c r="B65" i="1" s="1"/>
  <c r="N53" i="1"/>
  <c r="C68" i="1" s="1"/>
  <c r="M53" i="1"/>
  <c r="M43" i="1"/>
  <c r="N43" i="1"/>
  <c r="C67" i="1" s="1"/>
  <c r="M50" i="1"/>
  <c r="B66" i="1" s="1"/>
  <c r="B68" i="1"/>
  <c r="O53" i="1"/>
  <c r="O50" i="1"/>
  <c r="B67" i="1"/>
  <c r="O52" i="1"/>
  <c r="C65" i="1"/>
  <c r="C66" i="1"/>
  <c r="O54" i="1"/>
  <c r="O55" i="1"/>
  <c r="O51" i="1"/>
  <c r="P53" i="1" l="1"/>
  <c r="N59" i="1" s="1"/>
  <c r="P50" i="1"/>
  <c r="N58" i="1" s="1"/>
  <c r="Q50" i="1"/>
  <c r="O58" i="1" s="1"/>
  <c r="Q53" i="1"/>
  <c r="O59" i="1" s="1"/>
</calcChain>
</file>

<file path=xl/sharedStrings.xml><?xml version="1.0" encoding="utf-8"?>
<sst xmlns="http://schemas.openxmlformats.org/spreadsheetml/2006/main" count="306" uniqueCount="46">
  <si>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</si>
  <si>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</si>
  <si>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</si>
  <si>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</si>
  <si>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</si>
  <si>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</si>
  <si>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</si>
  <si>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</si>
  <si>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</si>
  <si>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</si>
  <si>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</si>
  <si>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</si>
  <si>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</si>
  <si>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</si>
  <si>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</si>
  <si>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</si>
  <si>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</si>
  <si>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</si>
  <si>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</si>
  <si>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</si>
  <si>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</si>
  <si>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</si>
  <si>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</si>
  <si>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</si>
  <si>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</si>
  <si>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</si>
  <si>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</si>
  <si>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</si>
  <si>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</si>
  <si>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</si>
  <si>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</si>
  <si>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</si>
  <si>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</si>
  <si>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</si>
  <si>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</si>
  <si>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</si>
  <si>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</si>
  <si>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</si>
  <si>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</si>
  <si>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</si>
  <si>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</si>
  <si>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</si>
  <si>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</si>
  <si>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</si>
  <si>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02.02.2016</t>
  </si>
  <si>
    <t>P78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</si>
</sst>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0" fillId="5" borderId="0" xfId="0" applyFill="1"/>
    <xf numFmtId="0" fontId="3" fillId="6" borderId="0" xfId="0" applyFont="1" applyFill="1" applyAlignment="1">
      <alignment horizontal="left"/>
    </xf>
    <xf numFmtId="14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2" borderId="0" xfId="0" applyFill="1" applyAlignment="1">
      <alignment horizontal="right"/>
    </xf>
    <xf numFmtId="0" fontId="3" fillId="12" borderId="0" xfId="0" applyFont="1" applyFill="1" applyAlignment="1">
      <alignment horizontal="right"/>
    </xf>
    <xf numFmtId="165" fontId="3" fillId="6" borderId="5" xfId="0" applyNumberFormat="1" applyFont="1" applyFill="1" applyBorder="1" applyAlignment="1">
      <alignment horizontal="center"/>
    </xf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-1.593459819566045</c:v>
                </c:pt>
                <c:pt idx="1">
                  <c:v>-1.0433514207947967</c:v>
                </c:pt>
                <c:pt idx="2">
                  <c:v>-0.55129368009492019</c:v>
                </c:pt>
                <c:pt idx="3">
                  <c:v>1.4730495001753479E-2</c:v>
                </c:pt>
                <c:pt idx="4">
                  <c:v>0.24328614608344618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32976"/>
        <c:axId val="411728496"/>
      </c:scatterChart>
      <c:valAx>
        <c:axId val="4117329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411728496"/>
        <c:crosses val="autoZero"/>
        <c:crossBetween val="midCat"/>
      </c:valAx>
      <c:valAx>
        <c:axId val="41172849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32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'[1]juillet P59'!$A$51:$A$53</c:f>
              <c:strCache>
                <c:ptCount val="1"/>
                <c:pt idx="0">
                  <c:v>0,5 mM Glc 11 mM Glc 11 mM Glc + FSK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0.96690669516412076</c:v>
                  </c:pt>
                  <c:pt idx="1">
                    <c:v>0.68113758275254921</c:v>
                  </c:pt>
                  <c:pt idx="2">
                    <c:v>1.0863738876906246</c:v>
                  </c:pt>
                  <c:pt idx="3">
                    <c:v>2.5969311169710925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0.96690669516412076</c:v>
                  </c:pt>
                  <c:pt idx="1">
                    <c:v>0.68113758275254921</c:v>
                  </c:pt>
                  <c:pt idx="2">
                    <c:v>1.0863738876906246</c:v>
                  </c:pt>
                  <c:pt idx="3">
                    <c:v>2.5969311169710925</c:v>
                  </c:pt>
                </c:numCache>
              </c:numRef>
            </c:minus>
          </c:errBars>
          <c:cat>
            <c:strRef>
              <c:f>(siNTP!$A$65,siNTP!$A$66,siNTP!$A$67,siNTP!$A$68)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1.9321089129408711</c:v>
                </c:pt>
                <c:pt idx="1">
                  <c:v>3.3559407999372688</c:v>
                </c:pt>
                <c:pt idx="2">
                  <c:v>7.8346589180384072</c:v>
                </c:pt>
                <c:pt idx="3">
                  <c:v>12.563624285377628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721776"/>
        <c:axId val="411718976"/>
      </c:barChart>
      <c:catAx>
        <c:axId val="41172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18976"/>
        <c:crosses val="autoZero"/>
        <c:auto val="1"/>
        <c:lblAlgn val="ctr"/>
        <c:lblOffset val="100"/>
        <c:noMultiLvlLbl val="0"/>
      </c:catAx>
      <c:valAx>
        <c:axId val="411718976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17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0979318391296271"/>
          <c:y val="2.7200801823077273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NTP</c:v>
          </c:tx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0.80579722769212248</c:v>
                  </c:pt>
                  <c:pt idx="1">
                    <c:v>0.11099882203897249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0.80579722769212248</c:v>
                  </c:pt>
                  <c:pt idx="1">
                    <c:v>0.11099882203897249</c:v>
                  </c:pt>
                </c:numCache>
              </c:numRef>
            </c:minus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1.9526292076761866</c:v>
                </c:pt>
                <c:pt idx="1">
                  <c:v>1.5939218865852103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724576"/>
        <c:axId val="411727376"/>
      </c:barChart>
      <c:catAx>
        <c:axId val="4117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7376"/>
        <c:crosses val="autoZero"/>
        <c:auto val="1"/>
        <c:lblAlgn val="ctr"/>
        <c:lblOffset val="100"/>
        <c:noMultiLvlLbl val="0"/>
      </c:catAx>
      <c:valAx>
        <c:axId val="411727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siNTP!$M$57</c:f>
              <c:strCache>
                <c:ptCount val="1"/>
                <c:pt idx="0">
                  <c:v>Fold change</c:v>
                </c:pt>
              </c:strCache>
            </c:strRef>
          </c:tx>
          <c:layout>
            <c:manualLayout>
              <c:xMode val="edge"/>
              <c:yMode val="edge"/>
              <c:x val="2.3714092174040566E-2"/>
              <c:y val="0.4832391452241265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2457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-1.593459819566045</c:v>
                </c:pt>
                <c:pt idx="1">
                  <c:v>-1.0433514207947967</c:v>
                </c:pt>
                <c:pt idx="2">
                  <c:v>-0.55129368009492019</c:v>
                </c:pt>
                <c:pt idx="3">
                  <c:v>1.4730495001753479E-2</c:v>
                </c:pt>
                <c:pt idx="4">
                  <c:v>0.24328614608344618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34656"/>
        <c:axId val="347973424"/>
      </c:scatterChart>
      <c:valAx>
        <c:axId val="4117346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47973424"/>
        <c:crosses val="autoZero"/>
        <c:crossBetween val="midCat"/>
      </c:valAx>
      <c:valAx>
        <c:axId val="3479734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411734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Arial"/>
                <a:cs typeface="Arial"/>
              </a:defRPr>
            </a:pPr>
            <a:r>
              <a:rPr lang="en-US" sz="1400">
                <a:latin typeface="Arial"/>
                <a:cs typeface="Arial"/>
              </a:rPr>
              <a:t>Insulin secretion Human </a:t>
            </a:r>
            <a:r>
              <a:rPr lang="en-US" sz="1400">
                <a:latin typeface="Symbol" charset="2"/>
                <a:cs typeface="Symbol" charset="2"/>
              </a:rPr>
              <a:t>b</a:t>
            </a:r>
            <a:r>
              <a:rPr lang="en-US" sz="1400">
                <a:latin typeface="Arial"/>
                <a:cs typeface="Arial"/>
              </a:rPr>
              <a:t>-cell line</a:t>
            </a:r>
          </a:p>
        </c:rich>
      </c:tx>
      <c:layout>
        <c:manualLayout>
          <c:xMode val="edge"/>
          <c:yMode val="edge"/>
          <c:x val="0.1158374877696501"/>
          <c:y val="3.4924464383812477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0.96690669516412076</c:v>
                  </c:pt>
                  <c:pt idx="1">
                    <c:v>0.68113758275254921</c:v>
                  </c:pt>
                  <c:pt idx="2">
                    <c:v>1.0863738876906246</c:v>
                  </c:pt>
                  <c:pt idx="3">
                    <c:v>2.5969311169710925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0.96690669516412076</c:v>
                  </c:pt>
                  <c:pt idx="1">
                    <c:v>0.68113758275254921</c:v>
                  </c:pt>
                  <c:pt idx="2">
                    <c:v>1.0863738876906246</c:v>
                  </c:pt>
                  <c:pt idx="3">
                    <c:v>2.5969311169710925</c:v>
                  </c:pt>
                </c:numCache>
              </c:numRef>
            </c:minus>
          </c:errBars>
          <c:cat>
            <c:strRef>
              <c:f>siPRC1!$A$65:$A$68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siPRC1!$B$65:$B$68</c:f>
              <c:numCache>
                <c:formatCode>0.0</c:formatCode>
                <c:ptCount val="4"/>
                <c:pt idx="0">
                  <c:v>3.0599354955266436</c:v>
                </c:pt>
                <c:pt idx="1">
                  <c:v>3.246305423416521</c:v>
                </c:pt>
                <c:pt idx="2">
                  <c:v>12.401139463857447</c:v>
                </c:pt>
                <c:pt idx="3">
                  <c:v>18.926910260242124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7975104"/>
        <c:axId val="347972864"/>
      </c:barChart>
      <c:catAx>
        <c:axId val="3479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7972864"/>
        <c:crosses val="autoZero"/>
        <c:auto val="1"/>
        <c:lblAlgn val="ctr"/>
        <c:lblOffset val="100"/>
        <c:noMultiLvlLbl val="0"/>
      </c:catAx>
      <c:valAx>
        <c:axId val="347972864"/>
        <c:scaling>
          <c:orientation val="minMax"/>
          <c:max val="17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strRef>
              <c:f>siNTP!$M$48</c:f>
              <c:strCache>
                <c:ptCount val="1"/>
                <c:pt idx="0">
                  <c:v> insulin secretion (% of content) </c:v>
                </c:pt>
              </c:strCache>
            </c:strRef>
          </c:tx>
          <c:layout>
            <c:manualLayout>
              <c:xMode val="edge"/>
              <c:yMode val="edge"/>
              <c:x val="2.7148722883120986E-2"/>
              <c:y val="0.2049764779515062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/>
              </a:pPr>
              <a:endParaRPr lang="fr-FR"/>
            </a:p>
          </c:tx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3479751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siPRC1!$O$58:$O$59</c:f>
                <c:numCache>
                  <c:formatCode>General</c:formatCode>
                  <c:ptCount val="2"/>
                  <c:pt idx="0">
                    <c:v>0.25100589392215156</c:v>
                  </c:pt>
                  <c:pt idx="1">
                    <c:v>0.1064610982168121</c:v>
                  </c:pt>
                </c:numCache>
              </c:numRef>
            </c:plus>
            <c:minus>
              <c:numRef>
                <c:f>siPRC1!$O$58:$O$59</c:f>
                <c:numCache>
                  <c:formatCode>General</c:formatCode>
                  <c:ptCount val="2"/>
                  <c:pt idx="0">
                    <c:v>0.25100589392215156</c:v>
                  </c:pt>
                  <c:pt idx="1">
                    <c:v>0.1064610982168121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siPRC1!$M$58:$M$59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siPRC1!$N$58:$N$59</c:f>
              <c:numCache>
                <c:formatCode>0.0</c:formatCode>
                <c:ptCount val="2"/>
                <c:pt idx="0">
                  <c:v>1.1139624846820129</c:v>
                </c:pt>
                <c:pt idx="1">
                  <c:v>1.5313418397005505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979584"/>
        <c:axId val="347977904"/>
      </c:barChart>
      <c:catAx>
        <c:axId val="34797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977904"/>
        <c:crosses val="autoZero"/>
        <c:auto val="1"/>
        <c:lblAlgn val="ctr"/>
        <c:lblOffset val="100"/>
        <c:noMultiLvlLbl val="0"/>
      </c:catAx>
      <c:valAx>
        <c:axId val="347977904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797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-1.593459819566045</c:v>
                </c:pt>
                <c:pt idx="1">
                  <c:v>-1.0433514207947967</c:v>
                </c:pt>
                <c:pt idx="2">
                  <c:v>-0.55129368009492019</c:v>
                </c:pt>
                <c:pt idx="3">
                  <c:v>1.4730495001753479E-2</c:v>
                </c:pt>
                <c:pt idx="4">
                  <c:v>0.24328614608344618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2608"/>
        <c:axId val="56378208"/>
      </c:scatterChart>
      <c:valAx>
        <c:axId val="563726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56378208"/>
        <c:crosses val="autoZero"/>
        <c:crossBetween val="midCat"/>
      </c:valAx>
      <c:valAx>
        <c:axId val="5637820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63726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Insulin secretion Human b-cell line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siGCK!$C$65:$C$68</c:f>
                <c:numCache>
                  <c:formatCode>General</c:formatCode>
                  <c:ptCount val="4"/>
                  <c:pt idx="0">
                    <c:v>1.3273513185063968</c:v>
                  </c:pt>
                  <c:pt idx="1">
                    <c:v>1.1319582416064302</c:v>
                  </c:pt>
                  <c:pt idx="2">
                    <c:v>3.4739828364990695</c:v>
                  </c:pt>
                  <c:pt idx="3">
                    <c:v>0.8224662140250526</c:v>
                  </c:pt>
                </c:numCache>
              </c:numRef>
            </c:plus>
            <c:minus>
              <c:numRef>
                <c:f>siGCK!$C$65:$C$68</c:f>
                <c:numCache>
                  <c:formatCode>General</c:formatCode>
                  <c:ptCount val="4"/>
                  <c:pt idx="0">
                    <c:v>1.3273513185063968</c:v>
                  </c:pt>
                  <c:pt idx="1">
                    <c:v>1.1319582416064302</c:v>
                  </c:pt>
                  <c:pt idx="2">
                    <c:v>3.4739828364990695</c:v>
                  </c:pt>
                  <c:pt idx="3">
                    <c:v>0.8224662140250526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siGCK!$A$65:$A$68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siGCK!$B$65:$B$68</c:f>
              <c:numCache>
                <c:formatCode>0.0</c:formatCode>
                <c:ptCount val="4"/>
                <c:pt idx="0">
                  <c:v>3.961790877382414</c:v>
                </c:pt>
                <c:pt idx="1">
                  <c:v>4.9571218990850738</c:v>
                </c:pt>
                <c:pt idx="2">
                  <c:v>12.848793733954844</c:v>
                </c:pt>
                <c:pt idx="3">
                  <c:v>14.31535427361383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1488"/>
        <c:axId val="56377088"/>
      </c:barChart>
      <c:catAx>
        <c:axId val="563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7088"/>
        <c:crosses val="autoZero"/>
        <c:auto val="1"/>
        <c:lblAlgn val="ctr"/>
        <c:lblOffset val="100"/>
        <c:noMultiLvlLbl val="0"/>
      </c:catAx>
      <c:valAx>
        <c:axId val="563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Insuline secretion (% of content)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Insulin secretion Human b-cell line</a:t>
            </a:r>
            <a:endParaRPr lang="fr-FR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siGCK!$O$58:$O$59</c:f>
                <c:numCache>
                  <c:formatCode>General</c:formatCode>
                  <c:ptCount val="2"/>
                  <c:pt idx="0">
                    <c:v>0.5087982517991898</c:v>
                  </c:pt>
                  <c:pt idx="1">
                    <c:v>0.22394579424631106</c:v>
                  </c:pt>
                </c:numCache>
              </c:numRef>
            </c:plus>
            <c:minus>
              <c:numRef>
                <c:f>siGCK!$O$58:$O$59</c:f>
                <c:numCache>
                  <c:formatCode>General</c:formatCode>
                  <c:ptCount val="2"/>
                  <c:pt idx="0">
                    <c:v>0.5087982517991898</c:v>
                  </c:pt>
                  <c:pt idx="1">
                    <c:v>0.22394579424631106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siGCK!$M$58:$M$59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siGCK!$N$58:$N$59</c:f>
              <c:numCache>
                <c:formatCode>0.0</c:formatCode>
                <c:ptCount val="2"/>
                <c:pt idx="0">
                  <c:v>1.3435878913031665</c:v>
                </c:pt>
                <c:pt idx="1">
                  <c:v>1.1539768484552828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892976"/>
        <c:axId val="250893536"/>
      </c:barChart>
      <c:catAx>
        <c:axId val="2508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93536"/>
        <c:crosses val="autoZero"/>
        <c:auto val="1"/>
        <c:lblAlgn val="ctr"/>
        <c:lblOffset val="100"/>
        <c:noMultiLvlLbl val="0"/>
      </c:catAx>
      <c:valAx>
        <c:axId val="2508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Fold change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619123</xdr:colOff>
      <xdr:row>60</xdr:row>
      <xdr:rowOff>119063</xdr:rowOff>
    </xdr:from>
    <xdr:to>
      <xdr:col>14</xdr:col>
      <xdr:colOff>572455</xdr:colOff>
      <xdr:row>80</xdr:row>
      <xdr:rowOff>2381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391205</xdr:colOff>
      <xdr:row>57</xdr:row>
      <xdr:rowOff>143895</xdr:rowOff>
    </xdr:from>
    <xdr:to>
      <xdr:col>8</xdr:col>
      <xdr:colOff>700769</xdr:colOff>
      <xdr:row>74</xdr:row>
      <xdr:rowOff>27214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823232</xdr:colOff>
      <xdr:row>60</xdr:row>
      <xdr:rowOff>136070</xdr:rowOff>
    </xdr:from>
    <xdr:to>
      <xdr:col>14</xdr:col>
      <xdr:colOff>843644</xdr:colOff>
      <xdr:row>81</xdr:row>
      <xdr:rowOff>126545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166686</xdr:colOff>
      <xdr:row>59</xdr:row>
      <xdr:rowOff>0</xdr:rowOff>
    </xdr:from>
    <xdr:to>
      <xdr:col>10</xdr:col>
      <xdr:colOff>95249</xdr:colOff>
      <xdr:row>77</xdr:row>
      <xdr:rowOff>109537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857251</xdr:colOff>
      <xdr:row>60</xdr:row>
      <xdr:rowOff>0</xdr:rowOff>
    </xdr:from>
    <xdr:to>
      <xdr:col>14</xdr:col>
      <xdr:colOff>1031876</xdr:colOff>
      <xdr:row>81</xdr:row>
      <xdr:rowOff>31750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fils/marlene/Mes%20documents/Endo%20cell-betaTrophin/ELISA/Insulin%20secretion%20Human%20beta%20cell%20line%20october%20marianas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"/>
      <sheetName val="September (2)"/>
      <sheetName val="October"/>
      <sheetName val="October (2)"/>
      <sheetName val="November 7"/>
      <sheetName val="November 7 (3)"/>
      <sheetName val="November 18"/>
      <sheetName val="November 18 (2)"/>
      <sheetName val="February"/>
      <sheetName val="Sheet3"/>
      <sheetName val="February (2)"/>
      <sheetName val="February (3)"/>
      <sheetName val="February (4)"/>
      <sheetName val="juillet P59"/>
      <sheetName val="juillet P66"/>
      <sheetName val="juillet P88"/>
      <sheetName val="sept P64 P73"/>
      <sheetName val="sept P64 P73 (2)"/>
      <sheetName val="sept P64bis"/>
      <sheetName val="multislip P74"/>
      <sheetName val="multislip P82"/>
      <sheetName val="nov P81"/>
      <sheetName val="nov P81 (2)"/>
      <sheetName val="dec2014 P73"/>
      <sheetName val="dec2014 P73 MEL"/>
      <sheetName val="dec2014 P75"/>
      <sheetName val="dec2014 P75 MEL"/>
      <sheetName val="dec2014 P76-77"/>
      <sheetName val="dec2014 P76-77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1">
          <cell r="A51" t="str">
            <v>0,5 mM Glc</v>
          </cell>
        </row>
        <row r="52">
          <cell r="A52" t="str">
            <v>11 mM Glc</v>
          </cell>
        </row>
        <row r="53">
          <cell r="A53" t="str">
            <v>11 mM Glc + FSK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8" zoomScale="80" zoomScaleNormal="8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243488</v>
      </c>
      <c r="F3" s="10">
        <v>256912</v>
      </c>
    </row>
    <row r="4" spans="1:20" x14ac:dyDescent="0.2">
      <c r="D4" s="10" t="s">
        <v>42</v>
      </c>
      <c r="E4" s="10">
        <v>180768</v>
      </c>
      <c r="F4" s="10">
        <v>169888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6.9000000000000006E-2</v>
      </c>
      <c r="D8" s="63">
        <v>8.1000000000000003E-2</v>
      </c>
      <c r="E8" s="11">
        <f t="shared" ref="E8:E13" si="0">AVERAGE(C8:D8)</f>
        <v>7.5000000000000011E-2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9.0999999999999998E-2</v>
      </c>
      <c r="D9" s="63">
        <v>0.11</v>
      </c>
      <c r="E9" s="11">
        <f t="shared" si="0"/>
        <v>0.10050000000000001</v>
      </c>
      <c r="F9" s="12">
        <f>(E9-$E$8)</f>
        <v>2.5499999999999995E-2</v>
      </c>
      <c r="G9" s="12">
        <f>LOG(B9)</f>
        <v>-0.86341728222799241</v>
      </c>
      <c r="H9" s="12">
        <f>LOG(F9)</f>
        <v>-1.593459819566045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0.16500000000000001</v>
      </c>
      <c r="D10" s="63">
        <v>0.16600000000000001</v>
      </c>
      <c r="E10" s="11">
        <f t="shared" si="0"/>
        <v>0.16550000000000001</v>
      </c>
      <c r="F10" s="12">
        <f>(E10-$E$8)</f>
        <v>9.0499999999999997E-2</v>
      </c>
      <c r="G10" s="12">
        <f>LOG(B10)</f>
        <v>-0.34469449671881253</v>
      </c>
      <c r="H10" s="12">
        <f>LOG(F10)</f>
        <v>-1.0433514207947967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0.36799999999999999</v>
      </c>
      <c r="D11" s="63">
        <v>0.34399999999999997</v>
      </c>
      <c r="E11" s="11">
        <f t="shared" si="0"/>
        <v>0.35599999999999998</v>
      </c>
      <c r="F11" s="12">
        <f>(E11-$E$8)</f>
        <v>0.28099999999999997</v>
      </c>
      <c r="G11" s="12">
        <f>LOG(B11)</f>
        <v>0.13658271777200767</v>
      </c>
      <c r="H11" s="12">
        <f>LOG(F11)</f>
        <v>-0.55129368009492019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1.1040000000000001</v>
      </c>
      <c r="D12" s="63">
        <v>1.115</v>
      </c>
      <c r="E12" s="11">
        <f t="shared" si="0"/>
        <v>1.1095000000000002</v>
      </c>
      <c r="F12" s="12">
        <f>(E12-$E$8)</f>
        <v>1.0345000000000002</v>
      </c>
      <c r="G12" s="12">
        <f>LOG(B12)</f>
        <v>0.66357802924717735</v>
      </c>
      <c r="H12" s="12">
        <f>LOG(F12)</f>
        <v>1.4730495001753479E-2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1.724</v>
      </c>
      <c r="D13" s="63">
        <v>1.9279999999999999</v>
      </c>
      <c r="E13" s="11">
        <f t="shared" si="0"/>
        <v>1.8260000000000001</v>
      </c>
      <c r="F13" s="12">
        <f>(E13-$E$8)</f>
        <v>1.7510000000000001</v>
      </c>
      <c r="G13" s="12">
        <f>LOG(B13)</f>
        <v>0.96049145871632635</v>
      </c>
      <c r="H13" s="12">
        <f>LOG(F13)</f>
        <v>0.24328614608344618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1.019512553595753</v>
      </c>
      <c r="N15"/>
    </row>
    <row r="16" spans="1:20" ht="15" x14ac:dyDescent="0.25">
      <c r="A16" s="5" t="s">
        <v>11</v>
      </c>
      <c r="B16" s="11">
        <f>INTERCEPT(H9:H13,G9:G13)</f>
        <v>-0.69868203617016067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67">
        <v>0.247</v>
      </c>
      <c r="C22" s="67">
        <v>0.23100000000000001</v>
      </c>
      <c r="D22" s="27">
        <f t="shared" ref="D22:D27" si="2">AVERAGE(B22:C22)</f>
        <v>0.23899999999999999</v>
      </c>
      <c r="E22" s="27">
        <f t="shared" ref="E22:E27" si="3">D22-E$8</f>
        <v>0.16399999999999998</v>
      </c>
      <c r="F22" s="27">
        <f>LOG(E22)</f>
        <v>-0.78515615195230215</v>
      </c>
      <c r="G22" s="28">
        <f>(F22-$B$16)/$B$15</f>
        <v>-8.4819078958030508E-2</v>
      </c>
      <c r="H22" s="28">
        <f>10^G22</f>
        <v>0.82258525615867362</v>
      </c>
      <c r="I22" s="29">
        <v>500</v>
      </c>
      <c r="J22" s="30">
        <f>(H22*I22)</f>
        <v>411.29262807933679</v>
      </c>
      <c r="K22" s="31">
        <f>(0.05*J22/1000)*1000</f>
        <v>20.564631403966843</v>
      </c>
      <c r="L22" s="32">
        <f>K22+K40+K50</f>
        <v>21.632141331285119</v>
      </c>
      <c r="M22" s="33">
        <f>(L22*1000000/50000)/1000</f>
        <v>0.43264282662570236</v>
      </c>
      <c r="N22" s="34"/>
    </row>
    <row r="23" spans="1:17" ht="15" x14ac:dyDescent="0.3">
      <c r="B23" s="67">
        <v>0.309</v>
      </c>
      <c r="C23" s="67">
        <v>0.307</v>
      </c>
      <c r="D23" s="27">
        <f t="shared" si="2"/>
        <v>0.308</v>
      </c>
      <c r="E23" s="27">
        <f t="shared" si="3"/>
        <v>0.23299999999999998</v>
      </c>
      <c r="F23" s="27">
        <f t="shared" ref="F23:F27" si="4">LOG(E23)</f>
        <v>-0.63264407897398101</v>
      </c>
      <c r="G23" s="28">
        <f t="shared" ref="G23:G27" si="5">(F23-$B$16)/$B$15</f>
        <v>6.4774050072525527E-2</v>
      </c>
      <c r="H23" s="28">
        <f t="shared" ref="H23:H27" si="6">10^G23</f>
        <v>1.1608445053702965</v>
      </c>
      <c r="I23" s="29">
        <v>500</v>
      </c>
      <c r="J23" s="30">
        <f t="shared" ref="J23:J27" si="7">(H23*I23)</f>
        <v>580.42225268514824</v>
      </c>
      <c r="K23" s="31">
        <f t="shared" ref="K23:K27" si="8">(0.05*J23/1000)*1000</f>
        <v>29.021112634257413</v>
      </c>
      <c r="L23" s="32">
        <f>K23+K41+K51</f>
        <v>30.226193709718451</v>
      </c>
      <c r="M23" s="33">
        <f t="shared" ref="M23:M27" si="9">(L23*1000000/50000)/1000</f>
        <v>0.60452387419436904</v>
      </c>
      <c r="N23" s="34"/>
    </row>
    <row r="24" spans="1:17" ht="15" x14ac:dyDescent="0.3">
      <c r="B24" s="67">
        <v>0.217</v>
      </c>
      <c r="C24" s="67">
        <v>0.215</v>
      </c>
      <c r="D24" s="27">
        <f t="shared" si="2"/>
        <v>0.216</v>
      </c>
      <c r="E24" s="27">
        <f t="shared" si="3"/>
        <v>0.14099999999999999</v>
      </c>
      <c r="F24" s="27">
        <f t="shared" si="4"/>
        <v>-0.8507808873446201</v>
      </c>
      <c r="G24" s="28">
        <f t="shared" si="5"/>
        <v>-0.14918781592047778</v>
      </c>
      <c r="H24" s="28">
        <f t="shared" si="6"/>
        <v>0.70927096878856299</v>
      </c>
      <c r="I24" s="29">
        <v>500</v>
      </c>
      <c r="J24" s="30">
        <f t="shared" si="7"/>
        <v>354.63548439428149</v>
      </c>
      <c r="K24" s="31">
        <f t="shared" si="8"/>
        <v>17.731774219714076</v>
      </c>
      <c r="L24" s="32">
        <f t="shared" ref="L24:L27" si="10">K24+K42+K52</f>
        <v>19.013501578124419</v>
      </c>
      <c r="M24" s="33">
        <f t="shared" si="9"/>
        <v>0.3802700315624884</v>
      </c>
      <c r="N24" s="34"/>
    </row>
    <row r="25" spans="1:17" ht="15" x14ac:dyDescent="0.3">
      <c r="A25" s="1" t="s">
        <v>26</v>
      </c>
      <c r="B25" s="67">
        <v>0.183</v>
      </c>
      <c r="C25" s="67">
        <v>0.219</v>
      </c>
      <c r="D25" s="27">
        <f t="shared" si="2"/>
        <v>0.20100000000000001</v>
      </c>
      <c r="E25" s="27">
        <f t="shared" si="3"/>
        <v>0.126</v>
      </c>
      <c r="F25" s="27">
        <f t="shared" si="4"/>
        <v>-0.89962945488243706</v>
      </c>
      <c r="G25" s="28">
        <f t="shared" si="5"/>
        <v>-0.19710146579710883</v>
      </c>
      <c r="H25" s="28">
        <f t="shared" si="6"/>
        <v>0.63518251451701035</v>
      </c>
      <c r="I25" s="29">
        <v>500</v>
      </c>
      <c r="J25" s="30">
        <f t="shared" si="7"/>
        <v>317.59125725850515</v>
      </c>
      <c r="K25" s="31">
        <f t="shared" si="8"/>
        <v>15.879562862925258</v>
      </c>
      <c r="L25" s="32">
        <f t="shared" si="10"/>
        <v>20.641089549202555</v>
      </c>
      <c r="M25" s="33">
        <f t="shared" si="9"/>
        <v>0.41282179098405108</v>
      </c>
      <c r="N25" s="34"/>
    </row>
    <row r="26" spans="1:17" ht="15" x14ac:dyDescent="0.3">
      <c r="B26" s="67">
        <v>0.17499999999999999</v>
      </c>
      <c r="C26" s="67">
        <v>0.317</v>
      </c>
      <c r="D26" s="27">
        <f t="shared" si="2"/>
        <v>0.246</v>
      </c>
      <c r="E26" s="27">
        <f t="shared" si="3"/>
        <v>0.17099999999999999</v>
      </c>
      <c r="F26" s="27">
        <f t="shared" si="4"/>
        <v>-0.76700388960784616</v>
      </c>
      <c r="G26" s="28">
        <f t="shared" si="5"/>
        <v>-6.7014234593501421E-2</v>
      </c>
      <c r="H26" s="28">
        <f t="shared" si="6"/>
        <v>0.85700975510736854</v>
      </c>
      <c r="I26" s="29">
        <v>500</v>
      </c>
      <c r="J26" s="30">
        <f t="shared" si="7"/>
        <v>428.50487755368425</v>
      </c>
      <c r="K26" s="31">
        <f t="shared" si="8"/>
        <v>21.425243877684213</v>
      </c>
      <c r="L26" s="32">
        <f t="shared" si="10"/>
        <v>25.681573294572011</v>
      </c>
      <c r="M26" s="33">
        <f t="shared" si="9"/>
        <v>0.51363146589144026</v>
      </c>
      <c r="N26" s="34"/>
    </row>
    <row r="27" spans="1:17" ht="15" x14ac:dyDescent="0.3">
      <c r="B27" s="67">
        <v>0.247</v>
      </c>
      <c r="C27" s="67">
        <v>0.20699999999999999</v>
      </c>
      <c r="D27" s="27">
        <f t="shared" si="2"/>
        <v>0.22699999999999998</v>
      </c>
      <c r="E27" s="27">
        <f t="shared" si="3"/>
        <v>0.15199999999999997</v>
      </c>
      <c r="F27" s="27">
        <f t="shared" si="4"/>
        <v>-0.81815641205522749</v>
      </c>
      <c r="G27" s="28">
        <f t="shared" si="5"/>
        <v>-0.11718774375429576</v>
      </c>
      <c r="H27" s="28">
        <f t="shared" si="6"/>
        <v>0.76350565180920871</v>
      </c>
      <c r="I27" s="29">
        <v>500</v>
      </c>
      <c r="J27" s="30">
        <f t="shared" si="7"/>
        <v>381.75282590460438</v>
      </c>
      <c r="K27" s="31">
        <f t="shared" si="8"/>
        <v>19.08764129523022</v>
      </c>
      <c r="L27" s="32">
        <f t="shared" si="10"/>
        <v>23.433076804740505</v>
      </c>
      <c r="M27" s="33">
        <f t="shared" si="9"/>
        <v>0.46866153609481004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67">
        <v>0.247</v>
      </c>
      <c r="C31" s="67">
        <v>0.23100000000000001</v>
      </c>
      <c r="D31" s="27">
        <f t="shared" ref="D31:D36" si="11">AVERAGE(B31:C31)</f>
        <v>0.23899999999999999</v>
      </c>
      <c r="E31" s="27">
        <f>D31-E$8</f>
        <v>0.16399999999999998</v>
      </c>
      <c r="F31" s="27">
        <f>LOG(E31)</f>
        <v>-0.78515615195230215</v>
      </c>
      <c r="G31" s="28">
        <f>(F31-$B$16)/$B$15</f>
        <v>-8.4819078958030508E-2</v>
      </c>
      <c r="H31" s="28">
        <f>10^G31</f>
        <v>0.82258525615867362</v>
      </c>
      <c r="I31" s="29">
        <v>500</v>
      </c>
      <c r="J31" s="30">
        <f>(H31*I31)</f>
        <v>411.29262807933679</v>
      </c>
      <c r="K31" s="31">
        <f>(0.05*J31/1000)*1000</f>
        <v>20.564631403966843</v>
      </c>
      <c r="L31" s="32">
        <f>K31+K50</f>
        <v>21.350941560050998</v>
      </c>
      <c r="M31" s="33">
        <f>(L31*1000000/50000)/1000</f>
        <v>0.42701883120101997</v>
      </c>
      <c r="N31" s="35"/>
      <c r="Q31"/>
    </row>
    <row r="32" spans="1:17" ht="15" x14ac:dyDescent="0.3">
      <c r="B32" s="67">
        <v>0.309</v>
      </c>
      <c r="C32" s="67">
        <v>0.307</v>
      </c>
      <c r="D32" s="27">
        <f t="shared" si="11"/>
        <v>0.308</v>
      </c>
      <c r="E32" s="27">
        <f t="shared" ref="E32:E36" si="12">D32-E$8</f>
        <v>0.23299999999999998</v>
      </c>
      <c r="F32" s="27">
        <f t="shared" ref="F32:F36" si="13">LOG(E32)</f>
        <v>-0.63264407897398101</v>
      </c>
      <c r="G32" s="28">
        <f t="shared" ref="G32:G36" si="14">(F32-$B$16)/$B$15</f>
        <v>6.4774050072525527E-2</v>
      </c>
      <c r="H32" s="28">
        <f t="shared" ref="H32:H36" si="15">10^G32</f>
        <v>1.1608445053702965</v>
      </c>
      <c r="I32" s="29">
        <v>500</v>
      </c>
      <c r="J32" s="30">
        <f t="shared" ref="J32:J36" si="16">(H32*I32)</f>
        <v>580.42225268514824</v>
      </c>
      <c r="K32" s="31">
        <f t="shared" ref="K32:K36" si="17">(0.05*J32/1000)*1000</f>
        <v>29.021112634257413</v>
      </c>
      <c r="L32" s="32">
        <f>K32+K51</f>
        <v>29.787539986311689</v>
      </c>
      <c r="M32" s="33">
        <f t="shared" ref="M32:M36" si="18">(L32*1000000/50000)/1000</f>
        <v>0.59575079972623379</v>
      </c>
      <c r="N32" s="36"/>
      <c r="Q32"/>
    </row>
    <row r="33" spans="1:21" ht="15" x14ac:dyDescent="0.3">
      <c r="B33" s="67">
        <v>0.217</v>
      </c>
      <c r="C33" s="67">
        <v>0.215</v>
      </c>
      <c r="D33" s="27">
        <f t="shared" si="11"/>
        <v>0.216</v>
      </c>
      <c r="E33" s="27">
        <f>D33-E$8</f>
        <v>0.14099999999999999</v>
      </c>
      <c r="F33" s="27">
        <f>LOG(E33)</f>
        <v>-0.8507808873446201</v>
      </c>
      <c r="G33" s="28">
        <f t="shared" si="14"/>
        <v>-0.14918781592047778</v>
      </c>
      <c r="H33" s="28">
        <f t="shared" si="15"/>
        <v>0.70927096878856299</v>
      </c>
      <c r="I33" s="29">
        <v>500</v>
      </c>
      <c r="J33" s="30">
        <f t="shared" si="16"/>
        <v>354.63548439428149</v>
      </c>
      <c r="K33" s="31">
        <f t="shared" si="17"/>
        <v>17.731774219714076</v>
      </c>
      <c r="L33" s="32">
        <f t="shared" ref="L33:L36" si="19">K33+K52</f>
        <v>18.434507523903097</v>
      </c>
      <c r="M33" s="33">
        <f t="shared" si="18"/>
        <v>0.36869015047806197</v>
      </c>
      <c r="N33" s="36"/>
      <c r="Q33"/>
      <c r="R33"/>
      <c r="S33"/>
    </row>
    <row r="34" spans="1:21" ht="15" x14ac:dyDescent="0.3">
      <c r="A34" s="1" t="s">
        <v>26</v>
      </c>
      <c r="B34" s="67">
        <v>0.183</v>
      </c>
      <c r="C34" s="67">
        <v>0.219</v>
      </c>
      <c r="D34" s="27">
        <f t="shared" si="11"/>
        <v>0.20100000000000001</v>
      </c>
      <c r="E34" s="27">
        <f t="shared" si="12"/>
        <v>0.126</v>
      </c>
      <c r="F34" s="27">
        <f t="shared" si="13"/>
        <v>-0.89962945488243706</v>
      </c>
      <c r="G34" s="28">
        <f t="shared" si="14"/>
        <v>-0.19710146579710883</v>
      </c>
      <c r="H34" s="28">
        <f t="shared" si="15"/>
        <v>0.63518251451701035</v>
      </c>
      <c r="I34" s="29">
        <v>500</v>
      </c>
      <c r="J34" s="30">
        <f t="shared" si="16"/>
        <v>317.59125725850515</v>
      </c>
      <c r="K34" s="31">
        <f t="shared" si="17"/>
        <v>15.879562862925258</v>
      </c>
      <c r="L34" s="32">
        <f t="shared" si="19"/>
        <v>18.772010714948308</v>
      </c>
      <c r="M34" s="33">
        <f t="shared" si="18"/>
        <v>0.37544021429896618</v>
      </c>
      <c r="N34" s="36"/>
      <c r="Q34"/>
      <c r="R34"/>
      <c r="S34"/>
    </row>
    <row r="35" spans="1:21" ht="15" x14ac:dyDescent="0.3">
      <c r="B35" s="67">
        <v>0.17499999999999999</v>
      </c>
      <c r="C35" s="67">
        <v>0.317</v>
      </c>
      <c r="D35" s="27">
        <f t="shared" si="11"/>
        <v>0.246</v>
      </c>
      <c r="E35" s="27">
        <f>D35-E$8</f>
        <v>0.17099999999999999</v>
      </c>
      <c r="F35" s="27">
        <f t="shared" si="13"/>
        <v>-0.76700388960784616</v>
      </c>
      <c r="G35" s="28">
        <f t="shared" si="14"/>
        <v>-6.7014234593501421E-2</v>
      </c>
      <c r="H35" s="28">
        <f t="shared" si="15"/>
        <v>0.85700975510736854</v>
      </c>
      <c r="I35" s="29">
        <v>500</v>
      </c>
      <c r="J35" s="30">
        <f t="shared" si="16"/>
        <v>428.50487755368425</v>
      </c>
      <c r="K35" s="31">
        <f t="shared" si="17"/>
        <v>21.425243877684213</v>
      </c>
      <c r="L35" s="32">
        <f t="shared" si="19"/>
        <v>23.890706211489558</v>
      </c>
      <c r="M35" s="33">
        <f t="shared" si="18"/>
        <v>0.47781412422979114</v>
      </c>
      <c r="N35" s="36"/>
      <c r="Q35"/>
      <c r="R35"/>
      <c r="S35"/>
    </row>
    <row r="36" spans="1:21" ht="15" x14ac:dyDescent="0.3">
      <c r="B36" s="67">
        <v>0.247</v>
      </c>
      <c r="C36" s="67">
        <v>0.20699999999999999</v>
      </c>
      <c r="D36" s="27">
        <f t="shared" si="11"/>
        <v>0.22699999999999998</v>
      </c>
      <c r="E36" s="27">
        <f t="shared" si="12"/>
        <v>0.15199999999999997</v>
      </c>
      <c r="F36" s="27">
        <f t="shared" si="13"/>
        <v>-0.81815641205522749</v>
      </c>
      <c r="G36" s="28">
        <f t="shared" si="14"/>
        <v>-0.11718774375429576</v>
      </c>
      <c r="H36" s="28">
        <f t="shared" si="15"/>
        <v>0.76350565180920871</v>
      </c>
      <c r="I36" s="29">
        <v>500</v>
      </c>
      <c r="J36" s="30">
        <f t="shared" si="16"/>
        <v>381.75282590460438</v>
      </c>
      <c r="K36" s="31">
        <f t="shared" si="17"/>
        <v>19.08764129523022</v>
      </c>
      <c r="L36" s="32">
        <f t="shared" si="19"/>
        <v>21.681340428675281</v>
      </c>
      <c r="M36" s="33">
        <f t="shared" si="18"/>
        <v>0.43362680857350555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68">
        <v>0.104</v>
      </c>
      <c r="C40" s="68">
        <v>0.114</v>
      </c>
      <c r="D40" s="27">
        <f t="shared" ref="D40:D45" si="20">AVERAGE(B40,C40)</f>
        <v>0.109</v>
      </c>
      <c r="E40" s="27">
        <f t="shared" ref="E40:E44" si="21">D40-E$8</f>
        <v>3.3999999999999989E-2</v>
      </c>
      <c r="F40" s="27">
        <f t="shared" ref="F40:F45" si="22">LOG(E40)</f>
        <v>-1.4685210829577451</v>
      </c>
      <c r="G40" s="28">
        <f t="shared" ref="G40:G45" si="23">(F40-$B$16)/$B$15</f>
        <v>-0.75510501962179211</v>
      </c>
      <c r="H40" s="27">
        <f t="shared" ref="H40:H45" si="24">10^G40</f>
        <v>0.17574985702132545</v>
      </c>
      <c r="I40" s="41">
        <v>16</v>
      </c>
      <c r="J40" s="42">
        <f t="shared" ref="J40:J45" si="25">H40*I40</f>
        <v>2.8119977123412072</v>
      </c>
      <c r="K40" s="30">
        <f>(0.1*J40/1000)*1000</f>
        <v>0.28119977123412071</v>
      </c>
      <c r="L40" s="78">
        <f>K40*100/L22</f>
        <v>1.2999164850473692</v>
      </c>
      <c r="M40" s="30">
        <f>AVERAGE(L40:L42)</f>
        <v>1.9321089129408711</v>
      </c>
      <c r="N40" s="44">
        <f>STDEV(L40:L42)</f>
        <v>0.96690669516412076</v>
      </c>
      <c r="R40"/>
      <c r="S40"/>
      <c r="T40"/>
      <c r="U40"/>
    </row>
    <row r="41" spans="1:21" ht="15" x14ac:dyDescent="0.3">
      <c r="B41" s="68">
        <v>0.115</v>
      </c>
      <c r="C41" s="68">
        <v>0.14199999999999999</v>
      </c>
      <c r="D41" s="27">
        <f t="shared" si="20"/>
        <v>0.1285</v>
      </c>
      <c r="E41" s="27">
        <f t="shared" si="21"/>
        <v>5.3499999999999992E-2</v>
      </c>
      <c r="F41" s="27">
        <f t="shared" si="22"/>
        <v>-1.2716462179787715</v>
      </c>
      <c r="G41" s="28">
        <f t="shared" si="23"/>
        <v>-0.56199816254130885</v>
      </c>
      <c r="H41" s="27">
        <f t="shared" si="24"/>
        <v>0.27415857712922681</v>
      </c>
      <c r="I41" s="41">
        <v>16</v>
      </c>
      <c r="J41" s="42">
        <f t="shared" si="25"/>
        <v>4.386537234067629</v>
      </c>
      <c r="K41" s="30">
        <f t="shared" ref="K41:K45" si="26">(0.1*J41/1000)*1000</f>
        <v>0.4386537234067629</v>
      </c>
      <c r="L41" s="78">
        <f t="shared" ref="L41:L45" si="27">K41*100/L23</f>
        <v>1.4512370549181159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68">
        <v>0.14299999999999999</v>
      </c>
      <c r="C42" s="68">
        <v>0.14899999999999999</v>
      </c>
      <c r="D42" s="27">
        <f t="shared" si="20"/>
        <v>0.14599999999999999</v>
      </c>
      <c r="E42" s="27">
        <f>D42-E$8</f>
        <v>7.099999999999998E-2</v>
      </c>
      <c r="F42" s="27">
        <f t="shared" si="22"/>
        <v>-1.1487416512809248</v>
      </c>
      <c r="G42" s="28">
        <f t="shared" si="23"/>
        <v>-0.44144587874218294</v>
      </c>
      <c r="H42" s="27">
        <f t="shared" si="24"/>
        <v>0.36187128388832618</v>
      </c>
      <c r="I42" s="41">
        <v>16</v>
      </c>
      <c r="J42" s="42">
        <f t="shared" si="25"/>
        <v>5.7899405422132189</v>
      </c>
      <c r="K42" s="30">
        <f t="shared" si="26"/>
        <v>0.57899405422132189</v>
      </c>
      <c r="L42" s="78">
        <f t="shared" si="27"/>
        <v>3.0451731988571282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68">
        <v>0.32800000000000001</v>
      </c>
      <c r="C43" s="68">
        <v>0.29099999999999998</v>
      </c>
      <c r="D43" s="27">
        <f t="shared" si="20"/>
        <v>0.3095</v>
      </c>
      <c r="E43" s="27">
        <f t="shared" si="21"/>
        <v>0.23449999999999999</v>
      </c>
      <c r="F43" s="27">
        <f t="shared" si="22"/>
        <v>-0.62985715294889799</v>
      </c>
      <c r="G43" s="28">
        <f t="shared" si="23"/>
        <v>6.7507636839312948E-2</v>
      </c>
      <c r="H43" s="27">
        <f t="shared" si="24"/>
        <v>1.1681742714089047</v>
      </c>
      <c r="I43" s="41">
        <v>16</v>
      </c>
      <c r="J43" s="42">
        <f t="shared" si="25"/>
        <v>18.690788342542476</v>
      </c>
      <c r="K43" s="30">
        <f t="shared" si="26"/>
        <v>1.8690788342542477</v>
      </c>
      <c r="L43" s="43">
        <f t="shared" si="27"/>
        <v>9.0551365023580228</v>
      </c>
      <c r="M43" s="30">
        <f>AVERAGE(L43:L45)</f>
        <v>7.8346589180384072</v>
      </c>
      <c r="N43" s="44">
        <f>STDEV(L43:L45)</f>
        <v>1.0863738876906246</v>
      </c>
      <c r="R43"/>
      <c r="S43"/>
      <c r="T43"/>
      <c r="U43"/>
    </row>
    <row r="44" spans="1:21" ht="15" x14ac:dyDescent="0.3">
      <c r="A44" s="45"/>
      <c r="B44" s="68">
        <v>0.29499999999999998</v>
      </c>
      <c r="C44" s="68">
        <v>0.30399999999999999</v>
      </c>
      <c r="D44" s="27">
        <f t="shared" si="20"/>
        <v>0.29949999999999999</v>
      </c>
      <c r="E44" s="27">
        <f t="shared" si="21"/>
        <v>0.22449999999999998</v>
      </c>
      <c r="F44" s="27">
        <f t="shared" si="22"/>
        <v>-0.64878365466065802</v>
      </c>
      <c r="G44" s="28">
        <f t="shared" si="23"/>
        <v>4.8943371352823839E-2</v>
      </c>
      <c r="H44" s="27">
        <f t="shared" si="24"/>
        <v>1.1192919269265338</v>
      </c>
      <c r="I44" s="41">
        <v>16</v>
      </c>
      <c r="J44" s="42">
        <f t="shared" si="25"/>
        <v>17.908670830824541</v>
      </c>
      <c r="K44" s="30">
        <f t="shared" si="26"/>
        <v>1.7908670830824542</v>
      </c>
      <c r="L44" s="43">
        <f t="shared" si="27"/>
        <v>6.9733542510846371</v>
      </c>
      <c r="M44" s="30"/>
      <c r="N44" s="44"/>
      <c r="R44"/>
      <c r="S44"/>
      <c r="T44"/>
      <c r="U44"/>
    </row>
    <row r="45" spans="1:21" ht="15" x14ac:dyDescent="0.3">
      <c r="A45" s="46"/>
      <c r="B45" s="68">
        <v>0.30199999999999999</v>
      </c>
      <c r="C45" s="68">
        <v>0.28699999999999998</v>
      </c>
      <c r="D45" s="27">
        <f t="shared" si="20"/>
        <v>0.29449999999999998</v>
      </c>
      <c r="E45" s="27">
        <f>D45-E$8</f>
        <v>0.21949999999999997</v>
      </c>
      <c r="F45" s="27">
        <f t="shared" si="22"/>
        <v>-0.65856547542185984</v>
      </c>
      <c r="G45" s="28">
        <f t="shared" si="23"/>
        <v>3.9348765845807772E-2</v>
      </c>
      <c r="H45" s="27">
        <f t="shared" si="24"/>
        <v>1.0948352350407662</v>
      </c>
      <c r="I45" s="41">
        <v>16</v>
      </c>
      <c r="J45" s="42">
        <f t="shared" si="25"/>
        <v>17.517363760652259</v>
      </c>
      <c r="K45" s="30">
        <f t="shared" si="26"/>
        <v>1.751736376065226</v>
      </c>
      <c r="L45" s="43">
        <f t="shared" si="27"/>
        <v>7.4754860006725625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9">
        <v>0.16500000000000001</v>
      </c>
      <c r="C50" s="69">
        <v>0.17899999999999999</v>
      </c>
      <c r="D50" s="27">
        <f t="shared" ref="D50:D52" si="28">AVERAGE(B50,C50)</f>
        <v>0.17199999999999999</v>
      </c>
      <c r="E50" s="27">
        <f t="shared" ref="E50:E55" si="29">D50-E$8</f>
        <v>9.6999999999999975E-2</v>
      </c>
      <c r="F50" s="27">
        <f t="shared" ref="F50:F55" si="30">LOG(E50)</f>
        <v>-1.0132282657337552</v>
      </c>
      <c r="G50" s="28">
        <f t="shared" ref="G50:G55" si="31">(F50-$B$16)/$B$15</f>
        <v>-0.30852609754947197</v>
      </c>
      <c r="H50" s="27">
        <f t="shared" ref="H50:H55" si="32">10^G50</f>
        <v>0.49144384755259674</v>
      </c>
      <c r="I50" s="41">
        <v>16</v>
      </c>
      <c r="J50" s="42">
        <f t="shared" ref="J50:J55" si="33">H50*I50</f>
        <v>7.8631015608415478</v>
      </c>
      <c r="K50" s="30">
        <f>(0.1*J50/1000)*1000</f>
        <v>0.78631015608415478</v>
      </c>
      <c r="L50" s="78">
        <f t="shared" ref="L50:L55" si="34">K50*100/L31</f>
        <v>3.6827891354233873</v>
      </c>
      <c r="M50" s="30">
        <f>AVERAGE(L50:L52)</f>
        <v>3.3559407999372688</v>
      </c>
      <c r="N50" s="44">
        <f>STDEV(L50:L52)</f>
        <v>0.68113758275254921</v>
      </c>
      <c r="O50" s="48">
        <f>L50/L40</f>
        <v>2.8330967241246929</v>
      </c>
      <c r="P50" s="30">
        <f>AVERAGE(O50:O52)</f>
        <v>1.9526292076761866</v>
      </c>
      <c r="Q50" s="44">
        <f>STDEV(O50:O52)</f>
        <v>0.80579722769212248</v>
      </c>
      <c r="S50"/>
      <c r="T50"/>
    </row>
    <row r="51" spans="1:25" ht="15" x14ac:dyDescent="0.3">
      <c r="B51" s="69">
        <v>0.16400000000000001</v>
      </c>
      <c r="C51" s="69">
        <v>0.17499999999999999</v>
      </c>
      <c r="D51" s="27">
        <f t="shared" si="28"/>
        <v>0.16949999999999998</v>
      </c>
      <c r="E51" s="27">
        <f>D51-E$8</f>
        <v>9.4499999999999973E-2</v>
      </c>
      <c r="F51" s="27">
        <f t="shared" si="30"/>
        <v>-1.0245681914907372</v>
      </c>
      <c r="G51" s="28">
        <f t="shared" si="31"/>
        <v>-0.31964898732359665</v>
      </c>
      <c r="H51" s="27">
        <f t="shared" si="32"/>
        <v>0.47901709503392326</v>
      </c>
      <c r="I51" s="41">
        <v>16</v>
      </c>
      <c r="J51" s="42">
        <f t="shared" si="33"/>
        <v>7.6642735205427721</v>
      </c>
      <c r="K51" s="30">
        <f t="shared" ref="K51:K55" si="35">(0.1*J51/1000)*1000</f>
        <v>0.76642735205427726</v>
      </c>
      <c r="L51" s="78">
        <f t="shared" si="34"/>
        <v>2.5729796834732737</v>
      </c>
      <c r="M51" s="30"/>
      <c r="N51" s="44"/>
      <c r="O51" s="2">
        <f t="shared" ref="O51:O55" si="36">L51/L41</f>
        <v>1.7729561650549575</v>
      </c>
      <c r="P51" s="30"/>
      <c r="Q51" s="44"/>
      <c r="S51"/>
      <c r="T51"/>
    </row>
    <row r="52" spans="1:25" ht="15" x14ac:dyDescent="0.3">
      <c r="B52" s="69">
        <v>0.16200000000000001</v>
      </c>
      <c r="C52" s="69">
        <v>0.161</v>
      </c>
      <c r="D52" s="27">
        <f t="shared" si="28"/>
        <v>0.1615</v>
      </c>
      <c r="E52" s="27">
        <f t="shared" si="29"/>
        <v>8.6499999999999994E-2</v>
      </c>
      <c r="F52" s="27">
        <f t="shared" si="30"/>
        <v>-1.0629838925351858</v>
      </c>
      <c r="G52" s="28">
        <f t="shared" si="31"/>
        <v>-0.35732944639098035</v>
      </c>
      <c r="H52" s="27">
        <f t="shared" si="32"/>
        <v>0.43920831511813746</v>
      </c>
      <c r="I52" s="41">
        <v>16</v>
      </c>
      <c r="J52" s="42">
        <f t="shared" si="33"/>
        <v>7.0273330418901994</v>
      </c>
      <c r="K52" s="30">
        <f t="shared" si="35"/>
        <v>0.70273330418902002</v>
      </c>
      <c r="L52" s="78">
        <f t="shared" si="34"/>
        <v>3.8120535809151463</v>
      </c>
      <c r="M52" s="30"/>
      <c r="N52" s="44"/>
      <c r="O52" s="2">
        <f t="shared" si="36"/>
        <v>1.2518347338489098</v>
      </c>
      <c r="P52" s="30"/>
      <c r="Q52" s="44"/>
      <c r="S52"/>
      <c r="T52"/>
    </row>
    <row r="53" spans="1:25" ht="15" x14ac:dyDescent="0.3">
      <c r="A53" s="1" t="s">
        <v>26</v>
      </c>
      <c r="B53" s="69">
        <v>0.45100000000000001</v>
      </c>
      <c r="C53" s="69">
        <v>0.43099999999999999</v>
      </c>
      <c r="D53" s="27">
        <f>AVERAGE(B53:C53)</f>
        <v>0.441</v>
      </c>
      <c r="E53" s="27">
        <f t="shared" si="29"/>
        <v>0.36599999999999999</v>
      </c>
      <c r="F53" s="27">
        <f t="shared" si="30"/>
        <v>-0.43651891460558934</v>
      </c>
      <c r="G53" s="28">
        <f t="shared" si="31"/>
        <v>0.25714555513803083</v>
      </c>
      <c r="H53" s="27">
        <f t="shared" si="32"/>
        <v>1.8077799075144056</v>
      </c>
      <c r="I53" s="41">
        <v>16</v>
      </c>
      <c r="J53" s="42">
        <f t="shared" si="33"/>
        <v>28.92447852023049</v>
      </c>
      <c r="K53" s="30">
        <f t="shared" si="35"/>
        <v>2.8924478520230492</v>
      </c>
      <c r="L53" s="43">
        <f t="shared" si="34"/>
        <v>15.408300666053684</v>
      </c>
      <c r="M53" s="30">
        <f>AVERAGE(L53:L55)</f>
        <v>12.563624285377628</v>
      </c>
      <c r="N53" s="44">
        <f>STDEV(L53:L55)</f>
        <v>2.5969311169710925</v>
      </c>
      <c r="O53" s="2">
        <f>L53/L43</f>
        <v>1.7016088782362642</v>
      </c>
      <c r="P53" s="30">
        <f>AVERAGE(O53:O55)</f>
        <v>1.5939218865852103</v>
      </c>
      <c r="Q53" s="44">
        <f>STDEV(O53:O55)</f>
        <v>0.11099882203897249</v>
      </c>
      <c r="S53"/>
      <c r="T53"/>
    </row>
    <row r="54" spans="1:25" ht="15" x14ac:dyDescent="0.3">
      <c r="A54" s="45"/>
      <c r="B54" s="69">
        <v>0.39600000000000002</v>
      </c>
      <c r="C54" s="69">
        <v>0.376</v>
      </c>
      <c r="D54" s="27">
        <f>AVERAGE(B54:C54)</f>
        <v>0.38600000000000001</v>
      </c>
      <c r="E54" s="27">
        <f t="shared" si="29"/>
        <v>0.311</v>
      </c>
      <c r="F54" s="27">
        <f t="shared" si="30"/>
        <v>-0.5072396109731625</v>
      </c>
      <c r="G54" s="28">
        <f t="shared" si="31"/>
        <v>0.18777838931143462</v>
      </c>
      <c r="H54" s="27">
        <f t="shared" si="32"/>
        <v>1.5409139586283396</v>
      </c>
      <c r="I54" s="41">
        <v>16</v>
      </c>
      <c r="J54" s="42">
        <f t="shared" si="33"/>
        <v>24.654623338053433</v>
      </c>
      <c r="K54" s="30">
        <f t="shared" si="35"/>
        <v>2.4654623338053434</v>
      </c>
      <c r="L54" s="43">
        <f t="shared" si="34"/>
        <v>10.319754937255263</v>
      </c>
      <c r="M54" s="30"/>
      <c r="N54" s="44"/>
      <c r="O54" s="2">
        <f t="shared" si="36"/>
        <v>1.4798839361488234</v>
      </c>
      <c r="P54" s="30"/>
      <c r="Q54" s="44"/>
      <c r="S54"/>
      <c r="T54"/>
    </row>
    <row r="55" spans="1:25" ht="15" x14ac:dyDescent="0.3">
      <c r="A55" s="46"/>
      <c r="B55" s="69">
        <v>0.38800000000000001</v>
      </c>
      <c r="C55" s="69">
        <v>0.41699999999999998</v>
      </c>
      <c r="D55" s="27">
        <f>AVERAGE(B55:C55)</f>
        <v>0.40249999999999997</v>
      </c>
      <c r="E55" s="27">
        <f t="shared" si="29"/>
        <v>0.32749999999999996</v>
      </c>
      <c r="F55" s="27">
        <f t="shared" si="30"/>
        <v>-0.48478869567219818</v>
      </c>
      <c r="G55" s="28">
        <f t="shared" si="31"/>
        <v>0.20979961427995653</v>
      </c>
      <c r="H55" s="27">
        <f t="shared" si="32"/>
        <v>1.6210619584031618</v>
      </c>
      <c r="I55" s="41">
        <v>16</v>
      </c>
      <c r="J55" s="42">
        <f t="shared" si="33"/>
        <v>25.936991334450589</v>
      </c>
      <c r="K55" s="30">
        <f t="shared" si="35"/>
        <v>2.593699133445059</v>
      </c>
      <c r="L55" s="43">
        <f t="shared" si="34"/>
        <v>11.962817252823942</v>
      </c>
      <c r="M55" s="30"/>
      <c r="N55" s="44"/>
      <c r="O55" s="2">
        <f t="shared" si="36"/>
        <v>1.600272845370543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1.9526292076761866</v>
      </c>
      <c r="O58" s="30">
        <f>Q50</f>
        <v>0.80579722769212248</v>
      </c>
    </row>
    <row r="59" spans="1:25" ht="15" x14ac:dyDescent="0.3">
      <c r="D59"/>
      <c r="E59"/>
      <c r="G59"/>
      <c r="M59" s="2" t="s">
        <v>26</v>
      </c>
      <c r="N59" s="30">
        <f>P53</f>
        <v>1.5939218865852103</v>
      </c>
      <c r="O59" s="30">
        <f>Q53</f>
        <v>0.11099882203897249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1.9321089129408711</v>
      </c>
      <c r="C65" s="30">
        <f>N40</f>
        <v>0.96690669516412076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3.3559407999372688</v>
      </c>
      <c r="C66" s="30">
        <f>N50</f>
        <v>0.68113758275254921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7.8346589180384072</v>
      </c>
      <c r="C67" s="30">
        <f>N43</f>
        <v>1.0863738876906246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12.563624285377628</v>
      </c>
      <c r="C68" s="30">
        <f>N53</f>
        <v>2.5969311169710925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3" zoomScale="60" zoomScaleNormal="6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238584</v>
      </c>
      <c r="F3" s="10">
        <v>224200</v>
      </c>
    </row>
    <row r="4" spans="1:20" x14ac:dyDescent="0.2">
      <c r="D4" s="10" t="s">
        <v>42</v>
      </c>
      <c r="E4" s="10">
        <v>120128</v>
      </c>
      <c r="F4" s="10">
        <v>123120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6.9000000000000006E-2</v>
      </c>
      <c r="D8" s="63">
        <v>8.1000000000000003E-2</v>
      </c>
      <c r="E8" s="11">
        <f t="shared" ref="E8:E13" si="0">AVERAGE(C8:D8)</f>
        <v>7.5000000000000011E-2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9.0999999999999998E-2</v>
      </c>
      <c r="D9" s="63">
        <v>0.11</v>
      </c>
      <c r="E9" s="11">
        <f t="shared" si="0"/>
        <v>0.10050000000000001</v>
      </c>
      <c r="F9" s="12">
        <f>(E9-$E$8)</f>
        <v>2.5499999999999995E-2</v>
      </c>
      <c r="G9" s="12">
        <f>LOG(B9)</f>
        <v>-0.86341728222799241</v>
      </c>
      <c r="H9" s="12">
        <f>LOG(F9)</f>
        <v>-1.593459819566045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0.16500000000000001</v>
      </c>
      <c r="D10" s="63">
        <v>0.16600000000000001</v>
      </c>
      <c r="E10" s="11">
        <f t="shared" si="0"/>
        <v>0.16550000000000001</v>
      </c>
      <c r="F10" s="12">
        <f>(E10-$E$8)</f>
        <v>9.0499999999999997E-2</v>
      </c>
      <c r="G10" s="12">
        <f>LOG(B10)</f>
        <v>-0.34469449671881253</v>
      </c>
      <c r="H10" s="12">
        <f>LOG(F10)</f>
        <v>-1.0433514207947967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0.36799999999999999</v>
      </c>
      <c r="D11" s="63">
        <v>0.34399999999999997</v>
      </c>
      <c r="E11" s="11">
        <f t="shared" si="0"/>
        <v>0.35599999999999998</v>
      </c>
      <c r="F11" s="12">
        <f>(E11-$E$8)</f>
        <v>0.28099999999999997</v>
      </c>
      <c r="G11" s="12">
        <f>LOG(B11)</f>
        <v>0.13658271777200767</v>
      </c>
      <c r="H11" s="12">
        <f>LOG(F11)</f>
        <v>-0.55129368009492019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1.1040000000000001</v>
      </c>
      <c r="D12" s="63">
        <v>1.115</v>
      </c>
      <c r="E12" s="11">
        <f t="shared" si="0"/>
        <v>1.1095000000000002</v>
      </c>
      <c r="F12" s="12">
        <f>(E12-$E$8)</f>
        <v>1.0345000000000002</v>
      </c>
      <c r="G12" s="12">
        <f>LOG(B12)</f>
        <v>0.66357802924717735</v>
      </c>
      <c r="H12" s="12">
        <f>LOG(F12)</f>
        <v>1.4730495001753479E-2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1.724</v>
      </c>
      <c r="D13" s="63">
        <v>1.9279999999999999</v>
      </c>
      <c r="E13" s="11">
        <f t="shared" si="0"/>
        <v>1.8260000000000001</v>
      </c>
      <c r="F13" s="12">
        <f>(E13-$E$8)</f>
        <v>1.7510000000000001</v>
      </c>
      <c r="G13" s="12">
        <f>LOG(B13)</f>
        <v>0.96049145871632635</v>
      </c>
      <c r="H13" s="12">
        <f>LOG(F13)</f>
        <v>0.24328614608344618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1.019512553595753</v>
      </c>
      <c r="N15"/>
    </row>
    <row r="16" spans="1:20" ht="15" x14ac:dyDescent="0.25">
      <c r="A16" s="5" t="s">
        <v>11</v>
      </c>
      <c r="B16" s="11">
        <f>INTERCEPT(H9:H13,G9:G13)</f>
        <v>-0.69868203617016067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0">
        <v>0.16900000000000001</v>
      </c>
      <c r="C22" s="70">
        <v>0.16200000000000001</v>
      </c>
      <c r="D22" s="27">
        <f t="shared" ref="D22:D27" si="2">AVERAGE(B22:C22)</f>
        <v>0.16550000000000001</v>
      </c>
      <c r="E22" s="27">
        <f t="shared" ref="E22:E27" si="3">D22-E$8</f>
        <v>9.0499999999999997E-2</v>
      </c>
      <c r="F22" s="27">
        <f>LOG(E22)</f>
        <v>-1.0433514207947967</v>
      </c>
      <c r="G22" s="28">
        <f>(F22-$B$16)/$B$15</f>
        <v>-0.33807272250744735</v>
      </c>
      <c r="H22" s="28">
        <f>10^G22</f>
        <v>0.45912112667656829</v>
      </c>
      <c r="I22" s="29">
        <v>500</v>
      </c>
      <c r="J22" s="30">
        <f>(H22*I22)</f>
        <v>229.56056333828414</v>
      </c>
      <c r="K22" s="31">
        <f>(0.05*J22/1000)*1000</f>
        <v>11.478028166914207</v>
      </c>
      <c r="L22" s="32">
        <f>K22+K40+K50</f>
        <v>12.415490035782911</v>
      </c>
      <c r="M22" s="33">
        <f>(L22*1000000/50000)/1000</f>
        <v>0.24830980071565822</v>
      </c>
      <c r="N22" s="34"/>
    </row>
    <row r="23" spans="1:17" ht="15" x14ac:dyDescent="0.3">
      <c r="B23" s="70">
        <v>0.16</v>
      </c>
      <c r="C23" s="70">
        <v>0.158</v>
      </c>
      <c r="D23" s="27">
        <f t="shared" si="2"/>
        <v>0.159</v>
      </c>
      <c r="E23" s="27">
        <f t="shared" si="3"/>
        <v>8.3999999999999991E-2</v>
      </c>
      <c r="F23" s="27">
        <f t="shared" ref="F23:F27" si="4">LOG(E23)</f>
        <v>-1.0757207139381184</v>
      </c>
      <c r="G23" s="28">
        <f t="shared" ref="G23:G27" si="5">(F23-$B$16)/$B$15</f>
        <v>-0.36982249648439092</v>
      </c>
      <c r="H23" s="28">
        <f t="shared" ref="H23:H27" si="6">10^G23</f>
        <v>0.42675390471583302</v>
      </c>
      <c r="I23" s="29">
        <v>500</v>
      </c>
      <c r="J23" s="30">
        <f t="shared" ref="J23:J27" si="7">(H23*I23)</f>
        <v>213.37695235791651</v>
      </c>
      <c r="K23" s="31">
        <f t="shared" ref="K23:K27" si="8">(0.05*J23/1000)*1000</f>
        <v>10.668847617895826</v>
      </c>
      <c r="L23" s="32">
        <f>K23+K41+K51</f>
        <v>11.332395652294409</v>
      </c>
      <c r="M23" s="33">
        <f t="shared" ref="M23:M27" si="9">(L23*1000000/50000)/1000</f>
        <v>0.22664791304588816</v>
      </c>
      <c r="N23" s="34"/>
    </row>
    <row r="24" spans="1:17" ht="15" x14ac:dyDescent="0.3">
      <c r="B24" s="70">
        <v>0.158</v>
      </c>
      <c r="C24" s="70">
        <v>0.16600000000000001</v>
      </c>
      <c r="D24" s="27">
        <f t="shared" si="2"/>
        <v>0.16200000000000001</v>
      </c>
      <c r="E24" s="27">
        <f t="shared" si="3"/>
        <v>8.6999999999999994E-2</v>
      </c>
      <c r="F24" s="27">
        <f t="shared" si="4"/>
        <v>-1.0604807473813815</v>
      </c>
      <c r="G24" s="28">
        <f t="shared" si="5"/>
        <v>-0.35487420918475293</v>
      </c>
      <c r="H24" s="28">
        <f t="shared" si="6"/>
        <v>0.44169836413297714</v>
      </c>
      <c r="I24" s="29">
        <v>500</v>
      </c>
      <c r="J24" s="30">
        <f t="shared" si="7"/>
        <v>220.84918206648857</v>
      </c>
      <c r="K24" s="31">
        <f t="shared" si="8"/>
        <v>11.042459103324429</v>
      </c>
      <c r="L24" s="32">
        <f t="shared" ref="L24:L27" si="10">K24+K42+K52</f>
        <v>11.649398000273932</v>
      </c>
      <c r="M24" s="33">
        <f t="shared" si="9"/>
        <v>0.23298796000547864</v>
      </c>
      <c r="N24" s="34"/>
    </row>
    <row r="25" spans="1:17" ht="15" x14ac:dyDescent="0.3">
      <c r="A25" s="1" t="s">
        <v>26</v>
      </c>
      <c r="B25" s="70">
        <v>0.14299999999999999</v>
      </c>
      <c r="C25" s="70">
        <v>0.14399999999999999</v>
      </c>
      <c r="D25" s="27">
        <f t="shared" si="2"/>
        <v>0.14349999999999999</v>
      </c>
      <c r="E25" s="27">
        <f t="shared" si="3"/>
        <v>6.8499999999999978E-2</v>
      </c>
      <c r="F25" s="27">
        <f t="shared" si="4"/>
        <v>-1.1643094285075746</v>
      </c>
      <c r="G25" s="28">
        <f t="shared" si="5"/>
        <v>-0.45671570271025802</v>
      </c>
      <c r="H25" s="28">
        <f t="shared" si="6"/>
        <v>0.3493689440826051</v>
      </c>
      <c r="I25" s="29">
        <v>500</v>
      </c>
      <c r="J25" s="30">
        <f t="shared" si="7"/>
        <v>174.68447204130254</v>
      </c>
      <c r="K25" s="31">
        <f t="shared" si="8"/>
        <v>8.7342236020651267</v>
      </c>
      <c r="L25" s="32">
        <f t="shared" si="10"/>
        <v>11.954641219476132</v>
      </c>
      <c r="M25" s="33">
        <f t="shared" si="9"/>
        <v>0.23909282438952265</v>
      </c>
      <c r="N25" s="34"/>
    </row>
    <row r="26" spans="1:17" ht="15" x14ac:dyDescent="0.3">
      <c r="B26" s="70">
        <v>0.127</v>
      </c>
      <c r="C26" s="70">
        <v>0.122</v>
      </c>
      <c r="D26" s="27">
        <f t="shared" si="2"/>
        <v>0.1245</v>
      </c>
      <c r="E26" s="27">
        <f t="shared" si="3"/>
        <v>4.9499999999999988E-2</v>
      </c>
      <c r="F26" s="27">
        <f t="shared" si="4"/>
        <v>-1.3053948010664314</v>
      </c>
      <c r="G26" s="28">
        <f t="shared" si="5"/>
        <v>-0.59510082809322462</v>
      </c>
      <c r="H26" s="28">
        <f t="shared" si="6"/>
        <v>0.25403828484240687</v>
      </c>
      <c r="I26" s="29">
        <v>500</v>
      </c>
      <c r="J26" s="30">
        <f t="shared" si="7"/>
        <v>127.01914242120344</v>
      </c>
      <c r="K26" s="31">
        <f t="shared" si="8"/>
        <v>6.3509571210601727</v>
      </c>
      <c r="L26" s="32">
        <f t="shared" si="10"/>
        <v>9.1595876787275756</v>
      </c>
      <c r="M26" s="33">
        <f t="shared" si="9"/>
        <v>0.18319175357455153</v>
      </c>
      <c r="N26" s="34"/>
    </row>
    <row r="27" spans="1:17" ht="15" x14ac:dyDescent="0.3">
      <c r="B27" s="70">
        <v>0.126</v>
      </c>
      <c r="C27" s="70">
        <v>0.13300000000000001</v>
      </c>
      <c r="D27" s="27">
        <f t="shared" si="2"/>
        <v>0.1295</v>
      </c>
      <c r="E27" s="27">
        <f t="shared" si="3"/>
        <v>5.4499999999999993E-2</v>
      </c>
      <c r="F27" s="27">
        <f t="shared" si="4"/>
        <v>-1.2636034977233577</v>
      </c>
      <c r="G27" s="28">
        <f t="shared" si="5"/>
        <v>-0.5541093727200872</v>
      </c>
      <c r="H27" s="28">
        <f t="shared" si="6"/>
        <v>0.27918406555595887</v>
      </c>
      <c r="I27" s="29">
        <v>500</v>
      </c>
      <c r="J27" s="30">
        <f t="shared" si="7"/>
        <v>139.59203277797943</v>
      </c>
      <c r="K27" s="31">
        <f t="shared" si="8"/>
        <v>6.9796016388989717</v>
      </c>
      <c r="L27" s="32">
        <f t="shared" si="10"/>
        <v>9.8750316936266724</v>
      </c>
      <c r="M27" s="33">
        <f t="shared" si="9"/>
        <v>0.19750063387253342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0">
        <v>0.16900000000000001</v>
      </c>
      <c r="C31" s="70">
        <v>0.16200000000000001</v>
      </c>
      <c r="D31" s="27">
        <f t="shared" ref="D31:D36" si="11">AVERAGE(B31:C31)</f>
        <v>0.16550000000000001</v>
      </c>
      <c r="E31" s="27">
        <f t="shared" ref="E31:E36" si="12">D31-E$8</f>
        <v>9.0499999999999997E-2</v>
      </c>
      <c r="F31" s="27">
        <f>LOG(E31)</f>
        <v>-1.0433514207947967</v>
      </c>
      <c r="G31" s="28">
        <f>(F31-$B$16)/$B$15</f>
        <v>-0.33807272250744735</v>
      </c>
      <c r="H31" s="28">
        <f>10^G31</f>
        <v>0.45912112667656829</v>
      </c>
      <c r="I31" s="29">
        <v>500</v>
      </c>
      <c r="J31" s="30">
        <f>(H31*I31)</f>
        <v>229.56056333828414</v>
      </c>
      <c r="K31" s="31">
        <f>(0.05*J31/1000)*1000</f>
        <v>11.478028166914207</v>
      </c>
      <c r="L31" s="32">
        <f>K31+K50</f>
        <v>11.892542057036076</v>
      </c>
      <c r="M31" s="33">
        <f>(L31*1000000/50000)/1000</f>
        <v>0.23785084114072153</v>
      </c>
      <c r="N31" s="35"/>
      <c r="Q31"/>
    </row>
    <row r="32" spans="1:17" ht="15" x14ac:dyDescent="0.3">
      <c r="B32" s="70">
        <v>0.16</v>
      </c>
      <c r="C32" s="70">
        <v>0.158</v>
      </c>
      <c r="D32" s="27">
        <f t="shared" si="11"/>
        <v>0.159</v>
      </c>
      <c r="E32" s="27">
        <f t="shared" si="12"/>
        <v>8.3999999999999991E-2</v>
      </c>
      <c r="F32" s="27">
        <f t="shared" ref="F32:F36" si="13">LOG(E32)</f>
        <v>-1.0757207139381184</v>
      </c>
      <c r="G32" s="28">
        <f t="shared" ref="G32:G36" si="14">(F32-$B$16)/$B$15</f>
        <v>-0.36982249648439092</v>
      </c>
      <c r="H32" s="28">
        <f t="shared" ref="H32:H36" si="15">10^G32</f>
        <v>0.42675390471583302</v>
      </c>
      <c r="I32" s="29">
        <v>500</v>
      </c>
      <c r="J32" s="30">
        <f t="shared" ref="J32:J36" si="16">(H32*I32)</f>
        <v>213.37695235791651</v>
      </c>
      <c r="K32" s="31">
        <f t="shared" ref="K32:K36" si="17">(0.05*J32/1000)*1000</f>
        <v>10.668847617895826</v>
      </c>
      <c r="L32" s="32">
        <f>K32+K51</f>
        <v>11.039032508059151</v>
      </c>
      <c r="M32" s="33">
        <f t="shared" ref="M32:M36" si="18">(L32*1000000/50000)/1000</f>
        <v>0.22078065016118301</v>
      </c>
      <c r="N32" s="36"/>
      <c r="Q32"/>
    </row>
    <row r="33" spans="1:21" ht="15" x14ac:dyDescent="0.3">
      <c r="B33" s="70">
        <v>0.158</v>
      </c>
      <c r="C33" s="70">
        <v>0.16600000000000001</v>
      </c>
      <c r="D33" s="27">
        <f t="shared" si="11"/>
        <v>0.16200000000000001</v>
      </c>
      <c r="E33" s="27">
        <f t="shared" si="12"/>
        <v>8.6999999999999994E-2</v>
      </c>
      <c r="F33" s="27">
        <f t="shared" si="13"/>
        <v>-1.0604807473813815</v>
      </c>
      <c r="G33" s="28">
        <f t="shared" si="14"/>
        <v>-0.35487420918475293</v>
      </c>
      <c r="H33" s="28">
        <f t="shared" si="15"/>
        <v>0.44169836413297714</v>
      </c>
      <c r="I33" s="29">
        <v>500</v>
      </c>
      <c r="J33" s="30">
        <f t="shared" si="16"/>
        <v>220.84918206648857</v>
      </c>
      <c r="K33" s="31">
        <f t="shared" si="17"/>
        <v>11.042459103324429</v>
      </c>
      <c r="L33" s="32">
        <f t="shared" ref="L33:L36" si="19">K33+K52</f>
        <v>11.372254947735394</v>
      </c>
      <c r="M33" s="33">
        <f t="shared" si="18"/>
        <v>0.22744509895470788</v>
      </c>
      <c r="N33" s="36"/>
      <c r="Q33"/>
      <c r="R33"/>
      <c r="S33"/>
    </row>
    <row r="34" spans="1:21" ht="15" x14ac:dyDescent="0.3">
      <c r="A34" s="1" t="s">
        <v>26</v>
      </c>
      <c r="B34" s="70">
        <v>0.14299999999999999</v>
      </c>
      <c r="C34" s="70">
        <v>0.14399999999999999</v>
      </c>
      <c r="D34" s="27">
        <f t="shared" si="11"/>
        <v>0.14349999999999999</v>
      </c>
      <c r="E34" s="27">
        <f t="shared" si="12"/>
        <v>6.8499999999999978E-2</v>
      </c>
      <c r="F34" s="27">
        <f t="shared" si="13"/>
        <v>-1.1643094285075746</v>
      </c>
      <c r="G34" s="28">
        <f t="shared" si="14"/>
        <v>-0.45671570271025802</v>
      </c>
      <c r="H34" s="28">
        <f t="shared" si="15"/>
        <v>0.3493689440826051</v>
      </c>
      <c r="I34" s="29">
        <v>500</v>
      </c>
      <c r="J34" s="30">
        <f t="shared" si="16"/>
        <v>174.68447204130254</v>
      </c>
      <c r="K34" s="31">
        <f t="shared" si="17"/>
        <v>8.7342236020651267</v>
      </c>
      <c r="L34" s="32">
        <f t="shared" si="19"/>
        <v>10.634569111093779</v>
      </c>
      <c r="M34" s="33">
        <f t="shared" si="18"/>
        <v>0.21269138222187556</v>
      </c>
      <c r="N34" s="36"/>
      <c r="Q34"/>
      <c r="R34"/>
      <c r="S34"/>
    </row>
    <row r="35" spans="1:21" ht="15" x14ac:dyDescent="0.3">
      <c r="B35" s="70">
        <v>0.127</v>
      </c>
      <c r="C35" s="70">
        <v>0.122</v>
      </c>
      <c r="D35" s="27">
        <f t="shared" si="11"/>
        <v>0.1245</v>
      </c>
      <c r="E35" s="27">
        <f t="shared" si="12"/>
        <v>4.9499999999999988E-2</v>
      </c>
      <c r="F35" s="27">
        <f t="shared" si="13"/>
        <v>-1.3053948010664314</v>
      </c>
      <c r="G35" s="28">
        <f t="shared" si="14"/>
        <v>-0.59510082809322462</v>
      </c>
      <c r="H35" s="28">
        <f t="shared" si="15"/>
        <v>0.25403828484240687</v>
      </c>
      <c r="I35" s="29">
        <v>500</v>
      </c>
      <c r="J35" s="30">
        <f t="shared" si="16"/>
        <v>127.01914242120344</v>
      </c>
      <c r="K35" s="31">
        <f t="shared" si="17"/>
        <v>6.3509571210601727</v>
      </c>
      <c r="L35" s="32">
        <f t="shared" si="19"/>
        <v>7.9695189786863887</v>
      </c>
      <c r="M35" s="33">
        <f t="shared" si="18"/>
        <v>0.15939037957372779</v>
      </c>
      <c r="N35" s="36"/>
      <c r="Q35"/>
      <c r="R35"/>
      <c r="S35"/>
    </row>
    <row r="36" spans="1:21" ht="15" x14ac:dyDescent="0.3">
      <c r="B36" s="70">
        <v>0.126</v>
      </c>
      <c r="C36" s="70">
        <v>0.13300000000000001</v>
      </c>
      <c r="D36" s="27">
        <f t="shared" si="11"/>
        <v>0.1295</v>
      </c>
      <c r="E36" s="27">
        <f t="shared" si="12"/>
        <v>5.4499999999999993E-2</v>
      </c>
      <c r="F36" s="27">
        <f t="shared" si="13"/>
        <v>-1.2636034977233577</v>
      </c>
      <c r="G36" s="28">
        <f t="shared" si="14"/>
        <v>-0.5541093727200872</v>
      </c>
      <c r="H36" s="28">
        <f t="shared" si="15"/>
        <v>0.27918406555595887</v>
      </c>
      <c r="I36" s="29">
        <v>500</v>
      </c>
      <c r="J36" s="30">
        <f t="shared" si="16"/>
        <v>139.59203277797943</v>
      </c>
      <c r="K36" s="31">
        <f t="shared" si="17"/>
        <v>6.9796016388989717</v>
      </c>
      <c r="L36" s="32">
        <f t="shared" si="19"/>
        <v>8.5746403816535466</v>
      </c>
      <c r="M36" s="33">
        <f t="shared" si="18"/>
        <v>0.17149280763307095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1">
        <v>0.13500000000000001</v>
      </c>
      <c r="C40" s="71">
        <v>0.14299999999999999</v>
      </c>
      <c r="D40" s="27">
        <f t="shared" ref="D40:D45" si="20">AVERAGE(B40,C40)</f>
        <v>0.13900000000000001</v>
      </c>
      <c r="E40" s="27">
        <f t="shared" ref="E40:E45" si="21">D40-E$8</f>
        <v>6.4000000000000001E-2</v>
      </c>
      <c r="F40" s="27">
        <f t="shared" ref="F40:F45" si="22">LOG(E40)</f>
        <v>-1.1938200260161129</v>
      </c>
      <c r="G40" s="28">
        <f t="shared" ref="G40:G45" si="23">(F40-$B$16)/$B$15</f>
        <v>-0.48566149391651281</v>
      </c>
      <c r="H40" s="27">
        <f t="shared" ref="H40:H45" si="24">10^G40</f>
        <v>0.32684248671677224</v>
      </c>
      <c r="I40" s="41">
        <v>16</v>
      </c>
      <c r="J40" s="42">
        <f t="shared" ref="J40:J45" si="25">H40*I40</f>
        <v>5.2294797874683558</v>
      </c>
      <c r="K40" s="30">
        <f>(0.1*J40/1000)*1000</f>
        <v>0.52294797874683563</v>
      </c>
      <c r="L40" s="43">
        <f>K40*100/L22</f>
        <v>4.2120607180194876</v>
      </c>
      <c r="M40" s="30">
        <f>AVERAGE(L40:L42)</f>
        <v>3.0599354955266436</v>
      </c>
      <c r="N40" s="44">
        <f>STDEV(L41:L42)</f>
        <v>0.14826562433102616</v>
      </c>
      <c r="R40"/>
      <c r="S40"/>
      <c r="T40"/>
      <c r="U40"/>
    </row>
    <row r="41" spans="1:21" ht="15" x14ac:dyDescent="0.3">
      <c r="B41" s="71">
        <v>0.105</v>
      </c>
      <c r="C41" s="71">
        <v>0.11600000000000001</v>
      </c>
      <c r="D41" s="27">
        <f t="shared" si="20"/>
        <v>0.1105</v>
      </c>
      <c r="E41" s="27">
        <f t="shared" si="21"/>
        <v>3.549999999999999E-2</v>
      </c>
      <c r="F41" s="27">
        <f t="shared" si="22"/>
        <v>-1.449771646944906</v>
      </c>
      <c r="G41" s="28">
        <f t="shared" si="23"/>
        <v>-0.73671443095595268</v>
      </c>
      <c r="H41" s="27">
        <f t="shared" si="24"/>
        <v>0.18335196514703661</v>
      </c>
      <c r="I41" s="41">
        <v>16</v>
      </c>
      <c r="J41" s="42">
        <f t="shared" si="25"/>
        <v>2.9336314423525858</v>
      </c>
      <c r="K41" s="30">
        <f t="shared" ref="K41:K45" si="26">(0.1*J41/1000)*1000</f>
        <v>0.29336314423525861</v>
      </c>
      <c r="L41" s="43">
        <f t="shared" ref="L41:L45" si="27">K41*100/L23</f>
        <v>2.588712512661548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1">
        <v>0.11</v>
      </c>
      <c r="C42" s="71">
        <v>0.107</v>
      </c>
      <c r="D42" s="27">
        <f t="shared" si="20"/>
        <v>0.1085</v>
      </c>
      <c r="E42" s="27">
        <f t="shared" si="21"/>
        <v>3.3499999999999988E-2</v>
      </c>
      <c r="F42" s="27">
        <f t="shared" si="22"/>
        <v>-1.4749551929631548</v>
      </c>
      <c r="G42" s="28">
        <f t="shared" si="23"/>
        <v>-0.76141598654683584</v>
      </c>
      <c r="H42" s="27">
        <f t="shared" si="24"/>
        <v>0.17321440783658618</v>
      </c>
      <c r="I42" s="41">
        <v>16</v>
      </c>
      <c r="J42" s="42">
        <f t="shared" si="25"/>
        <v>2.7714305253853788</v>
      </c>
      <c r="K42" s="30">
        <f t="shared" si="26"/>
        <v>0.27714305253853788</v>
      </c>
      <c r="L42" s="43">
        <f t="shared" si="27"/>
        <v>2.3790332558988965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1">
        <v>0.251</v>
      </c>
      <c r="C43" s="71">
        <v>0.22800000000000001</v>
      </c>
      <c r="D43" s="27">
        <f t="shared" si="20"/>
        <v>0.23949999999999999</v>
      </c>
      <c r="E43" s="27">
        <f t="shared" si="21"/>
        <v>0.16449999999999998</v>
      </c>
      <c r="F43" s="27">
        <f t="shared" si="22"/>
        <v>-0.78383409771400692</v>
      </c>
      <c r="G43" s="28">
        <f t="shared" si="23"/>
        <v>-8.3522327649150158E-2</v>
      </c>
      <c r="H43" s="27">
        <f t="shared" si="24"/>
        <v>0.82504506773897135</v>
      </c>
      <c r="I43" s="41">
        <v>16</v>
      </c>
      <c r="J43" s="42">
        <f t="shared" si="25"/>
        <v>13.200721083823542</v>
      </c>
      <c r="K43" s="30">
        <f t="shared" si="26"/>
        <v>1.3200721083823543</v>
      </c>
      <c r="L43" s="43">
        <f t="shared" si="27"/>
        <v>11.042339825571124</v>
      </c>
      <c r="M43" s="30">
        <f>AVERAGE(L43:L45)</f>
        <v>12.401139463857447</v>
      </c>
      <c r="N43" s="44">
        <f>STDEV(L44:L45)</f>
        <v>0.12436320832521787</v>
      </c>
      <c r="R43"/>
      <c r="S43"/>
      <c r="T43"/>
      <c r="U43"/>
    </row>
    <row r="44" spans="1:21" ht="15" x14ac:dyDescent="0.3">
      <c r="A44" s="45"/>
      <c r="B44" s="71">
        <v>0.22800000000000001</v>
      </c>
      <c r="C44" s="71">
        <v>0.218</v>
      </c>
      <c r="D44" s="27">
        <f t="shared" si="20"/>
        <v>0.223</v>
      </c>
      <c r="E44" s="27">
        <f t="shared" si="21"/>
        <v>0.14799999999999999</v>
      </c>
      <c r="F44" s="27">
        <f t="shared" si="22"/>
        <v>-0.82973828460504262</v>
      </c>
      <c r="G44" s="28">
        <f t="shared" si="23"/>
        <v>-0.12854794967718178</v>
      </c>
      <c r="H44" s="27">
        <f t="shared" si="24"/>
        <v>0.74379293752574149</v>
      </c>
      <c r="I44" s="41">
        <v>16</v>
      </c>
      <c r="J44" s="42">
        <f t="shared" si="25"/>
        <v>11.900687000411864</v>
      </c>
      <c r="K44" s="30">
        <f t="shared" si="26"/>
        <v>1.1900687000411865</v>
      </c>
      <c r="L44" s="43">
        <f t="shared" si="27"/>
        <v>12.992601215063729</v>
      </c>
      <c r="M44" s="30"/>
      <c r="N44" s="44"/>
      <c r="R44"/>
      <c r="S44"/>
      <c r="T44"/>
      <c r="U44"/>
    </row>
    <row r="45" spans="1:21" ht="15" x14ac:dyDescent="0.3">
      <c r="A45" s="46"/>
      <c r="B45" s="71">
        <v>0.23499999999999999</v>
      </c>
      <c r="C45" s="71">
        <v>0.23899999999999999</v>
      </c>
      <c r="D45" s="27">
        <f t="shared" si="20"/>
        <v>0.23699999999999999</v>
      </c>
      <c r="E45" s="27">
        <f t="shared" si="21"/>
        <v>0.16199999999999998</v>
      </c>
      <c r="F45" s="27">
        <f t="shared" si="22"/>
        <v>-0.79048498545736912</v>
      </c>
      <c r="G45" s="28">
        <f t="shared" si="23"/>
        <v>-9.0045923381154594E-2</v>
      </c>
      <c r="H45" s="27">
        <f t="shared" si="24"/>
        <v>0.81274456998320399</v>
      </c>
      <c r="I45" s="41">
        <v>16</v>
      </c>
      <c r="J45" s="42">
        <f t="shared" si="25"/>
        <v>13.003913119731264</v>
      </c>
      <c r="K45" s="30">
        <f t="shared" si="26"/>
        <v>1.3003913119731265</v>
      </c>
      <c r="L45" s="43">
        <f t="shared" si="27"/>
        <v>13.168477350937483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2">
        <v>0.129</v>
      </c>
      <c r="C50" s="72">
        <v>0.122</v>
      </c>
      <c r="D50" s="27">
        <f t="shared" ref="D50:D52" si="28">AVERAGE(B50,C50)</f>
        <v>0.1255</v>
      </c>
      <c r="E50" s="27">
        <f t="shared" ref="E50:E55" si="29">D50-E$8</f>
        <v>5.0499999999999989E-2</v>
      </c>
      <c r="F50" s="27">
        <f t="shared" ref="F50:F55" si="30">LOG(E50)</f>
        <v>-1.2967086218813386</v>
      </c>
      <c r="G50" s="28">
        <f t="shared" ref="G50:G55" si="31">(F50-$B$16)/$B$15</f>
        <v>-0.58658089456768137</v>
      </c>
      <c r="H50" s="27">
        <f t="shared" ref="H50:H55" si="32">10^G50</f>
        <v>0.25907118132616858</v>
      </c>
      <c r="I50" s="41">
        <v>16</v>
      </c>
      <c r="J50" s="42">
        <f t="shared" ref="J50:J55" si="33">H50*I50</f>
        <v>4.1451389012186972</v>
      </c>
      <c r="K50" s="30">
        <f>(0.1*J50/1000)*1000</f>
        <v>0.41451389012186973</v>
      </c>
      <c r="L50" s="43">
        <f t="shared" ref="L50:L55" si="34">K50*100/L31</f>
        <v>3.485494422755711</v>
      </c>
      <c r="M50" s="30">
        <f>AVERAGE(L50:L52)</f>
        <v>3.246305423416521</v>
      </c>
      <c r="N50" s="44">
        <f>STDEV(L51:L52)</f>
        <v>0.3206120555362037</v>
      </c>
      <c r="O50" s="48">
        <f>L50/L40</f>
        <v>0.82750336618950537</v>
      </c>
      <c r="P50" s="30">
        <f>AVERAGE(O50:O52)</f>
        <v>1.1139624846820129</v>
      </c>
      <c r="Q50" s="44">
        <f>STDEV(O50:O52)</f>
        <v>0.25100589392215156</v>
      </c>
      <c r="S50"/>
      <c r="T50"/>
    </row>
    <row r="51" spans="1:25" ht="15" x14ac:dyDescent="0.3">
      <c r="B51" s="72">
        <v>0.121</v>
      </c>
      <c r="C51" s="72">
        <v>0.11899999999999999</v>
      </c>
      <c r="D51" s="27">
        <f t="shared" si="28"/>
        <v>0.12</v>
      </c>
      <c r="E51" s="27">
        <f t="shared" si="29"/>
        <v>4.4999999999999984E-2</v>
      </c>
      <c r="F51" s="27">
        <f t="shared" si="30"/>
        <v>-1.3467874862246565</v>
      </c>
      <c r="G51" s="28">
        <f t="shared" si="31"/>
        <v>-0.63570129447515966</v>
      </c>
      <c r="H51" s="27">
        <f t="shared" si="32"/>
        <v>0.23136555635207792</v>
      </c>
      <c r="I51" s="41">
        <v>16</v>
      </c>
      <c r="J51" s="42">
        <f t="shared" si="33"/>
        <v>3.7018489016332468</v>
      </c>
      <c r="K51" s="30">
        <f t="shared" ref="K51:K55" si="35">(0.1*J51/1000)*1000</f>
        <v>0.37018489016332468</v>
      </c>
      <c r="L51" s="43">
        <f t="shared" si="34"/>
        <v>3.3534178823467333</v>
      </c>
      <c r="M51" s="30"/>
      <c r="N51" s="44"/>
      <c r="O51" s="2">
        <f>L51/L41</f>
        <v>1.2953998815801158</v>
      </c>
      <c r="P51" s="30"/>
      <c r="Q51" s="44"/>
      <c r="S51"/>
      <c r="T51"/>
    </row>
    <row r="52" spans="1:25" ht="15" x14ac:dyDescent="0.3">
      <c r="B52" s="72">
        <v>0.11600000000000001</v>
      </c>
      <c r="C52" s="72">
        <v>0.114</v>
      </c>
      <c r="D52" s="27">
        <f t="shared" si="28"/>
        <v>0.115</v>
      </c>
      <c r="E52" s="27">
        <f t="shared" si="29"/>
        <v>3.9999999999999994E-2</v>
      </c>
      <c r="F52" s="27">
        <f t="shared" si="30"/>
        <v>-1.3979400086720377</v>
      </c>
      <c r="G52" s="28">
        <f t="shared" si="31"/>
        <v>-0.68587480363595399</v>
      </c>
      <c r="H52" s="27">
        <f t="shared" si="32"/>
        <v>0.20612240275685359</v>
      </c>
      <c r="I52" s="41">
        <v>16</v>
      </c>
      <c r="J52" s="42">
        <f t="shared" si="33"/>
        <v>3.2979584441096574</v>
      </c>
      <c r="K52" s="30">
        <f t="shared" si="35"/>
        <v>0.32979584441096577</v>
      </c>
      <c r="L52" s="43">
        <f t="shared" si="34"/>
        <v>2.9000039651471181</v>
      </c>
      <c r="M52" s="30"/>
      <c r="N52" s="44"/>
      <c r="O52" s="2">
        <f t="shared" ref="O52:O55" si="36">L52/L42</f>
        <v>1.2189842062764178</v>
      </c>
      <c r="P52" s="30"/>
      <c r="Q52" s="44"/>
      <c r="S52"/>
      <c r="T52"/>
    </row>
    <row r="53" spans="1:25" ht="15" x14ac:dyDescent="0.3">
      <c r="A53" s="1" t="s">
        <v>26</v>
      </c>
      <c r="B53" s="76">
        <v>0.32100000000000001</v>
      </c>
      <c r="C53" s="72">
        <v>0.30599999999999999</v>
      </c>
      <c r="D53" s="27">
        <f>AVERAGE(B53:C53)</f>
        <v>0.3135</v>
      </c>
      <c r="E53" s="27">
        <f t="shared" si="29"/>
        <v>0.23849999999999999</v>
      </c>
      <c r="F53" s="27">
        <f t="shared" si="30"/>
        <v>-0.62251161662386734</v>
      </c>
      <c r="G53" s="28">
        <f t="shared" si="31"/>
        <v>7.4712586203716014E-2</v>
      </c>
      <c r="H53" s="27">
        <f t="shared" si="32"/>
        <v>1.1877159431429076</v>
      </c>
      <c r="I53" s="41">
        <v>16</v>
      </c>
      <c r="J53" s="42">
        <f t="shared" si="33"/>
        <v>19.003455090286522</v>
      </c>
      <c r="K53" s="30">
        <f t="shared" si="35"/>
        <v>1.9003455090286523</v>
      </c>
      <c r="L53" s="43">
        <f t="shared" si="34"/>
        <v>17.86951111207927</v>
      </c>
      <c r="M53" s="30">
        <f>AVERAGE(L53:L55)</f>
        <v>18.926910260242124</v>
      </c>
      <c r="N53" s="44">
        <f>STDEV(L54:L55)</f>
        <v>1.2074482004713629</v>
      </c>
      <c r="O53" s="2">
        <f>L53/L43</f>
        <v>1.618272159193854</v>
      </c>
      <c r="P53" s="30">
        <f>AVERAGE(O53:O55)</f>
        <v>1.5313418397005505</v>
      </c>
      <c r="Q53" s="44">
        <f>STDEV(O53:O55)</f>
        <v>0.1064610982168121</v>
      </c>
      <c r="S53"/>
      <c r="T53"/>
    </row>
    <row r="54" spans="1:25" ht="15" x14ac:dyDescent="0.3">
      <c r="A54" s="45"/>
      <c r="B54" s="76">
        <v>0.29199999999999998</v>
      </c>
      <c r="C54" s="72">
        <v>0.26300000000000001</v>
      </c>
      <c r="D54" s="27">
        <f>AVERAGE(B54:C54)</f>
        <v>0.27749999999999997</v>
      </c>
      <c r="E54" s="27">
        <f t="shared" si="29"/>
        <v>0.20249999999999996</v>
      </c>
      <c r="F54" s="27">
        <f t="shared" si="30"/>
        <v>-0.69357497244931277</v>
      </c>
      <c r="G54" s="28">
        <f t="shared" si="31"/>
        <v>5.0093191131738695E-3</v>
      </c>
      <c r="H54" s="27">
        <f t="shared" si="32"/>
        <v>1.0116011610163851</v>
      </c>
      <c r="I54" s="41">
        <v>16</v>
      </c>
      <c r="J54" s="42">
        <f t="shared" si="33"/>
        <v>16.185618576262161</v>
      </c>
      <c r="K54" s="30">
        <f t="shared" si="35"/>
        <v>1.6185618576262162</v>
      </c>
      <c r="L54" s="43">
        <f t="shared" si="34"/>
        <v>20.309404644808346</v>
      </c>
      <c r="M54" s="30"/>
      <c r="N54" s="44"/>
      <c r="O54" s="2">
        <f t="shared" si="36"/>
        <v>1.5631515436078693</v>
      </c>
      <c r="P54" s="30"/>
      <c r="Q54" s="44"/>
      <c r="S54"/>
      <c r="T54"/>
    </row>
    <row r="55" spans="1:25" ht="15" x14ac:dyDescent="0.3">
      <c r="A55" s="46"/>
      <c r="B55" s="77">
        <v>0.26500000000000001</v>
      </c>
      <c r="C55" s="72">
        <v>0.28399999999999997</v>
      </c>
      <c r="D55" s="27">
        <f>AVERAGE(B55:C55)</f>
        <v>0.27449999999999997</v>
      </c>
      <c r="E55" s="27">
        <f t="shared" si="29"/>
        <v>0.19949999999999996</v>
      </c>
      <c r="F55" s="27">
        <f t="shared" si="30"/>
        <v>-0.70005709997723309</v>
      </c>
      <c r="G55" s="28">
        <f t="shared" si="31"/>
        <v>-1.3487463221739252E-3</v>
      </c>
      <c r="H55" s="27">
        <f t="shared" si="32"/>
        <v>0.99689921422160888</v>
      </c>
      <c r="I55" s="41">
        <v>16</v>
      </c>
      <c r="J55" s="42">
        <f t="shared" si="33"/>
        <v>15.950387427545742</v>
      </c>
      <c r="K55" s="30">
        <f t="shared" si="35"/>
        <v>1.5950387427545742</v>
      </c>
      <c r="L55" s="43">
        <f t="shared" si="34"/>
        <v>18.601815023838757</v>
      </c>
      <c r="M55" s="30"/>
      <c r="N55" s="44"/>
      <c r="O55" s="2">
        <f t="shared" si="36"/>
        <v>1.4126018162999283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1.1139624846820129</v>
      </c>
      <c r="O58" s="30">
        <f>Q50</f>
        <v>0.25100589392215156</v>
      </c>
    </row>
    <row r="59" spans="1:25" ht="15" x14ac:dyDescent="0.3">
      <c r="D59"/>
      <c r="E59"/>
      <c r="G59"/>
      <c r="M59" s="2" t="s">
        <v>26</v>
      </c>
      <c r="N59" s="30">
        <f>P53</f>
        <v>1.5313418397005505</v>
      </c>
      <c r="O59" s="30">
        <f>Q53</f>
        <v>0.1064610982168121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3.0599354955266436</v>
      </c>
      <c r="C65" s="30">
        <f>N40</f>
        <v>0.14826562433102616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3.246305423416521</v>
      </c>
      <c r="C66" s="30">
        <f>N50</f>
        <v>0.3206120555362037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12.401139463857447</v>
      </c>
      <c r="C67" s="30">
        <f>N43</f>
        <v>0.12436320832521787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18.926910260242124</v>
      </c>
      <c r="C68" s="30">
        <f>N53</f>
        <v>1.2074482004713629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B9" sqref="B9:B13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6" style="2" bestFit="1" customWidth="1"/>
    <col min="5" max="5" width="8.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4" t="s">
        <v>0</v>
      </c>
      <c r="B1" s="65" t="s">
        <v>44</v>
      </c>
    </row>
    <row r="2" spans="1:20" x14ac:dyDescent="0.2">
      <c r="A2" s="64" t="s">
        <v>1</v>
      </c>
      <c r="B2" s="66" t="s">
        <v>45</v>
      </c>
      <c r="C2" s="3"/>
      <c r="E2" s="4" t="s">
        <v>40</v>
      </c>
    </row>
    <row r="3" spans="1:20" x14ac:dyDescent="0.2">
      <c r="A3" s="64" t="s">
        <v>2</v>
      </c>
      <c r="B3" s="66" t="s">
        <v>43</v>
      </c>
      <c r="D3" s="10" t="s">
        <v>41</v>
      </c>
      <c r="E3" s="10">
        <v>235160</v>
      </c>
      <c r="F3" s="10">
        <v>225896</v>
      </c>
    </row>
    <row r="4" spans="1:20" x14ac:dyDescent="0.2">
      <c r="D4" s="10" t="s">
        <v>42</v>
      </c>
      <c r="E4" s="10">
        <v>143064</v>
      </c>
      <c r="F4" s="10">
        <v>139816</v>
      </c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63">
        <v>6.9000000000000006E-2</v>
      </c>
      <c r="D8" s="63">
        <v>8.1000000000000003E-2</v>
      </c>
      <c r="E8" s="11">
        <f t="shared" ref="E8:E13" si="0">AVERAGE(C8:D8)</f>
        <v>7.5000000000000011E-2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63">
        <v>9.0999999999999998E-2</v>
      </c>
      <c r="D9" s="63">
        <v>0.11</v>
      </c>
      <c r="E9" s="11">
        <f t="shared" si="0"/>
        <v>0.10050000000000001</v>
      </c>
      <c r="F9" s="12">
        <f>(E9-$E$8)</f>
        <v>2.5499999999999995E-2</v>
      </c>
      <c r="G9" s="12">
        <f>LOG(B9)</f>
        <v>-0.86341728222799241</v>
      </c>
      <c r="H9" s="12">
        <f>LOG(F9)</f>
        <v>-1.593459819566045</v>
      </c>
      <c r="N9"/>
      <c r="O9"/>
      <c r="P9"/>
    </row>
    <row r="10" spans="1:20" ht="15" x14ac:dyDescent="0.3">
      <c r="A10" s="10">
        <v>10.4</v>
      </c>
      <c r="B10" s="12">
        <f t="shared" ref="B10:B13" si="1">A10/23</f>
        <v>0.45217391304347826</v>
      </c>
      <c r="C10" s="63">
        <v>0.16500000000000001</v>
      </c>
      <c r="D10" s="63">
        <v>0.16600000000000001</v>
      </c>
      <c r="E10" s="11">
        <f t="shared" si="0"/>
        <v>0.16550000000000001</v>
      </c>
      <c r="F10" s="12">
        <f>(E10-$E$8)</f>
        <v>9.0499999999999997E-2</v>
      </c>
      <c r="G10" s="12">
        <f>LOG(B10)</f>
        <v>-0.34469449671881253</v>
      </c>
      <c r="H10" s="12">
        <f>LOG(F10)</f>
        <v>-1.0433514207947967</v>
      </c>
      <c r="N10"/>
      <c r="O10"/>
      <c r="P10"/>
    </row>
    <row r="11" spans="1:20" ht="15" x14ac:dyDescent="0.3">
      <c r="A11" s="10">
        <v>31.5</v>
      </c>
      <c r="B11" s="12">
        <f t="shared" si="1"/>
        <v>1.3695652173913044</v>
      </c>
      <c r="C11" s="63">
        <v>0.36799999999999999</v>
      </c>
      <c r="D11" s="63">
        <v>0.34399999999999997</v>
      </c>
      <c r="E11" s="11">
        <f t="shared" si="0"/>
        <v>0.35599999999999998</v>
      </c>
      <c r="F11" s="12">
        <f>(E11-$E$8)</f>
        <v>0.28099999999999997</v>
      </c>
      <c r="G11" s="12">
        <f>LOG(B11)</f>
        <v>0.13658271777200767</v>
      </c>
      <c r="H11" s="12">
        <f>LOG(F11)</f>
        <v>-0.55129368009492019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63">
        <v>1.1040000000000001</v>
      </c>
      <c r="D12" s="63">
        <v>1.115</v>
      </c>
      <c r="E12" s="11">
        <f t="shared" si="0"/>
        <v>1.1095000000000002</v>
      </c>
      <c r="F12" s="12">
        <f>(E12-$E$8)</f>
        <v>1.0345000000000002</v>
      </c>
      <c r="G12" s="12">
        <f>LOG(B12)</f>
        <v>0.66357802924717735</v>
      </c>
      <c r="H12" s="12">
        <f>LOG(F12)</f>
        <v>1.4730495001753479E-2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63">
        <v>1.724</v>
      </c>
      <c r="D13" s="63">
        <v>1.9279999999999999</v>
      </c>
      <c r="E13" s="11">
        <f t="shared" si="0"/>
        <v>1.8260000000000001</v>
      </c>
      <c r="F13" s="12">
        <f>(E13-$E$8)</f>
        <v>1.7510000000000001</v>
      </c>
      <c r="G13" s="12">
        <f>LOG(B13)</f>
        <v>0.96049145871632635</v>
      </c>
      <c r="H13" s="12">
        <f>LOG(F13)</f>
        <v>0.24328614608344618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1.019512553595753</v>
      </c>
      <c r="N15"/>
    </row>
    <row r="16" spans="1:20" ht="15" x14ac:dyDescent="0.25">
      <c r="A16" s="5" t="s">
        <v>11</v>
      </c>
      <c r="B16" s="11">
        <f>INTERCEPT(H9:H13,G9:G13)</f>
        <v>-0.69868203617016067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3">
        <v>0.17399999999999999</v>
      </c>
      <c r="C22" s="73">
        <v>0.182</v>
      </c>
      <c r="D22" s="27">
        <f t="shared" ref="D22:D27" si="2">AVERAGE(B22:C22)</f>
        <v>0.17799999999999999</v>
      </c>
      <c r="E22" s="27">
        <f t="shared" ref="E22:E27" si="3">D22-E$8</f>
        <v>0.10299999999999998</v>
      </c>
      <c r="F22" s="27">
        <f>LOG(E22)</f>
        <v>-0.98716277529482788</v>
      </c>
      <c r="G22" s="28">
        <f>(F22-$B$16)/$B$15</f>
        <v>-0.28295947716113434</v>
      </c>
      <c r="H22" s="28">
        <f>10^G22</f>
        <v>0.52124334463726862</v>
      </c>
      <c r="I22" s="29">
        <v>500</v>
      </c>
      <c r="J22" s="30">
        <f>(H22*I22)</f>
        <v>260.6216723186343</v>
      </c>
      <c r="K22" s="31">
        <f>(0.05*J22/1000)*1000</f>
        <v>13.031083615931715</v>
      </c>
      <c r="L22" s="32">
        <f>K22+K40+K50</f>
        <v>14.044002523012523</v>
      </c>
      <c r="M22" s="33">
        <f>(L22*1000000/50000)/1000</f>
        <v>0.28088005046025044</v>
      </c>
      <c r="N22" s="34"/>
    </row>
    <row r="23" spans="1:17" ht="15" x14ac:dyDescent="0.3">
      <c r="B23" s="73">
        <v>0.151</v>
      </c>
      <c r="C23" s="73">
        <v>0.158</v>
      </c>
      <c r="D23" s="27">
        <f t="shared" si="2"/>
        <v>0.1545</v>
      </c>
      <c r="E23" s="27">
        <f t="shared" si="3"/>
        <v>7.9499999999999987E-2</v>
      </c>
      <c r="F23" s="27">
        <f t="shared" ref="F23:F27" si="4">LOG(E23)</f>
        <v>-1.0996328713435297</v>
      </c>
      <c r="G23" s="28">
        <f t="shared" ref="G23:G27" si="5">(F23-$B$16)/$B$15</f>
        <v>-0.39327699669733551</v>
      </c>
      <c r="H23" s="28">
        <f t="shared" ref="H23:H27" si="6">10^G23</f>
        <v>0.40431793204171174</v>
      </c>
      <c r="I23" s="29">
        <v>500</v>
      </c>
      <c r="J23" s="30">
        <f t="shared" ref="J23:J27" si="7">(H23*I23)</f>
        <v>202.15896602085587</v>
      </c>
      <c r="K23" s="31">
        <f t="shared" ref="K23:K27" si="8">(0.05*J23/1000)*1000</f>
        <v>10.107948301042795</v>
      </c>
      <c r="L23" s="32">
        <f>K23+K41+K51</f>
        <v>11.353809306294572</v>
      </c>
      <c r="M23" s="33">
        <f t="shared" ref="M23:M27" si="9">(L23*1000000/50000)/1000</f>
        <v>0.22707618612589145</v>
      </c>
      <c r="N23" s="34"/>
    </row>
    <row r="24" spans="1:17" ht="15" x14ac:dyDescent="0.3">
      <c r="B24" s="73">
        <v>0.159</v>
      </c>
      <c r="C24" s="73">
        <v>0.16900000000000001</v>
      </c>
      <c r="D24" s="27">
        <f t="shared" si="2"/>
        <v>0.16400000000000001</v>
      </c>
      <c r="E24" s="27">
        <f t="shared" si="3"/>
        <v>8.8999999999999996E-2</v>
      </c>
      <c r="F24" s="27">
        <f t="shared" si="4"/>
        <v>-1.0506099933550872</v>
      </c>
      <c r="G24" s="28">
        <f t="shared" si="5"/>
        <v>-0.34519237251537516</v>
      </c>
      <c r="H24" s="28">
        <f t="shared" si="6"/>
        <v>0.45165583726038949</v>
      </c>
      <c r="I24" s="29">
        <v>500</v>
      </c>
      <c r="J24" s="30">
        <f t="shared" si="7"/>
        <v>225.82791863019474</v>
      </c>
      <c r="K24" s="31">
        <f t="shared" si="8"/>
        <v>11.291395931509738</v>
      </c>
      <c r="L24" s="32">
        <f t="shared" ref="L24:L27" si="10">K24+K42+K52</f>
        <v>12.269086671691223</v>
      </c>
      <c r="M24" s="33">
        <f t="shared" si="9"/>
        <v>0.24538173343382447</v>
      </c>
      <c r="N24" s="34"/>
    </row>
    <row r="25" spans="1:17" ht="15" x14ac:dyDescent="0.3">
      <c r="A25" s="1" t="s">
        <v>26</v>
      </c>
      <c r="B25" s="73">
        <v>0.155</v>
      </c>
      <c r="C25" s="73">
        <v>0.156</v>
      </c>
      <c r="D25" s="27">
        <f t="shared" si="2"/>
        <v>0.1555</v>
      </c>
      <c r="E25" s="27">
        <f t="shared" si="3"/>
        <v>8.0499999999999988E-2</v>
      </c>
      <c r="F25" s="27">
        <f t="shared" si="4"/>
        <v>-1.0942041196321315</v>
      </c>
      <c r="G25" s="28">
        <f t="shared" si="5"/>
        <v>-0.3879521464125093</v>
      </c>
      <c r="H25" s="28">
        <f t="shared" si="6"/>
        <v>0.40930575740135106</v>
      </c>
      <c r="I25" s="29">
        <v>500</v>
      </c>
      <c r="J25" s="30">
        <f t="shared" si="7"/>
        <v>204.65287870067553</v>
      </c>
      <c r="K25" s="31">
        <f t="shared" si="8"/>
        <v>10.232643935033778</v>
      </c>
      <c r="L25" s="32">
        <f t="shared" si="10"/>
        <v>13.273572228592233</v>
      </c>
      <c r="M25" s="33">
        <f t="shared" si="9"/>
        <v>0.26547144457184468</v>
      </c>
      <c r="N25" s="34"/>
    </row>
    <row r="26" spans="1:17" ht="15" x14ac:dyDescent="0.3">
      <c r="B26" s="73">
        <v>0.14699999999999999</v>
      </c>
      <c r="C26" s="73">
        <v>0.14899999999999999</v>
      </c>
      <c r="D26" s="27">
        <f t="shared" si="2"/>
        <v>0.14799999999999999</v>
      </c>
      <c r="E26" s="27">
        <f t="shared" si="3"/>
        <v>7.2999999999999982E-2</v>
      </c>
      <c r="F26" s="27">
        <f t="shared" si="4"/>
        <v>-1.1366771398795441</v>
      </c>
      <c r="G26" s="28">
        <f t="shared" si="5"/>
        <v>-0.42961227124139262</v>
      </c>
      <c r="H26" s="28">
        <f t="shared" si="6"/>
        <v>0.37186707585750622</v>
      </c>
      <c r="I26" s="29">
        <v>500</v>
      </c>
      <c r="J26" s="30">
        <f t="shared" si="7"/>
        <v>185.93353792875311</v>
      </c>
      <c r="K26" s="31">
        <f t="shared" si="8"/>
        <v>9.2966768964376563</v>
      </c>
      <c r="L26" s="32">
        <f t="shared" si="10"/>
        <v>12.160785399942853</v>
      </c>
      <c r="M26" s="33">
        <f t="shared" si="9"/>
        <v>0.24321570799885706</v>
      </c>
      <c r="N26" s="34"/>
    </row>
    <row r="27" spans="1:17" ht="15" x14ac:dyDescent="0.3">
      <c r="B27" s="73">
        <v>0.13700000000000001</v>
      </c>
      <c r="C27" s="73">
        <v>0.13800000000000001</v>
      </c>
      <c r="D27" s="27">
        <f t="shared" si="2"/>
        <v>0.13750000000000001</v>
      </c>
      <c r="E27" s="27">
        <f t="shared" si="3"/>
        <v>6.25E-2</v>
      </c>
      <c r="F27" s="27">
        <f t="shared" si="4"/>
        <v>-1.2041199826559248</v>
      </c>
      <c r="G27" s="28">
        <f t="shared" si="5"/>
        <v>-0.49576431864729675</v>
      </c>
      <c r="H27" s="28">
        <f t="shared" si="6"/>
        <v>0.31932702973120775</v>
      </c>
      <c r="I27" s="29">
        <v>500</v>
      </c>
      <c r="J27" s="30">
        <f t="shared" si="7"/>
        <v>159.66351486560387</v>
      </c>
      <c r="K27" s="31">
        <f t="shared" si="8"/>
        <v>7.9831757432801949</v>
      </c>
      <c r="L27" s="32">
        <f t="shared" si="10"/>
        <v>11.317588004533313</v>
      </c>
      <c r="M27" s="33">
        <f t="shared" si="9"/>
        <v>0.22635176009066627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3">
        <v>0.17399999999999999</v>
      </c>
      <c r="C31" s="73">
        <v>0.182</v>
      </c>
      <c r="D31" s="27">
        <f t="shared" ref="D31:D36" si="11">AVERAGE(B31:C31)</f>
        <v>0.17799999999999999</v>
      </c>
      <c r="E31" s="27">
        <f t="shared" ref="E31:E36" si="12">D31-E$8</f>
        <v>0.10299999999999998</v>
      </c>
      <c r="F31" s="27">
        <f>LOG(E31)</f>
        <v>-0.98716277529482788</v>
      </c>
      <c r="G31" s="28">
        <f>(F31-$B$16)/$B$15</f>
        <v>-0.28295947716113434</v>
      </c>
      <c r="H31" s="28">
        <f>10^G31</f>
        <v>0.52124334463726862</v>
      </c>
      <c r="I31" s="29">
        <v>500</v>
      </c>
      <c r="J31" s="30">
        <f>(H31*I31)</f>
        <v>260.6216723186343</v>
      </c>
      <c r="K31" s="31">
        <f>(0.05*J31/1000)*1000</f>
        <v>13.031083615931715</v>
      </c>
      <c r="L31" s="32">
        <f>K31+K50</f>
        <v>13.689962375109483</v>
      </c>
      <c r="M31" s="33">
        <f>(L31*1000000/50000)/1000</f>
        <v>0.27379924750218965</v>
      </c>
      <c r="N31" s="35"/>
      <c r="Q31"/>
    </row>
    <row r="32" spans="1:17" ht="15" x14ac:dyDescent="0.3">
      <c r="B32" s="73">
        <v>0.151</v>
      </c>
      <c r="C32" s="73">
        <v>0.158</v>
      </c>
      <c r="D32" s="27">
        <f t="shared" si="11"/>
        <v>0.1545</v>
      </c>
      <c r="E32" s="27">
        <f t="shared" si="12"/>
        <v>7.9499999999999987E-2</v>
      </c>
      <c r="F32" s="27">
        <f t="shared" ref="F32:F36" si="13">LOG(E32)</f>
        <v>-1.0996328713435297</v>
      </c>
      <c r="G32" s="28">
        <f t="shared" ref="G32:G36" si="14">(F32-$B$16)/$B$15</f>
        <v>-0.39327699669733551</v>
      </c>
      <c r="H32" s="28">
        <f t="shared" ref="H32:H36" si="15">10^G32</f>
        <v>0.40431793204171174</v>
      </c>
      <c r="I32" s="29">
        <v>500</v>
      </c>
      <c r="J32" s="30">
        <f t="shared" ref="J32:J36" si="16">(H32*I32)</f>
        <v>202.15896602085587</v>
      </c>
      <c r="K32" s="31">
        <f t="shared" ref="K32:K36" si="17">(0.05*J32/1000)*1000</f>
        <v>10.107948301042795</v>
      </c>
      <c r="L32" s="32">
        <f>K32+K51</f>
        <v>10.7708161362455</v>
      </c>
      <c r="M32" s="33">
        <f t="shared" ref="M32:M36" si="18">(L32*1000000/50000)/1000</f>
        <v>0.21541632272491001</v>
      </c>
      <c r="N32" s="36"/>
      <c r="Q32"/>
    </row>
    <row r="33" spans="1:21" ht="15" x14ac:dyDescent="0.3">
      <c r="B33" s="73">
        <v>0.159</v>
      </c>
      <c r="C33" s="73">
        <v>0.16900000000000001</v>
      </c>
      <c r="D33" s="27">
        <f t="shared" si="11"/>
        <v>0.16400000000000001</v>
      </c>
      <c r="E33" s="27">
        <f t="shared" si="12"/>
        <v>8.8999999999999996E-2</v>
      </c>
      <c r="F33" s="27">
        <f t="shared" si="13"/>
        <v>-1.0506099933550872</v>
      </c>
      <c r="G33" s="28">
        <f t="shared" si="14"/>
        <v>-0.34519237251537516</v>
      </c>
      <c r="H33" s="28">
        <f t="shared" si="15"/>
        <v>0.45165583726038949</v>
      </c>
      <c r="I33" s="29">
        <v>500</v>
      </c>
      <c r="J33" s="30">
        <f t="shared" si="16"/>
        <v>225.82791863019474</v>
      </c>
      <c r="K33" s="31">
        <f t="shared" si="17"/>
        <v>11.291395931509738</v>
      </c>
      <c r="L33" s="32">
        <f t="shared" ref="L33:L36" si="19">K33+K52</f>
        <v>11.750146331032163</v>
      </c>
      <c r="M33" s="33">
        <f t="shared" si="18"/>
        <v>0.23500292662064326</v>
      </c>
      <c r="N33" s="36"/>
      <c r="Q33"/>
      <c r="R33"/>
      <c r="S33"/>
    </row>
    <row r="34" spans="1:21" ht="15" x14ac:dyDescent="0.3">
      <c r="A34" s="1" t="s">
        <v>26</v>
      </c>
      <c r="B34" s="73">
        <v>0.155</v>
      </c>
      <c r="C34" s="73">
        <v>0.156</v>
      </c>
      <c r="D34" s="27">
        <f t="shared" si="11"/>
        <v>0.1555</v>
      </c>
      <c r="E34" s="27">
        <f t="shared" si="12"/>
        <v>8.0499999999999988E-2</v>
      </c>
      <c r="F34" s="27">
        <f t="shared" si="13"/>
        <v>-1.0942041196321315</v>
      </c>
      <c r="G34" s="28">
        <f t="shared" si="14"/>
        <v>-0.3879521464125093</v>
      </c>
      <c r="H34" s="28">
        <f t="shared" si="15"/>
        <v>0.40930575740135106</v>
      </c>
      <c r="I34" s="29">
        <v>500</v>
      </c>
      <c r="J34" s="30">
        <f t="shared" si="16"/>
        <v>204.65287870067553</v>
      </c>
      <c r="K34" s="31">
        <f t="shared" si="17"/>
        <v>10.232643935033778</v>
      </c>
      <c r="L34" s="32">
        <f t="shared" si="19"/>
        <v>11.831603664365556</v>
      </c>
      <c r="M34" s="33">
        <f t="shared" si="18"/>
        <v>0.23663207328731112</v>
      </c>
      <c r="N34" s="36"/>
      <c r="Q34"/>
      <c r="R34"/>
      <c r="S34"/>
    </row>
    <row r="35" spans="1:21" ht="15" x14ac:dyDescent="0.3">
      <c r="B35" s="73">
        <v>0.14699999999999999</v>
      </c>
      <c r="C35" s="73">
        <v>0.14899999999999999</v>
      </c>
      <c r="D35" s="27">
        <f t="shared" si="11"/>
        <v>0.14799999999999999</v>
      </c>
      <c r="E35" s="27">
        <f t="shared" si="12"/>
        <v>7.2999999999999982E-2</v>
      </c>
      <c r="F35" s="27">
        <f t="shared" si="13"/>
        <v>-1.1366771398795441</v>
      </c>
      <c r="G35" s="28">
        <f t="shared" si="14"/>
        <v>-0.42961227124139262</v>
      </c>
      <c r="H35" s="28">
        <f t="shared" si="15"/>
        <v>0.37186707585750622</v>
      </c>
      <c r="I35" s="29">
        <v>500</v>
      </c>
      <c r="J35" s="30">
        <f t="shared" si="16"/>
        <v>185.93353792875311</v>
      </c>
      <c r="K35" s="31">
        <f t="shared" si="17"/>
        <v>9.2966768964376563</v>
      </c>
      <c r="L35" s="32">
        <f t="shared" si="19"/>
        <v>10.844648990088976</v>
      </c>
      <c r="M35" s="33">
        <f t="shared" si="18"/>
        <v>0.21689297980177949</v>
      </c>
      <c r="N35" s="36"/>
      <c r="Q35"/>
      <c r="R35"/>
      <c r="S35"/>
    </row>
    <row r="36" spans="1:21" ht="15" x14ac:dyDescent="0.3">
      <c r="B36" s="73">
        <v>0.13700000000000001</v>
      </c>
      <c r="C36" s="73">
        <v>0.13800000000000001</v>
      </c>
      <c r="D36" s="27">
        <f t="shared" si="11"/>
        <v>0.13750000000000001</v>
      </c>
      <c r="E36" s="27">
        <f t="shared" si="12"/>
        <v>6.25E-2</v>
      </c>
      <c r="F36" s="27">
        <f t="shared" si="13"/>
        <v>-1.2041199826559248</v>
      </c>
      <c r="G36" s="28">
        <f t="shared" si="14"/>
        <v>-0.49576431864729675</v>
      </c>
      <c r="H36" s="28">
        <f t="shared" si="15"/>
        <v>0.31932702973120775</v>
      </c>
      <c r="I36" s="29">
        <v>500</v>
      </c>
      <c r="J36" s="30">
        <f t="shared" si="16"/>
        <v>159.66351486560387</v>
      </c>
      <c r="K36" s="31">
        <f t="shared" si="17"/>
        <v>7.9831757432801949</v>
      </c>
      <c r="L36" s="32">
        <f t="shared" si="19"/>
        <v>9.4094274014961687</v>
      </c>
      <c r="M36" s="33">
        <f t="shared" si="18"/>
        <v>0.18818854802992338</v>
      </c>
      <c r="N36" s="37"/>
      <c r="Q36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  <c r="T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4">
        <v>0.126</v>
      </c>
      <c r="C40" s="74">
        <v>0.11</v>
      </c>
      <c r="D40" s="27">
        <f t="shared" ref="D40:D45" si="20">AVERAGE(B40,C40)</f>
        <v>0.11799999999999999</v>
      </c>
      <c r="E40" s="27">
        <f t="shared" ref="E40:E45" si="21">D40-E$8</f>
        <v>4.2999999999999983E-2</v>
      </c>
      <c r="F40" s="27">
        <f t="shared" ref="F40:F45" si="22">LOG(E40)</f>
        <v>-1.3665315444204136</v>
      </c>
      <c r="G40" s="28">
        <f t="shared" ref="G40:G45" si="23">(F40-$B$16)/$B$15</f>
        <v>-0.65506746914963632</v>
      </c>
      <c r="H40" s="27">
        <f t="shared" ref="H40:H45" si="24">10^G40</f>
        <v>0.22127509243940013</v>
      </c>
      <c r="I40" s="41">
        <v>16</v>
      </c>
      <c r="J40" s="42">
        <f t="shared" ref="J40:J45" si="25">H40*I40</f>
        <v>3.5404014790304021</v>
      </c>
      <c r="K40" s="30">
        <f>(0.1*J40/1000)*1000</f>
        <v>0.35404014790304023</v>
      </c>
      <c r="L40" s="43">
        <f>K40*100/L22</f>
        <v>2.520934807031753</v>
      </c>
      <c r="M40" s="30">
        <f>AVERAGE(L40:L42)</f>
        <v>3.961790877382414</v>
      </c>
      <c r="N40" s="44">
        <f>STDEV(L40:L42)</f>
        <v>1.3273513185063968</v>
      </c>
      <c r="R40"/>
      <c r="S40"/>
      <c r="T40"/>
      <c r="U40"/>
    </row>
    <row r="41" spans="1:21" ht="15" x14ac:dyDescent="0.3">
      <c r="B41" s="74">
        <v>0.14399999999999999</v>
      </c>
      <c r="C41" s="74">
        <v>0.14899999999999999</v>
      </c>
      <c r="D41" s="27">
        <f t="shared" si="20"/>
        <v>0.14649999999999999</v>
      </c>
      <c r="E41" s="27">
        <f t="shared" si="21"/>
        <v>7.149999999999998E-2</v>
      </c>
      <c r="F41" s="27">
        <f t="shared" si="22"/>
        <v>-1.1456939581989196</v>
      </c>
      <c r="G41" s="28">
        <f t="shared" si="23"/>
        <v>-0.43845651576547795</v>
      </c>
      <c r="H41" s="27">
        <f t="shared" si="24"/>
        <v>0.36437073128066993</v>
      </c>
      <c r="I41" s="41">
        <v>16</v>
      </c>
      <c r="J41" s="42">
        <f t="shared" si="25"/>
        <v>5.829931700490719</v>
      </c>
      <c r="K41" s="30">
        <f t="shared" ref="K41:K45" si="26">(0.1*J41/1000)*1000</f>
        <v>0.58299317004907192</v>
      </c>
      <c r="L41" s="43">
        <f t="shared" ref="L41:L45" si="27">K41*100/L23</f>
        <v>5.1347803571604773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4">
        <v>0.13100000000000001</v>
      </c>
      <c r="C42" s="74">
        <v>0.14599999999999999</v>
      </c>
      <c r="D42" s="27">
        <f t="shared" si="20"/>
        <v>0.13850000000000001</v>
      </c>
      <c r="E42" s="27">
        <f t="shared" si="21"/>
        <v>6.3500000000000001E-2</v>
      </c>
      <c r="F42" s="27">
        <f t="shared" si="22"/>
        <v>-1.1972262747080242</v>
      </c>
      <c r="G42" s="28">
        <f t="shared" si="23"/>
        <v>-0.48900255007114052</v>
      </c>
      <c r="H42" s="27">
        <f t="shared" si="24"/>
        <v>0.32433771291191293</v>
      </c>
      <c r="I42" s="41">
        <v>16</v>
      </c>
      <c r="J42" s="42">
        <f t="shared" si="25"/>
        <v>5.1894034065906069</v>
      </c>
      <c r="K42" s="30">
        <f t="shared" si="26"/>
        <v>0.51894034065906069</v>
      </c>
      <c r="L42" s="43">
        <f t="shared" si="27"/>
        <v>4.2296574679550112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4">
        <v>0.248</v>
      </c>
      <c r="C43" s="74">
        <v>0.26200000000000001</v>
      </c>
      <c r="D43" s="27">
        <f t="shared" si="20"/>
        <v>0.255</v>
      </c>
      <c r="E43" s="27">
        <f t="shared" si="21"/>
        <v>0.18</v>
      </c>
      <c r="F43" s="27">
        <f t="shared" si="22"/>
        <v>-0.74472749489669399</v>
      </c>
      <c r="G43" s="28">
        <f t="shared" si="23"/>
        <v>-4.5164190047620352E-2</v>
      </c>
      <c r="H43" s="27">
        <f t="shared" si="24"/>
        <v>0.90123035264167306</v>
      </c>
      <c r="I43" s="41">
        <v>16</v>
      </c>
      <c r="J43" s="42">
        <f t="shared" si="25"/>
        <v>14.419685642266769</v>
      </c>
      <c r="K43" s="30">
        <f t="shared" si="26"/>
        <v>1.4419685642266771</v>
      </c>
      <c r="L43" s="43">
        <f t="shared" si="27"/>
        <v>10.863455137725266</v>
      </c>
      <c r="M43" s="30">
        <f>AVERAGE(L43:L45)</f>
        <v>12.848793733954844</v>
      </c>
      <c r="N43" s="44">
        <f>STDEV(L43:L45)</f>
        <v>3.4739828364990695</v>
      </c>
      <c r="R43"/>
      <c r="S43"/>
      <c r="T43"/>
      <c r="U43"/>
    </row>
    <row r="44" spans="1:21" ht="15" x14ac:dyDescent="0.3">
      <c r="A44" s="45"/>
      <c r="B44" s="74">
        <v>0.23699999999999999</v>
      </c>
      <c r="C44" s="74">
        <v>0.24099999999999999</v>
      </c>
      <c r="D44" s="27">
        <f t="shared" si="20"/>
        <v>0.23899999999999999</v>
      </c>
      <c r="E44" s="27">
        <f t="shared" si="21"/>
        <v>0.16399999999999998</v>
      </c>
      <c r="F44" s="27">
        <f t="shared" si="22"/>
        <v>-0.78515615195230215</v>
      </c>
      <c r="G44" s="28">
        <f t="shared" si="23"/>
        <v>-8.4819078958030508E-2</v>
      </c>
      <c r="H44" s="27">
        <f t="shared" si="24"/>
        <v>0.82258525615867362</v>
      </c>
      <c r="I44" s="41">
        <v>16</v>
      </c>
      <c r="J44" s="42">
        <f t="shared" si="25"/>
        <v>13.161364098538778</v>
      </c>
      <c r="K44" s="30">
        <f t="shared" si="26"/>
        <v>1.3161364098538779</v>
      </c>
      <c r="L44" s="43">
        <f t="shared" si="27"/>
        <v>10.822791181399047</v>
      </c>
      <c r="M44" s="30"/>
      <c r="N44" s="44"/>
      <c r="R44"/>
      <c r="S44"/>
      <c r="T44"/>
      <c r="U44"/>
    </row>
    <row r="45" spans="1:21" ht="15" x14ac:dyDescent="0.3">
      <c r="A45" s="46"/>
      <c r="B45" s="74">
        <v>0.318</v>
      </c>
      <c r="C45" s="74">
        <v>0.311</v>
      </c>
      <c r="D45" s="27">
        <f t="shared" si="20"/>
        <v>0.3145</v>
      </c>
      <c r="E45" s="27">
        <f t="shared" si="21"/>
        <v>0.23949999999999999</v>
      </c>
      <c r="F45" s="27">
        <f t="shared" si="22"/>
        <v>-0.62069448224941803</v>
      </c>
      <c r="G45" s="28">
        <f t="shared" si="23"/>
        <v>7.6494942260088628E-2</v>
      </c>
      <c r="H45" s="27">
        <f t="shared" si="24"/>
        <v>1.192600376898215</v>
      </c>
      <c r="I45" s="41">
        <v>16</v>
      </c>
      <c r="J45" s="42">
        <f t="shared" si="25"/>
        <v>19.081606030371439</v>
      </c>
      <c r="K45" s="30">
        <f t="shared" si="26"/>
        <v>1.9081606030371441</v>
      </c>
      <c r="L45" s="43">
        <f t="shared" si="27"/>
        <v>16.860134882740223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5">
        <v>0.154</v>
      </c>
      <c r="C50" s="75">
        <v>0.158</v>
      </c>
      <c r="D50" s="27">
        <f t="shared" ref="D50:D52" si="28">AVERAGE(B50,C50)</f>
        <v>0.156</v>
      </c>
      <c r="E50" s="27">
        <f t="shared" ref="E50:E55" si="29">D50-E$8</f>
        <v>8.0999999999999989E-2</v>
      </c>
      <c r="F50" s="27">
        <f t="shared" ref="F50:F55" si="30">LOG(E50)</f>
        <v>-1.0915149811213503</v>
      </c>
      <c r="G50" s="28">
        <f t="shared" ref="G50:G55" si="31">(F50-$B$16)/$B$15</f>
        <v>-0.38531447559492416</v>
      </c>
      <c r="H50" s="27">
        <f t="shared" ref="H50:H55" si="32">10^G50</f>
        <v>0.41179922448610456</v>
      </c>
      <c r="I50" s="41">
        <v>16</v>
      </c>
      <c r="J50" s="42">
        <f t="shared" ref="J50:J55" si="33">H50*I50</f>
        <v>6.588787591777673</v>
      </c>
      <c r="K50" s="30">
        <f>(0.1*J50/1000)*1000</f>
        <v>0.65887875917776739</v>
      </c>
      <c r="L50" s="43">
        <f t="shared" ref="L50:L55" si="34">K50*100/L31</f>
        <v>4.8128602630472761</v>
      </c>
      <c r="M50" s="30">
        <f>AVERAGE(L50:L52)</f>
        <v>4.9571218990850738</v>
      </c>
      <c r="N50" s="44">
        <f>STDEV(L50:L52)</f>
        <v>1.1319582416064302</v>
      </c>
      <c r="O50" s="48">
        <f>L50/L40</f>
        <v>1.9091569720972379</v>
      </c>
      <c r="P50" s="30">
        <f>AVERAGE(O50:O52)</f>
        <v>1.3435878913031665</v>
      </c>
      <c r="Q50" s="44">
        <f>STDEV(O50:O52)</f>
        <v>0.5087982517991898</v>
      </c>
      <c r="S50"/>
      <c r="T50"/>
    </row>
    <row r="51" spans="1:25" ht="15" x14ac:dyDescent="0.3">
      <c r="B51" s="75">
        <v>0.157</v>
      </c>
      <c r="C51" s="75">
        <v>0.156</v>
      </c>
      <c r="D51" s="27">
        <f t="shared" si="28"/>
        <v>0.1565</v>
      </c>
      <c r="E51" s="27">
        <f t="shared" si="29"/>
        <v>8.1499999999999989E-2</v>
      </c>
      <c r="F51" s="27">
        <f t="shared" si="30"/>
        <v>-1.0888423912600234</v>
      </c>
      <c r="G51" s="28">
        <f t="shared" si="31"/>
        <v>-0.38269303670052229</v>
      </c>
      <c r="H51" s="27">
        <f t="shared" si="32"/>
        <v>0.41429239700169118</v>
      </c>
      <c r="I51" s="41">
        <v>16</v>
      </c>
      <c r="J51" s="42">
        <f t="shared" si="33"/>
        <v>6.6286783520270589</v>
      </c>
      <c r="K51" s="30">
        <f t="shared" ref="K51:K55" si="35">(0.1*J51/1000)*1000</f>
        <v>0.66286783520270598</v>
      </c>
      <c r="L51" s="43">
        <f t="shared" si="34"/>
        <v>6.1542953367484463</v>
      </c>
      <c r="M51" s="30"/>
      <c r="N51" s="44"/>
      <c r="O51" s="2">
        <f>L51/L41</f>
        <v>1.1985508451527533</v>
      </c>
      <c r="P51" s="30"/>
      <c r="Q51" s="44"/>
      <c r="S51"/>
      <c r="T51"/>
    </row>
    <row r="52" spans="1:25" ht="15" x14ac:dyDescent="0.3">
      <c r="B52" s="75">
        <v>0.13300000000000001</v>
      </c>
      <c r="C52" s="75">
        <v>0.129</v>
      </c>
      <c r="D52" s="27">
        <f t="shared" si="28"/>
        <v>0.13100000000000001</v>
      </c>
      <c r="E52" s="27">
        <f t="shared" si="29"/>
        <v>5.5999999999999994E-2</v>
      </c>
      <c r="F52" s="27">
        <f t="shared" si="30"/>
        <v>-1.2518119729937995</v>
      </c>
      <c r="G52" s="28">
        <f t="shared" si="31"/>
        <v>-0.54254352717167276</v>
      </c>
      <c r="H52" s="27">
        <f t="shared" si="32"/>
        <v>0.28671899970151526</v>
      </c>
      <c r="I52" s="41">
        <v>16</v>
      </c>
      <c r="J52" s="42">
        <f t="shared" si="33"/>
        <v>4.5875039952242442</v>
      </c>
      <c r="K52" s="30">
        <f t="shared" si="35"/>
        <v>0.45875039952242447</v>
      </c>
      <c r="L52" s="43">
        <f t="shared" si="34"/>
        <v>3.9042100974594982</v>
      </c>
      <c r="M52" s="30"/>
      <c r="N52" s="44"/>
      <c r="O52" s="2">
        <f t="shared" ref="O52:O55" si="36">L52/L42</f>
        <v>0.92305585665950796</v>
      </c>
      <c r="P52" s="30"/>
      <c r="Q52" s="44"/>
      <c r="S52"/>
      <c r="T52"/>
    </row>
    <row r="53" spans="1:25" ht="15" x14ac:dyDescent="0.3">
      <c r="A53" s="1" t="s">
        <v>26</v>
      </c>
      <c r="B53" s="75">
        <v>0.27700000000000002</v>
      </c>
      <c r="C53" s="75">
        <v>0.27300000000000002</v>
      </c>
      <c r="D53" s="27">
        <f>AVERAGE(B53:C53)</f>
        <v>0.27500000000000002</v>
      </c>
      <c r="E53" s="27">
        <f t="shared" si="29"/>
        <v>0.2</v>
      </c>
      <c r="F53" s="27">
        <f t="shared" si="30"/>
        <v>-0.69897000433601875</v>
      </c>
      <c r="G53" s="28">
        <f t="shared" si="31"/>
        <v>-2.8245671408599362E-4</v>
      </c>
      <c r="H53" s="27">
        <f t="shared" si="32"/>
        <v>0.99934983083236073</v>
      </c>
      <c r="I53" s="41">
        <v>16</v>
      </c>
      <c r="J53" s="42">
        <f t="shared" si="33"/>
        <v>15.989597293317772</v>
      </c>
      <c r="K53" s="30">
        <f t="shared" si="35"/>
        <v>1.5989597293317772</v>
      </c>
      <c r="L53" s="43">
        <f t="shared" si="34"/>
        <v>13.514311116991916</v>
      </c>
      <c r="M53" s="30">
        <f>AVERAGE(L53:L55)</f>
        <v>14.31535427361383</v>
      </c>
      <c r="N53" s="44">
        <f>STDEV(L53:L55)</f>
        <v>0.8224662140250526</v>
      </c>
      <c r="O53" s="2">
        <f>L53/L43</f>
        <v>1.244015918108879</v>
      </c>
      <c r="P53" s="30">
        <f>AVERAGE(O53:O55)</f>
        <v>1.1539768484552828</v>
      </c>
      <c r="Q53" s="44">
        <f>STDEV(O53:O55)</f>
        <v>0.22394579424631106</v>
      </c>
      <c r="S53"/>
      <c r="T53"/>
    </row>
    <row r="54" spans="1:25" ht="15" x14ac:dyDescent="0.3">
      <c r="A54" s="45"/>
      <c r="B54" s="75">
        <v>0.26400000000000001</v>
      </c>
      <c r="C54" s="75">
        <v>0.27300000000000002</v>
      </c>
      <c r="D54" s="27">
        <f>AVERAGE(B54:C54)</f>
        <v>0.26850000000000002</v>
      </c>
      <c r="E54" s="27">
        <f t="shared" si="29"/>
        <v>0.19350000000000001</v>
      </c>
      <c r="F54" s="27">
        <f t="shared" si="30"/>
        <v>-0.71331903064506974</v>
      </c>
      <c r="G54" s="28">
        <f t="shared" si="31"/>
        <v>-1.4356855561302668E-2</v>
      </c>
      <c r="H54" s="27">
        <f t="shared" si="32"/>
        <v>0.96748255853207432</v>
      </c>
      <c r="I54" s="41">
        <v>16</v>
      </c>
      <c r="J54" s="42">
        <f t="shared" si="33"/>
        <v>15.479720936513189</v>
      </c>
      <c r="K54" s="30">
        <f t="shared" si="35"/>
        <v>1.547972093651319</v>
      </c>
      <c r="L54" s="43">
        <f t="shared" si="34"/>
        <v>14.274063596396941</v>
      </c>
      <c r="M54" s="30"/>
      <c r="N54" s="44"/>
      <c r="O54" s="2">
        <f t="shared" si="36"/>
        <v>1.3188893102667949</v>
      </c>
      <c r="P54" s="30"/>
      <c r="Q54" s="44"/>
      <c r="S54"/>
      <c r="T54"/>
    </row>
    <row r="55" spans="1:25" ht="15" x14ac:dyDescent="0.3">
      <c r="A55" s="46"/>
      <c r="B55" s="75">
        <v>0.254</v>
      </c>
      <c r="C55" s="75">
        <v>0.252</v>
      </c>
      <c r="D55" s="27">
        <f>AVERAGE(B55:C55)</f>
        <v>0.253</v>
      </c>
      <c r="E55" s="27">
        <f t="shared" si="29"/>
        <v>0.17799999999999999</v>
      </c>
      <c r="F55" s="27">
        <f t="shared" si="30"/>
        <v>-0.74957999769110606</v>
      </c>
      <c r="G55" s="28">
        <f t="shared" si="31"/>
        <v>-4.9923820301605568E-2</v>
      </c>
      <c r="H55" s="27">
        <f t="shared" si="32"/>
        <v>0.89140728638498379</v>
      </c>
      <c r="I55" s="41">
        <v>16</v>
      </c>
      <c r="J55" s="42">
        <f t="shared" si="33"/>
        <v>14.262516582159741</v>
      </c>
      <c r="K55" s="30">
        <f t="shared" si="35"/>
        <v>1.4262516582159741</v>
      </c>
      <c r="L55" s="43">
        <f t="shared" si="34"/>
        <v>15.157688107452634</v>
      </c>
      <c r="M55" s="30"/>
      <c r="N55" s="44"/>
      <c r="O55" s="2">
        <f t="shared" si="36"/>
        <v>0.89902531699017485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B57" s="30"/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1.3435878913031665</v>
      </c>
      <c r="O58" s="30">
        <f>Q50</f>
        <v>0.5087982517991898</v>
      </c>
    </row>
    <row r="59" spans="1:25" ht="15" x14ac:dyDescent="0.3">
      <c r="D59"/>
      <c r="E59"/>
      <c r="G59"/>
      <c r="M59" s="2" t="s">
        <v>26</v>
      </c>
      <c r="N59" s="30">
        <f>P53</f>
        <v>1.1539768484552828</v>
      </c>
      <c r="O59" s="30">
        <f>Q53</f>
        <v>0.22394579424631106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3.961790877382414</v>
      </c>
      <c r="C65" s="30">
        <f>N40</f>
        <v>1.3273513185063968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4.9571218990850738</v>
      </c>
      <c r="C66" s="30">
        <f>N50</f>
        <v>1.1319582416064302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12.848793733954844</v>
      </c>
      <c r="C67" s="30">
        <f>N43</f>
        <v>3.4739828364990695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14.31535427361383</v>
      </c>
      <c r="C68" s="30">
        <f>N53</f>
        <v>0.8224662140250526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siNTP</vt:lpstr>
      <vt:lpstr>siPRC1</vt:lpstr>
      <vt:lpstr>siGCK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2016-05-13T14:34:36Z</dcterms:modified>
</cp:coreProperties>
</file>