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ils\csalazar\Documents\drop-good\projet endoCBH1\siRNA série 1\PRC1 + C2CD4A + CDKN2A\Manip 2016-06-28 FatouClara\"/>
    </mc:Choice>
  </mc:AlternateContent>
  <bookViews>
    <workbookView xWindow="0" yWindow="0" windowWidth="25200" windowHeight="11985"/>
  </bookViews>
  <sheets>
    <sheet name="siNTP" sheetId="1" r:id="rId1"/>
    <sheet name="siTCF19" sheetId="9" r:id="rId2"/>
    <sheet name="siSRR" sheetId="8" r:id="rId3"/>
  </sheets>
  <definedNames>
    <definedName name="_xlnm.Print_Area" localSheetId="0">siNTP!$A$1:$Q$83</definedName>
  </definedNames>
  <calcPr calcId="152511"/>
</workbook>
</file>

<file path=xl/calcChain.xml><?xml version="1.0" encoding="utf-8"?>
<calcChain xmlns="http://schemas.openxmlformats.org/spreadsheetml/2006/main">
  <c r="D51" i="1" l="1"/>
  <c r="D52" i="1"/>
  <c r="D53" i="1"/>
  <c r="D54" i="1"/>
  <c r="D55" i="1"/>
  <c r="D50" i="1"/>
  <c r="D41" i="1"/>
  <c r="D42" i="1"/>
  <c r="D43" i="1"/>
  <c r="D44" i="1"/>
  <c r="D45" i="1"/>
  <c r="D40" i="1"/>
  <c r="D32" i="1"/>
  <c r="D33" i="1"/>
  <c r="D34" i="1"/>
  <c r="D35" i="1"/>
  <c r="D36" i="1"/>
  <c r="D31" i="1"/>
  <c r="D23" i="1"/>
  <c r="D24" i="1"/>
  <c r="D25" i="1"/>
  <c r="D26" i="1"/>
  <c r="D27" i="1"/>
  <c r="D22" i="1"/>
  <c r="D51" i="9"/>
  <c r="D52" i="9"/>
  <c r="D53" i="9"/>
  <c r="D54" i="9"/>
  <c r="D55" i="9"/>
  <c r="D50" i="9"/>
  <c r="D41" i="9"/>
  <c r="D42" i="9"/>
  <c r="D43" i="9"/>
  <c r="D44" i="9"/>
  <c r="D45" i="9"/>
  <c r="D40" i="9"/>
  <c r="D32" i="9"/>
  <c r="D33" i="9"/>
  <c r="D34" i="9"/>
  <c r="D35" i="9"/>
  <c r="D36" i="9"/>
  <c r="D31" i="9"/>
  <c r="D51" i="8"/>
  <c r="D23" i="9"/>
  <c r="D24" i="9"/>
  <c r="D25" i="9"/>
  <c r="D26" i="9"/>
  <c r="D27" i="9"/>
  <c r="D22" i="9"/>
  <c r="D52" i="8"/>
  <c r="D53" i="8"/>
  <c r="D54" i="8"/>
  <c r="D55" i="8"/>
  <c r="D50" i="8"/>
  <c r="D41" i="8"/>
  <c r="D42" i="8"/>
  <c r="D43" i="8"/>
  <c r="D44" i="8"/>
  <c r="D45" i="8"/>
  <c r="D40" i="8"/>
  <c r="D32" i="8"/>
  <c r="D33" i="8"/>
  <c r="D34" i="8"/>
  <c r="D35" i="8"/>
  <c r="D36" i="8"/>
  <c r="D31" i="8"/>
  <c r="D23" i="8"/>
  <c r="D24" i="8"/>
  <c r="D25" i="8"/>
  <c r="D26" i="8"/>
  <c r="D27" i="8"/>
  <c r="D22" i="8"/>
  <c r="E8" i="1"/>
  <c r="E51" i="9"/>
  <c r="F51" i="9" s="1"/>
  <c r="E34" i="9"/>
  <c r="F34" i="9" s="1"/>
  <c r="E24" i="9"/>
  <c r="F24" i="9" s="1"/>
  <c r="G13" i="9"/>
  <c r="E13" i="9"/>
  <c r="B13" i="9"/>
  <c r="E12" i="9"/>
  <c r="B12" i="9"/>
  <c r="G12" i="9" s="1"/>
  <c r="E11" i="9"/>
  <c r="B11" i="9"/>
  <c r="G11" i="9" s="1"/>
  <c r="F10" i="9"/>
  <c r="H10" i="9" s="1"/>
  <c r="E10" i="9"/>
  <c r="B10" i="9"/>
  <c r="G10" i="9" s="1"/>
  <c r="G9" i="9"/>
  <c r="F9" i="9"/>
  <c r="H9" i="9" s="1"/>
  <c r="E9" i="9"/>
  <c r="B9" i="9"/>
  <c r="E8" i="9"/>
  <c r="E42" i="9" l="1"/>
  <c r="F42" i="9" s="1"/>
  <c r="E27" i="9"/>
  <c r="F27" i="9" s="1"/>
  <c r="E50" i="9"/>
  <c r="F50" i="9" s="1"/>
  <c r="F12" i="9"/>
  <c r="H12" i="9" s="1"/>
  <c r="E25" i="9"/>
  <c r="F25" i="9" s="1"/>
  <c r="E31" i="9"/>
  <c r="F31" i="9" s="1"/>
  <c r="E35" i="9"/>
  <c r="F35" i="9" s="1"/>
  <c r="E52" i="9"/>
  <c r="F52" i="9" s="1"/>
  <c r="E43" i="9"/>
  <c r="F43" i="9" s="1"/>
  <c r="E22" i="9"/>
  <c r="F22" i="9" s="1"/>
  <c r="E26" i="9"/>
  <c r="F26" i="9" s="1"/>
  <c r="E33" i="9"/>
  <c r="F33" i="9" s="1"/>
  <c r="E40" i="9"/>
  <c r="F40" i="9" s="1"/>
  <c r="E41" i="9"/>
  <c r="F41" i="9" s="1"/>
  <c r="E45" i="9"/>
  <c r="F45" i="9" s="1"/>
  <c r="E55" i="9"/>
  <c r="F55" i="9" s="1"/>
  <c r="F11" i="9"/>
  <c r="H11" i="9" s="1"/>
  <c r="B15" i="9" s="1"/>
  <c r="F13" i="9"/>
  <c r="H13" i="9" s="1"/>
  <c r="E23" i="9"/>
  <c r="F23" i="9" s="1"/>
  <c r="E32" i="9"/>
  <c r="F32" i="9" s="1"/>
  <c r="E36" i="9"/>
  <c r="F36" i="9" s="1"/>
  <c r="E44" i="9"/>
  <c r="F44" i="9" s="1"/>
  <c r="E53" i="9"/>
  <c r="F53" i="9" s="1"/>
  <c r="E54" i="9"/>
  <c r="F54" i="9" s="1"/>
  <c r="B16" i="9" l="1"/>
  <c r="G36" i="9" s="1"/>
  <c r="H36" i="9" s="1"/>
  <c r="J36" i="9" s="1"/>
  <c r="K36" i="9" s="1"/>
  <c r="B10" i="8"/>
  <c r="B13" i="1"/>
  <c r="B11" i="1"/>
  <c r="B9" i="1"/>
  <c r="G53" i="9" l="1"/>
  <c r="H53" i="9" s="1"/>
  <c r="J53" i="9" s="1"/>
  <c r="K53" i="9" s="1"/>
  <c r="G23" i="9"/>
  <c r="H23" i="9" s="1"/>
  <c r="J23" i="9" s="1"/>
  <c r="K23" i="9" s="1"/>
  <c r="G26" i="9"/>
  <c r="H26" i="9" s="1"/>
  <c r="J26" i="9" s="1"/>
  <c r="K26" i="9" s="1"/>
  <c r="G25" i="9"/>
  <c r="H25" i="9" s="1"/>
  <c r="J25" i="9" s="1"/>
  <c r="K25" i="9" s="1"/>
  <c r="G27" i="9"/>
  <c r="H27" i="9" s="1"/>
  <c r="J27" i="9" s="1"/>
  <c r="K27" i="9" s="1"/>
  <c r="G54" i="9"/>
  <c r="H54" i="9" s="1"/>
  <c r="J54" i="9" s="1"/>
  <c r="K54" i="9" s="1"/>
  <c r="G40" i="9"/>
  <c r="H40" i="9" s="1"/>
  <c r="J40" i="9" s="1"/>
  <c r="K40" i="9" s="1"/>
  <c r="G24" i="9"/>
  <c r="H24" i="9" s="1"/>
  <c r="J24" i="9" s="1"/>
  <c r="K24" i="9" s="1"/>
  <c r="G51" i="9"/>
  <c r="H51" i="9" s="1"/>
  <c r="J51" i="9" s="1"/>
  <c r="K51" i="9" s="1"/>
  <c r="G34" i="9"/>
  <c r="H34" i="9" s="1"/>
  <c r="J34" i="9" s="1"/>
  <c r="K34" i="9" s="1"/>
  <c r="G52" i="9"/>
  <c r="H52" i="9" s="1"/>
  <c r="J52" i="9" s="1"/>
  <c r="K52" i="9" s="1"/>
  <c r="G31" i="9"/>
  <c r="H31" i="9" s="1"/>
  <c r="J31" i="9" s="1"/>
  <c r="K31" i="9" s="1"/>
  <c r="G42" i="9"/>
  <c r="H42" i="9" s="1"/>
  <c r="J42" i="9" s="1"/>
  <c r="K42" i="9" s="1"/>
  <c r="G45" i="9"/>
  <c r="H45" i="9" s="1"/>
  <c r="J45" i="9" s="1"/>
  <c r="K45" i="9" s="1"/>
  <c r="G43" i="9"/>
  <c r="H43" i="9" s="1"/>
  <c r="J43" i="9" s="1"/>
  <c r="K43" i="9" s="1"/>
  <c r="G33" i="9"/>
  <c r="H33" i="9" s="1"/>
  <c r="J33" i="9" s="1"/>
  <c r="K33" i="9" s="1"/>
  <c r="G22" i="9"/>
  <c r="H22" i="9" s="1"/>
  <c r="J22" i="9" s="1"/>
  <c r="K22" i="9" s="1"/>
  <c r="G32" i="9"/>
  <c r="H32" i="9" s="1"/>
  <c r="J32" i="9" s="1"/>
  <c r="K32" i="9" s="1"/>
  <c r="G41" i="9"/>
  <c r="H41" i="9" s="1"/>
  <c r="J41" i="9" s="1"/>
  <c r="K41" i="9" s="1"/>
  <c r="G55" i="9"/>
  <c r="H55" i="9" s="1"/>
  <c r="J55" i="9" s="1"/>
  <c r="K55" i="9" s="1"/>
  <c r="G50" i="9"/>
  <c r="H50" i="9" s="1"/>
  <c r="J50" i="9" s="1"/>
  <c r="K50" i="9" s="1"/>
  <c r="G44" i="9"/>
  <c r="H44" i="9" s="1"/>
  <c r="J44" i="9" s="1"/>
  <c r="K44" i="9" s="1"/>
  <c r="G35" i="9"/>
  <c r="H35" i="9" s="1"/>
  <c r="J35" i="9" s="1"/>
  <c r="K35" i="9" s="1"/>
  <c r="B12" i="8"/>
  <c r="B9" i="8"/>
  <c r="B11" i="8"/>
  <c r="B13" i="8"/>
  <c r="B10" i="1"/>
  <c r="B12" i="1"/>
  <c r="L32" i="9" l="1"/>
  <c r="M32" i="9" s="1"/>
  <c r="L23" i="9"/>
  <c r="M23" i="9" s="1"/>
  <c r="L35" i="9"/>
  <c r="M35" i="9" s="1"/>
  <c r="L25" i="9"/>
  <c r="M25" i="9" s="1"/>
  <c r="L26" i="9"/>
  <c r="M26" i="9" s="1"/>
  <c r="L22" i="9"/>
  <c r="L51" i="9"/>
  <c r="L27" i="9"/>
  <c r="M27" i="9" s="1"/>
  <c r="L34" i="9"/>
  <c r="M34" i="9" s="1"/>
  <c r="L33" i="9"/>
  <c r="M33" i="9" s="1"/>
  <c r="L31" i="9"/>
  <c r="M31" i="9" s="1"/>
  <c r="L24" i="9"/>
  <c r="M24" i="9" s="1"/>
  <c r="L36" i="9"/>
  <c r="M36" i="9" s="1"/>
  <c r="L54" i="9" l="1"/>
  <c r="L41" i="9"/>
  <c r="N40" i="9" s="1"/>
  <c r="C65" i="9" s="1"/>
  <c r="L50" i="9"/>
  <c r="L45" i="9"/>
  <c r="L44" i="9"/>
  <c r="L52" i="9"/>
  <c r="N50" i="9" s="1"/>
  <c r="C66" i="9" s="1"/>
  <c r="L55" i="9"/>
  <c r="L53" i="9"/>
  <c r="M22" i="9"/>
  <c r="L40" i="9"/>
  <c r="L43" i="9"/>
  <c r="L42" i="9"/>
  <c r="G13" i="8"/>
  <c r="E13" i="8"/>
  <c r="G12" i="8"/>
  <c r="E12" i="8"/>
  <c r="G11" i="8"/>
  <c r="E11" i="8"/>
  <c r="G10" i="8"/>
  <c r="E10" i="8"/>
  <c r="G9" i="8"/>
  <c r="E9" i="8"/>
  <c r="E8" i="8"/>
  <c r="N43" i="9" l="1"/>
  <c r="C67" i="9" s="1"/>
  <c r="N53" i="9"/>
  <c r="C68" i="9" s="1"/>
  <c r="M43" i="9"/>
  <c r="B67" i="9" s="1"/>
  <c r="M40" i="9"/>
  <c r="B65" i="9" s="1"/>
  <c r="O51" i="9"/>
  <c r="O52" i="9"/>
  <c r="M53" i="9"/>
  <c r="B68" i="9" s="1"/>
  <c r="O53" i="9"/>
  <c r="O55" i="9"/>
  <c r="O54" i="9"/>
  <c r="O50" i="9"/>
  <c r="M50" i="9"/>
  <c r="B66" i="9" s="1"/>
  <c r="F10" i="8"/>
  <c r="H10" i="8" s="1"/>
  <c r="E54" i="8"/>
  <c r="F54" i="8" s="1"/>
  <c r="E22" i="8"/>
  <c r="F22" i="8" s="1"/>
  <c r="F12" i="8"/>
  <c r="H12" i="8" s="1"/>
  <c r="E27" i="8"/>
  <c r="F27" i="8" s="1"/>
  <c r="E34" i="8"/>
  <c r="F34" i="8" s="1"/>
  <c r="E45" i="8"/>
  <c r="F45" i="8" s="1"/>
  <c r="F13" i="8"/>
  <c r="H13" i="8" s="1"/>
  <c r="E24" i="8"/>
  <c r="F24" i="8" s="1"/>
  <c r="E31" i="8"/>
  <c r="F31" i="8" s="1"/>
  <c r="E35" i="8"/>
  <c r="F35" i="8" s="1"/>
  <c r="E42" i="8"/>
  <c r="F42" i="8" s="1"/>
  <c r="E50" i="8"/>
  <c r="F50" i="8" s="1"/>
  <c r="E23" i="8"/>
  <c r="F23" i="8" s="1"/>
  <c r="E41" i="8"/>
  <c r="F41" i="8" s="1"/>
  <c r="F9" i="8"/>
  <c r="H9" i="8" s="1"/>
  <c r="F11" i="8"/>
  <c r="H11" i="8" s="1"/>
  <c r="E25" i="8"/>
  <c r="F25" i="8" s="1"/>
  <c r="E32" i="8"/>
  <c r="F32" i="8" s="1"/>
  <c r="E36" i="8"/>
  <c r="F36" i="8" s="1"/>
  <c r="E43" i="8"/>
  <c r="F43" i="8" s="1"/>
  <c r="E51" i="8"/>
  <c r="F51" i="8" s="1"/>
  <c r="E55" i="8"/>
  <c r="F55" i="8" s="1"/>
  <c r="E26" i="8"/>
  <c r="F26" i="8" s="1"/>
  <c r="E33" i="8"/>
  <c r="F33" i="8" s="1"/>
  <c r="E40" i="8"/>
  <c r="F40" i="8" s="1"/>
  <c r="E44" i="8"/>
  <c r="F44" i="8" s="1"/>
  <c r="E52" i="8"/>
  <c r="F52" i="8" s="1"/>
  <c r="E53" i="8"/>
  <c r="F53" i="8" s="1"/>
  <c r="Q53" i="9" l="1"/>
  <c r="O59" i="9" s="1"/>
  <c r="P53" i="9"/>
  <c r="N59" i="9" s="1"/>
  <c r="P50" i="9"/>
  <c r="N58" i="9" s="1"/>
  <c r="Q50" i="9"/>
  <c r="O58" i="9" s="1"/>
  <c r="B16" i="8"/>
  <c r="B15" i="8"/>
  <c r="G22" i="8" l="1"/>
  <c r="H22" i="8" s="1"/>
  <c r="J22" i="8" s="1"/>
  <c r="K22" i="8" s="1"/>
  <c r="G26" i="8"/>
  <c r="H26" i="8" s="1"/>
  <c r="G45" i="8"/>
  <c r="H45" i="8" s="1"/>
  <c r="J45" i="8" s="1"/>
  <c r="K45" i="8" s="1"/>
  <c r="G34" i="8"/>
  <c r="G44" i="8"/>
  <c r="H44" i="8" s="1"/>
  <c r="J44" i="8" s="1"/>
  <c r="K44" i="8" s="1"/>
  <c r="G25" i="8"/>
  <c r="H25" i="8" s="1"/>
  <c r="J25" i="8" s="1"/>
  <c r="K25" i="8" s="1"/>
  <c r="G43" i="8"/>
  <c r="H43" i="8" s="1"/>
  <c r="J43" i="8" s="1"/>
  <c r="K43" i="8" s="1"/>
  <c r="G36" i="8"/>
  <c r="H36" i="8" s="1"/>
  <c r="J36" i="8" s="1"/>
  <c r="K36" i="8" s="1"/>
  <c r="G40" i="8"/>
  <c r="H40" i="8" s="1"/>
  <c r="J40" i="8" s="1"/>
  <c r="K40" i="8" s="1"/>
  <c r="G24" i="8"/>
  <c r="H24" i="8" s="1"/>
  <c r="J24" i="8" s="1"/>
  <c r="K24" i="8" s="1"/>
  <c r="G42" i="8"/>
  <c r="H42" i="8" s="1"/>
  <c r="J42" i="8" s="1"/>
  <c r="K42" i="8" s="1"/>
  <c r="G23" i="8"/>
  <c r="H23" i="8" s="1"/>
  <c r="J23" i="8" s="1"/>
  <c r="K23" i="8" s="1"/>
  <c r="G52" i="8"/>
  <c r="H52" i="8" s="1"/>
  <c r="J52" i="8" s="1"/>
  <c r="K52" i="8" s="1"/>
  <c r="G32" i="8"/>
  <c r="H32" i="8" s="1"/>
  <c r="J32" i="8" s="1"/>
  <c r="K32" i="8" s="1"/>
  <c r="G55" i="8"/>
  <c r="H55" i="8" s="1"/>
  <c r="J55" i="8" s="1"/>
  <c r="K55" i="8" s="1"/>
  <c r="G41" i="8"/>
  <c r="H41" i="8" s="1"/>
  <c r="J41" i="8" s="1"/>
  <c r="K41" i="8" s="1"/>
  <c r="G54" i="8"/>
  <c r="H54" i="8" s="1"/>
  <c r="J54" i="8" s="1"/>
  <c r="K54" i="8" s="1"/>
  <c r="G35" i="8"/>
  <c r="H35" i="8" s="1"/>
  <c r="G27" i="8"/>
  <c r="H27" i="8" s="1"/>
  <c r="J27" i="8" s="1"/>
  <c r="K27" i="8" s="1"/>
  <c r="G51" i="8"/>
  <c r="H51" i="8" s="1"/>
  <c r="J51" i="8" s="1"/>
  <c r="K51" i="8" s="1"/>
  <c r="G53" i="8"/>
  <c r="H53" i="8" s="1"/>
  <c r="J53" i="8" s="1"/>
  <c r="K53" i="8" s="1"/>
  <c r="G31" i="8"/>
  <c r="H31" i="8" s="1"/>
  <c r="J31" i="8" s="1"/>
  <c r="K31" i="8" s="1"/>
  <c r="G33" i="8"/>
  <c r="H33" i="8" s="1"/>
  <c r="J33" i="8" s="1"/>
  <c r="K33" i="8" s="1"/>
  <c r="G50" i="8"/>
  <c r="H50" i="8" s="1"/>
  <c r="J50" i="8" s="1"/>
  <c r="K50" i="8" s="1"/>
  <c r="L22" i="8" l="1"/>
  <c r="M22" i="8" s="1"/>
  <c r="L23" i="8"/>
  <c r="M23" i="8" s="1"/>
  <c r="L36" i="8"/>
  <c r="M36" i="8" s="1"/>
  <c r="H34" i="8"/>
  <c r="J34" i="8" s="1"/>
  <c r="K34" i="8" s="1"/>
  <c r="L34" i="8" s="1"/>
  <c r="M34" i="8" s="1"/>
  <c r="J35" i="8"/>
  <c r="K35" i="8" s="1"/>
  <c r="L35" i="8" s="1"/>
  <c r="M35" i="8" s="1"/>
  <c r="J26" i="8"/>
  <c r="K26" i="8" s="1"/>
  <c r="L26" i="8" s="1"/>
  <c r="M26" i="8" s="1"/>
  <c r="L31" i="8"/>
  <c r="M31" i="8" s="1"/>
  <c r="L27" i="8"/>
  <c r="M27" i="8" s="1"/>
  <c r="L25" i="8"/>
  <c r="M25" i="8" s="1"/>
  <c r="L33" i="8"/>
  <c r="M33" i="8" s="1"/>
  <c r="L32" i="8"/>
  <c r="M32" i="8" s="1"/>
  <c r="L24" i="8"/>
  <c r="M24" i="8" s="1"/>
  <c r="L40" i="8" l="1"/>
  <c r="L44" i="8"/>
  <c r="N43" i="8" s="1"/>
  <c r="C67" i="8" s="1"/>
  <c r="L45" i="8"/>
  <c r="L43" i="8"/>
  <c r="L52" i="8"/>
  <c r="L53" i="8"/>
  <c r="L55" i="8"/>
  <c r="L54" i="8"/>
  <c r="L50" i="8"/>
  <c r="L51" i="8"/>
  <c r="L42" i="8"/>
  <c r="L41" i="8"/>
  <c r="N50" i="8" l="1"/>
  <c r="C66" i="8" s="1"/>
  <c r="O54" i="8"/>
  <c r="M43" i="8"/>
  <c r="B67" i="8" s="1"/>
  <c r="O55" i="8"/>
  <c r="N53" i="8"/>
  <c r="C68" i="8" s="1"/>
  <c r="M50" i="8"/>
  <c r="B66" i="8" s="1"/>
  <c r="N40" i="8"/>
  <c r="C65" i="8" s="1"/>
  <c r="O53" i="8"/>
  <c r="P53" i="8" s="1"/>
  <c r="N59" i="8" s="1"/>
  <c r="O52" i="8"/>
  <c r="O50" i="8"/>
  <c r="M40" i="8"/>
  <c r="B65" i="8" s="1"/>
  <c r="M53" i="8"/>
  <c r="B68" i="8" s="1"/>
  <c r="O51" i="8"/>
  <c r="P50" i="8" l="1"/>
  <c r="N58" i="8" s="1"/>
  <c r="Q53" i="8"/>
  <c r="O59" i="8" s="1"/>
  <c r="Q50" i="8"/>
  <c r="O58" i="8" s="1"/>
  <c r="E13" i="1"/>
  <c r="G13" i="1"/>
  <c r="E12" i="1"/>
  <c r="G12" i="1"/>
  <c r="E11" i="1"/>
  <c r="G11" i="1"/>
  <c r="E10" i="1"/>
  <c r="G10" i="1"/>
  <c r="E9" i="1"/>
  <c r="G9" i="1"/>
  <c r="E25" i="1"/>
  <c r="F25" i="1" s="1"/>
  <c r="E51" i="1" l="1"/>
  <c r="F51" i="1" s="1"/>
  <c r="E33" i="1"/>
  <c r="F33" i="1" s="1"/>
  <c r="E35" i="1"/>
  <c r="F35" i="1" s="1"/>
  <c r="E31" i="1"/>
  <c r="F31" i="1" s="1"/>
  <c r="E45" i="1"/>
  <c r="F45" i="1" s="1"/>
  <c r="E42" i="1"/>
  <c r="F42" i="1" s="1"/>
  <c r="E36" i="1"/>
  <c r="F36" i="1" s="1"/>
  <c r="E22" i="1"/>
  <c r="F22" i="1" s="1"/>
  <c r="E26" i="1"/>
  <c r="F26" i="1" s="1"/>
  <c r="E40" i="1"/>
  <c r="F40" i="1" s="1"/>
  <c r="E44" i="1"/>
  <c r="F44" i="1" s="1"/>
  <c r="F10" i="1"/>
  <c r="H10" i="1" s="1"/>
  <c r="F12" i="1"/>
  <c r="H12" i="1" s="1"/>
  <c r="E23" i="1"/>
  <c r="F23" i="1" s="1"/>
  <c r="E27" i="1"/>
  <c r="F27" i="1" s="1"/>
  <c r="E41" i="1"/>
  <c r="F41" i="1" s="1"/>
  <c r="E53" i="1"/>
  <c r="F53" i="1" s="1"/>
  <c r="E24" i="1"/>
  <c r="F24" i="1" s="1"/>
  <c r="E50" i="1"/>
  <c r="F50" i="1" s="1"/>
  <c r="F9" i="1"/>
  <c r="H9" i="1" s="1"/>
  <c r="F11" i="1"/>
  <c r="H11" i="1" s="1"/>
  <c r="F13" i="1"/>
  <c r="H13" i="1" s="1"/>
  <c r="E43" i="1"/>
  <c r="F43" i="1" s="1"/>
  <c r="E55" i="1"/>
  <c r="F55" i="1" s="1"/>
  <c r="E52" i="1"/>
  <c r="F52" i="1" s="1"/>
  <c r="E54" i="1"/>
  <c r="F54" i="1" s="1"/>
  <c r="E32" i="1"/>
  <c r="F32" i="1" s="1"/>
  <c r="E34" i="1"/>
  <c r="F34" i="1" s="1"/>
  <c r="B15" i="1" l="1"/>
  <c r="B16" i="1"/>
  <c r="G25" i="1" l="1"/>
  <c r="H25" i="1" s="1"/>
  <c r="J25" i="1" s="1"/>
  <c r="K25" i="1" s="1"/>
  <c r="G27" i="1"/>
  <c r="H27" i="1" s="1"/>
  <c r="J27" i="1" s="1"/>
  <c r="K27" i="1" s="1"/>
  <c r="G51" i="1"/>
  <c r="H51" i="1" s="1"/>
  <c r="J51" i="1" s="1"/>
  <c r="K51" i="1" s="1"/>
  <c r="G24" i="1"/>
  <c r="H24" i="1" s="1"/>
  <c r="J24" i="1" s="1"/>
  <c r="K24" i="1" s="1"/>
  <c r="G35" i="1"/>
  <c r="H35" i="1" s="1"/>
  <c r="J35" i="1" s="1"/>
  <c r="K35" i="1" s="1"/>
  <c r="G50" i="1"/>
  <c r="H50" i="1" s="1"/>
  <c r="J50" i="1" s="1"/>
  <c r="K50" i="1" s="1"/>
  <c r="G36" i="1"/>
  <c r="H36" i="1" s="1"/>
  <c r="J36" i="1" s="1"/>
  <c r="K36" i="1" s="1"/>
  <c r="G53" i="1"/>
  <c r="H53" i="1" s="1"/>
  <c r="J53" i="1" s="1"/>
  <c r="K53" i="1" s="1"/>
  <c r="G26" i="1"/>
  <c r="H26" i="1" s="1"/>
  <c r="J26" i="1" s="1"/>
  <c r="K26" i="1" s="1"/>
  <c r="G40" i="1"/>
  <c r="H40" i="1" s="1"/>
  <c r="J40" i="1" s="1"/>
  <c r="K40" i="1" s="1"/>
  <c r="G23" i="1"/>
  <c r="H23" i="1" s="1"/>
  <c r="J23" i="1" s="1"/>
  <c r="K23" i="1" s="1"/>
  <c r="G55" i="1"/>
  <c r="H55" i="1" s="1"/>
  <c r="J55" i="1" s="1"/>
  <c r="K55" i="1" s="1"/>
  <c r="G42" i="1"/>
  <c r="H42" i="1" s="1"/>
  <c r="J42" i="1" s="1"/>
  <c r="K42" i="1" s="1"/>
  <c r="G22" i="1"/>
  <c r="H22" i="1" s="1"/>
  <c r="J22" i="1" s="1"/>
  <c r="K22" i="1" s="1"/>
  <c r="G44" i="1"/>
  <c r="H44" i="1" s="1"/>
  <c r="J44" i="1" s="1"/>
  <c r="K44" i="1" s="1"/>
  <c r="G31" i="1"/>
  <c r="H31" i="1" s="1"/>
  <c r="J31" i="1" s="1"/>
  <c r="K31" i="1" s="1"/>
  <c r="G34" i="1"/>
  <c r="H34" i="1" s="1"/>
  <c r="J34" i="1" s="1"/>
  <c r="K34" i="1" s="1"/>
  <c r="G32" i="1"/>
  <c r="H32" i="1" s="1"/>
  <c r="J32" i="1" s="1"/>
  <c r="K32" i="1" s="1"/>
  <c r="G33" i="1"/>
  <c r="H33" i="1" s="1"/>
  <c r="J33" i="1" s="1"/>
  <c r="K33" i="1" s="1"/>
  <c r="G54" i="1"/>
  <c r="H54" i="1" s="1"/>
  <c r="J54" i="1" s="1"/>
  <c r="K54" i="1" s="1"/>
  <c r="G43" i="1"/>
  <c r="H43" i="1" s="1"/>
  <c r="J43" i="1" s="1"/>
  <c r="K43" i="1" s="1"/>
  <c r="G52" i="1"/>
  <c r="H52" i="1" s="1"/>
  <c r="J52" i="1" s="1"/>
  <c r="K52" i="1" s="1"/>
  <c r="G41" i="1"/>
  <c r="H41" i="1" s="1"/>
  <c r="J41" i="1" s="1"/>
  <c r="K41" i="1" s="1"/>
  <c r="G45" i="1"/>
  <c r="H45" i="1" s="1"/>
  <c r="J45" i="1" s="1"/>
  <c r="K45" i="1" s="1"/>
  <c r="L25" i="1" l="1"/>
  <c r="L43" i="1" s="1"/>
  <c r="L31" i="1"/>
  <c r="M31" i="1" s="1"/>
  <c r="L22" i="1"/>
  <c r="L33" i="1"/>
  <c r="M33" i="1" s="1"/>
  <c r="L32" i="1"/>
  <c r="M32" i="1" s="1"/>
  <c r="L24" i="1"/>
  <c r="L23" i="1"/>
  <c r="L26" i="1"/>
  <c r="L35" i="1"/>
  <c r="L54" i="1" s="1"/>
  <c r="L36" i="1"/>
  <c r="M36" i="1" s="1"/>
  <c r="L34" i="1"/>
  <c r="M34" i="1" s="1"/>
  <c r="L27" i="1"/>
  <c r="M27" i="1" s="1"/>
  <c r="M25" i="1" l="1"/>
  <c r="M24" i="1"/>
  <c r="L42" i="1"/>
  <c r="L51" i="1"/>
  <c r="M26" i="1"/>
  <c r="L44" i="1"/>
  <c r="M22" i="1"/>
  <c r="L40" i="1"/>
  <c r="L50" i="1"/>
  <c r="L52" i="1"/>
  <c r="L55" i="1"/>
  <c r="L53" i="1"/>
  <c r="M23" i="1"/>
  <c r="L41" i="1"/>
  <c r="M35" i="1"/>
  <c r="L45" i="1"/>
  <c r="N40" i="1" l="1"/>
  <c r="C65" i="1" s="1"/>
  <c r="M40" i="1"/>
  <c r="B65" i="1" s="1"/>
  <c r="N53" i="1"/>
  <c r="C68" i="1" s="1"/>
  <c r="M53" i="1"/>
  <c r="B68" i="1" s="1"/>
  <c r="N43" i="1"/>
  <c r="C67" i="1" s="1"/>
  <c r="M43" i="1"/>
  <c r="B67" i="1" s="1"/>
  <c r="M50" i="1"/>
  <c r="B66" i="1" s="1"/>
  <c r="N50" i="1"/>
  <c r="C66" i="1" s="1"/>
  <c r="O53" i="1"/>
  <c r="O50" i="1"/>
  <c r="O52" i="1"/>
  <c r="O54" i="1"/>
  <c r="O55" i="1"/>
  <c r="O51" i="1"/>
  <c r="P53" i="1" l="1"/>
  <c r="N59" i="1" s="1"/>
  <c r="P50" i="1"/>
  <c r="N58" i="1" s="1"/>
  <c r="Q50" i="1"/>
  <c r="O58" i="1" s="1"/>
  <c r="Q53" i="1"/>
  <c r="O59" i="1" s="1"/>
</calcChain>
</file>

<file path=xl/sharedStrings.xml><?xml version="1.0" encoding="utf-8"?>
<sst xmlns="http://schemas.openxmlformats.org/spreadsheetml/2006/main" count="299" uniqueCount="46">
  <si>
    <t>Date</t>
  </si>
  <si>
    <t>passage</t>
  </si>
  <si>
    <t>operateur</t>
  </si>
  <si>
    <t>mU/L</t>
    <phoneticPr fontId="0" type="noConversion"/>
  </si>
  <si>
    <t>Calibrator µg/L</t>
  </si>
  <si>
    <t xml:space="preserve">  Dulicate O.D</t>
  </si>
  <si>
    <t>Means</t>
  </si>
  <si>
    <t>Means-blank</t>
  </si>
  <si>
    <t>log (Conc)</t>
    <phoneticPr fontId="0" type="noConversion"/>
  </si>
  <si>
    <t>log (Abs)</t>
    <phoneticPr fontId="0" type="noConversion"/>
  </si>
  <si>
    <t>Slope</t>
  </si>
  <si>
    <t>Intercept</t>
  </si>
  <si>
    <t>Insulin content samples dil 500X (LYSAT)</t>
  </si>
  <si>
    <t>ng insulin/TOTAL CELLS</t>
  </si>
  <si>
    <t>Samples</t>
  </si>
  <si>
    <t>O.D</t>
  </si>
  <si>
    <t>mean</t>
    <phoneticPr fontId="0" type="noConversion"/>
  </si>
  <si>
    <t>mean-BK</t>
    <phoneticPr fontId="0" type="noConversion"/>
  </si>
  <si>
    <t>log conc</t>
    <phoneticPr fontId="0" type="noConversion"/>
  </si>
  <si>
    <t>µg/L</t>
  </si>
  <si>
    <t>dilutions to measure</t>
    <phoneticPr fontId="0" type="noConversion"/>
  </si>
  <si>
    <t>Final conc  µg/L</t>
  </si>
  <si>
    <t>Total ng (in 50 ul)</t>
  </si>
  <si>
    <t>Total content</t>
  </si>
  <si>
    <t>ug insulin/million cells</t>
  </si>
  <si>
    <t>16,7 mM Glc</t>
  </si>
  <si>
    <t>16,7 mM Glc + IBMX</t>
  </si>
  <si>
    <t>Insulin secretion samples 0,5 mM dil 16x (SN1)</t>
  </si>
  <si>
    <t xml:space="preserve"> insulin secretion (% of content) </t>
  </si>
  <si>
    <t>Total ng (in 100 ul)</t>
    <phoneticPr fontId="0" type="noConversion"/>
  </si>
  <si>
    <t xml:space="preserve"> insulin secretion (% of content) </t>
    <phoneticPr fontId="0" type="noConversion"/>
  </si>
  <si>
    <t>Mean tripl</t>
  </si>
  <si>
    <t>Ectype</t>
  </si>
  <si>
    <t>0,5 mM Glc</t>
  </si>
  <si>
    <t>0,5 mM Glc + IBMX</t>
  </si>
  <si>
    <t>Insulin secretion samples 16,7 mM Glc dil 16x (SN2)</t>
  </si>
  <si>
    <t>16,7mM/0,5mM</t>
  </si>
  <si>
    <t>Fold change</t>
  </si>
  <si>
    <t>Mean</t>
  </si>
  <si>
    <t>ectype</t>
  </si>
  <si>
    <t>viabilité</t>
  </si>
  <si>
    <t>J0</t>
  </si>
  <si>
    <t>J3</t>
  </si>
  <si>
    <t>Clara</t>
  </si>
  <si>
    <t>28.06.16</t>
  </si>
  <si>
    <t>Fatou/Clara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</si>
</sst>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2" x14ac:knownFonts="1">
    <font>
      <sz val="10"/>
      <name val="Comic Sans MS"/>
      <family val="4"/>
    </font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48"/>
      <name val="Arial"/>
      <family val="2"/>
    </font>
    <font>
      <b/>
      <sz val="8"/>
      <name val="Arial"/>
      <family val="2"/>
    </font>
    <font>
      <sz val="18"/>
      <color indexed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1" fillId="0" borderId="0"/>
    <xf numFmtId="0" fontId="1" fillId="0" borderId="0"/>
  </cellStyleXfs>
  <cellXfs count="80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2" xfId="0" applyFont="1" applyBorder="1" applyAlignment="1">
      <alignment horizontal="left"/>
    </xf>
    <xf numFmtId="0" fontId="6" fillId="0" borderId="2" xfId="0" applyFont="1" applyBorder="1" applyAlignment="1" applyProtection="1">
      <alignment horizontal="center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0" xfId="1" applyFill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2" xfId="0" applyFont="1" applyBorder="1" applyAlignment="1">
      <alignment horizontal="left"/>
    </xf>
    <xf numFmtId="0" fontId="6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Alignment="1">
      <alignment horizontal="center"/>
    </xf>
    <xf numFmtId="2" fontId="10" fillId="0" borderId="5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4" borderId="0" xfId="0" applyNumberFormat="1" applyFont="1" applyFill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1" xfId="0" applyFont="1" applyBorder="1" applyAlignment="1">
      <alignment horizontal="center"/>
    </xf>
    <xf numFmtId="2" fontId="8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5" borderId="0" xfId="0" applyFont="1" applyFill="1" applyAlignment="1">
      <alignment horizontal="left"/>
    </xf>
    <xf numFmtId="14" fontId="3" fillId="5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165" fontId="3" fillId="5" borderId="5" xfId="0" applyNumberFormat="1" applyFont="1" applyFill="1" applyBorder="1" applyAlignment="1">
      <alignment horizontal="center"/>
    </xf>
    <xf numFmtId="0" fontId="0" fillId="8" borderId="2" xfId="0" applyFill="1" applyBorder="1" applyAlignment="1" applyProtection="1">
      <alignment horizontal="center"/>
      <protection locked="0"/>
    </xf>
    <xf numFmtId="0" fontId="0" fillId="8" borderId="2" xfId="0" applyFill="1" applyBorder="1" applyAlignment="1">
      <alignment horizontal="center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</cellXfs>
  <cellStyles count="6">
    <cellStyle name="Commentaire 2" xfId="2"/>
    <cellStyle name="Normal" xfId="0" builtinId="0"/>
    <cellStyle name="Normal 2" xfId="1"/>
    <cellStyle name="Normal 3" xfId="3"/>
    <cellStyle name="Normal 4" xfId="4"/>
    <cellStyle name="Normal 5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-1.853871964321762</c:v>
                </c:pt>
                <c:pt idx="1">
                  <c:v>-1.0705810742857074</c:v>
                </c:pt>
                <c:pt idx="2">
                  <c:v>-0.56703070912559428</c:v>
                </c:pt>
                <c:pt idx="3">
                  <c:v>9.6633166793793981E-3</c:v>
                </c:pt>
                <c:pt idx="4">
                  <c:v>0.32045786891664912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83200"/>
        <c:axId val="181683760"/>
      </c:scatterChart>
      <c:valAx>
        <c:axId val="18168320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181683760"/>
        <c:crosses val="autoZero"/>
        <c:crossBetween val="midCat"/>
      </c:valAx>
      <c:valAx>
        <c:axId val="18168376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816832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siNTP!$C$65:$C$68</c:f>
                <c:numCache>
                  <c:formatCode>General</c:formatCode>
                  <c:ptCount val="4"/>
                  <c:pt idx="0">
                    <c:v>0.45383409249111401</c:v>
                  </c:pt>
                  <c:pt idx="1">
                    <c:v>0.21359260928679716</c:v>
                  </c:pt>
                  <c:pt idx="2">
                    <c:v>1.3971850006780115</c:v>
                  </c:pt>
                  <c:pt idx="3">
                    <c:v>1.0409472587149813</c:v>
                  </c:pt>
                </c:numCache>
              </c:numRef>
            </c:plus>
            <c:minus>
              <c:numRef>
                <c:f>siNTP!$C$65:$C$68</c:f>
                <c:numCache>
                  <c:formatCode>General</c:formatCode>
                  <c:ptCount val="4"/>
                  <c:pt idx="0">
                    <c:v>0.45383409249111401</c:v>
                  </c:pt>
                  <c:pt idx="1">
                    <c:v>0.21359260928679716</c:v>
                  </c:pt>
                  <c:pt idx="2">
                    <c:v>1.3971850006780115</c:v>
                  </c:pt>
                  <c:pt idx="3">
                    <c:v>1.0409472587149813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siNTP!$A$65:$A$68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siNTP!$B$65:$B$68</c:f>
              <c:numCache>
                <c:formatCode>0.0</c:formatCode>
                <c:ptCount val="4"/>
                <c:pt idx="0">
                  <c:v>1.725872242246737</c:v>
                </c:pt>
                <c:pt idx="1">
                  <c:v>1.4208721307316086</c:v>
                </c:pt>
                <c:pt idx="2">
                  <c:v>2.8384022807813563</c:v>
                </c:pt>
                <c:pt idx="3">
                  <c:v>3.8957588414958906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68272"/>
        <c:axId val="182368832"/>
      </c:barChart>
      <c:catAx>
        <c:axId val="18236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368832"/>
        <c:crosses val="autoZero"/>
        <c:auto val="1"/>
        <c:lblAlgn val="ctr"/>
        <c:lblOffset val="100"/>
        <c:noMultiLvlLbl val="0"/>
      </c:catAx>
      <c:valAx>
        <c:axId val="1823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36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Fold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siNTP!$O$58:$O$59</c:f>
                <c:numCache>
                  <c:formatCode>General</c:formatCode>
                  <c:ptCount val="2"/>
                  <c:pt idx="0">
                    <c:v>0.39893313815256226</c:v>
                  </c:pt>
                  <c:pt idx="1">
                    <c:v>1.1430900556212069</c:v>
                  </c:pt>
                </c:numCache>
              </c:numRef>
            </c:plus>
            <c:minus>
              <c:numRef>
                <c:f>siNTP!$O$58:$O$59</c:f>
                <c:numCache>
                  <c:formatCode>General</c:formatCode>
                  <c:ptCount val="2"/>
                  <c:pt idx="0">
                    <c:v>0.39893313815256226</c:v>
                  </c:pt>
                  <c:pt idx="1">
                    <c:v>1.1430900556212069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siNTP!$M$58:$M$59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siNTP!$N$58:$N$59</c:f>
              <c:numCache>
                <c:formatCode>0.0</c:formatCode>
                <c:ptCount val="2"/>
                <c:pt idx="0">
                  <c:v>0.89276296905385488</c:v>
                </c:pt>
                <c:pt idx="1">
                  <c:v>1.6945540713986149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371072"/>
        <c:axId val="256693024"/>
      </c:barChart>
      <c:catAx>
        <c:axId val="1823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693024"/>
        <c:crosses val="autoZero"/>
        <c:auto val="1"/>
        <c:lblAlgn val="ctr"/>
        <c:lblOffset val="100"/>
        <c:noMultiLvlLbl val="0"/>
      </c:catAx>
      <c:valAx>
        <c:axId val="2566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37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-1.853871964321762</c:v>
                </c:pt>
                <c:pt idx="1">
                  <c:v>-1.0705810742857074</c:v>
                </c:pt>
                <c:pt idx="2">
                  <c:v>-0.56703070912559428</c:v>
                </c:pt>
                <c:pt idx="3">
                  <c:v>9.6633166793793981E-3</c:v>
                </c:pt>
                <c:pt idx="4">
                  <c:v>0.32045786891664912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562464"/>
        <c:axId val="261563024"/>
      </c:scatterChart>
      <c:valAx>
        <c:axId val="2615624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61563024"/>
        <c:crosses val="autoZero"/>
        <c:crossBetween val="midCat"/>
      </c:valAx>
      <c:valAx>
        <c:axId val="26156302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615624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siSRR!$C$65:$C$68</c:f>
                <c:numCache>
                  <c:formatCode>General</c:formatCode>
                  <c:ptCount val="4"/>
                  <c:pt idx="0">
                    <c:v>1.9564051743218487</c:v>
                  </c:pt>
                  <c:pt idx="1">
                    <c:v>0.74012501078431425</c:v>
                  </c:pt>
                  <c:pt idx="2">
                    <c:v>1.7151565792524262</c:v>
                  </c:pt>
                  <c:pt idx="3">
                    <c:v>2.0970421225224252</c:v>
                  </c:pt>
                </c:numCache>
              </c:numRef>
            </c:plus>
            <c:minus>
              <c:numRef>
                <c:f>siSRR!$C$65:$C$68</c:f>
                <c:numCache>
                  <c:formatCode>General</c:formatCode>
                  <c:ptCount val="4"/>
                  <c:pt idx="0">
                    <c:v>1.9564051743218487</c:v>
                  </c:pt>
                  <c:pt idx="1">
                    <c:v>0.74012501078431425</c:v>
                  </c:pt>
                  <c:pt idx="2">
                    <c:v>1.7151565792524262</c:v>
                  </c:pt>
                  <c:pt idx="3">
                    <c:v>2.0970421225224252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siSRR!$A$65:$A$68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siSRR!$B$65:$B$68</c:f>
              <c:numCache>
                <c:formatCode>0.0</c:formatCode>
                <c:ptCount val="4"/>
                <c:pt idx="0">
                  <c:v>6.9901912652714282</c:v>
                </c:pt>
                <c:pt idx="1">
                  <c:v>11.120456337180295</c:v>
                </c:pt>
                <c:pt idx="2">
                  <c:v>18.068562321456703</c:v>
                </c:pt>
                <c:pt idx="3">
                  <c:v>38.694621421337835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565824"/>
        <c:axId val="261566384"/>
      </c:barChart>
      <c:catAx>
        <c:axId val="26156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1566384"/>
        <c:crosses val="autoZero"/>
        <c:auto val="1"/>
        <c:lblAlgn val="ctr"/>
        <c:lblOffset val="100"/>
        <c:noMultiLvlLbl val="0"/>
      </c:catAx>
      <c:valAx>
        <c:axId val="2615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156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Fold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siSRR!$O$58:$O$59</c:f>
                <c:numCache>
                  <c:formatCode>General</c:formatCode>
                  <c:ptCount val="2"/>
                  <c:pt idx="0">
                    <c:v>0.35871919517127915</c:v>
                  </c:pt>
                  <c:pt idx="1">
                    <c:v>0.24555266021653668</c:v>
                  </c:pt>
                </c:numCache>
              </c:numRef>
            </c:plus>
            <c:minus>
              <c:numRef>
                <c:f>siSRR!$O$58:$O$59</c:f>
                <c:numCache>
                  <c:formatCode>General</c:formatCode>
                  <c:ptCount val="2"/>
                  <c:pt idx="0">
                    <c:v>0.35871919517127915</c:v>
                  </c:pt>
                  <c:pt idx="1">
                    <c:v>0.24555266021653668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siSRR!$M$58:$M$59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siSRR!$N$58:$N$59</c:f>
              <c:numCache>
                <c:formatCode>0.0</c:formatCode>
                <c:ptCount val="2"/>
                <c:pt idx="0">
                  <c:v>1.6317149677864773</c:v>
                </c:pt>
                <c:pt idx="1">
                  <c:v>2.1528063946558627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569184"/>
        <c:axId val="265467920"/>
      </c:barChart>
      <c:catAx>
        <c:axId val="2615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5467920"/>
        <c:crosses val="autoZero"/>
        <c:auto val="1"/>
        <c:lblAlgn val="ctr"/>
        <c:lblOffset val="100"/>
        <c:noMultiLvlLbl val="0"/>
      </c:catAx>
      <c:valAx>
        <c:axId val="2654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6156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4F81BD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22565769903762029"/>
                  <c:y val="0.4121613444152812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siNTP!$G$9:$G$13</c:f>
              <c:numCache>
                <c:formatCode>0.00</c:formatCode>
                <c:ptCount val="5"/>
                <c:pt idx="0">
                  <c:v>-0.86341728222799241</c:v>
                </c:pt>
                <c:pt idx="1">
                  <c:v>-0.34469449671881253</c:v>
                </c:pt>
                <c:pt idx="2">
                  <c:v>0.13658271777200767</c:v>
                </c:pt>
                <c:pt idx="3">
                  <c:v>0.66357802924717735</c:v>
                </c:pt>
                <c:pt idx="4">
                  <c:v>0.96049145871632635</c:v>
                </c:pt>
              </c:numCache>
            </c:numRef>
          </c:xVal>
          <c:yVal>
            <c:numRef>
              <c:f>siNTP!$H$9:$H$13</c:f>
              <c:numCache>
                <c:formatCode>0.00</c:formatCode>
                <c:ptCount val="5"/>
                <c:pt idx="0">
                  <c:v>-1.853871964321762</c:v>
                </c:pt>
                <c:pt idx="1">
                  <c:v>-1.0705810742857074</c:v>
                </c:pt>
                <c:pt idx="2">
                  <c:v>-0.56703070912559428</c:v>
                </c:pt>
                <c:pt idx="3">
                  <c:v>9.6633166793793981E-3</c:v>
                </c:pt>
                <c:pt idx="4">
                  <c:v>0.32045786891664912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695264"/>
        <c:axId val="256695824"/>
      </c:scatterChart>
      <c:valAx>
        <c:axId val="2566952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56695824"/>
        <c:crosses val="autoZero"/>
        <c:crossBetween val="midCat"/>
      </c:valAx>
      <c:valAx>
        <c:axId val="256695824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566952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 alignWithMargins="0"/>
    <c:pageMargins b="0.98425196899999956" l="0.78740157499999996" r="0.78740157499999996" t="0.98425196899999956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siSRR!$C$65:$C$68</c:f>
                <c:numCache>
                  <c:formatCode>General</c:formatCode>
                  <c:ptCount val="4"/>
                  <c:pt idx="0">
                    <c:v>1.9564051743218487</c:v>
                  </c:pt>
                  <c:pt idx="1">
                    <c:v>0.74012501078431425</c:v>
                  </c:pt>
                  <c:pt idx="2">
                    <c:v>1.7151565792524262</c:v>
                  </c:pt>
                  <c:pt idx="3">
                    <c:v>2.0970421225224252</c:v>
                  </c:pt>
                </c:numCache>
              </c:numRef>
            </c:plus>
            <c:minus>
              <c:numRef>
                <c:f>siSRR!$C$65:$C$68</c:f>
                <c:numCache>
                  <c:formatCode>General</c:formatCode>
                  <c:ptCount val="4"/>
                  <c:pt idx="0">
                    <c:v>1.9564051743218487</c:v>
                  </c:pt>
                  <c:pt idx="1">
                    <c:v>0.74012501078431425</c:v>
                  </c:pt>
                  <c:pt idx="2">
                    <c:v>1.7151565792524262</c:v>
                  </c:pt>
                  <c:pt idx="3">
                    <c:v>2.0970421225224252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siSRR!$A$65:$A$68</c:f>
              <c:strCache>
                <c:ptCount val="4"/>
                <c:pt idx="0">
                  <c:v>0,5 mM Glc</c:v>
                </c:pt>
                <c:pt idx="1">
                  <c:v>16,7 mM Glc</c:v>
                </c:pt>
                <c:pt idx="2">
                  <c:v>0,5 mM Glc + IBMX</c:v>
                </c:pt>
                <c:pt idx="3">
                  <c:v>16,7 mM Glc + IBMX</c:v>
                </c:pt>
              </c:strCache>
            </c:strRef>
          </c:cat>
          <c:val>
            <c:numRef>
              <c:f>siSRR!$B$65:$B$68</c:f>
              <c:numCache>
                <c:formatCode>0.0</c:formatCode>
                <c:ptCount val="4"/>
                <c:pt idx="0">
                  <c:v>6.9901912652714282</c:v>
                </c:pt>
                <c:pt idx="1">
                  <c:v>11.120456337180295</c:v>
                </c:pt>
                <c:pt idx="2">
                  <c:v>18.068562321456703</c:v>
                </c:pt>
                <c:pt idx="3">
                  <c:v>38.694621421337835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766736"/>
        <c:axId val="256767296"/>
      </c:barChart>
      <c:catAx>
        <c:axId val="25676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767296"/>
        <c:crosses val="autoZero"/>
        <c:auto val="1"/>
        <c:lblAlgn val="ctr"/>
        <c:lblOffset val="100"/>
        <c:noMultiLvlLbl val="0"/>
      </c:catAx>
      <c:valAx>
        <c:axId val="2567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76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Fold change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siSRR!$O$58:$O$59</c:f>
                <c:numCache>
                  <c:formatCode>General</c:formatCode>
                  <c:ptCount val="2"/>
                  <c:pt idx="0">
                    <c:v>0.35871919517127915</c:v>
                  </c:pt>
                  <c:pt idx="1">
                    <c:v>0.24555266021653668</c:v>
                  </c:pt>
                </c:numCache>
              </c:numRef>
            </c:plus>
            <c:minus>
              <c:numRef>
                <c:f>siSRR!$O$58:$O$59</c:f>
                <c:numCache>
                  <c:formatCode>General</c:formatCode>
                  <c:ptCount val="2"/>
                  <c:pt idx="0">
                    <c:v>0.35871919517127915</c:v>
                  </c:pt>
                  <c:pt idx="1">
                    <c:v>0.24555266021653668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siSRR!$M$58:$M$59</c:f>
              <c:strCache>
                <c:ptCount val="2"/>
                <c:pt idx="0">
                  <c:v>16,7 mM Glc</c:v>
                </c:pt>
                <c:pt idx="1">
                  <c:v>16,7 mM Glc + IBMX</c:v>
                </c:pt>
              </c:strCache>
            </c:strRef>
          </c:cat>
          <c:val>
            <c:numRef>
              <c:f>siSRR!$N$58:$N$59</c:f>
              <c:numCache>
                <c:formatCode>0.0</c:formatCode>
                <c:ptCount val="2"/>
                <c:pt idx="0">
                  <c:v>1.6317149677864773</c:v>
                </c:pt>
                <c:pt idx="1">
                  <c:v>2.1528063946558627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617936"/>
        <c:axId val="257618496"/>
      </c:barChart>
      <c:catAx>
        <c:axId val="25761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618496"/>
        <c:crosses val="autoZero"/>
        <c:auto val="1"/>
        <c:lblAlgn val="ctr"/>
        <c:lblOffset val="100"/>
        <c:noMultiLvlLbl val="0"/>
      </c:catAx>
      <c:valAx>
        <c:axId val="2576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76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59</xdr:row>
      <xdr:rowOff>128587</xdr:rowOff>
    </xdr:from>
    <xdr:to>
      <xdr:col>10</xdr:col>
      <xdr:colOff>222250</xdr:colOff>
      <xdr:row>76</xdr:row>
      <xdr:rowOff>61912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690562</xdr:colOff>
      <xdr:row>61</xdr:row>
      <xdr:rowOff>128587</xdr:rowOff>
    </xdr:from>
    <xdr:to>
      <xdr:col>16</xdr:col>
      <xdr:colOff>166687</xdr:colOff>
      <xdr:row>78</xdr:row>
      <xdr:rowOff>93662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261937</xdr:colOff>
      <xdr:row>64</xdr:row>
      <xdr:rowOff>65087</xdr:rowOff>
    </xdr:from>
    <xdr:to>
      <xdr:col>9</xdr:col>
      <xdr:colOff>754062</xdr:colOff>
      <xdr:row>81</xdr:row>
      <xdr:rowOff>109537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674687</xdr:colOff>
      <xdr:row>62</xdr:row>
      <xdr:rowOff>80962</xdr:rowOff>
    </xdr:from>
    <xdr:to>
      <xdr:col>16</xdr:col>
      <xdr:colOff>150812</xdr:colOff>
      <xdr:row>79</xdr:row>
      <xdr:rowOff>77787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</xdr:row>
      <xdr:rowOff>57150</xdr:rowOff>
    </xdr:from>
    <xdr:to>
      <xdr:col>13</xdr:col>
      <xdr:colOff>47625</xdr:colOff>
      <xdr:row>16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261937</xdr:colOff>
      <xdr:row>64</xdr:row>
      <xdr:rowOff>65087</xdr:rowOff>
    </xdr:from>
    <xdr:to>
      <xdr:col>9</xdr:col>
      <xdr:colOff>754062</xdr:colOff>
      <xdr:row>81</xdr:row>
      <xdr:rowOff>109537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674687</xdr:colOff>
      <xdr:row>62</xdr:row>
      <xdr:rowOff>80962</xdr:rowOff>
    </xdr:from>
    <xdr:to>
      <xdr:col>16</xdr:col>
      <xdr:colOff>150812</xdr:colOff>
      <xdr:row>79</xdr:row>
      <xdr:rowOff>77787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abSelected="1" zoomScale="60" zoomScaleNormal="60" workbookViewId="0">
      <selection activeCell="D60" sqref="D60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12.25" style="2" customWidth="1"/>
    <col min="5" max="5" width="8.2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3" t="s">
        <v>0</v>
      </c>
      <c r="B1" s="64" t="s">
        <v>44</v>
      </c>
    </row>
    <row r="2" spans="1:20" x14ac:dyDescent="0.2">
      <c r="A2" s="63" t="s">
        <v>1</v>
      </c>
      <c r="B2" s="65"/>
      <c r="C2" s="3"/>
      <c r="E2" s="4" t="s">
        <v>40</v>
      </c>
    </row>
    <row r="3" spans="1:20" x14ac:dyDescent="0.2">
      <c r="A3" s="63" t="s">
        <v>2</v>
      </c>
      <c r="B3" s="65" t="s">
        <v>45</v>
      </c>
      <c r="D3" s="10" t="s">
        <v>41</v>
      </c>
      <c r="E3" s="10"/>
      <c r="F3" s="10"/>
    </row>
    <row r="4" spans="1:20" ht="15" x14ac:dyDescent="0.3">
      <c r="D4" s="10" t="s">
        <v>42</v>
      </c>
      <c r="E4" s="69"/>
      <c r="F4" s="70"/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72">
        <v>7.4999999999999997E-2</v>
      </c>
      <c r="D8" s="72">
        <v>4.9000000000000002E-2</v>
      </c>
      <c r="E8" s="11">
        <f t="shared" ref="E8:E13" si="0">AVERAGE(C8:D8)</f>
        <v>6.2E-2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72">
        <v>7.2999999999999995E-2</v>
      </c>
      <c r="D9" s="72">
        <v>7.9000000000000001E-2</v>
      </c>
      <c r="E9" s="11">
        <f t="shared" si="0"/>
        <v>7.5999999999999998E-2</v>
      </c>
      <c r="F9" s="12">
        <f>(E9-$E$8)</f>
        <v>1.3999999999999999E-2</v>
      </c>
      <c r="G9" s="12">
        <f>LOG(B9)</f>
        <v>-0.86341728222799241</v>
      </c>
      <c r="H9" s="12">
        <f>LOG(F9)</f>
        <v>-1.853871964321762</v>
      </c>
      <c r="N9"/>
      <c r="O9"/>
      <c r="P9"/>
    </row>
    <row r="10" spans="1:20" ht="15" x14ac:dyDescent="0.3">
      <c r="A10" s="10">
        <v>10.4</v>
      </c>
      <c r="B10" s="12">
        <f t="shared" ref="B10:B12" si="1">A10/23</f>
        <v>0.45217391304347826</v>
      </c>
      <c r="C10" s="72">
        <v>0.14799999999999999</v>
      </c>
      <c r="D10" s="72">
        <v>0.14599999999999999</v>
      </c>
      <c r="E10" s="11">
        <f t="shared" si="0"/>
        <v>0.14699999999999999</v>
      </c>
      <c r="F10" s="12">
        <f>(E10-$E$8)</f>
        <v>8.4999999999999992E-2</v>
      </c>
      <c r="G10" s="12">
        <f>LOG(B10)</f>
        <v>-0.34469449671881253</v>
      </c>
      <c r="H10" s="12">
        <f>LOG(F10)</f>
        <v>-1.0705810742857074</v>
      </c>
      <c r="N10"/>
      <c r="O10"/>
      <c r="P10"/>
    </row>
    <row r="11" spans="1:20" ht="15" x14ac:dyDescent="0.3">
      <c r="A11" s="10">
        <v>31.5</v>
      </c>
      <c r="B11" s="12">
        <f>A11/23</f>
        <v>1.3695652173913044</v>
      </c>
      <c r="C11" s="72">
        <v>0.34</v>
      </c>
      <c r="D11" s="72">
        <v>0.32600000000000001</v>
      </c>
      <c r="E11" s="11">
        <f t="shared" si="0"/>
        <v>0.33300000000000002</v>
      </c>
      <c r="F11" s="12">
        <f>(E11-$E$8)</f>
        <v>0.27100000000000002</v>
      </c>
      <c r="G11" s="12">
        <f>LOG(B11)</f>
        <v>0.13658271777200767</v>
      </c>
      <c r="H11" s="12">
        <f>LOG(F11)</f>
        <v>-0.56703070912559428</v>
      </c>
      <c r="N11"/>
      <c r="O11"/>
      <c r="P11"/>
      <c r="Q11"/>
      <c r="R11"/>
      <c r="S11"/>
      <c r="T11"/>
    </row>
    <row r="12" spans="1:20" ht="15" x14ac:dyDescent="0.3">
      <c r="A12" s="10">
        <v>106</v>
      </c>
      <c r="B12" s="12">
        <f t="shared" si="1"/>
        <v>4.6086956521739131</v>
      </c>
      <c r="C12" s="72">
        <v>1.083</v>
      </c>
      <c r="D12" s="72">
        <v>1.0860000000000001</v>
      </c>
      <c r="E12" s="11">
        <f t="shared" si="0"/>
        <v>1.0845</v>
      </c>
      <c r="F12" s="12">
        <f>(E12-$E$8)</f>
        <v>1.0225</v>
      </c>
      <c r="G12" s="12">
        <f>LOG(B12)</f>
        <v>0.66357802924717735</v>
      </c>
      <c r="H12" s="12">
        <f>LOG(F12)</f>
        <v>9.6633166793793981E-3</v>
      </c>
      <c r="N12"/>
      <c r="O12"/>
      <c r="P12"/>
      <c r="Q12"/>
      <c r="R12"/>
      <c r="S12"/>
      <c r="T12"/>
    </row>
    <row r="13" spans="1:20" ht="15" x14ac:dyDescent="0.3">
      <c r="A13" s="10">
        <v>210</v>
      </c>
      <c r="B13" s="12">
        <f>A13/23</f>
        <v>9.1304347826086953</v>
      </c>
      <c r="C13" s="72">
        <v>2.3250000000000002</v>
      </c>
      <c r="D13" s="72">
        <v>1.982</v>
      </c>
      <c r="E13" s="11">
        <f t="shared" si="0"/>
        <v>2.1535000000000002</v>
      </c>
      <c r="F13" s="12">
        <f>(E13-$E$8)</f>
        <v>2.0915000000000004</v>
      </c>
      <c r="G13" s="12">
        <f>LOG(B13)</f>
        <v>0.96049145871632635</v>
      </c>
      <c r="H13" s="12">
        <f>LOG(F13)</f>
        <v>0.32045786891664912</v>
      </c>
      <c r="N13"/>
      <c r="O13"/>
      <c r="P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1.169824778871448</v>
      </c>
      <c r="N15"/>
    </row>
    <row r="16" spans="1:20" ht="15" x14ac:dyDescent="0.25">
      <c r="A16" s="5" t="s">
        <v>11</v>
      </c>
      <c r="B16" s="11">
        <f>INTERCEPT(H9:H13,G9:G13)</f>
        <v>-0.76154760894453377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4">
        <v>0.378</v>
      </c>
      <c r="C22" s="74">
        <v>0.41699999999999998</v>
      </c>
      <c r="D22" s="27">
        <f>AVERAGE(B22:C22)</f>
        <v>0.39749999999999996</v>
      </c>
      <c r="E22" s="27">
        <f t="shared" ref="E22:E27" si="2">D22-E$8</f>
        <v>0.33549999999999996</v>
      </c>
      <c r="F22" s="27">
        <f>LOG(E22)</f>
        <v>-0.47430747549498914</v>
      </c>
      <c r="G22" s="28">
        <f>(F22-$B$16)/$B$15</f>
        <v>0.24554116021260089</v>
      </c>
      <c r="H22" s="28">
        <f>10^G22</f>
        <v>1.7601154706503617</v>
      </c>
      <c r="I22" s="29">
        <v>500</v>
      </c>
      <c r="J22" s="30">
        <f>(H22*I22)</f>
        <v>880.05773532518083</v>
      </c>
      <c r="K22" s="31">
        <f>(0.05*J22/1000)*1000</f>
        <v>44.002886766259046</v>
      </c>
      <c r="L22" s="32">
        <f>K22+K40+K50</f>
        <v>45.517783932418439</v>
      </c>
      <c r="M22" s="33">
        <f>(L22*1000000/50000)/1000</f>
        <v>0.91035567864836864</v>
      </c>
      <c r="N22" s="34"/>
    </row>
    <row r="23" spans="1:17" ht="15" x14ac:dyDescent="0.3">
      <c r="B23" s="74">
        <v>0.41599999999999998</v>
      </c>
      <c r="C23" s="74">
        <v>0.34799999999999998</v>
      </c>
      <c r="D23" s="27">
        <f t="shared" ref="D23:D27" si="3">AVERAGE(B23:C23)</f>
        <v>0.38200000000000001</v>
      </c>
      <c r="E23" s="27">
        <f t="shared" si="2"/>
        <v>0.32</v>
      </c>
      <c r="F23" s="27">
        <f t="shared" ref="F23:F27" si="4">LOG(E23)</f>
        <v>-0.49485002168009401</v>
      </c>
      <c r="G23" s="28">
        <f t="shared" ref="G23:G27" si="5">(F23-$B$16)/$B$15</f>
        <v>0.22798079856175379</v>
      </c>
      <c r="H23" s="28">
        <f t="shared" ref="H23:H27" si="6">10^G23</f>
        <v>1.6903661939227332</v>
      </c>
      <c r="I23" s="29">
        <v>500</v>
      </c>
      <c r="J23" s="30">
        <f t="shared" ref="J23:J27" si="7">(H23*I23)</f>
        <v>845.18309696136657</v>
      </c>
      <c r="K23" s="31">
        <f t="shared" ref="K23:K27" si="8">(0.05*J23/1000)*1000</f>
        <v>42.259154848068334</v>
      </c>
      <c r="L23" s="32">
        <f>K23+K41+K51</f>
        <v>43.645927683408814</v>
      </c>
      <c r="M23" s="33">
        <f t="shared" ref="M23:M27" si="9">(L23*1000000/50000)/1000</f>
        <v>0.87291855366817628</v>
      </c>
      <c r="N23" s="34"/>
    </row>
    <row r="24" spans="1:17" ht="15" x14ac:dyDescent="0.3">
      <c r="B24" s="74">
        <v>0.42599999999999999</v>
      </c>
      <c r="C24" s="74">
        <v>0.39600000000000002</v>
      </c>
      <c r="D24" s="27">
        <f t="shared" si="3"/>
        <v>0.41100000000000003</v>
      </c>
      <c r="E24" s="27">
        <f t="shared" si="2"/>
        <v>0.34900000000000003</v>
      </c>
      <c r="F24" s="27">
        <f t="shared" si="4"/>
        <v>-0.45717457304082004</v>
      </c>
      <c r="G24" s="28">
        <f t="shared" si="5"/>
        <v>0.26018685994781898</v>
      </c>
      <c r="H24" s="28">
        <f t="shared" si="6"/>
        <v>1.8204839732540599</v>
      </c>
      <c r="I24" s="29">
        <v>500</v>
      </c>
      <c r="J24" s="30">
        <f t="shared" si="7"/>
        <v>910.24198662702997</v>
      </c>
      <c r="K24" s="31">
        <f t="shared" si="8"/>
        <v>45.5120993313515</v>
      </c>
      <c r="L24" s="32">
        <f t="shared" ref="L24:L27" si="10">K24+K42+K52</f>
        <v>46.85358110704685</v>
      </c>
      <c r="M24" s="33">
        <f t="shared" si="9"/>
        <v>0.93707162214093709</v>
      </c>
      <c r="N24" s="34"/>
    </row>
    <row r="25" spans="1:17" ht="15" x14ac:dyDescent="0.3">
      <c r="A25" s="1" t="s">
        <v>26</v>
      </c>
      <c r="B25" s="74">
        <v>0.376</v>
      </c>
      <c r="C25" s="74">
        <v>0.41299999999999998</v>
      </c>
      <c r="D25" s="27">
        <f t="shared" si="3"/>
        <v>0.39449999999999996</v>
      </c>
      <c r="E25" s="27">
        <f>D25-E$8</f>
        <v>0.33249999999999996</v>
      </c>
      <c r="F25" s="27">
        <f>LOG(E25)</f>
        <v>-0.47820835036087667</v>
      </c>
      <c r="G25" s="28">
        <f>(F25-$B$16)/$B$15</f>
        <v>0.24220657973837742</v>
      </c>
      <c r="H25" s="28">
        <f>10^G25</f>
        <v>1.7466527811861594</v>
      </c>
      <c r="I25" s="29">
        <v>500</v>
      </c>
      <c r="J25" s="30">
        <f>(H25*I25)</f>
        <v>873.32639059307974</v>
      </c>
      <c r="K25" s="31">
        <f>(0.05*J25/1000)*1000</f>
        <v>43.66631952965399</v>
      </c>
      <c r="L25" s="32">
        <f>K25+K43+K53</f>
        <v>47.258735985280957</v>
      </c>
      <c r="M25" s="33">
        <f t="shared" si="9"/>
        <v>0.94517471970561906</v>
      </c>
      <c r="N25" s="34"/>
    </row>
    <row r="26" spans="1:17" ht="15" x14ac:dyDescent="0.3">
      <c r="B26" s="74">
        <v>0.39300000000000002</v>
      </c>
      <c r="C26" s="74">
        <v>0.35699999999999998</v>
      </c>
      <c r="D26" s="27">
        <f t="shared" si="3"/>
        <v>0.375</v>
      </c>
      <c r="E26" s="27">
        <f t="shared" si="2"/>
        <v>0.313</v>
      </c>
      <c r="F26" s="27">
        <f t="shared" si="4"/>
        <v>-0.50445566245355156</v>
      </c>
      <c r="G26" s="28">
        <f t="shared" si="5"/>
        <v>0.21976961946301365</v>
      </c>
      <c r="H26" s="28">
        <f t="shared" si="6"/>
        <v>1.6587067785213785</v>
      </c>
      <c r="I26" s="29">
        <v>500</v>
      </c>
      <c r="J26" s="30">
        <f t="shared" si="7"/>
        <v>829.35338926068926</v>
      </c>
      <c r="K26" s="31">
        <f t="shared" si="8"/>
        <v>41.467669463034468</v>
      </c>
      <c r="L26" s="32">
        <f t="shared" si="10"/>
        <v>43.91037884362833</v>
      </c>
      <c r="M26" s="33">
        <f t="shared" si="9"/>
        <v>0.87820757687256656</v>
      </c>
      <c r="N26" s="34"/>
    </row>
    <row r="27" spans="1:17" ht="15" x14ac:dyDescent="0.3">
      <c r="B27" s="74">
        <v>0.43099999999999999</v>
      </c>
      <c r="C27" s="74">
        <v>0.372</v>
      </c>
      <c r="D27" s="27">
        <f t="shared" si="3"/>
        <v>0.40149999999999997</v>
      </c>
      <c r="E27" s="27">
        <f t="shared" si="2"/>
        <v>0.33949999999999997</v>
      </c>
      <c r="F27" s="27">
        <f t="shared" si="4"/>
        <v>-0.46916022138347957</v>
      </c>
      <c r="G27" s="28">
        <f t="shared" si="5"/>
        <v>0.24994118165553461</v>
      </c>
      <c r="H27" s="28">
        <f t="shared" si="6"/>
        <v>1.7780385864211463</v>
      </c>
      <c r="I27" s="29">
        <v>500</v>
      </c>
      <c r="J27" s="30">
        <f t="shared" si="7"/>
        <v>889.01929321057321</v>
      </c>
      <c r="K27" s="31">
        <f t="shared" si="8"/>
        <v>44.450964660528662</v>
      </c>
      <c r="L27" s="32">
        <f t="shared" si="10"/>
        <v>47.656030445072226</v>
      </c>
      <c r="M27" s="33">
        <f t="shared" si="9"/>
        <v>0.95312060890144445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4">
        <v>0.378</v>
      </c>
      <c r="C31" s="74">
        <v>0.41699999999999998</v>
      </c>
      <c r="D31" s="27">
        <f>AVERAGE(B31:C31)</f>
        <v>0.39749999999999996</v>
      </c>
      <c r="E31" s="27">
        <f>D31-E$8</f>
        <v>0.33549999999999996</v>
      </c>
      <c r="F31" s="27">
        <f>LOG(E31)</f>
        <v>-0.47430747549498914</v>
      </c>
      <c r="G31" s="28">
        <f>(F31-$B$16)/$B$15</f>
        <v>0.24554116021260089</v>
      </c>
      <c r="H31" s="28">
        <f>10^G31</f>
        <v>1.7601154706503617</v>
      </c>
      <c r="I31" s="29">
        <v>500</v>
      </c>
      <c r="J31" s="30">
        <f>(H31*I31)</f>
        <v>880.05773532518083</v>
      </c>
      <c r="K31" s="31">
        <f>(0.05*J31/1000)*1000</f>
        <v>44.002886766259046</v>
      </c>
      <c r="L31" s="32">
        <f>K31+K50</f>
        <v>44.551446213816675</v>
      </c>
      <c r="M31" s="33">
        <f>(L31*1000000/50000)/1000</f>
        <v>0.8910289242763334</v>
      </c>
      <c r="N31" s="35"/>
      <c r="Q31"/>
    </row>
    <row r="32" spans="1:17" ht="15" x14ac:dyDescent="0.3">
      <c r="B32" s="74">
        <v>0.41599999999999998</v>
      </c>
      <c r="C32" s="74">
        <v>0.34799999999999998</v>
      </c>
      <c r="D32" s="27">
        <f t="shared" ref="D32:D36" si="11">AVERAGE(B32:C32)</f>
        <v>0.38200000000000001</v>
      </c>
      <c r="E32" s="27">
        <f t="shared" ref="E32:E36" si="12">D32-E$8</f>
        <v>0.32</v>
      </c>
      <c r="F32" s="27">
        <f t="shared" ref="F32:F36" si="13">LOG(E32)</f>
        <v>-0.49485002168009401</v>
      </c>
      <c r="G32" s="28">
        <f t="shared" ref="G32:G36" si="14">(F32-$B$16)/$B$15</f>
        <v>0.22798079856175379</v>
      </c>
      <c r="H32" s="28">
        <f t="shared" ref="H32:H36" si="15">10^G32</f>
        <v>1.6903661939227332</v>
      </c>
      <c r="I32" s="29">
        <v>500</v>
      </c>
      <c r="J32" s="30">
        <f t="shared" ref="J32:J36" si="16">(H32*I32)</f>
        <v>845.18309696136657</v>
      </c>
      <c r="K32" s="31">
        <f t="shared" ref="K32:K36" si="17">(0.05*J32/1000)*1000</f>
        <v>42.259154848068334</v>
      </c>
      <c r="L32" s="32">
        <f>K32+K51</f>
        <v>42.850071804231661</v>
      </c>
      <c r="M32" s="33">
        <f t="shared" ref="M32:M36" si="18">(L32*1000000/50000)/1000</f>
        <v>0.85700143608463319</v>
      </c>
      <c r="N32" s="36"/>
      <c r="Q32"/>
    </row>
    <row r="33" spans="1:21" ht="15" x14ac:dyDescent="0.3">
      <c r="B33" s="74">
        <v>0.42599999999999999</v>
      </c>
      <c r="C33" s="74">
        <v>0.39600000000000002</v>
      </c>
      <c r="D33" s="27">
        <f t="shared" si="11"/>
        <v>0.41100000000000003</v>
      </c>
      <c r="E33" s="27">
        <f>D33-E$8</f>
        <v>0.34900000000000003</v>
      </c>
      <c r="F33" s="27">
        <f>LOG(E33)</f>
        <v>-0.45717457304082004</v>
      </c>
      <c r="G33" s="28">
        <f t="shared" si="14"/>
        <v>0.26018685994781898</v>
      </c>
      <c r="H33" s="28">
        <f t="shared" si="15"/>
        <v>1.8204839732540599</v>
      </c>
      <c r="I33" s="29">
        <v>500</v>
      </c>
      <c r="J33" s="30">
        <f t="shared" si="16"/>
        <v>910.24198662702997</v>
      </c>
      <c r="K33" s="31">
        <f t="shared" si="17"/>
        <v>45.5120993313515</v>
      </c>
      <c r="L33" s="32">
        <f t="shared" ref="L33:L36" si="19">K33+K52</f>
        <v>46.27672421538994</v>
      </c>
      <c r="M33" s="33">
        <f t="shared" si="18"/>
        <v>0.92553448430779872</v>
      </c>
      <c r="N33" s="36"/>
      <c r="Q33"/>
      <c r="R33"/>
      <c r="S33"/>
    </row>
    <row r="34" spans="1:21" ht="15" x14ac:dyDescent="0.3">
      <c r="A34" s="1" t="s">
        <v>26</v>
      </c>
      <c r="B34" s="74">
        <v>0.376</v>
      </c>
      <c r="C34" s="74">
        <v>0.41299999999999998</v>
      </c>
      <c r="D34" s="27">
        <f t="shared" si="11"/>
        <v>0.39449999999999996</v>
      </c>
      <c r="E34" s="27">
        <f t="shared" si="12"/>
        <v>0.33249999999999996</v>
      </c>
      <c r="F34" s="27">
        <f t="shared" si="13"/>
        <v>-0.47820835036087667</v>
      </c>
      <c r="G34" s="28">
        <f t="shared" si="14"/>
        <v>0.24220657973837742</v>
      </c>
      <c r="H34" s="28">
        <f t="shared" si="15"/>
        <v>1.7466527811861594</v>
      </c>
      <c r="I34" s="29">
        <v>500</v>
      </c>
      <c r="J34" s="30">
        <f t="shared" si="16"/>
        <v>873.32639059307974</v>
      </c>
      <c r="K34" s="31">
        <f t="shared" si="17"/>
        <v>43.66631952965399</v>
      </c>
      <c r="L34" s="32">
        <f t="shared" si="19"/>
        <v>45.177733658187222</v>
      </c>
      <c r="M34" s="33">
        <f t="shared" si="18"/>
        <v>0.90355467316374449</v>
      </c>
      <c r="N34" s="36"/>
      <c r="S34"/>
    </row>
    <row r="35" spans="1:21" ht="15" x14ac:dyDescent="0.3">
      <c r="B35" s="74">
        <v>0.39300000000000002</v>
      </c>
      <c r="C35" s="74">
        <v>0.35699999999999998</v>
      </c>
      <c r="D35" s="27">
        <f t="shared" si="11"/>
        <v>0.375</v>
      </c>
      <c r="E35" s="27">
        <f>D35-E$8</f>
        <v>0.313</v>
      </c>
      <c r="F35" s="27">
        <f t="shared" si="13"/>
        <v>-0.50445566245355156</v>
      </c>
      <c r="G35" s="28">
        <f t="shared" si="14"/>
        <v>0.21976961946301365</v>
      </c>
      <c r="H35" s="28">
        <f t="shared" si="15"/>
        <v>1.6587067785213785</v>
      </c>
      <c r="I35" s="29">
        <v>500</v>
      </c>
      <c r="J35" s="30">
        <f t="shared" si="16"/>
        <v>829.35338926068926</v>
      </c>
      <c r="K35" s="31">
        <f t="shared" si="17"/>
        <v>41.467669463034468</v>
      </c>
      <c r="L35" s="32">
        <f t="shared" si="19"/>
        <v>42.858619987140727</v>
      </c>
      <c r="M35" s="33">
        <f t="shared" si="18"/>
        <v>0.85717239974281456</v>
      </c>
      <c r="N35" s="36"/>
      <c r="S35"/>
    </row>
    <row r="36" spans="1:21" ht="15" x14ac:dyDescent="0.3">
      <c r="B36" s="74">
        <v>0.43099999999999999</v>
      </c>
      <c r="C36" s="74">
        <v>0.372</v>
      </c>
      <c r="D36" s="27">
        <f t="shared" si="11"/>
        <v>0.40149999999999997</v>
      </c>
      <c r="E36" s="27">
        <f t="shared" si="12"/>
        <v>0.33949999999999997</v>
      </c>
      <c r="F36" s="27">
        <f t="shared" si="13"/>
        <v>-0.46916022138347957</v>
      </c>
      <c r="G36" s="28">
        <f t="shared" si="14"/>
        <v>0.24994118165553461</v>
      </c>
      <c r="H36" s="28">
        <f t="shared" si="15"/>
        <v>1.7780385864211463</v>
      </c>
      <c r="I36" s="29">
        <v>500</v>
      </c>
      <c r="J36" s="30">
        <f t="shared" si="16"/>
        <v>889.01929321057321</v>
      </c>
      <c r="K36" s="31">
        <f t="shared" si="17"/>
        <v>44.450964660528662</v>
      </c>
      <c r="L36" s="32">
        <f t="shared" si="19"/>
        <v>46.837993958096739</v>
      </c>
      <c r="M36" s="33">
        <f t="shared" si="18"/>
        <v>0.93675987916193471</v>
      </c>
      <c r="N36" s="37"/>
      <c r="S36"/>
    </row>
    <row r="37" spans="1:21" ht="15" x14ac:dyDescent="0.3"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S38"/>
      <c r="T38"/>
    </row>
    <row r="39" spans="1:21" ht="15" x14ac:dyDescent="0.3">
      <c r="A39" s="19" t="s">
        <v>14</v>
      </c>
      <c r="B39" s="21"/>
      <c r="C39" s="21"/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  <c r="T39"/>
    </row>
    <row r="40" spans="1:21" ht="15" x14ac:dyDescent="0.3">
      <c r="A40" s="1" t="s">
        <v>33</v>
      </c>
      <c r="B40" s="73">
        <v>0.17399999999999999</v>
      </c>
      <c r="C40" s="73">
        <v>0.14199999999999999</v>
      </c>
      <c r="D40" s="27">
        <f>AVERAGE(B40:C40)</f>
        <v>0.15799999999999997</v>
      </c>
      <c r="E40" s="27">
        <f t="shared" ref="E40:E44" si="20">D40-E$8</f>
        <v>9.5999999999999974E-2</v>
      </c>
      <c r="F40" s="27">
        <f t="shared" ref="F40:F45" si="21">LOG(E40)</f>
        <v>-1.0177287669604318</v>
      </c>
      <c r="G40" s="28">
        <f t="shared" ref="G40:G45" si="22">(F40-$B$16)/$B$15</f>
        <v>-0.2189910511752374</v>
      </c>
      <c r="H40" s="27">
        <f t="shared" ref="H40:H45" si="23">10^G40</f>
        <v>0.60396107412610112</v>
      </c>
      <c r="I40" s="41">
        <v>16</v>
      </c>
      <c r="J40" s="42">
        <f t="shared" ref="J40:J45" si="24">H40*I40</f>
        <v>9.6633771860176179</v>
      </c>
      <c r="K40" s="30">
        <f>(0.1*J40/1000)*1000</f>
        <v>0.96633771860176187</v>
      </c>
      <c r="L40" s="68">
        <f>K40*100/L22</f>
        <v>2.1229893793522794</v>
      </c>
      <c r="M40" s="30">
        <f>AVERAGE(L40:L42)</f>
        <v>1.725872242246737</v>
      </c>
      <c r="N40" s="44">
        <f>STDEV(L40:L42)</f>
        <v>0.45383409249111401</v>
      </c>
      <c r="R40"/>
      <c r="S40"/>
      <c r="T40"/>
      <c r="U40"/>
    </row>
    <row r="41" spans="1:21" ht="15" x14ac:dyDescent="0.3">
      <c r="B41" s="73">
        <v>0.14499999999999999</v>
      </c>
      <c r="C41" s="73">
        <v>0.13200000000000001</v>
      </c>
      <c r="D41" s="27">
        <f t="shared" ref="D41:D45" si="25">AVERAGE(B41:C41)</f>
        <v>0.13850000000000001</v>
      </c>
      <c r="E41" s="27">
        <f t="shared" si="20"/>
        <v>7.6500000000000012E-2</v>
      </c>
      <c r="F41" s="27">
        <f t="shared" si="21"/>
        <v>-1.1163385648463824</v>
      </c>
      <c r="G41" s="28">
        <f t="shared" si="22"/>
        <v>-0.30328555379389566</v>
      </c>
      <c r="H41" s="27">
        <f t="shared" si="23"/>
        <v>0.49740992448572235</v>
      </c>
      <c r="I41" s="41">
        <v>16</v>
      </c>
      <c r="J41" s="42">
        <f t="shared" si="24"/>
        <v>7.9585587917715577</v>
      </c>
      <c r="K41" s="30">
        <f t="shared" ref="K41:K45" si="26">(0.1*J41/1000)*1000</f>
        <v>0.79585587917715583</v>
      </c>
      <c r="L41" s="68">
        <f t="shared" ref="L41:L45" si="27">K41*100/L23</f>
        <v>1.8234367360684731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73">
        <v>0.122</v>
      </c>
      <c r="C42" s="73">
        <v>0.107</v>
      </c>
      <c r="D42" s="27">
        <f t="shared" si="25"/>
        <v>0.11449999999999999</v>
      </c>
      <c r="E42" s="27">
        <f>D42-E$8</f>
        <v>5.2499999999999991E-2</v>
      </c>
      <c r="F42" s="27">
        <f t="shared" si="21"/>
        <v>-1.2798406965940432</v>
      </c>
      <c r="G42" s="28">
        <f t="shared" si="22"/>
        <v>-0.44305189718200066</v>
      </c>
      <c r="H42" s="27">
        <f t="shared" si="23"/>
        <v>0.36053555728556758</v>
      </c>
      <c r="I42" s="41">
        <v>16</v>
      </c>
      <c r="J42" s="42">
        <f t="shared" si="24"/>
        <v>5.7685689165690812</v>
      </c>
      <c r="K42" s="30">
        <f t="shared" si="26"/>
        <v>0.57685689165690812</v>
      </c>
      <c r="L42" s="68">
        <f>K42*100/L24</f>
        <v>1.2311906113194577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73">
        <v>0.32400000000000001</v>
      </c>
      <c r="C43" s="73">
        <v>0.27100000000000002</v>
      </c>
      <c r="D43" s="27">
        <f t="shared" si="25"/>
        <v>0.29749999999999999</v>
      </c>
      <c r="E43" s="27">
        <f t="shared" si="20"/>
        <v>0.23549999999999999</v>
      </c>
      <c r="F43" s="27">
        <f t="shared" si="21"/>
        <v>-0.62800908853508508</v>
      </c>
      <c r="G43" s="28">
        <f t="shared" si="22"/>
        <v>0.11415258320846633</v>
      </c>
      <c r="H43" s="27">
        <f t="shared" si="23"/>
        <v>1.3006264544335835</v>
      </c>
      <c r="I43" s="41">
        <v>16</v>
      </c>
      <c r="J43" s="42">
        <f t="shared" si="24"/>
        <v>20.810023270937336</v>
      </c>
      <c r="K43" s="30">
        <f t="shared" si="26"/>
        <v>2.0810023270937337</v>
      </c>
      <c r="L43" s="43">
        <f>K43*100/L25</f>
        <v>4.4034235865764062</v>
      </c>
      <c r="M43" s="30">
        <f>AVERAGE(L43:L45)</f>
        <v>2.8384022807813563</v>
      </c>
      <c r="N43" s="44">
        <f>STDEV(L43:L45)</f>
        <v>1.3971850006780115</v>
      </c>
      <c r="R43"/>
      <c r="S43"/>
      <c r="T43"/>
      <c r="U43"/>
    </row>
    <row r="44" spans="1:21" ht="15" x14ac:dyDescent="0.3">
      <c r="A44" s="45"/>
      <c r="B44" s="73">
        <v>0.16900000000000001</v>
      </c>
      <c r="C44" s="73">
        <v>0.16700000000000001</v>
      </c>
      <c r="D44" s="27">
        <f t="shared" si="25"/>
        <v>0.16800000000000001</v>
      </c>
      <c r="E44" s="27">
        <f t="shared" si="20"/>
        <v>0.10600000000000001</v>
      </c>
      <c r="F44" s="27">
        <f t="shared" si="21"/>
        <v>-0.9746941347352297</v>
      </c>
      <c r="G44" s="28">
        <f t="shared" si="22"/>
        <v>-0.18220380491198213</v>
      </c>
      <c r="H44" s="27">
        <f t="shared" si="23"/>
        <v>0.65734928530475112</v>
      </c>
      <c r="I44" s="41">
        <v>16</v>
      </c>
      <c r="J44" s="42">
        <f t="shared" si="24"/>
        <v>10.517588564876018</v>
      </c>
      <c r="K44" s="30">
        <f t="shared" si="26"/>
        <v>1.0517588564876019</v>
      </c>
      <c r="L44" s="43">
        <f>K44*100/L26</f>
        <v>2.3952397683314879</v>
      </c>
      <c r="M44" s="30"/>
      <c r="N44" s="44"/>
      <c r="R44"/>
      <c r="S44"/>
      <c r="T44"/>
      <c r="U44"/>
    </row>
    <row r="45" spans="1:21" ht="15" x14ac:dyDescent="0.3">
      <c r="A45" s="46"/>
      <c r="B45" s="73">
        <v>0.14799999999999999</v>
      </c>
      <c r="C45" s="73">
        <v>0.13400000000000001</v>
      </c>
      <c r="D45" s="27">
        <f t="shared" si="25"/>
        <v>0.14100000000000001</v>
      </c>
      <c r="E45" s="27">
        <f>D45-E$8</f>
        <v>7.9000000000000015E-2</v>
      </c>
      <c r="F45" s="27">
        <f t="shared" si="21"/>
        <v>-1.1023729087095584</v>
      </c>
      <c r="G45" s="28">
        <f t="shared" si="22"/>
        <v>-0.29134730766587558</v>
      </c>
      <c r="H45" s="27">
        <f t="shared" si="23"/>
        <v>0.51127280435968003</v>
      </c>
      <c r="I45" s="41">
        <v>16</v>
      </c>
      <c r="J45" s="42">
        <f t="shared" si="24"/>
        <v>8.1803648697548805</v>
      </c>
      <c r="K45" s="30">
        <f t="shared" si="26"/>
        <v>0.81803648697548814</v>
      </c>
      <c r="L45" s="43">
        <f t="shared" si="27"/>
        <v>1.7165434874361749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/>
      <c r="C49" s="21"/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66">
        <v>0.113</v>
      </c>
      <c r="C50" s="66">
        <v>0.11</v>
      </c>
      <c r="D50" s="27">
        <f>AVERAGE(B50:C50)</f>
        <v>0.1115</v>
      </c>
      <c r="E50" s="27">
        <f t="shared" ref="E50:E55" si="28">D50-E$8</f>
        <v>4.9500000000000002E-2</v>
      </c>
      <c r="F50" s="27">
        <f t="shared" ref="F50:F55" si="29">LOG(E50)</f>
        <v>-1.3053948010664314</v>
      </c>
      <c r="G50" s="28">
        <f t="shared" ref="G50:G55" si="30">(F50-$B$16)/$B$15</f>
        <v>-0.46489628356697765</v>
      </c>
      <c r="H50" s="27">
        <f t="shared" ref="H50:H55" si="31">10^G50</f>
        <v>0.34284965472351858</v>
      </c>
      <c r="I50" s="41">
        <v>16</v>
      </c>
      <c r="J50" s="42">
        <f t="shared" ref="J50:J55" si="32">H50*I50</f>
        <v>5.4855944755762973</v>
      </c>
      <c r="K50" s="30">
        <f>(0.1*J50/1000)*1000</f>
        <v>0.54855944755762975</v>
      </c>
      <c r="L50" s="68">
        <f t="shared" ref="L50:L55" si="33">K50*100/L31</f>
        <v>1.2312943667976952</v>
      </c>
      <c r="M50" s="30">
        <f>AVERAGE(L50:L52)</f>
        <v>1.4208721307316086</v>
      </c>
      <c r="N50" s="44">
        <f>STDEV(L50:L52)</f>
        <v>0.21359260928679716</v>
      </c>
      <c r="O50" s="48">
        <f>L50/L40</f>
        <v>0.57998140677150312</v>
      </c>
      <c r="P50" s="30">
        <f>AVERAGE(O50:O52)</f>
        <v>0.89276296905385488</v>
      </c>
      <c r="Q50" s="44">
        <f>STDEV(O50:O52)</f>
        <v>0.39893313815256226</v>
      </c>
      <c r="S50"/>
      <c r="T50"/>
    </row>
    <row r="51" spans="1:25" ht="15" x14ac:dyDescent="0.3">
      <c r="B51" s="66">
        <v>0.11799999999999999</v>
      </c>
      <c r="C51" s="66">
        <v>0.114</v>
      </c>
      <c r="D51" s="27">
        <f t="shared" ref="D51:D55" si="34">AVERAGE(B51:C51)</f>
        <v>0.11599999999999999</v>
      </c>
      <c r="E51" s="27">
        <f>D51-E$8</f>
        <v>5.3999999999999992E-2</v>
      </c>
      <c r="F51" s="27">
        <f t="shared" si="29"/>
        <v>-1.2676062401770316</v>
      </c>
      <c r="G51" s="28">
        <f t="shared" si="30"/>
        <v>-0.43259353056335681</v>
      </c>
      <c r="H51" s="27">
        <f t="shared" si="31"/>
        <v>0.36932309760208026</v>
      </c>
      <c r="I51" s="41">
        <v>16</v>
      </c>
      <c r="J51" s="42">
        <f t="shared" si="32"/>
        <v>5.9091695616332842</v>
      </c>
      <c r="K51" s="30">
        <f t="shared" ref="K51:K55" si="35">(0.1*J51/1000)*1000</f>
        <v>0.5909169561633284</v>
      </c>
      <c r="L51" s="68">
        <f>K51*100/L32</f>
        <v>1.3790337595302988</v>
      </c>
      <c r="M51" s="30"/>
      <c r="N51" s="44"/>
      <c r="O51" s="2">
        <f t="shared" ref="O51:O55" si="36">L51/L41</f>
        <v>0.75628275566260927</v>
      </c>
      <c r="P51" s="30"/>
      <c r="Q51" s="44"/>
      <c r="S51"/>
      <c r="T51"/>
    </row>
    <row r="52" spans="1:25" ht="15" x14ac:dyDescent="0.3">
      <c r="B52" s="66">
        <v>0.13600000000000001</v>
      </c>
      <c r="C52" s="66">
        <v>0.13400000000000001</v>
      </c>
      <c r="D52" s="27">
        <f t="shared" si="34"/>
        <v>0.13500000000000001</v>
      </c>
      <c r="E52" s="27">
        <f t="shared" si="28"/>
        <v>7.3000000000000009E-2</v>
      </c>
      <c r="F52" s="27">
        <f t="shared" si="29"/>
        <v>-1.1366771398795441</v>
      </c>
      <c r="G52" s="28">
        <f t="shared" si="30"/>
        <v>-0.32067155501433714</v>
      </c>
      <c r="H52" s="27">
        <f t="shared" si="31"/>
        <v>0.47789055252402651</v>
      </c>
      <c r="I52" s="41">
        <v>16</v>
      </c>
      <c r="J52" s="42">
        <f t="shared" si="32"/>
        <v>7.6462488403844242</v>
      </c>
      <c r="K52" s="30">
        <f t="shared" si="35"/>
        <v>0.76462488403844242</v>
      </c>
      <c r="L52" s="68">
        <f t="shared" si="33"/>
        <v>1.6522882658668314</v>
      </c>
      <c r="M52" s="30"/>
      <c r="N52" s="44"/>
      <c r="O52" s="2">
        <f t="shared" si="36"/>
        <v>1.3420247447274525</v>
      </c>
      <c r="P52" s="30"/>
      <c r="Q52" s="44"/>
      <c r="S52"/>
      <c r="T52"/>
    </row>
    <row r="53" spans="1:25" ht="15" x14ac:dyDescent="0.3">
      <c r="A53" s="1" t="s">
        <v>26</v>
      </c>
      <c r="B53" s="66">
        <v>0.214</v>
      </c>
      <c r="C53" s="66">
        <v>0.23400000000000001</v>
      </c>
      <c r="D53" s="27">
        <f t="shared" si="34"/>
        <v>0.224</v>
      </c>
      <c r="E53" s="27">
        <f t="shared" si="28"/>
        <v>0.16200000000000001</v>
      </c>
      <c r="F53" s="27">
        <f t="shared" si="29"/>
        <v>-0.790484985457369</v>
      </c>
      <c r="G53" s="28">
        <f t="shared" si="30"/>
        <v>-2.4736505018086271E-2</v>
      </c>
      <c r="H53" s="27">
        <f t="shared" si="31"/>
        <v>0.94463383033327175</v>
      </c>
      <c r="I53" s="41">
        <v>16</v>
      </c>
      <c r="J53" s="42">
        <f t="shared" si="32"/>
        <v>15.114141285332348</v>
      </c>
      <c r="K53" s="30">
        <f t="shared" si="35"/>
        <v>1.511414128533235</v>
      </c>
      <c r="L53" s="43">
        <f t="shared" si="33"/>
        <v>3.3454846140989027</v>
      </c>
      <c r="M53" s="30">
        <f>AVERAGE(L53:L55)</f>
        <v>3.8957588414958906</v>
      </c>
      <c r="N53" s="44">
        <f>STDEV(L53:L55)</f>
        <v>1.0409472587149813</v>
      </c>
      <c r="O53" s="2">
        <f>L53/L43</f>
        <v>0.75974626295263259</v>
      </c>
      <c r="P53" s="30">
        <f>AVERAGE(O53:O55)</f>
        <v>1.6945540713986149</v>
      </c>
      <c r="Q53" s="44">
        <f>STDEV(O53:O55)</f>
        <v>1.1430900556212069</v>
      </c>
      <c r="S53"/>
      <c r="T53"/>
    </row>
    <row r="54" spans="1:25" ht="15" x14ac:dyDescent="0.3">
      <c r="A54" s="45"/>
      <c r="B54" s="66">
        <v>0.221</v>
      </c>
      <c r="C54" s="66">
        <v>0.19700000000000001</v>
      </c>
      <c r="D54" s="27">
        <f t="shared" si="34"/>
        <v>0.20900000000000002</v>
      </c>
      <c r="E54" s="27">
        <f t="shared" si="28"/>
        <v>0.14700000000000002</v>
      </c>
      <c r="F54" s="27">
        <f t="shared" si="29"/>
        <v>-0.83268266525182388</v>
      </c>
      <c r="G54" s="28">
        <f t="shared" si="30"/>
        <v>-6.0808300176301143E-2</v>
      </c>
      <c r="H54" s="27">
        <f t="shared" si="31"/>
        <v>0.86934407756641308</v>
      </c>
      <c r="I54" s="41">
        <v>16</v>
      </c>
      <c r="J54" s="42">
        <f t="shared" si="32"/>
        <v>13.909505241062609</v>
      </c>
      <c r="K54" s="30">
        <f t="shared" si="35"/>
        <v>1.390950524106261</v>
      </c>
      <c r="L54" s="43">
        <f>K54*100/L35</f>
        <v>3.2454393644116419</v>
      </c>
      <c r="M54" s="30"/>
      <c r="N54" s="44"/>
      <c r="O54" s="2">
        <f t="shared" si="36"/>
        <v>1.3549538577811768</v>
      </c>
      <c r="P54" s="30"/>
      <c r="Q54" s="44"/>
      <c r="S54"/>
      <c r="T54"/>
    </row>
    <row r="55" spans="1:25" ht="15" x14ac:dyDescent="0.3">
      <c r="A55" s="46"/>
      <c r="B55" s="66">
        <v>0.35</v>
      </c>
      <c r="C55" s="66">
        <v>0.32700000000000001</v>
      </c>
      <c r="D55" s="27">
        <f t="shared" si="34"/>
        <v>0.33850000000000002</v>
      </c>
      <c r="E55" s="27">
        <f t="shared" si="28"/>
        <v>0.27650000000000002</v>
      </c>
      <c r="F55" s="27">
        <f t="shared" si="29"/>
        <v>-0.55830486435928295</v>
      </c>
      <c r="G55" s="28">
        <f t="shared" si="30"/>
        <v>0.17373776676308988</v>
      </c>
      <c r="H55" s="27">
        <f t="shared" si="31"/>
        <v>1.4918933109800478</v>
      </c>
      <c r="I55" s="41">
        <v>16</v>
      </c>
      <c r="J55" s="42">
        <f t="shared" si="32"/>
        <v>23.870292975680766</v>
      </c>
      <c r="K55" s="30">
        <f t="shared" si="35"/>
        <v>2.3870292975680765</v>
      </c>
      <c r="L55" s="43">
        <f t="shared" si="33"/>
        <v>5.0963525459771279</v>
      </c>
      <c r="M55" s="30"/>
      <c r="N55" s="44"/>
      <c r="O55" s="2">
        <f t="shared" si="36"/>
        <v>2.9689620934620349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0.89276296905385488</v>
      </c>
      <c r="O58" s="30">
        <f>Q50</f>
        <v>0.39893313815256226</v>
      </c>
    </row>
    <row r="59" spans="1:25" ht="15" x14ac:dyDescent="0.3">
      <c r="D59"/>
      <c r="E59"/>
      <c r="G59"/>
      <c r="M59" s="2" t="s">
        <v>26</v>
      </c>
      <c r="N59" s="30">
        <f>P53</f>
        <v>1.6945540713986149</v>
      </c>
      <c r="O59" s="30">
        <f>Q53</f>
        <v>1.1430900556212069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1.725872242246737</v>
      </c>
      <c r="C65" s="30">
        <f>N40</f>
        <v>0.45383409249111401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1.4208721307316086</v>
      </c>
      <c r="C66" s="30">
        <f>N50</f>
        <v>0.21359260928679716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2.8384022807813563</v>
      </c>
      <c r="C67" s="30">
        <f>N43</f>
        <v>1.3971850006780115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3.8957588414958906</v>
      </c>
      <c r="C68" s="30">
        <f>N53</f>
        <v>1.0409472587149813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19" zoomScale="60" zoomScaleNormal="60" workbookViewId="0">
      <selection activeCell="D50" sqref="D50:D55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7.875" style="2" customWidth="1"/>
    <col min="5" max="5" width="8.2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3" t="s">
        <v>0</v>
      </c>
      <c r="B1" s="64" t="s">
        <v>44</v>
      </c>
    </row>
    <row r="2" spans="1:20" x14ac:dyDescent="0.2">
      <c r="A2" s="63" t="s">
        <v>1</v>
      </c>
      <c r="B2" s="65"/>
      <c r="C2" s="3"/>
      <c r="E2" s="4" t="s">
        <v>40</v>
      </c>
    </row>
    <row r="3" spans="1:20" ht="15" x14ac:dyDescent="0.3">
      <c r="A3" s="63" t="s">
        <v>2</v>
      </c>
      <c r="B3" s="65" t="s">
        <v>43</v>
      </c>
      <c r="D3" s="10" t="s">
        <v>41</v>
      </c>
      <c r="E3" s="69"/>
      <c r="F3" s="69"/>
    </row>
    <row r="4" spans="1:20" ht="15" x14ac:dyDescent="0.3">
      <c r="D4" s="10" t="s">
        <v>42</v>
      </c>
      <c r="E4" s="70"/>
      <c r="F4" s="70"/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72">
        <v>7.4999999999999997E-2</v>
      </c>
      <c r="D8" s="72">
        <v>4.9000000000000002E-2</v>
      </c>
      <c r="E8" s="11">
        <f t="shared" ref="E8:E13" si="0">AVERAGE(C8:D8)</f>
        <v>6.2E-2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72">
        <v>7.2999999999999995E-2</v>
      </c>
      <c r="D9" s="72">
        <v>7.9000000000000001E-2</v>
      </c>
      <c r="E9" s="11">
        <f t="shared" si="0"/>
        <v>7.5999999999999998E-2</v>
      </c>
      <c r="F9" s="12">
        <f>(E9-$E$8)</f>
        <v>1.3999999999999999E-2</v>
      </c>
      <c r="G9" s="12">
        <f>LOG(B9)</f>
        <v>-0.86341728222799241</v>
      </c>
      <c r="H9" s="12">
        <f>LOG(F9)</f>
        <v>-1.853871964321762</v>
      </c>
      <c r="N9"/>
      <c r="O9"/>
      <c r="P9"/>
    </row>
    <row r="10" spans="1:20" ht="15" x14ac:dyDescent="0.3">
      <c r="A10" s="10">
        <v>10.4</v>
      </c>
      <c r="B10" s="12">
        <f>A10/23</f>
        <v>0.45217391304347826</v>
      </c>
      <c r="C10" s="72">
        <v>0.14799999999999999</v>
      </c>
      <c r="D10" s="72">
        <v>0.14599999999999999</v>
      </c>
      <c r="E10" s="11">
        <f t="shared" si="0"/>
        <v>0.14699999999999999</v>
      </c>
      <c r="F10" s="12">
        <f>(E10-$E$8)</f>
        <v>8.4999999999999992E-2</v>
      </c>
      <c r="G10" s="12">
        <f>LOG(B10)</f>
        <v>-0.34469449671881253</v>
      </c>
      <c r="H10" s="12">
        <f>LOG(F10)</f>
        <v>-1.0705810742857074</v>
      </c>
      <c r="N10"/>
      <c r="O10"/>
      <c r="P10"/>
    </row>
    <row r="11" spans="1:20" ht="15" x14ac:dyDescent="0.3">
      <c r="A11" s="10">
        <v>31.5</v>
      </c>
      <c r="B11" s="12">
        <f t="shared" ref="B11:B13" si="1">A11/23</f>
        <v>1.3695652173913044</v>
      </c>
      <c r="C11" s="72">
        <v>0.34</v>
      </c>
      <c r="D11" s="72">
        <v>0.32600000000000001</v>
      </c>
      <c r="E11" s="11">
        <f t="shared" si="0"/>
        <v>0.33300000000000002</v>
      </c>
      <c r="F11" s="12">
        <f>(E11-$E$8)</f>
        <v>0.27100000000000002</v>
      </c>
      <c r="G11" s="12">
        <f>LOG(B11)</f>
        <v>0.13658271777200767</v>
      </c>
      <c r="H11" s="12">
        <f>LOG(F11)</f>
        <v>-0.56703070912559428</v>
      </c>
      <c r="N11"/>
      <c r="O11"/>
      <c r="Q11"/>
      <c r="R11"/>
      <c r="S11"/>
      <c r="T11"/>
    </row>
    <row r="12" spans="1:20" ht="15" x14ac:dyDescent="0.3">
      <c r="A12" s="10">
        <v>106</v>
      </c>
      <c r="B12" s="12">
        <f>A12/23</f>
        <v>4.6086956521739131</v>
      </c>
      <c r="C12" s="72">
        <v>1.083</v>
      </c>
      <c r="D12" s="72">
        <v>1.0860000000000001</v>
      </c>
      <c r="E12" s="11">
        <f t="shared" si="0"/>
        <v>1.0845</v>
      </c>
      <c r="F12" s="12">
        <f>(E12-$E$8)</f>
        <v>1.0225</v>
      </c>
      <c r="G12" s="12">
        <f>LOG(B12)</f>
        <v>0.66357802924717735</v>
      </c>
      <c r="H12" s="12">
        <f>LOG(F12)</f>
        <v>9.6633166793793981E-3</v>
      </c>
      <c r="N12"/>
      <c r="O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72">
        <v>2.3250000000000002</v>
      </c>
      <c r="D13" s="72">
        <v>1.982</v>
      </c>
      <c r="E13" s="11">
        <f t="shared" si="0"/>
        <v>2.1535000000000002</v>
      </c>
      <c r="F13" s="12">
        <f>(E13-$E$8)</f>
        <v>2.0915000000000004</v>
      </c>
      <c r="G13" s="12">
        <f>LOG(B13)</f>
        <v>0.96049145871632635</v>
      </c>
      <c r="H13" s="12">
        <f>LOG(F13)</f>
        <v>0.32045786891664912</v>
      </c>
      <c r="N13"/>
      <c r="O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1.169824778871448</v>
      </c>
      <c r="N15"/>
    </row>
    <row r="16" spans="1:20" ht="15" x14ac:dyDescent="0.25">
      <c r="A16" s="5" t="s">
        <v>11</v>
      </c>
      <c r="B16" s="11">
        <f>INTERCEPT(H9:H13,G9:G13)</f>
        <v>-0.76154760894453377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6">
        <v>0.621</v>
      </c>
      <c r="C22" s="76">
        <v>0.80900000000000005</v>
      </c>
      <c r="D22" s="27">
        <f>AVERAGE(B22:C22)</f>
        <v>0.71500000000000008</v>
      </c>
      <c r="E22" s="27">
        <f>D22-E$8</f>
        <v>0.65300000000000002</v>
      </c>
      <c r="F22" s="27">
        <f>LOG(E22)</f>
        <v>-0.18508681872492605</v>
      </c>
      <c r="G22" s="28">
        <f>(F22-$B$16)/$B$15</f>
        <v>0.49277532894775089</v>
      </c>
      <c r="H22" s="28">
        <f>10^G22</f>
        <v>3.1101069872060605</v>
      </c>
      <c r="I22" s="29">
        <v>500</v>
      </c>
      <c r="J22" s="30">
        <f>(H22*I22)</f>
        <v>1555.0534936030303</v>
      </c>
      <c r="K22" s="31">
        <f>(0.05*J22/1000)*1000</f>
        <v>77.752674680151529</v>
      </c>
      <c r="L22" s="32">
        <f>K22+K40+K50</f>
        <v>79.277436405680092</v>
      </c>
      <c r="M22" s="33">
        <f>(L22*1000000/50000)/1000</f>
        <v>1.5855487281136018</v>
      </c>
      <c r="N22" s="34"/>
    </row>
    <row r="23" spans="1:17" ht="15" x14ac:dyDescent="0.3">
      <c r="B23" s="76">
        <v>0.496</v>
      </c>
      <c r="C23" s="76">
        <v>0.80100000000000005</v>
      </c>
      <c r="D23" s="27">
        <f t="shared" ref="D23:D27" si="2">AVERAGE(B23:C23)</f>
        <v>0.64850000000000008</v>
      </c>
      <c r="E23" s="27">
        <f t="shared" ref="E23:E27" si="3">D23-E$8</f>
        <v>0.58650000000000002</v>
      </c>
      <c r="F23" s="27">
        <f t="shared" ref="F23:F27" si="4">LOG(E23)</f>
        <v>-0.23173198354845193</v>
      </c>
      <c r="G23" s="28">
        <f t="shared" ref="G23:G27" si="5">(F23-$B$16)/$B$15</f>
        <v>0.45290169516430057</v>
      </c>
      <c r="H23" s="28">
        <f t="shared" ref="H23:H27" si="6">10^G23</f>
        <v>2.8372767232698362</v>
      </c>
      <c r="I23" s="29">
        <v>500</v>
      </c>
      <c r="J23" s="30">
        <f t="shared" ref="J23:J25" si="7">(H23*I23)</f>
        <v>1418.6383616349181</v>
      </c>
      <c r="K23" s="31">
        <f t="shared" ref="K23:K26" si="8">(0.05*J23/1000)*1000</f>
        <v>70.931918081745906</v>
      </c>
      <c r="L23" s="32">
        <f>K23+K41+K51</f>
        <v>72.00466332658263</v>
      </c>
      <c r="M23" s="33">
        <f t="shared" ref="M23:M27" si="9">(L23*1000000/50000)/1000</f>
        <v>1.4400932665316526</v>
      </c>
      <c r="N23" s="34"/>
    </row>
    <row r="24" spans="1:17" ht="15" x14ac:dyDescent="0.3">
      <c r="B24" s="76">
        <v>0.36199999999999999</v>
      </c>
      <c r="C24" s="76">
        <v>0.42299999999999999</v>
      </c>
      <c r="D24" s="27">
        <f t="shared" si="2"/>
        <v>0.39249999999999996</v>
      </c>
      <c r="E24" s="27">
        <f t="shared" si="3"/>
        <v>0.33049999999999996</v>
      </c>
      <c r="F24" s="27">
        <f t="shared" si="4"/>
        <v>-0.48082853617834104</v>
      </c>
      <c r="G24" s="28">
        <f t="shared" si="5"/>
        <v>0.23996676924300384</v>
      </c>
      <c r="H24" s="28">
        <f t="shared" si="6"/>
        <v>1.737667863146191</v>
      </c>
      <c r="I24" s="29">
        <v>500</v>
      </c>
      <c r="J24" s="30">
        <f t="shared" si="7"/>
        <v>868.83393157309547</v>
      </c>
      <c r="K24" s="31">
        <f t="shared" si="8"/>
        <v>43.441696578654778</v>
      </c>
      <c r="L24" s="32">
        <f t="shared" ref="L24:L27" si="10">K24+K42+K52</f>
        <v>44.630851573194953</v>
      </c>
      <c r="M24" s="33">
        <f t="shared" si="9"/>
        <v>0.89261703146389904</v>
      </c>
      <c r="N24" s="34"/>
    </row>
    <row r="25" spans="1:17" ht="15" x14ac:dyDescent="0.3">
      <c r="A25" s="1" t="s">
        <v>26</v>
      </c>
      <c r="B25" s="76">
        <v>0.187</v>
      </c>
      <c r="C25" s="76">
        <v>0.16600000000000001</v>
      </c>
      <c r="D25" s="27">
        <f t="shared" si="2"/>
        <v>0.17649999999999999</v>
      </c>
      <c r="E25" s="27">
        <f t="shared" si="3"/>
        <v>0.11449999999999999</v>
      </c>
      <c r="F25" s="27">
        <f t="shared" si="4"/>
        <v>-0.94119451332409321</v>
      </c>
      <c r="G25" s="28">
        <f t="shared" si="5"/>
        <v>-0.15356736121871875</v>
      </c>
      <c r="H25" s="28">
        <f t="shared" si="6"/>
        <v>0.70215442767025482</v>
      </c>
      <c r="I25" s="29">
        <v>500</v>
      </c>
      <c r="J25" s="30">
        <f t="shared" si="7"/>
        <v>351.0772138351274</v>
      </c>
      <c r="K25" s="31">
        <f t="shared" si="8"/>
        <v>17.55386069175637</v>
      </c>
      <c r="L25" s="32">
        <f t="shared" si="10"/>
        <v>21.28491413999275</v>
      </c>
      <c r="M25" s="33">
        <f t="shared" si="9"/>
        <v>0.425698282799855</v>
      </c>
      <c r="N25" s="34"/>
    </row>
    <row r="26" spans="1:17" ht="15" x14ac:dyDescent="0.3">
      <c r="B26" s="76">
        <v>0.17100000000000001</v>
      </c>
      <c r="C26" s="76">
        <v>0.109</v>
      </c>
      <c r="D26" s="27">
        <f t="shared" si="2"/>
        <v>0.14000000000000001</v>
      </c>
      <c r="E26" s="27">
        <f t="shared" si="3"/>
        <v>7.8000000000000014E-2</v>
      </c>
      <c r="F26" s="27">
        <f t="shared" si="4"/>
        <v>-1.1079053973095194</v>
      </c>
      <c r="G26" s="28">
        <f t="shared" si="5"/>
        <v>-0.2960766386732922</v>
      </c>
      <c r="H26" s="28">
        <f t="shared" si="6"/>
        <v>0.50573540848414622</v>
      </c>
      <c r="I26" s="29">
        <v>500</v>
      </c>
      <c r="J26" s="30">
        <f>(H26*I26)</f>
        <v>252.8677042420731</v>
      </c>
      <c r="K26" s="31">
        <f t="shared" si="8"/>
        <v>12.643385212103656</v>
      </c>
      <c r="L26" s="32">
        <f t="shared" si="10"/>
        <v>15.67422044669965</v>
      </c>
      <c r="M26" s="33">
        <f t="shared" si="9"/>
        <v>0.31348440893399299</v>
      </c>
      <c r="N26" s="34"/>
    </row>
    <row r="27" spans="1:17" ht="15" x14ac:dyDescent="0.3">
      <c r="B27" s="76">
        <v>0.153</v>
      </c>
      <c r="C27" s="76">
        <v>0.123</v>
      </c>
      <c r="D27" s="27">
        <f t="shared" si="2"/>
        <v>0.13800000000000001</v>
      </c>
      <c r="E27" s="27">
        <f t="shared" si="3"/>
        <v>7.6000000000000012E-2</v>
      </c>
      <c r="F27" s="27">
        <f t="shared" si="4"/>
        <v>-1.1191864077192086</v>
      </c>
      <c r="G27" s="28">
        <f t="shared" si="5"/>
        <v>-0.30571997211385432</v>
      </c>
      <c r="H27" s="28">
        <f t="shared" si="6"/>
        <v>0.49462951538132188</v>
      </c>
      <c r="I27" s="29">
        <v>500</v>
      </c>
      <c r="J27" s="30">
        <f>(H27*I27)</f>
        <v>247.31475769066094</v>
      </c>
      <c r="K27" s="31">
        <f>(0.05*J27/1000)*1000</f>
        <v>12.365737884533047</v>
      </c>
      <c r="L27" s="32">
        <f t="shared" si="10"/>
        <v>15.590307856699607</v>
      </c>
      <c r="M27" s="33">
        <f t="shared" si="9"/>
        <v>0.31180615713399212</v>
      </c>
      <c r="N27" s="34"/>
    </row>
    <row r="28" spans="1:17" ht="23.25" x14ac:dyDescent="0.35">
      <c r="A28" s="14" t="s">
        <v>12</v>
      </c>
      <c r="B28" s="15"/>
      <c r="C28" s="15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6">
        <v>0.621</v>
      </c>
      <c r="C31" s="76">
        <v>0.80900000000000005</v>
      </c>
      <c r="D31" s="27">
        <f>AVERAGE(B31:C31)</f>
        <v>0.71500000000000008</v>
      </c>
      <c r="E31" s="27">
        <f t="shared" ref="E31:E36" si="11">D31-E$8</f>
        <v>0.65300000000000002</v>
      </c>
      <c r="F31" s="27">
        <f>LOG(E31)</f>
        <v>-0.18508681872492605</v>
      </c>
      <c r="G31" s="28">
        <f>(F31-$B$16)/$B$15</f>
        <v>0.49277532894775089</v>
      </c>
      <c r="H31" s="28">
        <f>10^G31</f>
        <v>3.1101069872060605</v>
      </c>
      <c r="I31" s="29">
        <v>500</v>
      </c>
      <c r="J31" s="30">
        <f>(H31*I31)</f>
        <v>1555.0534936030303</v>
      </c>
      <c r="K31" s="31">
        <f>(0.05*J31/1000)*1000</f>
        <v>77.752674680151529</v>
      </c>
      <c r="L31" s="32">
        <f>K31+K50</f>
        <v>78.508336868766236</v>
      </c>
      <c r="M31" s="33">
        <f>(L31*1000000/50000)/1000</f>
        <v>1.5701667373753245</v>
      </c>
      <c r="N31" s="35"/>
      <c r="Q31"/>
    </row>
    <row r="32" spans="1:17" ht="15" x14ac:dyDescent="0.3">
      <c r="B32" s="76">
        <v>0.496</v>
      </c>
      <c r="C32" s="76">
        <v>0.80100000000000005</v>
      </c>
      <c r="D32" s="27">
        <f t="shared" ref="D32:D36" si="12">AVERAGE(B32:C32)</f>
        <v>0.64850000000000008</v>
      </c>
      <c r="E32" s="27">
        <f t="shared" si="11"/>
        <v>0.58650000000000002</v>
      </c>
      <c r="F32" s="27">
        <f t="shared" ref="F32:F36" si="13">LOG(E32)</f>
        <v>-0.23173198354845193</v>
      </c>
      <c r="G32" s="28">
        <f t="shared" ref="G32:G36" si="14">(F32-$B$16)/$B$15</f>
        <v>0.45290169516430057</v>
      </c>
      <c r="H32" s="28">
        <f t="shared" ref="H32:H35" si="15">10^G32</f>
        <v>2.8372767232698362</v>
      </c>
      <c r="I32" s="29">
        <v>500</v>
      </c>
      <c r="J32" s="30">
        <f t="shared" ref="J32:J33" si="16">(H32*I32)</f>
        <v>1418.6383616349181</v>
      </c>
      <c r="K32" s="31">
        <f t="shared" ref="K32:K35" si="17">(0.05*J32/1000)*1000</f>
        <v>70.931918081745906</v>
      </c>
      <c r="L32" s="32">
        <f>K32+K51</f>
        <v>71.513468061742074</v>
      </c>
      <c r="M32" s="33">
        <f t="shared" ref="M32:M36" si="18">(L32*1000000/50000)/1000</f>
        <v>1.4302693612348414</v>
      </c>
      <c r="N32" s="36"/>
    </row>
    <row r="33" spans="1:21" ht="15" x14ac:dyDescent="0.3">
      <c r="B33" s="76">
        <v>0.36199999999999999</v>
      </c>
      <c r="C33" s="76">
        <v>0.42299999999999999</v>
      </c>
      <c r="D33" s="27">
        <f t="shared" si="12"/>
        <v>0.39249999999999996</v>
      </c>
      <c r="E33" s="27">
        <f t="shared" si="11"/>
        <v>0.33049999999999996</v>
      </c>
      <c r="F33" s="27">
        <f t="shared" si="13"/>
        <v>-0.48082853617834104</v>
      </c>
      <c r="G33" s="28">
        <f t="shared" si="14"/>
        <v>0.23996676924300384</v>
      </c>
      <c r="H33" s="28">
        <f t="shared" si="15"/>
        <v>1.737667863146191</v>
      </c>
      <c r="I33" s="29">
        <v>500</v>
      </c>
      <c r="J33" s="30">
        <f t="shared" si="16"/>
        <v>868.83393157309547</v>
      </c>
      <c r="K33" s="31">
        <f t="shared" si="17"/>
        <v>43.441696578654778</v>
      </c>
      <c r="L33" s="32">
        <f t="shared" ref="L33:L35" si="19">K33+K52</f>
        <v>44.120414440702639</v>
      </c>
      <c r="M33" s="33">
        <f t="shared" si="18"/>
        <v>0.88240828881405275</v>
      </c>
      <c r="N33" s="36"/>
      <c r="R33"/>
      <c r="S33"/>
    </row>
    <row r="34" spans="1:21" ht="15" x14ac:dyDescent="0.3">
      <c r="A34" s="1" t="s">
        <v>26</v>
      </c>
      <c r="B34" s="76">
        <v>0.187</v>
      </c>
      <c r="C34" s="76">
        <v>0.16600000000000001</v>
      </c>
      <c r="D34" s="27">
        <f t="shared" si="12"/>
        <v>0.17649999999999999</v>
      </c>
      <c r="E34" s="27">
        <f t="shared" si="11"/>
        <v>0.11449999999999999</v>
      </c>
      <c r="F34" s="27">
        <f t="shared" si="13"/>
        <v>-0.94119451332409321</v>
      </c>
      <c r="G34" s="28">
        <f t="shared" si="14"/>
        <v>-0.15356736121871875</v>
      </c>
      <c r="H34" s="28">
        <f>10^G34</f>
        <v>0.70215442767025482</v>
      </c>
      <c r="I34" s="29">
        <v>500</v>
      </c>
      <c r="J34" s="30">
        <f>(H34*I34)</f>
        <v>351.0772138351274</v>
      </c>
      <c r="K34" s="31">
        <f t="shared" si="17"/>
        <v>17.55386069175637</v>
      </c>
      <c r="L34" s="32">
        <f t="shared" si="19"/>
        <v>19.963011882956305</v>
      </c>
      <c r="M34" s="33">
        <f t="shared" si="18"/>
        <v>0.39926023765912605</v>
      </c>
      <c r="N34" s="36"/>
    </row>
    <row r="35" spans="1:21" ht="15" x14ac:dyDescent="0.3">
      <c r="B35" s="76">
        <v>0.17100000000000001</v>
      </c>
      <c r="C35" s="76">
        <v>0.109</v>
      </c>
      <c r="D35" s="27">
        <f t="shared" si="12"/>
        <v>0.14000000000000001</v>
      </c>
      <c r="E35" s="27">
        <f t="shared" si="11"/>
        <v>7.8000000000000014E-2</v>
      </c>
      <c r="F35" s="27">
        <f t="shared" si="13"/>
        <v>-1.1079053973095194</v>
      </c>
      <c r="G35" s="28">
        <f t="shared" si="14"/>
        <v>-0.2960766386732922</v>
      </c>
      <c r="H35" s="28">
        <f t="shared" si="15"/>
        <v>0.50573540848414622</v>
      </c>
      <c r="I35" s="29">
        <v>500</v>
      </c>
      <c r="J35" s="30">
        <f>(H35*I35)</f>
        <v>252.8677042420731</v>
      </c>
      <c r="K35" s="31">
        <f t="shared" si="17"/>
        <v>12.643385212103656</v>
      </c>
      <c r="L35" s="32">
        <f t="shared" si="19"/>
        <v>14.777150766194888</v>
      </c>
      <c r="M35" s="33">
        <f t="shared" si="18"/>
        <v>0.29554301532389776</v>
      </c>
      <c r="N35" s="36"/>
      <c r="R35"/>
      <c r="S35"/>
    </row>
    <row r="36" spans="1:21" ht="15" x14ac:dyDescent="0.3">
      <c r="B36" s="76">
        <v>0.153</v>
      </c>
      <c r="C36" s="76">
        <v>0.123</v>
      </c>
      <c r="D36" s="27">
        <f t="shared" si="12"/>
        <v>0.13800000000000001</v>
      </c>
      <c r="E36" s="27">
        <f t="shared" si="11"/>
        <v>7.6000000000000012E-2</v>
      </c>
      <c r="F36" s="27">
        <f t="shared" si="13"/>
        <v>-1.1191864077192086</v>
      </c>
      <c r="G36" s="28">
        <f t="shared" si="14"/>
        <v>-0.30571997211385432</v>
      </c>
      <c r="H36" s="28">
        <f>10^G36</f>
        <v>0.49462951538132188</v>
      </c>
      <c r="I36" s="29">
        <v>500</v>
      </c>
      <c r="J36" s="30">
        <f>(H36*I36)</f>
        <v>247.31475769066094</v>
      </c>
      <c r="K36" s="31">
        <f>(0.05*J36/1000)*1000</f>
        <v>12.365737884533047</v>
      </c>
      <c r="L36" s="32">
        <f>K36+K55</f>
        <v>14.454291606422881</v>
      </c>
      <c r="M36" s="33">
        <f t="shared" si="18"/>
        <v>0.28908583212845762</v>
      </c>
      <c r="N36" s="37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</row>
    <row r="40" spans="1:21" ht="15" x14ac:dyDescent="0.3">
      <c r="A40" s="1" t="s">
        <v>33</v>
      </c>
      <c r="B40" s="75">
        <v>0.128</v>
      </c>
      <c r="C40" s="75">
        <v>0.14299999999999999</v>
      </c>
      <c r="D40" s="27">
        <f>AVERAGE(B40:C40)</f>
        <v>0.13550000000000001</v>
      </c>
      <c r="E40" s="27">
        <f t="shared" ref="E40:E45" si="20">D40-E$8</f>
        <v>7.350000000000001E-2</v>
      </c>
      <c r="F40" s="27">
        <f t="shared" ref="F40:F45" si="21">LOG(E40)</f>
        <v>-1.133712660915805</v>
      </c>
      <c r="G40" s="28">
        <f t="shared" ref="G40:G45" si="22">(F40-$B$16)/$B$15</f>
        <v>-0.31813743279596618</v>
      </c>
      <c r="H40" s="27">
        <f t="shared" ref="H40:H45" si="23">10^G40</f>
        <v>0.48068721057116276</v>
      </c>
      <c r="I40" s="41">
        <v>16</v>
      </c>
      <c r="J40" s="42">
        <f t="shared" ref="J40:J45" si="24">H40*I40</f>
        <v>7.6909953691386042</v>
      </c>
      <c r="K40" s="30">
        <f>(0.1*J40/1000)*1000</f>
        <v>0.76909953691386046</v>
      </c>
      <c r="L40" s="43">
        <f>K40*100/L22</f>
        <v>0.97013673976313874</v>
      </c>
      <c r="M40" s="30">
        <f>AVERAGE(L40:L42)</f>
        <v>0.93199831489000096</v>
      </c>
      <c r="N40" s="44">
        <f>STDEV(L41:L42)</f>
        <v>0.32634058412700434</v>
      </c>
      <c r="R40"/>
      <c r="S40"/>
      <c r="T40"/>
      <c r="U40"/>
    </row>
    <row r="41" spans="1:21" ht="15" x14ac:dyDescent="0.3">
      <c r="B41" s="75">
        <v>0.112</v>
      </c>
      <c r="C41" s="75">
        <v>9.9000000000000005E-2</v>
      </c>
      <c r="D41" s="27">
        <f t="shared" ref="D41:D45" si="25">AVERAGE(B41:C41)</f>
        <v>0.10550000000000001</v>
      </c>
      <c r="E41" s="27">
        <f t="shared" si="20"/>
        <v>4.3500000000000011E-2</v>
      </c>
      <c r="F41" s="27">
        <f t="shared" si="21"/>
        <v>-1.3615107430453626</v>
      </c>
      <c r="G41" s="28">
        <f t="shared" si="22"/>
        <v>-0.51286581113423202</v>
      </c>
      <c r="H41" s="27">
        <f t="shared" si="23"/>
        <v>0.30699704052534871</v>
      </c>
      <c r="I41" s="41">
        <v>16</v>
      </c>
      <c r="J41" s="42">
        <f t="shared" si="24"/>
        <v>4.9119526484055793</v>
      </c>
      <c r="K41" s="30">
        <f t="shared" ref="K41:K45" si="26">(0.1*J41/1000)*1000</f>
        <v>0.49119526484055792</v>
      </c>
      <c r="L41" s="43">
        <f t="shared" ref="L41:L45" si="27">K41*100/L23</f>
        <v>0.68217146244084825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75">
        <v>0.11</v>
      </c>
      <c r="C42" s="75">
        <v>0.105</v>
      </c>
      <c r="D42" s="27">
        <f t="shared" si="25"/>
        <v>0.1075</v>
      </c>
      <c r="E42" s="27">
        <f t="shared" si="20"/>
        <v>4.5499999999999999E-2</v>
      </c>
      <c r="F42" s="27">
        <f t="shared" si="21"/>
        <v>-1.3419886033428876</v>
      </c>
      <c r="G42" s="28">
        <f t="shared" si="22"/>
        <v>-0.49617772240926217</v>
      </c>
      <c r="H42" s="27">
        <f t="shared" si="23"/>
        <v>0.31902320780769744</v>
      </c>
      <c r="I42" s="41">
        <v>16</v>
      </c>
      <c r="J42" s="42">
        <f t="shared" si="24"/>
        <v>5.104371324923159</v>
      </c>
      <c r="K42" s="30">
        <f t="shared" si="26"/>
        <v>0.51043713249231593</v>
      </c>
      <c r="L42" s="43">
        <f t="shared" si="27"/>
        <v>1.1436867424660158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75">
        <v>0.23899999999999999</v>
      </c>
      <c r="C43" s="75">
        <v>0.16200000000000001</v>
      </c>
      <c r="D43" s="27">
        <f t="shared" si="25"/>
        <v>0.20050000000000001</v>
      </c>
      <c r="E43" s="27">
        <f t="shared" si="20"/>
        <v>0.13850000000000001</v>
      </c>
      <c r="F43" s="27">
        <f t="shared" si="21"/>
        <v>-0.85855022659953262</v>
      </c>
      <c r="G43" s="28">
        <f t="shared" si="22"/>
        <v>-8.2920638549457901E-2</v>
      </c>
      <c r="H43" s="27">
        <f t="shared" si="23"/>
        <v>0.82618891064777833</v>
      </c>
      <c r="I43" s="41">
        <v>16</v>
      </c>
      <c r="J43" s="42">
        <f t="shared" si="24"/>
        <v>13.219022570364453</v>
      </c>
      <c r="K43" s="30">
        <f t="shared" si="26"/>
        <v>1.3219022570364454</v>
      </c>
      <c r="L43" s="43">
        <f t="shared" si="27"/>
        <v>6.2105125176553591</v>
      </c>
      <c r="M43" s="30">
        <f>AVERAGE(L43:L45)</f>
        <v>6.4068041065903634</v>
      </c>
      <c r="N43" s="44">
        <f>STDEV(L44:L45)</f>
        <v>1.1055369885881188</v>
      </c>
      <c r="R43"/>
      <c r="S43"/>
      <c r="T43"/>
      <c r="U43"/>
    </row>
    <row r="44" spans="1:21" ht="15" x14ac:dyDescent="0.3">
      <c r="A44" s="45"/>
      <c r="B44" s="75">
        <v>0.16500000000000001</v>
      </c>
      <c r="C44" s="75">
        <v>0.13500000000000001</v>
      </c>
      <c r="D44" s="27">
        <f t="shared" si="25"/>
        <v>0.15000000000000002</v>
      </c>
      <c r="E44" s="27">
        <f t="shared" si="20"/>
        <v>8.8000000000000023E-2</v>
      </c>
      <c r="F44" s="27">
        <f t="shared" si="21"/>
        <v>-1.0555173278498313</v>
      </c>
      <c r="G44" s="28">
        <f t="shared" si="22"/>
        <v>-0.25129380417885805</v>
      </c>
      <c r="H44" s="27">
        <f t="shared" si="23"/>
        <v>0.5606685503154758</v>
      </c>
      <c r="I44" s="41">
        <v>16</v>
      </c>
      <c r="J44" s="42">
        <f t="shared" si="24"/>
        <v>8.9706968050476128</v>
      </c>
      <c r="K44" s="30">
        <f t="shared" si="26"/>
        <v>0.89706968050476132</v>
      </c>
      <c r="L44" s="43">
        <f t="shared" si="27"/>
        <v>5.7232171995746528</v>
      </c>
      <c r="M44" s="30"/>
      <c r="N44" s="44"/>
      <c r="R44"/>
      <c r="S44"/>
      <c r="T44"/>
      <c r="U44"/>
    </row>
    <row r="45" spans="1:21" ht="15" x14ac:dyDescent="0.3">
      <c r="A45" s="46"/>
      <c r="B45" s="75">
        <v>0.2</v>
      </c>
      <c r="C45" s="75">
        <v>0.156</v>
      </c>
      <c r="D45" s="27">
        <f t="shared" si="25"/>
        <v>0.17799999999999999</v>
      </c>
      <c r="E45" s="27">
        <f t="shared" si="20"/>
        <v>0.11599999999999999</v>
      </c>
      <c r="F45" s="27">
        <f t="shared" si="21"/>
        <v>-0.93554201077308152</v>
      </c>
      <c r="G45" s="28">
        <f t="shared" si="22"/>
        <v>-0.14873543882050733</v>
      </c>
      <c r="H45" s="27">
        <f t="shared" si="23"/>
        <v>0.71001015642295318</v>
      </c>
      <c r="I45" s="41">
        <v>16</v>
      </c>
      <c r="J45" s="42">
        <f t="shared" si="24"/>
        <v>11.360162502767251</v>
      </c>
      <c r="K45" s="30">
        <f t="shared" si="26"/>
        <v>1.136016250276725</v>
      </c>
      <c r="L45" s="43">
        <f t="shared" si="27"/>
        <v>7.2866826025410774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67">
        <v>0.14399999999999999</v>
      </c>
      <c r="C50" s="67">
        <v>0.124</v>
      </c>
      <c r="D50" s="27">
        <f>AVERAGE(B50:C50)</f>
        <v>0.13400000000000001</v>
      </c>
      <c r="E50" s="27">
        <f t="shared" ref="E50:E55" si="28">D50-E$8</f>
        <v>7.2000000000000008E-2</v>
      </c>
      <c r="F50" s="27">
        <f t="shared" ref="F50:F55" si="29">LOG(E50)</f>
        <v>-1.1426675035687315</v>
      </c>
      <c r="G50" s="28">
        <f t="shared" ref="G50:G55" si="30">(F50-$B$16)/$B$15</f>
        <v>-0.3257922908692969</v>
      </c>
      <c r="H50" s="27">
        <f t="shared" ref="H50:H55" si="31">10^G50</f>
        <v>0.47228886788419178</v>
      </c>
      <c r="I50" s="41">
        <v>16</v>
      </c>
      <c r="J50" s="42">
        <f t="shared" ref="J50:J55" si="32">H50*I50</f>
        <v>7.5566218861470684</v>
      </c>
      <c r="K50" s="30">
        <f>(0.1*J50/1000)*1000</f>
        <v>0.75566218861470691</v>
      </c>
      <c r="L50" s="43">
        <f t="shared" ref="L50:L55" si="33">K50*100/L31</f>
        <v>0.96252476966600931</v>
      </c>
      <c r="M50" s="30">
        <f>AVERAGE(L50:L52)</f>
        <v>1.1046862883327608</v>
      </c>
      <c r="N50" s="44">
        <f>STDEV(L51:L52)</f>
        <v>0.51274237582214</v>
      </c>
      <c r="O50" s="48">
        <f>L50/L40</f>
        <v>0.99215371422899834</v>
      </c>
      <c r="P50" s="30">
        <f>AVERAGE(O50:O52)</f>
        <v>1.1764324543622171</v>
      </c>
      <c r="Q50" s="44">
        <f>STDEV(O50:O52)</f>
        <v>0.17697424151470004</v>
      </c>
      <c r="S50"/>
      <c r="T50"/>
    </row>
    <row r="51" spans="1:25" ht="15" x14ac:dyDescent="0.3">
      <c r="B51" s="67">
        <v>0.121</v>
      </c>
      <c r="C51" s="67">
        <v>0.109</v>
      </c>
      <c r="D51" s="27">
        <f t="shared" ref="D51:D55" si="34">AVERAGE(B51:C51)</f>
        <v>0.11499999999999999</v>
      </c>
      <c r="E51" s="27">
        <f t="shared" si="28"/>
        <v>5.2999999999999992E-2</v>
      </c>
      <c r="F51" s="27">
        <f t="shared" si="29"/>
        <v>-1.2757241303992111</v>
      </c>
      <c r="G51" s="28">
        <f t="shared" si="30"/>
        <v>-0.43953293753164735</v>
      </c>
      <c r="H51" s="27">
        <f t="shared" si="31"/>
        <v>0.3634687374976095</v>
      </c>
      <c r="I51" s="41">
        <v>16</v>
      </c>
      <c r="J51" s="42">
        <f t="shared" si="32"/>
        <v>5.8154997999617519</v>
      </c>
      <c r="K51" s="30">
        <f t="shared" ref="K51:K55" si="35">(0.1*J51/1000)*1000</f>
        <v>0.58154997999617519</v>
      </c>
      <c r="L51" s="43">
        <f t="shared" si="33"/>
        <v>0.81320343672060003</v>
      </c>
      <c r="M51" s="30"/>
      <c r="N51" s="44"/>
      <c r="O51" s="2">
        <f>L51/L41</f>
        <v>1.1920807033042864</v>
      </c>
      <c r="P51" s="30"/>
      <c r="Q51" s="44"/>
      <c r="S51"/>
      <c r="T51"/>
    </row>
    <row r="52" spans="1:25" ht="15" x14ac:dyDescent="0.3">
      <c r="B52" s="67">
        <v>0.13700000000000001</v>
      </c>
      <c r="C52" s="67">
        <v>0.114</v>
      </c>
      <c r="D52" s="27">
        <f t="shared" si="34"/>
        <v>0.1255</v>
      </c>
      <c r="E52" s="27">
        <f t="shared" si="28"/>
        <v>6.3500000000000001E-2</v>
      </c>
      <c r="F52" s="27">
        <f t="shared" si="29"/>
        <v>-1.1972262747080242</v>
      </c>
      <c r="G52" s="28">
        <f t="shared" si="30"/>
        <v>-0.37243070383908083</v>
      </c>
      <c r="H52" s="27">
        <f t="shared" si="31"/>
        <v>0.42419866377991283</v>
      </c>
      <c r="I52" s="41">
        <v>16</v>
      </c>
      <c r="J52" s="42">
        <f t="shared" si="32"/>
        <v>6.7871786204786053</v>
      </c>
      <c r="K52" s="30">
        <f t="shared" si="35"/>
        <v>0.67871786204786055</v>
      </c>
      <c r="L52" s="43">
        <f t="shared" si="33"/>
        <v>1.5383306586116732</v>
      </c>
      <c r="M52" s="30"/>
      <c r="N52" s="44"/>
      <c r="O52" s="2">
        <f t="shared" ref="O52:O55" si="36">L52/L42</f>
        <v>1.345062945553366</v>
      </c>
      <c r="P52" s="30"/>
      <c r="Q52" s="44"/>
      <c r="S52"/>
      <c r="T52"/>
    </row>
    <row r="53" spans="1:25" ht="15" x14ac:dyDescent="0.3">
      <c r="A53" s="1" t="s">
        <v>26</v>
      </c>
      <c r="B53" s="67">
        <v>0.46800000000000003</v>
      </c>
      <c r="C53" s="67">
        <v>0.215</v>
      </c>
      <c r="D53" s="27">
        <f t="shared" si="34"/>
        <v>0.34150000000000003</v>
      </c>
      <c r="E53" s="27">
        <f t="shared" si="28"/>
        <v>0.27950000000000003</v>
      </c>
      <c r="F53" s="27">
        <f t="shared" si="29"/>
        <v>-0.55361818777755789</v>
      </c>
      <c r="G53" s="28">
        <f t="shared" si="30"/>
        <v>0.17774407323425762</v>
      </c>
      <c r="H53" s="27">
        <f t="shared" si="31"/>
        <v>1.5057194944999595</v>
      </c>
      <c r="I53" s="41">
        <v>16</v>
      </c>
      <c r="J53" s="42">
        <f t="shared" si="32"/>
        <v>24.091511911999351</v>
      </c>
      <c r="K53" s="30">
        <f t="shared" si="35"/>
        <v>2.4091511911999355</v>
      </c>
      <c r="L53" s="43">
        <f t="shared" si="33"/>
        <v>12.068074724018881</v>
      </c>
      <c r="M53" s="30">
        <f>AVERAGE(L53:L55)</f>
        <v>13.652356657407926</v>
      </c>
      <c r="N53" s="44">
        <f>STDEV(L54:L55)</f>
        <v>6.8871243413600207E-3</v>
      </c>
      <c r="O53" s="2">
        <f>L53/L43</f>
        <v>1.9431688914097729</v>
      </c>
      <c r="P53" s="30">
        <f>AVERAGE(O53:O55)</f>
        <v>2.1497144178173992</v>
      </c>
      <c r="Q53" s="44">
        <f>STDEV(O53:O55)</f>
        <v>0.3238797018748813</v>
      </c>
      <c r="S53"/>
      <c r="T53"/>
    </row>
    <row r="54" spans="1:25" ht="15" x14ac:dyDescent="0.3">
      <c r="A54" s="45"/>
      <c r="B54" s="67">
        <v>0.40300000000000002</v>
      </c>
      <c r="C54" s="67">
        <v>0.20599999999999999</v>
      </c>
      <c r="D54" s="27">
        <f t="shared" si="34"/>
        <v>0.30449999999999999</v>
      </c>
      <c r="E54" s="27">
        <f t="shared" si="28"/>
        <v>0.24249999999999999</v>
      </c>
      <c r="F54" s="27">
        <f t="shared" si="29"/>
        <v>-0.61528825706171753</v>
      </c>
      <c r="G54" s="28">
        <f t="shared" si="30"/>
        <v>0.12502671726950032</v>
      </c>
      <c r="H54" s="27">
        <f t="shared" si="31"/>
        <v>1.3336034713070202</v>
      </c>
      <c r="I54" s="41">
        <v>16</v>
      </c>
      <c r="J54" s="42">
        <f t="shared" si="32"/>
        <v>21.337655540912323</v>
      </c>
      <c r="K54" s="30">
        <f t="shared" si="35"/>
        <v>2.1337655540912324</v>
      </c>
      <c r="L54" s="43">
        <f t="shared" si="33"/>
        <v>14.439627691777799</v>
      </c>
      <c r="M54" s="30"/>
      <c r="N54" s="44"/>
      <c r="O54" s="2">
        <f t="shared" si="36"/>
        <v>2.5229913854834911</v>
      </c>
      <c r="P54" s="30"/>
      <c r="Q54" s="44"/>
      <c r="S54"/>
      <c r="T54"/>
    </row>
    <row r="55" spans="1:25" ht="15" x14ac:dyDescent="0.3">
      <c r="A55" s="46"/>
      <c r="B55" s="67">
        <v>0.40100000000000002</v>
      </c>
      <c r="C55" s="67">
        <v>0.19600000000000001</v>
      </c>
      <c r="D55" s="27">
        <f t="shared" si="34"/>
        <v>0.29849999999999999</v>
      </c>
      <c r="E55" s="27">
        <f t="shared" si="28"/>
        <v>0.23649999999999999</v>
      </c>
      <c r="F55" s="27">
        <f t="shared" si="29"/>
        <v>-0.62616885492616969</v>
      </c>
      <c r="G55" s="28">
        <f t="shared" si="30"/>
        <v>0.11572566803463209</v>
      </c>
      <c r="H55" s="27">
        <f t="shared" si="31"/>
        <v>1.3053460761811457</v>
      </c>
      <c r="I55" s="41">
        <v>16</v>
      </c>
      <c r="J55" s="42">
        <f t="shared" si="32"/>
        <v>20.885537218898332</v>
      </c>
      <c r="K55" s="30">
        <f t="shared" si="35"/>
        <v>2.0885537218898333</v>
      </c>
      <c r="L55" s="43">
        <f t="shared" si="33"/>
        <v>14.4493675564271</v>
      </c>
      <c r="M55" s="30"/>
      <c r="N55" s="44"/>
      <c r="O55" s="2">
        <f t="shared" si="36"/>
        <v>1.9829829765589333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1.1764324543622171</v>
      </c>
      <c r="O58" s="30">
        <f>Q50</f>
        <v>0.17697424151470004</v>
      </c>
    </row>
    <row r="59" spans="1:25" ht="15" x14ac:dyDescent="0.3">
      <c r="D59"/>
      <c r="E59"/>
      <c r="G59"/>
      <c r="M59" s="2" t="s">
        <v>26</v>
      </c>
      <c r="N59" s="30">
        <f>P53</f>
        <v>2.1497144178173992</v>
      </c>
      <c r="O59" s="30">
        <f>Q53</f>
        <v>0.3238797018748813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0.93199831489000096</v>
      </c>
      <c r="C65" s="30">
        <f>N40</f>
        <v>0.32634058412700434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1.1046862883327608</v>
      </c>
      <c r="C66" s="30">
        <f>N50</f>
        <v>0.51274237582214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6.4068041065903634</v>
      </c>
      <c r="C67" s="30">
        <f>N43</f>
        <v>1.1055369885881188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13.652356657407926</v>
      </c>
      <c r="C68" s="30">
        <f>N53</f>
        <v>6.8871243413600207E-3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8"/>
  <sheetViews>
    <sheetView topLeftCell="A28" zoomScale="60" zoomScaleNormal="60" workbookViewId="0">
      <selection activeCell="D52" sqref="D52"/>
    </sheetView>
  </sheetViews>
  <sheetFormatPr baseColWidth="10" defaultColWidth="8.75" defaultRowHeight="12.75" x14ac:dyDescent="0.2"/>
  <cols>
    <col min="1" max="1" width="28.125" style="1" customWidth="1"/>
    <col min="2" max="2" width="9" style="2" bestFit="1" customWidth="1"/>
    <col min="3" max="3" width="11.875" style="2" bestFit="1" customWidth="1"/>
    <col min="4" max="4" width="7.875" style="2" customWidth="1"/>
    <col min="5" max="5" width="8.25" style="2" customWidth="1"/>
    <col min="6" max="8" width="11" style="2" bestFit="1" customWidth="1"/>
    <col min="9" max="9" width="12.125" style="2" bestFit="1" customWidth="1"/>
    <col min="10" max="10" width="12" style="2" bestFit="1" customWidth="1"/>
    <col min="11" max="11" width="12.125" style="2" bestFit="1" customWidth="1"/>
    <col min="12" max="12" width="13" style="2" bestFit="1" customWidth="1"/>
    <col min="13" max="13" width="14.875" style="2" bestFit="1" customWidth="1"/>
    <col min="14" max="14" width="13.75" style="2" bestFit="1" customWidth="1"/>
    <col min="15" max="15" width="14" style="2" customWidth="1"/>
    <col min="16" max="16" width="11.375" style="2" customWidth="1"/>
    <col min="17" max="17" width="10.375" style="2" bestFit="1" customWidth="1"/>
    <col min="18" max="16384" width="8.75" style="2"/>
  </cols>
  <sheetData>
    <row r="1" spans="1:20" x14ac:dyDescent="0.2">
      <c r="A1" s="63" t="s">
        <v>0</v>
      </c>
      <c r="B1" s="64" t="s">
        <v>44</v>
      </c>
    </row>
    <row r="2" spans="1:20" x14ac:dyDescent="0.2">
      <c r="A2" s="63" t="s">
        <v>1</v>
      </c>
      <c r="B2" s="65"/>
      <c r="C2" s="3"/>
      <c r="E2" s="4" t="s">
        <v>40</v>
      </c>
    </row>
    <row r="3" spans="1:20" ht="15" x14ac:dyDescent="0.3">
      <c r="A3" s="63" t="s">
        <v>2</v>
      </c>
      <c r="B3" s="65" t="s">
        <v>43</v>
      </c>
      <c r="D3" s="10" t="s">
        <v>41</v>
      </c>
      <c r="E3" s="69"/>
      <c r="F3" s="69"/>
    </row>
    <row r="4" spans="1:20" ht="15" x14ac:dyDescent="0.3">
      <c r="D4" s="10" t="s">
        <v>42</v>
      </c>
      <c r="E4" s="70"/>
      <c r="F4" s="70"/>
    </row>
    <row r="5" spans="1:20" x14ac:dyDescent="0.2">
      <c r="A5" s="2"/>
    </row>
    <row r="6" spans="1:20" ht="15" x14ac:dyDescent="0.3">
      <c r="N6"/>
      <c r="O6"/>
      <c r="P6"/>
    </row>
    <row r="7" spans="1:20" ht="15" x14ac:dyDescent="0.3">
      <c r="A7" s="5" t="s">
        <v>3</v>
      </c>
      <c r="B7" s="6" t="s">
        <v>4</v>
      </c>
      <c r="C7" s="7" t="s">
        <v>5</v>
      </c>
      <c r="D7" s="7"/>
      <c r="E7" s="8" t="s">
        <v>6</v>
      </c>
      <c r="F7" s="9" t="s">
        <v>7</v>
      </c>
      <c r="G7" s="10" t="s">
        <v>8</v>
      </c>
      <c r="H7" s="10" t="s">
        <v>9</v>
      </c>
      <c r="N7"/>
      <c r="O7"/>
      <c r="P7"/>
    </row>
    <row r="8" spans="1:20" ht="15" x14ac:dyDescent="0.3">
      <c r="A8" s="10">
        <v>0</v>
      </c>
      <c r="B8" s="10">
        <v>0</v>
      </c>
      <c r="C8" s="72">
        <v>7.4999999999999997E-2</v>
      </c>
      <c r="D8" s="72">
        <v>4.9000000000000002E-2</v>
      </c>
      <c r="E8" s="11">
        <f t="shared" ref="E8:E13" si="0">AVERAGE(C8:D8)</f>
        <v>6.2E-2</v>
      </c>
      <c r="F8" s="12"/>
      <c r="G8" s="10"/>
      <c r="H8" s="10"/>
      <c r="N8"/>
      <c r="O8"/>
      <c r="P8"/>
    </row>
    <row r="9" spans="1:20" ht="15" x14ac:dyDescent="0.3">
      <c r="A9" s="10">
        <v>3.15</v>
      </c>
      <c r="B9" s="12">
        <f>A9/23</f>
        <v>0.13695652173913042</v>
      </c>
      <c r="C9" s="72">
        <v>7.2999999999999995E-2</v>
      </c>
      <c r="D9" s="72">
        <v>7.9000000000000001E-2</v>
      </c>
      <c r="E9" s="11">
        <f t="shared" si="0"/>
        <v>7.5999999999999998E-2</v>
      </c>
      <c r="F9" s="12">
        <f>(E9-$E$8)</f>
        <v>1.3999999999999999E-2</v>
      </c>
      <c r="G9" s="12">
        <f>LOG(B9)</f>
        <v>-0.86341728222799241</v>
      </c>
      <c r="H9" s="12">
        <f>LOG(F9)</f>
        <v>-1.853871964321762</v>
      </c>
      <c r="N9"/>
      <c r="O9"/>
      <c r="P9"/>
    </row>
    <row r="10" spans="1:20" ht="15" x14ac:dyDescent="0.3">
      <c r="A10" s="10">
        <v>10.4</v>
      </c>
      <c r="B10" s="12">
        <f>A10/23</f>
        <v>0.45217391304347826</v>
      </c>
      <c r="C10" s="72">
        <v>0.14799999999999999</v>
      </c>
      <c r="D10" s="72">
        <v>0.14599999999999999</v>
      </c>
      <c r="E10" s="11">
        <f t="shared" si="0"/>
        <v>0.14699999999999999</v>
      </c>
      <c r="F10" s="12">
        <f>(E10-$E$8)</f>
        <v>8.4999999999999992E-2</v>
      </c>
      <c r="G10" s="12">
        <f>LOG(B10)</f>
        <v>-0.34469449671881253</v>
      </c>
      <c r="H10" s="12">
        <f>LOG(F10)</f>
        <v>-1.0705810742857074</v>
      </c>
      <c r="N10"/>
      <c r="O10"/>
      <c r="P10"/>
    </row>
    <row r="11" spans="1:20" ht="15" x14ac:dyDescent="0.3">
      <c r="A11" s="10">
        <v>31.5</v>
      </c>
      <c r="B11" s="12">
        <f t="shared" ref="B11:B13" si="1">A11/23</f>
        <v>1.3695652173913044</v>
      </c>
      <c r="C11" s="72">
        <v>0.34</v>
      </c>
      <c r="D11" s="72">
        <v>0.32600000000000001</v>
      </c>
      <c r="E11" s="11">
        <f t="shared" si="0"/>
        <v>0.33300000000000002</v>
      </c>
      <c r="F11" s="12">
        <f>(E11-$E$8)</f>
        <v>0.27100000000000002</v>
      </c>
      <c r="G11" s="12">
        <f>LOG(B11)</f>
        <v>0.13658271777200767</v>
      </c>
      <c r="H11" s="12">
        <f>LOG(F11)</f>
        <v>-0.56703070912559428</v>
      </c>
      <c r="N11"/>
      <c r="O11"/>
      <c r="Q11"/>
      <c r="R11"/>
      <c r="S11"/>
      <c r="T11"/>
    </row>
    <row r="12" spans="1:20" ht="15" x14ac:dyDescent="0.3">
      <c r="A12" s="10">
        <v>106</v>
      </c>
      <c r="B12" s="12">
        <f>A12/23</f>
        <v>4.6086956521739131</v>
      </c>
      <c r="C12" s="72">
        <v>1.083</v>
      </c>
      <c r="D12" s="72">
        <v>1.0860000000000001</v>
      </c>
      <c r="E12" s="11">
        <f t="shared" si="0"/>
        <v>1.0845</v>
      </c>
      <c r="F12" s="12">
        <f>(E12-$E$8)</f>
        <v>1.0225</v>
      </c>
      <c r="G12" s="12">
        <f>LOG(B12)</f>
        <v>0.66357802924717735</v>
      </c>
      <c r="H12" s="12">
        <f>LOG(F12)</f>
        <v>9.6633166793793981E-3</v>
      </c>
      <c r="N12"/>
      <c r="O12"/>
      <c r="Q12"/>
      <c r="R12"/>
      <c r="S12"/>
      <c r="T12"/>
    </row>
    <row r="13" spans="1:20" ht="15" x14ac:dyDescent="0.3">
      <c r="A13" s="10">
        <v>210</v>
      </c>
      <c r="B13" s="12">
        <f t="shared" si="1"/>
        <v>9.1304347826086953</v>
      </c>
      <c r="C13" s="72">
        <v>2.3250000000000002</v>
      </c>
      <c r="D13" s="72">
        <v>1.982</v>
      </c>
      <c r="E13" s="11">
        <f t="shared" si="0"/>
        <v>2.1535000000000002</v>
      </c>
      <c r="F13" s="12">
        <f>(E13-$E$8)</f>
        <v>2.0915000000000004</v>
      </c>
      <c r="G13" s="12">
        <f>LOG(B13)</f>
        <v>0.96049145871632635</v>
      </c>
      <c r="H13" s="12">
        <f>LOG(F13)</f>
        <v>0.32045786891664912</v>
      </c>
      <c r="N13"/>
      <c r="O13"/>
    </row>
    <row r="14" spans="1:20" ht="15" x14ac:dyDescent="0.3">
      <c r="N14"/>
    </row>
    <row r="15" spans="1:20" ht="15" x14ac:dyDescent="0.3">
      <c r="A15" s="5" t="s">
        <v>10</v>
      </c>
      <c r="B15" s="11">
        <f>SLOPE(H9:H13,G9:G13)</f>
        <v>1.169824778871448</v>
      </c>
      <c r="N15"/>
    </row>
    <row r="16" spans="1:20" ht="15" x14ac:dyDescent="0.25">
      <c r="A16" s="5" t="s">
        <v>11</v>
      </c>
      <c r="B16" s="11">
        <f>INTERCEPT(H9:H13,G9:G13)</f>
        <v>-0.76154760894453377</v>
      </c>
      <c r="C16" s="13"/>
      <c r="G16" s="13"/>
      <c r="H16" s="13"/>
    </row>
    <row r="17" spans="1:17" ht="15" x14ac:dyDescent="0.3">
      <c r="B17"/>
      <c r="C17"/>
      <c r="D17"/>
      <c r="E17"/>
      <c r="F17"/>
      <c r="G17"/>
    </row>
    <row r="18" spans="1:17" ht="15" x14ac:dyDescent="0.3">
      <c r="B18"/>
      <c r="C18"/>
      <c r="D18"/>
      <c r="E18"/>
      <c r="F18"/>
      <c r="G18"/>
    </row>
    <row r="19" spans="1:17" ht="23.25" x14ac:dyDescent="0.35">
      <c r="A19" s="14" t="s">
        <v>12</v>
      </c>
      <c r="B19" s="15"/>
      <c r="C19" s="15"/>
      <c r="K19" s="16"/>
      <c r="L19" s="17" t="s">
        <v>13</v>
      </c>
      <c r="M19" s="18"/>
    </row>
    <row r="20" spans="1:17" s="17" customFormat="1" x14ac:dyDescent="0.2">
      <c r="A20" s="19" t="s">
        <v>14</v>
      </c>
      <c r="B20" s="9" t="s">
        <v>15</v>
      </c>
      <c r="C20" s="9" t="s">
        <v>15</v>
      </c>
      <c r="D20" s="9" t="s">
        <v>16</v>
      </c>
      <c r="E20" s="20" t="s">
        <v>17</v>
      </c>
      <c r="F20" s="21" t="s">
        <v>9</v>
      </c>
      <c r="G20" s="21" t="s">
        <v>18</v>
      </c>
      <c r="H20" s="21" t="s">
        <v>19</v>
      </c>
      <c r="I20" s="9" t="s">
        <v>20</v>
      </c>
      <c r="J20" s="21" t="s">
        <v>21</v>
      </c>
      <c r="K20" s="21" t="s">
        <v>22</v>
      </c>
      <c r="L20" s="21" t="s">
        <v>23</v>
      </c>
      <c r="M20" s="22" t="s">
        <v>24</v>
      </c>
    </row>
    <row r="21" spans="1:17" s="24" customFormat="1" x14ac:dyDescent="0.2">
      <c r="A21" s="23"/>
      <c r="L21" s="25"/>
      <c r="M21" s="26"/>
    </row>
    <row r="22" spans="1:17" ht="15" x14ac:dyDescent="0.3">
      <c r="A22" s="1" t="s">
        <v>25</v>
      </c>
      <c r="B22" s="79">
        <v>0.113</v>
      </c>
      <c r="C22" s="79">
        <v>0.16500000000000001</v>
      </c>
      <c r="D22" s="27">
        <f>AVERAGE(B22:C22)</f>
        <v>0.13900000000000001</v>
      </c>
      <c r="E22" s="27">
        <f>D22-E$8</f>
        <v>7.7000000000000013E-2</v>
      </c>
      <c r="F22" s="27">
        <f>LOG(E22)</f>
        <v>-1.1135092748275182</v>
      </c>
      <c r="G22" s="28">
        <f>(F22-$B$16)/$B$15</f>
        <v>-0.30086699498922259</v>
      </c>
      <c r="H22" s="28">
        <f>10^G22</f>
        <v>0.5001876966831541</v>
      </c>
      <c r="I22" s="29">
        <v>500</v>
      </c>
      <c r="J22" s="30">
        <f>(H22*I22)</f>
        <v>250.09384834157706</v>
      </c>
      <c r="K22" s="31">
        <f>(0.05*J22/1000)*1000</f>
        <v>12.504692417078854</v>
      </c>
      <c r="L22" s="32">
        <f>K22+K40+K50</f>
        <v>15.301807829162563</v>
      </c>
      <c r="M22" s="33">
        <f>(L22*1000000/50000)/1000</f>
        <v>0.30603615658325123</v>
      </c>
      <c r="N22" s="34"/>
    </row>
    <row r="23" spans="1:17" ht="15" x14ac:dyDescent="0.3">
      <c r="B23" s="79">
        <v>9.9000000000000005E-2</v>
      </c>
      <c r="C23" s="79">
        <v>0.12</v>
      </c>
      <c r="D23" s="27">
        <f t="shared" ref="D23:D27" si="2">AVERAGE(B23:C23)</f>
        <v>0.1095</v>
      </c>
      <c r="E23" s="27">
        <f t="shared" ref="E23:E27" si="3">D23-E$8</f>
        <v>4.7500000000000001E-2</v>
      </c>
      <c r="F23" s="27">
        <f t="shared" ref="F23:F27" si="4">LOG(E23)</f>
        <v>-1.3233063903751334</v>
      </c>
      <c r="G23" s="28">
        <f t="shared" ref="G23:G27" si="5">(F23-$B$16)/$B$15</f>
        <v>-0.48020762731025318</v>
      </c>
      <c r="H23" s="28">
        <f t="shared" ref="H23:H27" si="6">10^G23</f>
        <v>0.33097285230085544</v>
      </c>
      <c r="I23" s="29">
        <v>500</v>
      </c>
      <c r="J23" s="30">
        <f t="shared" ref="J23:J25" si="7">(H23*I23)</f>
        <v>165.48642615042772</v>
      </c>
      <c r="K23" s="31">
        <f t="shared" ref="K23:K26" si="8">(0.05*J23/1000)*1000</f>
        <v>8.2743213075213866</v>
      </c>
      <c r="L23" s="32">
        <f>K23+K41+K51</f>
        <v>10.163135606631414</v>
      </c>
      <c r="M23" s="33">
        <f t="shared" ref="M23:M27" si="9">(L23*1000000/50000)/1000</f>
        <v>0.20326271213262825</v>
      </c>
      <c r="N23" s="34"/>
    </row>
    <row r="24" spans="1:17" ht="15" x14ac:dyDescent="0.3">
      <c r="B24" s="79">
        <v>0.15</v>
      </c>
      <c r="C24" s="79">
        <v>0.186</v>
      </c>
      <c r="D24" s="27">
        <f t="shared" si="2"/>
        <v>0.16799999999999998</v>
      </c>
      <c r="E24" s="27">
        <f t="shared" si="3"/>
        <v>0.10599999999999998</v>
      </c>
      <c r="F24" s="27">
        <f t="shared" si="4"/>
        <v>-0.97469413473522981</v>
      </c>
      <c r="G24" s="28">
        <f t="shared" si="5"/>
        <v>-0.18220380491198221</v>
      </c>
      <c r="H24" s="28">
        <f t="shared" si="6"/>
        <v>0.65734928530475101</v>
      </c>
      <c r="I24" s="29">
        <v>500</v>
      </c>
      <c r="J24" s="30">
        <f t="shared" si="7"/>
        <v>328.6746426523755</v>
      </c>
      <c r="K24" s="31">
        <f t="shared" si="8"/>
        <v>16.433732132618776</v>
      </c>
      <c r="L24" s="32">
        <f t="shared" ref="L24:L27" si="10">K24+K42+K52</f>
        <v>19.364304881353004</v>
      </c>
      <c r="M24" s="33">
        <f t="shared" si="9"/>
        <v>0.38728609762706001</v>
      </c>
      <c r="N24" s="34"/>
    </row>
    <row r="25" spans="1:17" ht="15" x14ac:dyDescent="0.3">
      <c r="A25" s="1" t="s">
        <v>26</v>
      </c>
      <c r="B25" s="79">
        <v>7.4999999999999997E-2</v>
      </c>
      <c r="C25" s="79">
        <v>8.4000000000000005E-2</v>
      </c>
      <c r="D25" s="27">
        <f t="shared" si="2"/>
        <v>7.9500000000000001E-2</v>
      </c>
      <c r="E25" s="27">
        <f t="shared" si="3"/>
        <v>1.7500000000000002E-2</v>
      </c>
      <c r="F25" s="27">
        <f t="shared" si="4"/>
        <v>-1.7569619513137056</v>
      </c>
      <c r="G25" s="28">
        <f t="shared" si="5"/>
        <v>-0.85090892272727103</v>
      </c>
      <c r="H25" s="28">
        <f t="shared" si="6"/>
        <v>0.14095843758360913</v>
      </c>
      <c r="I25" s="29">
        <v>500</v>
      </c>
      <c r="J25" s="30">
        <f t="shared" si="7"/>
        <v>70.479218791804556</v>
      </c>
      <c r="K25" s="31">
        <f t="shared" si="8"/>
        <v>3.523960939590228</v>
      </c>
      <c r="L25" s="32">
        <f t="shared" si="10"/>
        <v>6.9575162717239394</v>
      </c>
      <c r="M25" s="33">
        <f t="shared" si="9"/>
        <v>0.13915032543447878</v>
      </c>
      <c r="N25" s="34"/>
    </row>
    <row r="26" spans="1:17" ht="15" x14ac:dyDescent="0.3">
      <c r="B26" s="79">
        <v>8.3000000000000004E-2</v>
      </c>
      <c r="C26" s="79">
        <v>8.5999999999999993E-2</v>
      </c>
      <c r="D26" s="27">
        <f t="shared" si="2"/>
        <v>8.4499999999999992E-2</v>
      </c>
      <c r="E26" s="27">
        <f t="shared" si="3"/>
        <v>2.2499999999999992E-2</v>
      </c>
      <c r="F26" s="27">
        <f t="shared" si="4"/>
        <v>-1.6478174818886377</v>
      </c>
      <c r="G26" s="28">
        <f t="shared" si="5"/>
        <v>-0.75760907868536109</v>
      </c>
      <c r="H26" s="28">
        <f t="shared" si="6"/>
        <v>0.17473943265759181</v>
      </c>
      <c r="I26" s="29">
        <v>500</v>
      </c>
      <c r="J26" s="30">
        <f>(H26*I26)</f>
        <v>87.369716328795903</v>
      </c>
      <c r="K26" s="31">
        <f t="shared" si="8"/>
        <v>4.3684858164397955</v>
      </c>
      <c r="L26" s="32">
        <f t="shared" si="10"/>
        <v>8.654515483004424</v>
      </c>
      <c r="M26" s="33">
        <f t="shared" si="9"/>
        <v>0.17309030966008851</v>
      </c>
      <c r="N26" s="34"/>
    </row>
    <row r="27" spans="1:17" ht="15" x14ac:dyDescent="0.3">
      <c r="B27" s="79">
        <v>8.1000000000000003E-2</v>
      </c>
      <c r="C27" s="79">
        <v>9.2999999999999999E-2</v>
      </c>
      <c r="D27" s="27">
        <f t="shared" si="2"/>
        <v>8.6999999999999994E-2</v>
      </c>
      <c r="E27" s="27">
        <f t="shared" si="3"/>
        <v>2.4999999999999994E-2</v>
      </c>
      <c r="F27" s="27">
        <f t="shared" si="4"/>
        <v>-1.6020599913279625</v>
      </c>
      <c r="G27" s="28">
        <f t="shared" si="5"/>
        <v>-0.71849425449364035</v>
      </c>
      <c r="H27" s="28">
        <f t="shared" si="6"/>
        <v>0.19120786203143855</v>
      </c>
      <c r="I27" s="29">
        <v>500</v>
      </c>
      <c r="J27" s="30">
        <f>(H27*I27)</f>
        <v>95.603931015719283</v>
      </c>
      <c r="K27" s="31">
        <f>(0.05*J27/1000)*1000</f>
        <v>4.7801965507859645</v>
      </c>
      <c r="L27" s="32">
        <f t="shared" si="10"/>
        <v>9.6532365608021848</v>
      </c>
      <c r="M27" s="33">
        <f t="shared" si="9"/>
        <v>0.19306473121604367</v>
      </c>
      <c r="N27" s="34"/>
    </row>
    <row r="28" spans="1:17" ht="23.25" x14ac:dyDescent="0.35">
      <c r="A28" s="14" t="s">
        <v>12</v>
      </c>
      <c r="C28" s="71"/>
      <c r="K28" s="16"/>
      <c r="L28" s="17" t="s">
        <v>13</v>
      </c>
      <c r="M28" s="18"/>
    </row>
    <row r="29" spans="1:17" s="17" customFormat="1" x14ac:dyDescent="0.2">
      <c r="A29" s="19" t="s">
        <v>14</v>
      </c>
      <c r="B29" s="9" t="s">
        <v>15</v>
      </c>
      <c r="C29" s="9" t="s">
        <v>15</v>
      </c>
      <c r="D29" s="9" t="s">
        <v>16</v>
      </c>
      <c r="E29" s="20" t="s">
        <v>17</v>
      </c>
      <c r="F29" s="21" t="s">
        <v>9</v>
      </c>
      <c r="G29" s="21" t="s">
        <v>18</v>
      </c>
      <c r="H29" s="21" t="s">
        <v>19</v>
      </c>
      <c r="I29" s="9" t="s">
        <v>20</v>
      </c>
      <c r="J29" s="21" t="s">
        <v>21</v>
      </c>
      <c r="K29" s="21" t="s">
        <v>22</v>
      </c>
      <c r="L29" s="21" t="s">
        <v>23</v>
      </c>
      <c r="M29" s="22" t="s">
        <v>24</v>
      </c>
    </row>
    <row r="30" spans="1:17" s="24" customFormat="1" x14ac:dyDescent="0.2">
      <c r="A30" s="23"/>
      <c r="L30" s="25"/>
      <c r="M30" s="26"/>
    </row>
    <row r="31" spans="1:17" ht="15" x14ac:dyDescent="0.3">
      <c r="A31" s="1" t="s">
        <v>25</v>
      </c>
      <c r="B31" s="79">
        <v>0.113</v>
      </c>
      <c r="C31" s="79">
        <v>0.16500000000000001</v>
      </c>
      <c r="D31" s="27">
        <f>AVERAGE(B31:C31)</f>
        <v>0.13900000000000001</v>
      </c>
      <c r="E31" s="27">
        <f t="shared" ref="E31:E36" si="11">D31-E$8</f>
        <v>7.7000000000000013E-2</v>
      </c>
      <c r="F31" s="27">
        <f>LOG(E31)</f>
        <v>-1.1135092748275182</v>
      </c>
      <c r="G31" s="28">
        <f>(F31-$B$16)/$B$15</f>
        <v>-0.30086699498922259</v>
      </c>
      <c r="H31" s="28">
        <f>10^G31</f>
        <v>0.5001876966831541</v>
      </c>
      <c r="I31" s="29">
        <v>500</v>
      </c>
      <c r="J31" s="30">
        <f>(H31*I31)</f>
        <v>250.09384834157706</v>
      </c>
      <c r="K31" s="31">
        <f>(0.05*J31/1000)*1000</f>
        <v>12.504692417078854</v>
      </c>
      <c r="L31" s="32">
        <f>K31+K50</f>
        <v>14.31828648447086</v>
      </c>
      <c r="M31" s="33">
        <f>(L31*1000000/50000)/1000</f>
        <v>0.2863657296894172</v>
      </c>
      <c r="N31" s="35"/>
      <c r="Q31"/>
    </row>
    <row r="32" spans="1:17" ht="15" x14ac:dyDescent="0.3">
      <c r="B32" s="79">
        <v>9.9000000000000005E-2</v>
      </c>
      <c r="C32" s="79">
        <v>0.12</v>
      </c>
      <c r="D32" s="27">
        <f t="shared" ref="D32:D36" si="12">AVERAGE(B32:C32)</f>
        <v>0.1095</v>
      </c>
      <c r="E32" s="27">
        <f t="shared" si="11"/>
        <v>4.7500000000000001E-2</v>
      </c>
      <c r="F32" s="27">
        <f t="shared" ref="F32:F36" si="13">LOG(E32)</f>
        <v>-1.3233063903751334</v>
      </c>
      <c r="G32" s="28">
        <f t="shared" ref="G32:G36" si="14">(F32-$B$16)/$B$15</f>
        <v>-0.48020762731025318</v>
      </c>
      <c r="H32" s="28">
        <f t="shared" ref="H32:H35" si="15">10^G32</f>
        <v>0.33097285230085544</v>
      </c>
      <c r="I32" s="29">
        <v>500</v>
      </c>
      <c r="J32" s="30">
        <f t="shared" ref="J32:J33" si="16">(H32*I32)</f>
        <v>165.48642615042772</v>
      </c>
      <c r="K32" s="31">
        <f t="shared" ref="K32:K35" si="17">(0.05*J32/1000)*1000</f>
        <v>8.2743213075213866</v>
      </c>
      <c r="L32" s="32">
        <f>K32+K51</f>
        <v>9.2835231355073891</v>
      </c>
      <c r="M32" s="33">
        <f t="shared" ref="M32:M36" si="18">(L32*1000000/50000)/1000</f>
        <v>0.18567046271014781</v>
      </c>
      <c r="N32" s="36"/>
    </row>
    <row r="33" spans="1:21" ht="15" x14ac:dyDescent="0.3">
      <c r="B33" s="79">
        <v>0.15</v>
      </c>
      <c r="C33" s="79">
        <v>0.186</v>
      </c>
      <c r="D33" s="27">
        <f t="shared" si="12"/>
        <v>0.16799999999999998</v>
      </c>
      <c r="E33" s="27">
        <f t="shared" si="11"/>
        <v>0.10599999999999998</v>
      </c>
      <c r="F33" s="27">
        <f t="shared" si="13"/>
        <v>-0.97469413473522981</v>
      </c>
      <c r="G33" s="28">
        <f t="shared" si="14"/>
        <v>-0.18220380491198221</v>
      </c>
      <c r="H33" s="28">
        <f t="shared" si="15"/>
        <v>0.65734928530475101</v>
      </c>
      <c r="I33" s="29">
        <v>500</v>
      </c>
      <c r="J33" s="30">
        <f t="shared" si="16"/>
        <v>328.6746426523755</v>
      </c>
      <c r="K33" s="31">
        <f t="shared" si="17"/>
        <v>16.433732132618776</v>
      </c>
      <c r="L33" s="32">
        <f t="shared" ref="L33:L35" si="19">K33+K52</f>
        <v>18.224104164845492</v>
      </c>
      <c r="M33" s="33">
        <f t="shared" si="18"/>
        <v>0.3644820832969099</v>
      </c>
      <c r="N33" s="36"/>
      <c r="R33"/>
      <c r="S33"/>
    </row>
    <row r="34" spans="1:21" ht="15" x14ac:dyDescent="0.3">
      <c r="A34" s="1" t="s">
        <v>26</v>
      </c>
      <c r="B34" s="79">
        <v>7.4999999999999997E-2</v>
      </c>
      <c r="C34" s="79">
        <v>8.4000000000000005E-2</v>
      </c>
      <c r="D34" s="27">
        <f t="shared" si="12"/>
        <v>7.9500000000000001E-2</v>
      </c>
      <c r="E34" s="27">
        <f t="shared" si="11"/>
        <v>1.7500000000000002E-2</v>
      </c>
      <c r="F34" s="27">
        <f t="shared" si="13"/>
        <v>-1.7569619513137056</v>
      </c>
      <c r="G34" s="28">
        <f t="shared" si="14"/>
        <v>-0.85090892272727103</v>
      </c>
      <c r="H34" s="28">
        <f>10^G34</f>
        <v>0.14095843758360913</v>
      </c>
      <c r="I34" s="29">
        <v>500</v>
      </c>
      <c r="J34" s="30">
        <f>(H34*I34)</f>
        <v>70.479218791804556</v>
      </c>
      <c r="K34" s="31">
        <f t="shared" si="17"/>
        <v>3.523960939590228</v>
      </c>
      <c r="L34" s="32">
        <f t="shared" si="19"/>
        <v>5.676516646664453</v>
      </c>
      <c r="M34" s="33">
        <f t="shared" si="18"/>
        <v>0.11353033293328905</v>
      </c>
      <c r="N34" s="36"/>
    </row>
    <row r="35" spans="1:21" ht="15" x14ac:dyDescent="0.3">
      <c r="B35" s="79">
        <v>8.3000000000000004E-2</v>
      </c>
      <c r="C35" s="79">
        <v>8.5999999999999993E-2</v>
      </c>
      <c r="D35" s="27">
        <f t="shared" si="12"/>
        <v>8.4499999999999992E-2</v>
      </c>
      <c r="E35" s="27">
        <f t="shared" si="11"/>
        <v>2.2499999999999992E-2</v>
      </c>
      <c r="F35" s="27">
        <f t="shared" si="13"/>
        <v>-1.6478174818886377</v>
      </c>
      <c r="G35" s="28">
        <f t="shared" si="14"/>
        <v>-0.75760907868536109</v>
      </c>
      <c r="H35" s="28">
        <f t="shared" si="15"/>
        <v>0.17473943265759181</v>
      </c>
      <c r="I35" s="29">
        <v>500</v>
      </c>
      <c r="J35" s="30">
        <f>(H35*I35)</f>
        <v>87.369716328795903</v>
      </c>
      <c r="K35" s="31">
        <f t="shared" si="17"/>
        <v>4.3684858164397955</v>
      </c>
      <c r="L35" s="32">
        <f t="shared" si="19"/>
        <v>7.0006571651326688</v>
      </c>
      <c r="M35" s="33">
        <f t="shared" si="18"/>
        <v>0.14001314330265338</v>
      </c>
      <c r="N35" s="36"/>
      <c r="R35"/>
      <c r="S35"/>
    </row>
    <row r="36" spans="1:21" ht="15" x14ac:dyDescent="0.3">
      <c r="B36" s="79">
        <v>8.1000000000000003E-2</v>
      </c>
      <c r="C36" s="79">
        <v>9.2999999999999999E-2</v>
      </c>
      <c r="D36" s="27">
        <f t="shared" si="12"/>
        <v>8.6999999999999994E-2</v>
      </c>
      <c r="E36" s="27">
        <f t="shared" si="11"/>
        <v>2.4999999999999994E-2</v>
      </c>
      <c r="F36" s="27">
        <f t="shared" si="13"/>
        <v>-1.6020599913279625</v>
      </c>
      <c r="G36" s="28">
        <f t="shared" si="14"/>
        <v>-0.71849425449364035</v>
      </c>
      <c r="H36" s="28">
        <f>10^G36</f>
        <v>0.19120786203143855</v>
      </c>
      <c r="I36" s="29">
        <v>500</v>
      </c>
      <c r="J36" s="30">
        <f>(H36*I36)</f>
        <v>95.603931015719283</v>
      </c>
      <c r="K36" s="31">
        <f>(0.05*J36/1000)*1000</f>
        <v>4.7801965507859645</v>
      </c>
      <c r="L36" s="32">
        <f>K36+K55</f>
        <v>8.0426735893395556</v>
      </c>
      <c r="M36" s="33">
        <f t="shared" si="18"/>
        <v>0.16085347178679113</v>
      </c>
      <c r="N36" s="37"/>
      <c r="R36"/>
      <c r="S36"/>
    </row>
    <row r="37" spans="1:21" ht="15" x14ac:dyDescent="0.3">
      <c r="R37"/>
      <c r="S37"/>
    </row>
    <row r="38" spans="1:21" ht="23.25" x14ac:dyDescent="0.35">
      <c r="A38" s="14" t="s">
        <v>27</v>
      </c>
      <c r="E38" s="28"/>
      <c r="F38" s="27"/>
      <c r="H38" s="38"/>
      <c r="M38" s="39" t="s">
        <v>28</v>
      </c>
      <c r="R38"/>
      <c r="S38"/>
    </row>
    <row r="39" spans="1:21" ht="15" x14ac:dyDescent="0.3">
      <c r="A39" s="19" t="s">
        <v>14</v>
      </c>
      <c r="B39" s="21" t="s">
        <v>15</v>
      </c>
      <c r="C39" s="21" t="s">
        <v>15</v>
      </c>
      <c r="D39" s="9" t="s">
        <v>16</v>
      </c>
      <c r="E39" s="20" t="s">
        <v>17</v>
      </c>
      <c r="F39" s="21" t="s">
        <v>9</v>
      </c>
      <c r="G39" s="21" t="s">
        <v>18</v>
      </c>
      <c r="H39" s="21" t="s">
        <v>19</v>
      </c>
      <c r="I39" s="9" t="s">
        <v>20</v>
      </c>
      <c r="J39" s="21" t="s">
        <v>21</v>
      </c>
      <c r="K39" s="21" t="s">
        <v>29</v>
      </c>
      <c r="L39" s="21" t="s">
        <v>30</v>
      </c>
      <c r="M39" s="17" t="s">
        <v>31</v>
      </c>
      <c r="N39" s="40" t="s">
        <v>32</v>
      </c>
      <c r="R39"/>
      <c r="S39"/>
    </row>
    <row r="40" spans="1:21" ht="15" x14ac:dyDescent="0.3">
      <c r="A40" s="1" t="s">
        <v>33</v>
      </c>
      <c r="B40" s="77">
        <v>0.17199999999999999</v>
      </c>
      <c r="C40" s="77">
        <v>0.14799999999999999</v>
      </c>
      <c r="D40" s="27">
        <f>AVERAGE(B40:C40)</f>
        <v>0.15999999999999998</v>
      </c>
      <c r="E40" s="27">
        <f t="shared" ref="E40:E45" si="20">D40-E$8</f>
        <v>9.7999999999999976E-2</v>
      </c>
      <c r="F40" s="27">
        <f t="shared" ref="F40:F45" si="21">LOG(E40)</f>
        <v>-1.0087739243075053</v>
      </c>
      <c r="G40" s="28">
        <f t="shared" ref="G40:G45" si="22">(F40-$B$16)/$B$15</f>
        <v>-0.21133619310190666</v>
      </c>
      <c r="H40" s="27">
        <f t="shared" ref="H40:H45" si="23">10^G40</f>
        <v>0.6147008404323141</v>
      </c>
      <c r="I40" s="41">
        <v>16</v>
      </c>
      <c r="J40" s="42">
        <f t="shared" ref="J40:J45" si="24">H40*I40</f>
        <v>9.8352134469170256</v>
      </c>
      <c r="K40" s="30">
        <f>(0.1*J40/1000)*1000</f>
        <v>0.98352134469170271</v>
      </c>
      <c r="L40" s="43">
        <f>K40*100/L22</f>
        <v>6.4274846192832422</v>
      </c>
      <c r="M40" s="30">
        <f>AVERAGE(L40:L42)</f>
        <v>6.9901912652714282</v>
      </c>
      <c r="N40" s="44">
        <f>STDEV(L41:L42)</f>
        <v>1.9564051743218487</v>
      </c>
      <c r="R40"/>
      <c r="S40"/>
      <c r="T40"/>
      <c r="U40"/>
    </row>
    <row r="41" spans="1:21" ht="15" x14ac:dyDescent="0.3">
      <c r="B41" s="77">
        <v>0.16200000000000001</v>
      </c>
      <c r="C41" s="77">
        <v>0.13400000000000001</v>
      </c>
      <c r="D41" s="27">
        <f t="shared" ref="D41:D45" si="25">AVERAGE(B41:C41)</f>
        <v>0.14800000000000002</v>
      </c>
      <c r="E41" s="27">
        <f t="shared" si="20"/>
        <v>8.6000000000000021E-2</v>
      </c>
      <c r="F41" s="27">
        <f t="shared" si="21"/>
        <v>-1.0655015487564321</v>
      </c>
      <c r="G41" s="28">
        <f t="shared" si="22"/>
        <v>-0.25982860450701722</v>
      </c>
      <c r="H41" s="27">
        <f t="shared" si="23"/>
        <v>0.54975779445251571</v>
      </c>
      <c r="I41" s="41">
        <v>16</v>
      </c>
      <c r="J41" s="42">
        <f t="shared" si="24"/>
        <v>8.7961247112402514</v>
      </c>
      <c r="K41" s="30">
        <f t="shared" ref="K41:K45" si="26">(0.1*J41/1000)*1000</f>
        <v>0.87961247112402519</v>
      </c>
      <c r="L41" s="43">
        <f t="shared" ref="L41:L45" si="27">K41*100/L23</f>
        <v>8.6549319537769502</v>
      </c>
      <c r="M41" s="30"/>
      <c r="N41" s="44"/>
      <c r="R41"/>
      <c r="S41"/>
      <c r="T41"/>
      <c r="U41"/>
    </row>
    <row r="42" spans="1:21" s="17" customFormat="1" ht="15" x14ac:dyDescent="0.3">
      <c r="A42" s="1"/>
      <c r="B42" s="77">
        <v>0.22600000000000001</v>
      </c>
      <c r="C42" s="77">
        <v>0.13100000000000001</v>
      </c>
      <c r="D42" s="27">
        <f t="shared" si="25"/>
        <v>0.17849999999999999</v>
      </c>
      <c r="E42" s="27">
        <f t="shared" si="20"/>
        <v>0.11649999999999999</v>
      </c>
      <c r="F42" s="27">
        <f t="shared" si="21"/>
        <v>-0.93367407463796226</v>
      </c>
      <c r="G42" s="28">
        <f t="shared" si="22"/>
        <v>-0.14713867307502423</v>
      </c>
      <c r="H42" s="27">
        <f t="shared" si="23"/>
        <v>0.71262544781719384</v>
      </c>
      <c r="I42" s="41">
        <v>16</v>
      </c>
      <c r="J42" s="42">
        <f t="shared" si="24"/>
        <v>11.402007165075101</v>
      </c>
      <c r="K42" s="30">
        <f t="shared" si="26"/>
        <v>1.1402007165075101</v>
      </c>
      <c r="L42" s="43">
        <f t="shared" si="27"/>
        <v>5.8881572227540921</v>
      </c>
      <c r="M42" s="30"/>
      <c r="N42" s="44"/>
      <c r="R42"/>
      <c r="S42"/>
      <c r="T42"/>
      <c r="U42"/>
    </row>
    <row r="43" spans="1:21" ht="15" x14ac:dyDescent="0.3">
      <c r="A43" s="1" t="s">
        <v>34</v>
      </c>
      <c r="B43" s="77">
        <v>0.216</v>
      </c>
      <c r="C43" s="77">
        <v>0.17499999999999999</v>
      </c>
      <c r="D43" s="27">
        <f t="shared" si="25"/>
        <v>0.19550000000000001</v>
      </c>
      <c r="E43" s="27">
        <f t="shared" si="20"/>
        <v>0.13350000000000001</v>
      </c>
      <c r="F43" s="27">
        <f t="shared" si="21"/>
        <v>-0.87451873429940596</v>
      </c>
      <c r="G43" s="28">
        <f t="shared" si="22"/>
        <v>-9.6570980026476752E-2</v>
      </c>
      <c r="H43" s="27">
        <f t="shared" si="23"/>
        <v>0.80062476566217855</v>
      </c>
      <c r="I43" s="41">
        <v>16</v>
      </c>
      <c r="J43" s="42">
        <f t="shared" si="24"/>
        <v>12.809996250594857</v>
      </c>
      <c r="K43" s="30">
        <f t="shared" si="26"/>
        <v>1.2809996250594857</v>
      </c>
      <c r="L43" s="43">
        <f t="shared" si="27"/>
        <v>18.411737393494857</v>
      </c>
      <c r="M43" s="30">
        <f>AVERAGE(L43:L45)</f>
        <v>18.068562321456703</v>
      </c>
      <c r="N43" s="44">
        <f>STDEV(L44:L45)</f>
        <v>1.7151565792524262</v>
      </c>
      <c r="R43"/>
      <c r="S43"/>
      <c r="T43"/>
      <c r="U43"/>
    </row>
    <row r="44" spans="1:21" ht="15" x14ac:dyDescent="0.3">
      <c r="A44" s="45"/>
      <c r="B44" s="77">
        <v>0.33300000000000002</v>
      </c>
      <c r="C44" s="77">
        <v>0.151</v>
      </c>
      <c r="D44" s="27">
        <f t="shared" si="25"/>
        <v>0.24199999999999999</v>
      </c>
      <c r="E44" s="27">
        <f t="shared" si="20"/>
        <v>0.18</v>
      </c>
      <c r="F44" s="27">
        <f t="shared" si="21"/>
        <v>-0.74472749489669399</v>
      </c>
      <c r="G44" s="28">
        <f t="shared" si="22"/>
        <v>1.4378319173634248E-2</v>
      </c>
      <c r="H44" s="27">
        <f t="shared" si="23"/>
        <v>1.0336614486698465</v>
      </c>
      <c r="I44" s="41">
        <v>16</v>
      </c>
      <c r="J44" s="42">
        <f t="shared" si="24"/>
        <v>16.538583178717545</v>
      </c>
      <c r="K44" s="30">
        <f t="shared" si="26"/>
        <v>1.6538583178717545</v>
      </c>
      <c r="L44" s="43">
        <f t="shared" si="27"/>
        <v>19.109773633423739</v>
      </c>
      <c r="M44" s="30"/>
      <c r="N44" s="44"/>
      <c r="R44"/>
      <c r="S44"/>
      <c r="T44"/>
      <c r="U44"/>
    </row>
    <row r="45" spans="1:21" ht="15" x14ac:dyDescent="0.3">
      <c r="A45" s="46"/>
      <c r="B45" s="77">
        <v>0.35199999999999998</v>
      </c>
      <c r="C45" s="77">
        <v>0.121</v>
      </c>
      <c r="D45" s="27">
        <f t="shared" si="25"/>
        <v>0.23649999999999999</v>
      </c>
      <c r="E45" s="27">
        <f t="shared" si="20"/>
        <v>0.17449999999999999</v>
      </c>
      <c r="F45" s="27">
        <f t="shared" si="21"/>
        <v>-0.75820456870480135</v>
      </c>
      <c r="G45" s="28">
        <f t="shared" si="22"/>
        <v>2.8577273281538058E-3</v>
      </c>
      <c r="H45" s="27">
        <f t="shared" si="23"/>
        <v>1.0066018571641437</v>
      </c>
      <c r="I45" s="41">
        <v>16</v>
      </c>
      <c r="J45" s="42">
        <f t="shared" si="24"/>
        <v>16.1056297146263</v>
      </c>
      <c r="K45" s="30">
        <f t="shared" si="26"/>
        <v>1.6105629714626302</v>
      </c>
      <c r="L45" s="43">
        <f t="shared" si="27"/>
        <v>16.684175937451514</v>
      </c>
      <c r="M45" s="30"/>
      <c r="N45" s="44"/>
      <c r="R45"/>
      <c r="S45"/>
      <c r="T45"/>
      <c r="U45"/>
    </row>
    <row r="46" spans="1:21" ht="15" x14ac:dyDescent="0.3">
      <c r="E46" s="28"/>
      <c r="F46" s="27"/>
      <c r="G46" s="30"/>
      <c r="H46" s="47"/>
      <c r="R46"/>
      <c r="S46"/>
      <c r="T46"/>
    </row>
    <row r="47" spans="1:21" x14ac:dyDescent="0.2">
      <c r="E47" s="28"/>
      <c r="F47" s="27"/>
      <c r="G47" s="30"/>
      <c r="H47" s="47"/>
    </row>
    <row r="48" spans="1:21" ht="23.25" x14ac:dyDescent="0.35">
      <c r="A48" s="14" t="s">
        <v>35</v>
      </c>
      <c r="E48" s="28"/>
      <c r="F48" s="27"/>
      <c r="H48" s="38"/>
      <c r="M48" s="39" t="s">
        <v>28</v>
      </c>
    </row>
    <row r="49" spans="1:25" x14ac:dyDescent="0.2">
      <c r="A49" s="19" t="s">
        <v>14</v>
      </c>
      <c r="B49" s="21" t="s">
        <v>15</v>
      </c>
      <c r="C49" s="21" t="s">
        <v>15</v>
      </c>
      <c r="D49" s="9" t="s">
        <v>16</v>
      </c>
      <c r="E49" s="20" t="s">
        <v>17</v>
      </c>
      <c r="F49" s="21" t="s">
        <v>9</v>
      </c>
      <c r="G49" s="21" t="s">
        <v>18</v>
      </c>
      <c r="H49" s="21" t="s">
        <v>19</v>
      </c>
      <c r="I49" s="9" t="s">
        <v>20</v>
      </c>
      <c r="J49" s="21" t="s">
        <v>21</v>
      </c>
      <c r="K49" s="21" t="s">
        <v>29</v>
      </c>
      <c r="L49" s="21" t="s">
        <v>30</v>
      </c>
      <c r="M49" s="17" t="s">
        <v>31</v>
      </c>
      <c r="N49" s="40" t="s">
        <v>32</v>
      </c>
      <c r="O49" s="2" t="s">
        <v>36</v>
      </c>
      <c r="P49" s="17" t="s">
        <v>31</v>
      </c>
      <c r="Q49" s="40" t="s">
        <v>32</v>
      </c>
    </row>
    <row r="50" spans="1:25" ht="15" x14ac:dyDescent="0.3">
      <c r="A50" s="1" t="s">
        <v>25</v>
      </c>
      <c r="B50" s="78">
        <v>0.40799999999999997</v>
      </c>
      <c r="C50" s="78">
        <v>0.11700000000000001</v>
      </c>
      <c r="D50" s="27">
        <f>AVERAGE(B50:C50)</f>
        <v>0.26250000000000001</v>
      </c>
      <c r="E50" s="27">
        <f t="shared" ref="E50:E55" si="28">D50-E$8</f>
        <v>0.20050000000000001</v>
      </c>
      <c r="F50" s="27">
        <f t="shared" ref="F50:F55" si="29">LOG(E50)</f>
        <v>-0.69788562304379886</v>
      </c>
      <c r="G50" s="28">
        <f t="shared" ref="G50:G55" si="30">(F50-$B$16)/$B$15</f>
        <v>5.44201038057604E-2</v>
      </c>
      <c r="H50" s="27">
        <f t="shared" ref="H50:H55" si="31">10^G50</f>
        <v>1.1334962921200047</v>
      </c>
      <c r="I50" s="41">
        <v>16</v>
      </c>
      <c r="J50" s="42">
        <f t="shared" ref="J50:J55" si="32">H50*I50</f>
        <v>18.135940673920075</v>
      </c>
      <c r="K50" s="30">
        <f>(0.1*J50/1000)*1000</f>
        <v>1.8135940673920077</v>
      </c>
      <c r="L50" s="43">
        <f t="shared" ref="L50:L55" si="33">K50*100/L31</f>
        <v>12.666278673491915</v>
      </c>
      <c r="M50" s="30">
        <f>AVERAGE(L50:L52)</f>
        <v>11.120456337180295</v>
      </c>
      <c r="N50" s="44">
        <f>STDEV(L51:L52)</f>
        <v>0.74012501078431425</v>
      </c>
      <c r="O50" s="48">
        <f>L50/L40</f>
        <v>1.9706431712790919</v>
      </c>
      <c r="P50" s="30">
        <f>AVERAGE(O50:O52)</f>
        <v>1.6317149677864773</v>
      </c>
      <c r="Q50" s="44">
        <f>STDEV(O50:O52)</f>
        <v>0.35871919517127915</v>
      </c>
      <c r="S50"/>
      <c r="T50"/>
    </row>
    <row r="51" spans="1:25" ht="15" x14ac:dyDescent="0.3">
      <c r="B51" s="78">
        <v>0.19500000000000001</v>
      </c>
      <c r="C51" s="78">
        <v>0.13100000000000001</v>
      </c>
      <c r="D51" s="27">
        <f>AVERAGE(B51:C51)</f>
        <v>0.16300000000000001</v>
      </c>
      <c r="E51" s="27">
        <f t="shared" si="28"/>
        <v>0.10100000000000001</v>
      </c>
      <c r="F51" s="27">
        <f t="shared" si="29"/>
        <v>-0.99567862621735737</v>
      </c>
      <c r="G51" s="28">
        <f t="shared" si="30"/>
        <v>-0.2001419541640195</v>
      </c>
      <c r="H51" s="27">
        <f t="shared" si="31"/>
        <v>0.63075114249125153</v>
      </c>
      <c r="I51" s="41">
        <v>16</v>
      </c>
      <c r="J51" s="42">
        <f t="shared" si="32"/>
        <v>10.092018279860024</v>
      </c>
      <c r="K51" s="30">
        <f t="shared" ref="K51:K55" si="34">(0.1*J51/1000)*1000</f>
        <v>1.0092018279860024</v>
      </c>
      <c r="L51" s="43">
        <f t="shared" si="33"/>
        <v>10.870892583075841</v>
      </c>
      <c r="M51" s="30"/>
      <c r="N51" s="44"/>
      <c r="O51" s="2">
        <f>L51/L41</f>
        <v>1.2560344369122234</v>
      </c>
      <c r="P51" s="30"/>
      <c r="Q51" s="44"/>
      <c r="S51"/>
      <c r="T51"/>
    </row>
    <row r="52" spans="1:25" ht="15" x14ac:dyDescent="0.3">
      <c r="B52" s="78">
        <v>0.39700000000000002</v>
      </c>
      <c r="C52" s="78">
        <v>0.122</v>
      </c>
      <c r="D52" s="27">
        <f t="shared" ref="D51:D55" si="35">AVERAGE(B52:C52)</f>
        <v>0.25950000000000001</v>
      </c>
      <c r="E52" s="27">
        <f t="shared" si="28"/>
        <v>0.19750000000000001</v>
      </c>
      <c r="F52" s="27">
        <f t="shared" si="29"/>
        <v>-0.7044329000375209</v>
      </c>
      <c r="G52" s="28">
        <f t="shared" si="30"/>
        <v>4.8823302377055566E-2</v>
      </c>
      <c r="H52" s="27">
        <f t="shared" si="31"/>
        <v>1.1189825201416972</v>
      </c>
      <c r="I52" s="41">
        <v>16</v>
      </c>
      <c r="J52" s="42">
        <f t="shared" si="32"/>
        <v>17.903720322267155</v>
      </c>
      <c r="K52" s="30">
        <f t="shared" si="34"/>
        <v>1.7903720322267156</v>
      </c>
      <c r="L52" s="43">
        <f t="shared" si="33"/>
        <v>9.824197754973131</v>
      </c>
      <c r="M52" s="30"/>
      <c r="N52" s="44"/>
      <c r="O52" s="2">
        <f t="shared" ref="O52:O55" si="36">L52/L42</f>
        <v>1.6684672951681168</v>
      </c>
      <c r="P52" s="30"/>
      <c r="Q52" s="44"/>
      <c r="S52"/>
      <c r="T52"/>
    </row>
    <row r="53" spans="1:25" ht="15" x14ac:dyDescent="0.3">
      <c r="A53" s="1" t="s">
        <v>26</v>
      </c>
      <c r="B53" s="78">
        <v>0.35399999999999998</v>
      </c>
      <c r="C53" s="78">
        <v>0.26</v>
      </c>
      <c r="D53" s="27">
        <f t="shared" si="35"/>
        <v>0.307</v>
      </c>
      <c r="E53" s="27">
        <f t="shared" si="28"/>
        <v>0.245</v>
      </c>
      <c r="F53" s="27">
        <f t="shared" si="29"/>
        <v>-0.61083391563546752</v>
      </c>
      <c r="G53" s="28">
        <f t="shared" si="30"/>
        <v>0.12883441694102479</v>
      </c>
      <c r="H53" s="27">
        <f t="shared" si="31"/>
        <v>1.3453473169213905</v>
      </c>
      <c r="I53" s="41">
        <v>16</v>
      </c>
      <c r="J53" s="42">
        <f t="shared" si="32"/>
        <v>21.525557070742249</v>
      </c>
      <c r="K53" s="30">
        <f t="shared" si="34"/>
        <v>2.1525557070742249</v>
      </c>
      <c r="L53" s="43">
        <f t="shared" si="33"/>
        <v>37.920362804521616</v>
      </c>
      <c r="M53" s="30">
        <f>AVERAGE(L53:L55)</f>
        <v>38.694621421337835</v>
      </c>
      <c r="N53" s="44">
        <f>STDEV(L54:L55)</f>
        <v>2.0970421225224252</v>
      </c>
      <c r="O53" s="2">
        <f>L53/L43</f>
        <v>2.0595754759091585</v>
      </c>
      <c r="P53" s="30">
        <f>AVERAGE(O53:O55)</f>
        <v>2.1528063946558627</v>
      </c>
      <c r="Q53" s="44">
        <f>STDEV(O53:O55)</f>
        <v>0.24555266021653668</v>
      </c>
      <c r="S53"/>
      <c r="T53"/>
    </row>
    <row r="54" spans="1:25" ht="15" x14ac:dyDescent="0.3">
      <c r="A54" s="45"/>
      <c r="B54" s="78">
        <v>0.47099999999999997</v>
      </c>
      <c r="C54" s="78">
        <v>0.27300000000000002</v>
      </c>
      <c r="D54" s="27">
        <f t="shared" si="35"/>
        <v>0.372</v>
      </c>
      <c r="E54" s="27">
        <f t="shared" si="28"/>
        <v>0.31</v>
      </c>
      <c r="F54" s="27">
        <f t="shared" si="29"/>
        <v>-0.50863830616572736</v>
      </c>
      <c r="G54" s="28">
        <f t="shared" si="30"/>
        <v>0.21619417484282799</v>
      </c>
      <c r="H54" s="27">
        <f t="shared" si="31"/>
        <v>1.6451070929330456</v>
      </c>
      <c r="I54" s="41">
        <v>16</v>
      </c>
      <c r="J54" s="42">
        <f t="shared" si="32"/>
        <v>26.321713486928729</v>
      </c>
      <c r="K54" s="30">
        <f t="shared" si="34"/>
        <v>2.6321713486928733</v>
      </c>
      <c r="L54" s="43">
        <f t="shared" si="33"/>
        <v>37.598918024476511</v>
      </c>
      <c r="M54" s="30"/>
      <c r="N54" s="44"/>
      <c r="O54" s="2">
        <f t="shared" si="36"/>
        <v>1.9675229411778348</v>
      </c>
      <c r="P54" s="30"/>
      <c r="Q54" s="44"/>
      <c r="S54"/>
      <c r="T54"/>
    </row>
    <row r="55" spans="1:25" ht="15" x14ac:dyDescent="0.3">
      <c r="A55" s="46"/>
      <c r="B55" s="78">
        <v>0.61099999999999999</v>
      </c>
      <c r="C55" s="78">
        <v>0.31</v>
      </c>
      <c r="D55" s="27">
        <f t="shared" si="35"/>
        <v>0.46050000000000002</v>
      </c>
      <c r="E55" s="27">
        <f t="shared" si="28"/>
        <v>0.39850000000000002</v>
      </c>
      <c r="F55" s="27">
        <f t="shared" si="29"/>
        <v>-0.39957167426786883</v>
      </c>
      <c r="G55" s="28">
        <f t="shared" si="30"/>
        <v>0.30942748111889878</v>
      </c>
      <c r="H55" s="27">
        <f t="shared" si="31"/>
        <v>2.0390481490959944</v>
      </c>
      <c r="I55" s="41">
        <v>16</v>
      </c>
      <c r="J55" s="42">
        <f t="shared" si="32"/>
        <v>32.624770385535911</v>
      </c>
      <c r="K55" s="30">
        <f t="shared" si="34"/>
        <v>3.2624770385535911</v>
      </c>
      <c r="L55" s="43">
        <f t="shared" si="33"/>
        <v>40.564583435015386</v>
      </c>
      <c r="M55" s="30"/>
      <c r="N55" s="44"/>
      <c r="O55" s="2">
        <f t="shared" si="36"/>
        <v>2.431320766880595</v>
      </c>
      <c r="P55" s="30"/>
      <c r="Q55" s="44"/>
      <c r="S55"/>
      <c r="T55"/>
      <c r="Y55" s="1"/>
    </row>
    <row r="56" spans="1:25" x14ac:dyDescent="0.2">
      <c r="D56" s="27"/>
      <c r="E56" s="28"/>
      <c r="F56" s="27"/>
      <c r="G56" s="30"/>
      <c r="H56" s="47"/>
    </row>
    <row r="57" spans="1:25" x14ac:dyDescent="0.2">
      <c r="C57" s="30"/>
      <c r="D57" s="27"/>
      <c r="E57" s="28"/>
      <c r="F57" s="27"/>
      <c r="G57" s="30"/>
      <c r="H57" s="47"/>
      <c r="M57" s="2" t="s">
        <v>37</v>
      </c>
      <c r="N57" s="2" t="s">
        <v>38</v>
      </c>
      <c r="O57" s="40" t="s">
        <v>32</v>
      </c>
    </row>
    <row r="58" spans="1:25" ht="15" x14ac:dyDescent="0.3">
      <c r="C58"/>
      <c r="D58"/>
      <c r="E58"/>
      <c r="F58"/>
      <c r="G58"/>
      <c r="H58" s="47"/>
      <c r="M58" s="2" t="s">
        <v>25</v>
      </c>
      <c r="N58" s="30">
        <f>P50</f>
        <v>1.6317149677864773</v>
      </c>
      <c r="O58" s="30">
        <f>Q50</f>
        <v>0.35871919517127915</v>
      </c>
    </row>
    <row r="59" spans="1:25" ht="15" x14ac:dyDescent="0.3">
      <c r="D59"/>
      <c r="E59"/>
      <c r="G59"/>
      <c r="M59" s="2" t="s">
        <v>26</v>
      </c>
      <c r="N59" s="30">
        <f>P53</f>
        <v>2.1528063946558627</v>
      </c>
      <c r="O59" s="30">
        <f>Q53</f>
        <v>0.24555266021653668</v>
      </c>
    </row>
    <row r="60" spans="1:25" x14ac:dyDescent="0.2">
      <c r="G60" s="30"/>
      <c r="H60" s="47"/>
    </row>
    <row r="61" spans="1:25" ht="15" x14ac:dyDescent="0.3">
      <c r="A61" s="49"/>
      <c r="D61"/>
      <c r="E61"/>
      <c r="F61"/>
      <c r="G61" s="30"/>
      <c r="H61" s="47"/>
    </row>
    <row r="62" spans="1:25" ht="15" x14ac:dyDescent="0.3">
      <c r="C62" s="27"/>
      <c r="D62"/>
      <c r="E62"/>
      <c r="F62"/>
      <c r="G62" s="30"/>
      <c r="H62" s="47"/>
    </row>
    <row r="63" spans="1:25" ht="15" x14ac:dyDescent="0.3">
      <c r="C63" s="27"/>
      <c r="D63"/>
      <c r="E63"/>
      <c r="F63"/>
      <c r="G63" s="30"/>
      <c r="H63" s="47"/>
    </row>
    <row r="64" spans="1:25" ht="13.5" thickBot="1" x14ac:dyDescent="0.25">
      <c r="B64" s="50" t="s">
        <v>16</v>
      </c>
      <c r="C64" s="51" t="s">
        <v>39</v>
      </c>
      <c r="D64" s="27"/>
      <c r="E64" s="28"/>
      <c r="F64" s="27"/>
      <c r="G64" s="30"/>
      <c r="H64" s="47"/>
    </row>
    <row r="65" spans="1:8" x14ac:dyDescent="0.2">
      <c r="A65" s="1" t="s">
        <v>33</v>
      </c>
      <c r="B65" s="30">
        <f>M40</f>
        <v>6.9901912652714282</v>
      </c>
      <c r="C65" s="30">
        <f>N40</f>
        <v>1.9564051743218487</v>
      </c>
      <c r="D65" s="27"/>
      <c r="E65" s="28"/>
      <c r="F65" s="27"/>
      <c r="G65" s="30"/>
      <c r="H65" s="47"/>
    </row>
    <row r="66" spans="1:8" x14ac:dyDescent="0.2">
      <c r="A66" s="1" t="s">
        <v>25</v>
      </c>
      <c r="B66" s="30">
        <f>M50</f>
        <v>11.120456337180295</v>
      </c>
      <c r="C66" s="30">
        <f>N50</f>
        <v>0.74012501078431425</v>
      </c>
      <c r="D66" s="27"/>
      <c r="E66" s="28"/>
      <c r="F66" s="27"/>
      <c r="G66" s="30"/>
      <c r="H66" s="47"/>
    </row>
    <row r="67" spans="1:8" x14ac:dyDescent="0.2">
      <c r="A67" s="52" t="s">
        <v>34</v>
      </c>
      <c r="B67" s="30">
        <f>M43</f>
        <v>18.068562321456703</v>
      </c>
      <c r="C67" s="30">
        <f>N43</f>
        <v>1.7151565792524262</v>
      </c>
      <c r="D67" s="27"/>
      <c r="E67" s="28"/>
      <c r="F67" s="27"/>
      <c r="G67" s="30"/>
      <c r="H67" s="47"/>
    </row>
    <row r="68" spans="1:8" x14ac:dyDescent="0.2">
      <c r="A68" s="45" t="s">
        <v>26</v>
      </c>
      <c r="B68" s="30">
        <f>M53</f>
        <v>38.694621421337835</v>
      </c>
      <c r="C68" s="30">
        <f>N53</f>
        <v>2.0970421225224252</v>
      </c>
      <c r="D68" s="27"/>
      <c r="E68" s="28"/>
      <c r="F68" s="27"/>
      <c r="G68" s="30"/>
      <c r="H68" s="47"/>
    </row>
    <row r="69" spans="1:8" x14ac:dyDescent="0.2">
      <c r="A69" s="53"/>
      <c r="C69" s="27"/>
      <c r="D69" s="27"/>
      <c r="E69" s="28"/>
      <c r="F69" s="27"/>
      <c r="G69" s="30"/>
      <c r="H69" s="47"/>
    </row>
    <row r="70" spans="1:8" x14ac:dyDescent="0.2">
      <c r="A70" s="53"/>
      <c r="C70" s="27"/>
      <c r="D70" s="27"/>
      <c r="E70" s="28"/>
      <c r="F70" s="27"/>
      <c r="G70" s="30"/>
      <c r="H70" s="47"/>
    </row>
    <row r="71" spans="1:8" x14ac:dyDescent="0.2">
      <c r="A71" s="53"/>
      <c r="B71" s="48"/>
      <c r="C71" s="27"/>
      <c r="D71" s="27"/>
      <c r="E71" s="28"/>
      <c r="F71" s="27"/>
      <c r="G71" s="30"/>
      <c r="H71" s="47"/>
    </row>
    <row r="72" spans="1:8" x14ac:dyDescent="0.2">
      <c r="A72" s="53"/>
      <c r="B72" s="48"/>
      <c r="C72" s="27"/>
      <c r="D72" s="27"/>
      <c r="E72" s="28"/>
      <c r="F72" s="27"/>
      <c r="G72" s="30"/>
      <c r="H72" s="47"/>
    </row>
    <row r="73" spans="1:8" x14ac:dyDescent="0.2">
      <c r="C73" s="27"/>
      <c r="D73" s="27"/>
      <c r="E73" s="28"/>
      <c r="F73" s="27"/>
      <c r="G73" s="30"/>
      <c r="H73" s="47"/>
    </row>
    <row r="74" spans="1:8" x14ac:dyDescent="0.2">
      <c r="C74" s="27"/>
      <c r="D74" s="28"/>
      <c r="H74" s="47"/>
    </row>
    <row r="75" spans="1:8" x14ac:dyDescent="0.2">
      <c r="A75" s="54"/>
      <c r="C75" s="27"/>
      <c r="D75" s="28"/>
      <c r="H75" s="38"/>
    </row>
    <row r="76" spans="1:8" x14ac:dyDescent="0.2">
      <c r="A76" s="54"/>
      <c r="C76" s="27"/>
      <c r="D76" s="28"/>
      <c r="H76" s="38"/>
    </row>
    <row r="77" spans="1:8" x14ac:dyDescent="0.2">
      <c r="A77" s="55"/>
      <c r="B77" s="38"/>
      <c r="C77" s="56"/>
      <c r="D77" s="57"/>
      <c r="E77" s="38"/>
      <c r="F77" s="38"/>
      <c r="G77" s="38"/>
    </row>
    <row r="78" spans="1:8" x14ac:dyDescent="0.2">
      <c r="A78" s="52"/>
      <c r="B78" s="58"/>
      <c r="C78" s="59"/>
      <c r="D78" s="38"/>
      <c r="E78" s="38"/>
      <c r="F78" s="38"/>
      <c r="G78" s="38"/>
    </row>
    <row r="79" spans="1:8" x14ac:dyDescent="0.2">
      <c r="A79" s="52"/>
      <c r="B79" s="42"/>
      <c r="C79" s="56"/>
      <c r="D79" s="38"/>
      <c r="E79" s="38"/>
      <c r="F79" s="38"/>
      <c r="G79" s="38"/>
    </row>
    <row r="80" spans="1:8" x14ac:dyDescent="0.2">
      <c r="A80" s="52"/>
      <c r="B80" s="42"/>
      <c r="C80" s="56"/>
      <c r="D80" s="38"/>
      <c r="E80" s="38"/>
      <c r="F80" s="38"/>
      <c r="G80" s="38"/>
    </row>
    <row r="81" spans="1:7" x14ac:dyDescent="0.2">
      <c r="A81" s="52"/>
      <c r="B81" s="42"/>
      <c r="C81" s="56"/>
      <c r="D81" s="38"/>
      <c r="E81" s="38"/>
      <c r="F81" s="38"/>
      <c r="G81" s="38"/>
    </row>
    <row r="82" spans="1:7" x14ac:dyDescent="0.2">
      <c r="A82" s="52"/>
      <c r="B82" s="42"/>
      <c r="C82" s="56"/>
      <c r="D82" s="38"/>
      <c r="E82" s="38"/>
      <c r="F82" s="38"/>
      <c r="G82" s="38"/>
    </row>
    <row r="83" spans="1:7" x14ac:dyDescent="0.2">
      <c r="A83" s="52"/>
      <c r="B83" s="38"/>
      <c r="C83" s="38"/>
      <c r="D83" s="60"/>
      <c r="E83" s="58"/>
      <c r="F83" s="58"/>
      <c r="G83" s="38"/>
    </row>
    <row r="84" spans="1:7" x14ac:dyDescent="0.2">
      <c r="A84" s="52"/>
      <c r="B84" s="42"/>
      <c r="C84" s="56"/>
      <c r="D84" s="47"/>
      <c r="E84" s="47"/>
      <c r="F84" s="47"/>
      <c r="G84" s="38"/>
    </row>
    <row r="85" spans="1:7" x14ac:dyDescent="0.2">
      <c r="A85" s="52"/>
      <c r="B85" s="42"/>
      <c r="C85" s="56"/>
      <c r="D85" s="47"/>
      <c r="E85" s="47"/>
      <c r="F85" s="47"/>
      <c r="G85" s="38"/>
    </row>
    <row r="86" spans="1:7" x14ac:dyDescent="0.2">
      <c r="A86" s="52"/>
      <c r="B86" s="42"/>
      <c r="C86" s="56"/>
      <c r="D86" s="47"/>
      <c r="E86" s="47"/>
      <c r="F86" s="47"/>
      <c r="G86" s="38"/>
    </row>
    <row r="87" spans="1:7" x14ac:dyDescent="0.2">
      <c r="A87" s="52"/>
      <c r="B87" s="42"/>
      <c r="C87" s="56"/>
      <c r="D87" s="47"/>
      <c r="E87" s="47"/>
      <c r="F87" s="47"/>
      <c r="G87" s="38"/>
    </row>
    <row r="88" spans="1:7" x14ac:dyDescent="0.2">
      <c r="A88" s="52"/>
      <c r="B88" s="38"/>
      <c r="C88" s="47"/>
      <c r="D88" s="47"/>
      <c r="E88" s="47"/>
      <c r="F88" s="47"/>
      <c r="G88" s="38"/>
    </row>
    <row r="89" spans="1:7" x14ac:dyDescent="0.2">
      <c r="A89" s="52"/>
      <c r="B89" s="38"/>
      <c r="C89" s="47"/>
      <c r="D89" s="47"/>
      <c r="E89" s="47"/>
      <c r="F89" s="47"/>
      <c r="G89" s="38"/>
    </row>
    <row r="90" spans="1:7" x14ac:dyDescent="0.2">
      <c r="C90" s="47"/>
      <c r="D90" s="47"/>
      <c r="E90" s="61"/>
      <c r="F90" s="61"/>
    </row>
    <row r="91" spans="1:7" x14ac:dyDescent="0.2">
      <c r="C91" s="47"/>
      <c r="D91" s="47"/>
      <c r="E91" s="61"/>
      <c r="F91" s="61"/>
    </row>
    <row r="92" spans="1:7" x14ac:dyDescent="0.2">
      <c r="C92" s="47"/>
      <c r="D92" s="47"/>
      <c r="E92" s="61"/>
      <c r="F92" s="61"/>
    </row>
    <row r="93" spans="1:7" x14ac:dyDescent="0.2">
      <c r="C93" s="47"/>
      <c r="D93" s="47"/>
      <c r="E93" s="61"/>
      <c r="F93" s="61"/>
    </row>
    <row r="94" spans="1:7" x14ac:dyDescent="0.2">
      <c r="C94" s="47"/>
      <c r="E94" s="61"/>
      <c r="F94" s="61"/>
    </row>
    <row r="95" spans="1:7" x14ac:dyDescent="0.2">
      <c r="C95" s="47"/>
      <c r="E95" s="61"/>
      <c r="F95" s="61"/>
    </row>
    <row r="96" spans="1:7" x14ac:dyDescent="0.2">
      <c r="C96" s="47"/>
      <c r="D96" s="47"/>
      <c r="E96" s="61"/>
      <c r="F96" s="61"/>
    </row>
    <row r="97" spans="2:6" x14ac:dyDescent="0.2">
      <c r="C97" s="47"/>
      <c r="D97" s="47"/>
      <c r="E97" s="61"/>
      <c r="F97" s="61"/>
    </row>
    <row r="98" spans="2:6" x14ac:dyDescent="0.2">
      <c r="C98" s="47"/>
      <c r="D98" s="47"/>
      <c r="E98" s="61"/>
      <c r="F98" s="61"/>
    </row>
    <row r="99" spans="2:6" x14ac:dyDescent="0.2">
      <c r="C99" s="47"/>
      <c r="D99" s="47"/>
      <c r="E99" s="61"/>
      <c r="F99" s="61"/>
    </row>
    <row r="100" spans="2:6" x14ac:dyDescent="0.2">
      <c r="C100" s="47"/>
      <c r="D100" s="47"/>
      <c r="E100" s="61"/>
      <c r="F100" s="61"/>
    </row>
    <row r="101" spans="2:6" x14ac:dyDescent="0.2">
      <c r="C101" s="47"/>
      <c r="D101" s="47"/>
      <c r="E101" s="61"/>
      <c r="F101" s="61"/>
    </row>
    <row r="102" spans="2:6" x14ac:dyDescent="0.2">
      <c r="C102" s="47"/>
      <c r="D102" s="47"/>
      <c r="E102" s="61"/>
      <c r="F102" s="61"/>
    </row>
    <row r="103" spans="2:6" x14ac:dyDescent="0.2">
      <c r="C103" s="47"/>
      <c r="D103" s="47"/>
      <c r="E103" s="61"/>
      <c r="F103" s="61"/>
    </row>
    <row r="104" spans="2:6" x14ac:dyDescent="0.2">
      <c r="C104" s="47"/>
      <c r="D104" s="47"/>
      <c r="E104" s="61"/>
      <c r="F104" s="61"/>
    </row>
    <row r="105" spans="2:6" x14ac:dyDescent="0.2">
      <c r="C105" s="47"/>
      <c r="D105" s="47"/>
      <c r="E105" s="61"/>
      <c r="F105" s="61"/>
    </row>
    <row r="106" spans="2:6" x14ac:dyDescent="0.2">
      <c r="C106" s="47"/>
    </row>
    <row r="107" spans="2:6" x14ac:dyDescent="0.2">
      <c r="C107" s="47"/>
    </row>
    <row r="108" spans="2:6" ht="13.5" thickBot="1" x14ac:dyDescent="0.25">
      <c r="B108" s="62"/>
      <c r="C108" s="62"/>
      <c r="D108" s="62"/>
      <c r="E108" s="62"/>
    </row>
    <row r="109" spans="2:6" x14ac:dyDescent="0.2">
      <c r="B109" s="61"/>
      <c r="C109" s="61"/>
      <c r="D109" s="61"/>
      <c r="E109" s="61"/>
    </row>
    <row r="110" spans="2:6" x14ac:dyDescent="0.2">
      <c r="B110" s="61"/>
      <c r="C110" s="61"/>
      <c r="D110" s="61"/>
      <c r="E110" s="61"/>
    </row>
    <row r="111" spans="2:6" x14ac:dyDescent="0.2">
      <c r="B111" s="61"/>
      <c r="C111" s="61"/>
      <c r="D111" s="61"/>
      <c r="E111" s="61"/>
    </row>
    <row r="112" spans="2:6" x14ac:dyDescent="0.2">
      <c r="B112" s="61"/>
      <c r="C112" s="61"/>
      <c r="D112" s="61"/>
      <c r="E112" s="61"/>
    </row>
    <row r="113" spans="2:5" x14ac:dyDescent="0.2">
      <c r="B113" s="61"/>
      <c r="C113" s="61"/>
      <c r="D113" s="61"/>
      <c r="E113" s="61"/>
    </row>
    <row r="114" spans="2:5" x14ac:dyDescent="0.2">
      <c r="B114" s="61"/>
      <c r="C114" s="61"/>
      <c r="D114" s="61"/>
      <c r="E114" s="61"/>
    </row>
    <row r="115" spans="2:5" x14ac:dyDescent="0.2">
      <c r="B115" s="61"/>
      <c r="C115" s="61"/>
      <c r="D115" s="61"/>
      <c r="E115" s="61"/>
    </row>
    <row r="116" spans="2:5" x14ac:dyDescent="0.2">
      <c r="B116" s="61"/>
      <c r="C116" s="61"/>
      <c r="D116" s="61"/>
      <c r="E116" s="61"/>
    </row>
    <row r="117" spans="2:5" x14ac:dyDescent="0.2">
      <c r="B117" s="61"/>
      <c r="C117" s="61"/>
      <c r="D117" s="61"/>
      <c r="E117" s="61"/>
    </row>
    <row r="118" spans="2:5" x14ac:dyDescent="0.2">
      <c r="B118" s="61"/>
      <c r="C118" s="61"/>
      <c r="D118" s="61"/>
      <c r="E118" s="6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siNTP</vt:lpstr>
      <vt:lpstr>siTCF19</vt:lpstr>
      <vt:lpstr>siSRR</vt:lpstr>
      <vt:lpstr>siNTP!Zone_d_impression</vt:lpstr>
    </vt:vector>
  </TitlesOfParts>
  <Company>CNRS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</dc:creator>
  <cp:lastModifiedBy>Clara Salazar-Cardozo</cp:lastModifiedBy>
  <dcterms:created xsi:type="dcterms:W3CDTF">2015-12-08T15:20:20Z</dcterms:created>
  <dcterms:modified xsi:type="dcterms:W3CDTF">2016-07-11T08:32:46Z</dcterms:modified>
</cp:coreProperties>
</file>