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315" yWindow="-30" windowWidth="9975" windowHeight="10845" activeTab="1"/>
  </bookViews>
  <sheets>
    <sheet name="siNTP" sheetId="1" r:id="rId1"/>
    <sheet name="siKCNJ11" sheetId="5" r:id="rId2"/>
    <sheet name="siHNF4A" sheetId="3" r:id="rId3"/>
  </sheets>
  <externalReferences>
    <externalReference r:id="rId4"/>
  </externalReferences>
  <definedNames>
    <definedName name="_xlnm.Print_Area" localSheetId="2">siHNF4A!$A$1:$Q$83</definedName>
    <definedName name="_xlnm.Print_Area" localSheetId="1">siKCNJ11!$A$1:$Q$83</definedName>
    <definedName name="_xlnm.Print_Area" localSheetId="0">siNTP!$A$1:$Q$83</definedName>
  </definedNames>
  <calcPr calcId="125725"/>
</workbook>
</file>

<file path=xl/calcChain.xml><?xml version="1.0" encoding="utf-8"?>
<calcChain xmlns="http://schemas.openxmlformats.org/spreadsheetml/2006/main">
  <c r="B13" i="5"/>
  <c r="B11"/>
  <c r="B12"/>
  <c r="B9" i="1"/>
  <c r="B10"/>
  <c r="B11"/>
  <c r="B12"/>
  <c r="B13"/>
  <c r="B8"/>
  <c r="B9" i="3"/>
  <c r="B10"/>
  <c r="B11"/>
  <c r="B12"/>
  <c r="B13"/>
  <c r="B8"/>
  <c r="B10" i="5"/>
  <c r="B9"/>
  <c r="B8"/>
  <c r="D55"/>
  <c r="E55" s="1"/>
  <c r="F55" s="1"/>
  <c r="D54"/>
  <c r="E54" s="1"/>
  <c r="F54" s="1"/>
  <c r="D53"/>
  <c r="E53" s="1"/>
  <c r="F53" s="1"/>
  <c r="D52"/>
  <c r="E52" s="1"/>
  <c r="F52" s="1"/>
  <c r="D51"/>
  <c r="E51" s="1"/>
  <c r="F51" s="1"/>
  <c r="D50"/>
  <c r="E50" s="1"/>
  <c r="F50" s="1"/>
  <c r="D45"/>
  <c r="E45" s="1"/>
  <c r="F45" s="1"/>
  <c r="D44"/>
  <c r="E44" s="1"/>
  <c r="F44" s="1"/>
  <c r="D43"/>
  <c r="E43" s="1"/>
  <c r="F43" s="1"/>
  <c r="D42"/>
  <c r="E42" s="1"/>
  <c r="F42" s="1"/>
  <c r="D41"/>
  <c r="E41" s="1"/>
  <c r="F41" s="1"/>
  <c r="D40"/>
  <c r="E40" s="1"/>
  <c r="F40" s="1"/>
  <c r="D36"/>
  <c r="E36" s="1"/>
  <c r="F36" s="1"/>
  <c r="D35"/>
  <c r="E35" s="1"/>
  <c r="F35" s="1"/>
  <c r="D34"/>
  <c r="E34" s="1"/>
  <c r="F34" s="1"/>
  <c r="D33"/>
  <c r="E33" s="1"/>
  <c r="F33" s="1"/>
  <c r="D32"/>
  <c r="E32" s="1"/>
  <c r="F32" s="1"/>
  <c r="D31"/>
  <c r="E31" s="1"/>
  <c r="F31" s="1"/>
  <c r="D27"/>
  <c r="E27" s="1"/>
  <c r="F27" s="1"/>
  <c r="D26"/>
  <c r="E26" s="1"/>
  <c r="F26" s="1"/>
  <c r="D25"/>
  <c r="E25" s="1"/>
  <c r="F25" s="1"/>
  <c r="D24"/>
  <c r="E24" s="1"/>
  <c r="F24" s="1"/>
  <c r="D23"/>
  <c r="E23" s="1"/>
  <c r="F23" s="1"/>
  <c r="D22"/>
  <c r="E22" s="1"/>
  <c r="F22" s="1"/>
  <c r="G13"/>
  <c r="E13"/>
  <c r="F13" s="1"/>
  <c r="H13" s="1"/>
  <c r="G12"/>
  <c r="E12"/>
  <c r="F12" s="1"/>
  <c r="H12" s="1"/>
  <c r="G11"/>
  <c r="E11"/>
  <c r="F11" s="1"/>
  <c r="H11" s="1"/>
  <c r="G10"/>
  <c r="E10"/>
  <c r="F10" s="1"/>
  <c r="H10" s="1"/>
  <c r="G9"/>
  <c r="E9"/>
  <c r="F9" s="1"/>
  <c r="H9" s="1"/>
  <c r="E8"/>
  <c r="D51" i="1"/>
  <c r="D52"/>
  <c r="D53"/>
  <c r="D54"/>
  <c r="D55"/>
  <c r="D50"/>
  <c r="D41"/>
  <c r="D42"/>
  <c r="D43"/>
  <c r="D44"/>
  <c r="D45"/>
  <c r="D40"/>
  <c r="D23"/>
  <c r="D24"/>
  <c r="D25"/>
  <c r="D26"/>
  <c r="D27"/>
  <c r="D22"/>
  <c r="D55" i="3"/>
  <c r="D54"/>
  <c r="D53"/>
  <c r="D52"/>
  <c r="D51"/>
  <c r="D50"/>
  <c r="D45"/>
  <c r="D44"/>
  <c r="D43"/>
  <c r="D42"/>
  <c r="D41"/>
  <c r="D40"/>
  <c r="D36"/>
  <c r="D35"/>
  <c r="D34"/>
  <c r="D33"/>
  <c r="D32"/>
  <c r="D31"/>
  <c r="D27"/>
  <c r="D26"/>
  <c r="D25"/>
  <c r="D24"/>
  <c r="D23"/>
  <c r="D22"/>
  <c r="E13"/>
  <c r="G13"/>
  <c r="E12"/>
  <c r="G12"/>
  <c r="E11"/>
  <c r="G11"/>
  <c r="E10"/>
  <c r="G10"/>
  <c r="E9"/>
  <c r="G9"/>
  <c r="E8"/>
  <c r="B16" i="5" l="1"/>
  <c r="B15"/>
  <c r="G22"/>
  <c r="H22" s="1"/>
  <c r="J22" s="1"/>
  <c r="K22" s="1"/>
  <c r="G23"/>
  <c r="H23" s="1"/>
  <c r="J23" s="1"/>
  <c r="K23" s="1"/>
  <c r="G24"/>
  <c r="H24" s="1"/>
  <c r="J24" s="1"/>
  <c r="K24" s="1"/>
  <c r="G25"/>
  <c r="H25" s="1"/>
  <c r="J25" s="1"/>
  <c r="K25" s="1"/>
  <c r="G26"/>
  <c r="H26" s="1"/>
  <c r="J26" s="1"/>
  <c r="K26" s="1"/>
  <c r="G27"/>
  <c r="H27" s="1"/>
  <c r="J27" s="1"/>
  <c r="K27" s="1"/>
  <c r="G31"/>
  <c r="H31" s="1"/>
  <c r="J31" s="1"/>
  <c r="K31" s="1"/>
  <c r="G32"/>
  <c r="H32" s="1"/>
  <c r="J32" s="1"/>
  <c r="K32" s="1"/>
  <c r="G33"/>
  <c r="H33" s="1"/>
  <c r="J33" s="1"/>
  <c r="K33" s="1"/>
  <c r="G34"/>
  <c r="H34" s="1"/>
  <c r="J34" s="1"/>
  <c r="K34" s="1"/>
  <c r="G35"/>
  <c r="H35" s="1"/>
  <c r="J35" s="1"/>
  <c r="K35" s="1"/>
  <c r="G36"/>
  <c r="H36" s="1"/>
  <c r="J36" s="1"/>
  <c r="K36" s="1"/>
  <c r="G40"/>
  <c r="H40" s="1"/>
  <c r="J40" s="1"/>
  <c r="K40" s="1"/>
  <c r="G41"/>
  <c r="H41" s="1"/>
  <c r="J41" s="1"/>
  <c r="K41" s="1"/>
  <c r="G42"/>
  <c r="H42" s="1"/>
  <c r="J42" s="1"/>
  <c r="K42" s="1"/>
  <c r="G43"/>
  <c r="H43" s="1"/>
  <c r="J43" s="1"/>
  <c r="K43" s="1"/>
  <c r="G44"/>
  <c r="H44" s="1"/>
  <c r="J44" s="1"/>
  <c r="K44" s="1"/>
  <c r="G45"/>
  <c r="H45" s="1"/>
  <c r="J45" s="1"/>
  <c r="K45" s="1"/>
  <c r="G50"/>
  <c r="H50" s="1"/>
  <c r="J50" s="1"/>
  <c r="K50" s="1"/>
  <c r="G51"/>
  <c r="H51" s="1"/>
  <c r="J51" s="1"/>
  <c r="K51" s="1"/>
  <c r="G52"/>
  <c r="H52" s="1"/>
  <c r="J52" s="1"/>
  <c r="K52" s="1"/>
  <c r="G53"/>
  <c r="H53" s="1"/>
  <c r="J53" s="1"/>
  <c r="K53" s="1"/>
  <c r="G54"/>
  <c r="H54" s="1"/>
  <c r="J54" s="1"/>
  <c r="K54" s="1"/>
  <c r="G55"/>
  <c r="H55" s="1"/>
  <c r="J55" s="1"/>
  <c r="K55" s="1"/>
  <c r="F9" i="3"/>
  <c r="H9" s="1"/>
  <c r="F10"/>
  <c r="H10" s="1"/>
  <c r="F11"/>
  <c r="H11" s="1"/>
  <c r="F12"/>
  <c r="H12" s="1"/>
  <c r="F13"/>
  <c r="H13" s="1"/>
  <c r="E22"/>
  <c r="F22" s="1"/>
  <c r="E23"/>
  <c r="F23" s="1"/>
  <c r="E24"/>
  <c r="F24" s="1"/>
  <c r="E25"/>
  <c r="F25" s="1"/>
  <c r="E26"/>
  <c r="F26" s="1"/>
  <c r="E27"/>
  <c r="F27" s="1"/>
  <c r="E31"/>
  <c r="F31" s="1"/>
  <c r="E32"/>
  <c r="F32" s="1"/>
  <c r="E33"/>
  <c r="F33" s="1"/>
  <c r="E34"/>
  <c r="F34" s="1"/>
  <c r="E35"/>
  <c r="F35" s="1"/>
  <c r="E36"/>
  <c r="F36" s="1"/>
  <c r="E40"/>
  <c r="F40" s="1"/>
  <c r="E41"/>
  <c r="F41" s="1"/>
  <c r="E42"/>
  <c r="F42" s="1"/>
  <c r="E43"/>
  <c r="F43" s="1"/>
  <c r="E44"/>
  <c r="F44" s="1"/>
  <c r="E45"/>
  <c r="F45" s="1"/>
  <c r="E50"/>
  <c r="F50" s="1"/>
  <c r="E51"/>
  <c r="F51" s="1"/>
  <c r="E52"/>
  <c r="F52" s="1"/>
  <c r="E53"/>
  <c r="F53" s="1"/>
  <c r="E54"/>
  <c r="F54" s="1"/>
  <c r="E55"/>
  <c r="F55" s="1"/>
  <c r="B16"/>
  <c r="B15"/>
  <c r="G22"/>
  <c r="H22" s="1"/>
  <c r="J22" s="1"/>
  <c r="K22" s="1"/>
  <c r="G23"/>
  <c r="H23" s="1"/>
  <c r="J23" s="1"/>
  <c r="K23" s="1"/>
  <c r="G24"/>
  <c r="H24" s="1"/>
  <c r="J24" s="1"/>
  <c r="K24" s="1"/>
  <c r="G25"/>
  <c r="H25" s="1"/>
  <c r="J25" s="1"/>
  <c r="K25" s="1"/>
  <c r="G26"/>
  <c r="H26" s="1"/>
  <c r="J26" s="1"/>
  <c r="K26" s="1"/>
  <c r="G27"/>
  <c r="H27" s="1"/>
  <c r="J27" s="1"/>
  <c r="K27" s="1"/>
  <c r="G31"/>
  <c r="H31" s="1"/>
  <c r="J31" s="1"/>
  <c r="K31" s="1"/>
  <c r="G32"/>
  <c r="H32" s="1"/>
  <c r="J32" s="1"/>
  <c r="K32" s="1"/>
  <c r="G33"/>
  <c r="H33" s="1"/>
  <c r="J33" s="1"/>
  <c r="K33" s="1"/>
  <c r="G34"/>
  <c r="H34" s="1"/>
  <c r="J34" s="1"/>
  <c r="K34" s="1"/>
  <c r="G35"/>
  <c r="H35" s="1"/>
  <c r="J35" s="1"/>
  <c r="K35" s="1"/>
  <c r="G36"/>
  <c r="H36" s="1"/>
  <c r="J36" s="1"/>
  <c r="K36" s="1"/>
  <c r="G40"/>
  <c r="H40" s="1"/>
  <c r="J40" s="1"/>
  <c r="K40" s="1"/>
  <c r="G41"/>
  <c r="H41" s="1"/>
  <c r="J41" s="1"/>
  <c r="K41" s="1"/>
  <c r="G42"/>
  <c r="H42" s="1"/>
  <c r="J42" s="1"/>
  <c r="K42" s="1"/>
  <c r="G43"/>
  <c r="H43" s="1"/>
  <c r="J43" s="1"/>
  <c r="K43" s="1"/>
  <c r="G44"/>
  <c r="H44" s="1"/>
  <c r="J44" s="1"/>
  <c r="K44" s="1"/>
  <c r="G45"/>
  <c r="H45" s="1"/>
  <c r="J45" s="1"/>
  <c r="K45" s="1"/>
  <c r="G50"/>
  <c r="H50" s="1"/>
  <c r="J50" s="1"/>
  <c r="K50" s="1"/>
  <c r="G51"/>
  <c r="H51" s="1"/>
  <c r="J51" s="1"/>
  <c r="K51" s="1"/>
  <c r="G52"/>
  <c r="H52" s="1"/>
  <c r="J52" s="1"/>
  <c r="K52" s="1"/>
  <c r="G53"/>
  <c r="H53" s="1"/>
  <c r="J53" s="1"/>
  <c r="K53" s="1"/>
  <c r="G54"/>
  <c r="H54" s="1"/>
  <c r="J54" s="1"/>
  <c r="K54" s="1"/>
  <c r="G55"/>
  <c r="H55" s="1"/>
  <c r="J55" s="1"/>
  <c r="K55" s="1"/>
  <c r="D36" i="1"/>
  <c r="D35"/>
  <c r="D34"/>
  <c r="D33"/>
  <c r="D32"/>
  <c r="D31"/>
  <c r="E13"/>
  <c r="G13"/>
  <c r="E12"/>
  <c r="G12"/>
  <c r="E11"/>
  <c r="G11"/>
  <c r="E10"/>
  <c r="G10"/>
  <c r="E9"/>
  <c r="G9"/>
  <c r="E8"/>
  <c r="E36" s="1"/>
  <c r="F36" s="1"/>
  <c r="L36" i="5" l="1"/>
  <c r="M36" s="1"/>
  <c r="L35"/>
  <c r="M35" s="1"/>
  <c r="L34"/>
  <c r="M34" s="1"/>
  <c r="L33"/>
  <c r="M33" s="1"/>
  <c r="L32"/>
  <c r="M32" s="1"/>
  <c r="L31"/>
  <c r="M31" s="1"/>
  <c r="L27"/>
  <c r="M27" s="1"/>
  <c r="L26"/>
  <c r="M26" s="1"/>
  <c r="L25"/>
  <c r="M25" s="1"/>
  <c r="L24"/>
  <c r="M24" s="1"/>
  <c r="L23"/>
  <c r="M23" s="1"/>
  <c r="L22"/>
  <c r="M22" s="1"/>
  <c r="L36" i="3"/>
  <c r="M36" s="1"/>
  <c r="L35"/>
  <c r="M35" s="1"/>
  <c r="L34"/>
  <c r="M34" s="1"/>
  <c r="L33"/>
  <c r="M33" s="1"/>
  <c r="L32"/>
  <c r="M32" s="1"/>
  <c r="L31"/>
  <c r="M31" s="1"/>
  <c r="L27"/>
  <c r="M27" s="1"/>
  <c r="L26"/>
  <c r="M26" s="1"/>
  <c r="L25"/>
  <c r="M25" s="1"/>
  <c r="L24"/>
  <c r="M24" s="1"/>
  <c r="L23"/>
  <c r="M23" s="1"/>
  <c r="L22"/>
  <c r="M22" s="1"/>
  <c r="F9" i="1"/>
  <c r="H9" s="1"/>
  <c r="F10"/>
  <c r="H10" s="1"/>
  <c r="F11"/>
  <c r="H11" s="1"/>
  <c r="F12"/>
  <c r="H12" s="1"/>
  <c r="F13"/>
  <c r="H13" s="1"/>
  <c r="E22"/>
  <c r="F22" s="1"/>
  <c r="E23"/>
  <c r="F23" s="1"/>
  <c r="E24"/>
  <c r="F24" s="1"/>
  <c r="E25"/>
  <c r="F25" s="1"/>
  <c r="E26"/>
  <c r="F26" s="1"/>
  <c r="E27"/>
  <c r="F27" s="1"/>
  <c r="E31"/>
  <c r="F31" s="1"/>
  <c r="E33"/>
  <c r="F33" s="1"/>
  <c r="E35"/>
  <c r="F35" s="1"/>
  <c r="E40"/>
  <c r="F40" s="1"/>
  <c r="E41"/>
  <c r="F41" s="1"/>
  <c r="E42"/>
  <c r="F42" s="1"/>
  <c r="E43"/>
  <c r="F43" s="1"/>
  <c r="E44"/>
  <c r="F44" s="1"/>
  <c r="E45"/>
  <c r="F45" s="1"/>
  <c r="E50"/>
  <c r="F50" s="1"/>
  <c r="E51"/>
  <c r="F51" s="1"/>
  <c r="E53"/>
  <c r="F53" s="1"/>
  <c r="E55"/>
  <c r="F55" s="1"/>
  <c r="B15"/>
  <c r="B16"/>
  <c r="G36"/>
  <c r="H36" s="1"/>
  <c r="J36" s="1"/>
  <c r="K36" s="1"/>
  <c r="G23"/>
  <c r="H23" s="1"/>
  <c r="J23" s="1"/>
  <c r="K23" s="1"/>
  <c r="G25"/>
  <c r="H25" s="1"/>
  <c r="J25" s="1"/>
  <c r="K25" s="1"/>
  <c r="G27"/>
  <c r="H27" s="1"/>
  <c r="J27" s="1"/>
  <c r="K27" s="1"/>
  <c r="G41"/>
  <c r="H41" s="1"/>
  <c r="J41" s="1"/>
  <c r="K41" s="1"/>
  <c r="G43"/>
  <c r="H43" s="1"/>
  <c r="J43" s="1"/>
  <c r="K43" s="1"/>
  <c r="G45"/>
  <c r="H45" s="1"/>
  <c r="J45" s="1"/>
  <c r="K45" s="1"/>
  <c r="G51"/>
  <c r="H51" s="1"/>
  <c r="J51" s="1"/>
  <c r="K51" s="1"/>
  <c r="G53"/>
  <c r="H53" s="1"/>
  <c r="J53" s="1"/>
  <c r="K53" s="1"/>
  <c r="G55"/>
  <c r="H55" s="1"/>
  <c r="J55" s="1"/>
  <c r="K55" s="1"/>
  <c r="G22"/>
  <c r="H22" s="1"/>
  <c r="J22" s="1"/>
  <c r="K22" s="1"/>
  <c r="G24"/>
  <c r="H24" s="1"/>
  <c r="J24" s="1"/>
  <c r="K24" s="1"/>
  <c r="G26"/>
  <c r="H26" s="1"/>
  <c r="J26" s="1"/>
  <c r="K26" s="1"/>
  <c r="G31"/>
  <c r="H31" s="1"/>
  <c r="J31" s="1"/>
  <c r="K31" s="1"/>
  <c r="G33"/>
  <c r="H33" s="1"/>
  <c r="J33" s="1"/>
  <c r="K33" s="1"/>
  <c r="G35"/>
  <c r="H35" s="1"/>
  <c r="J35" s="1"/>
  <c r="K35" s="1"/>
  <c r="G40"/>
  <c r="H40" s="1"/>
  <c r="J40" s="1"/>
  <c r="K40" s="1"/>
  <c r="G42"/>
  <c r="H42" s="1"/>
  <c r="J42" s="1"/>
  <c r="K42" s="1"/>
  <c r="G44"/>
  <c r="H44" s="1"/>
  <c r="J44" s="1"/>
  <c r="K44" s="1"/>
  <c r="G50"/>
  <c r="H50" s="1"/>
  <c r="J50" s="1"/>
  <c r="K50" s="1"/>
  <c r="E52"/>
  <c r="F52" s="1"/>
  <c r="G52" s="1"/>
  <c r="H52" s="1"/>
  <c r="J52" s="1"/>
  <c r="K52" s="1"/>
  <c r="E54"/>
  <c r="F54" s="1"/>
  <c r="G54" s="1"/>
  <c r="H54" s="1"/>
  <c r="J54" s="1"/>
  <c r="K54" s="1"/>
  <c r="E32"/>
  <c r="F32" s="1"/>
  <c r="G32" s="1"/>
  <c r="H32" s="1"/>
  <c r="J32" s="1"/>
  <c r="K32" s="1"/>
  <c r="L32" s="1"/>
  <c r="M32" s="1"/>
  <c r="E34"/>
  <c r="F34" s="1"/>
  <c r="G34" s="1"/>
  <c r="H34" s="1"/>
  <c r="J34" s="1"/>
  <c r="K34" s="1"/>
  <c r="L34" s="1"/>
  <c r="M34" s="1"/>
  <c r="L40" i="5" l="1"/>
  <c r="L41"/>
  <c r="L42"/>
  <c r="L43"/>
  <c r="L44"/>
  <c r="L45"/>
  <c r="L50"/>
  <c r="L51"/>
  <c r="O51" s="1"/>
  <c r="L52"/>
  <c r="O52" s="1"/>
  <c r="L53"/>
  <c r="L54"/>
  <c r="O54" s="1"/>
  <c r="L55"/>
  <c r="O55" s="1"/>
  <c r="L40" i="3"/>
  <c r="L41"/>
  <c r="L42"/>
  <c r="L43"/>
  <c r="L44"/>
  <c r="L45"/>
  <c r="L50"/>
  <c r="L51"/>
  <c r="O51" s="1"/>
  <c r="L52"/>
  <c r="O52" s="1"/>
  <c r="L53"/>
  <c r="L54"/>
  <c r="O54" s="1"/>
  <c r="L55"/>
  <c r="O55" s="1"/>
  <c r="L33" i="1"/>
  <c r="M33" s="1"/>
  <c r="L26"/>
  <c r="M26" s="1"/>
  <c r="L22"/>
  <c r="M22" s="1"/>
  <c r="L53"/>
  <c r="L25"/>
  <c r="M25" s="1"/>
  <c r="L36"/>
  <c r="M36" s="1"/>
  <c r="L35"/>
  <c r="M35" s="1"/>
  <c r="L31"/>
  <c r="M31" s="1"/>
  <c r="L24"/>
  <c r="M24" s="1"/>
  <c r="L55"/>
  <c r="L51"/>
  <c r="L43"/>
  <c r="L27"/>
  <c r="M27" s="1"/>
  <c r="L23"/>
  <c r="M23" s="1"/>
  <c r="O53" i="5" l="1"/>
  <c r="N53"/>
  <c r="C68" s="1"/>
  <c r="M53"/>
  <c r="B68" s="1"/>
  <c r="O50"/>
  <c r="N50"/>
  <c r="C66" s="1"/>
  <c r="M50"/>
  <c r="B66" s="1"/>
  <c r="N43"/>
  <c r="C67" s="1"/>
  <c r="M43"/>
  <c r="B67" s="1"/>
  <c r="N40"/>
  <c r="C65" s="1"/>
  <c r="M40"/>
  <c r="B65" s="1"/>
  <c r="O53" i="3"/>
  <c r="N53"/>
  <c r="C68" s="1"/>
  <c r="M53"/>
  <c r="B68" s="1"/>
  <c r="O50"/>
  <c r="N50"/>
  <c r="C66" s="1"/>
  <c r="M50"/>
  <c r="B66" s="1"/>
  <c r="N43"/>
  <c r="C67" s="1"/>
  <c r="M43"/>
  <c r="B67" s="1"/>
  <c r="N40"/>
  <c r="C65" s="1"/>
  <c r="M40"/>
  <c r="B65" s="1"/>
  <c r="O53" i="1"/>
  <c r="L50"/>
  <c r="L41"/>
  <c r="O51" s="1"/>
  <c r="L40"/>
  <c r="L52"/>
  <c r="L42"/>
  <c r="L54"/>
  <c r="L45"/>
  <c r="O55" s="1"/>
  <c r="L44"/>
  <c r="N43" s="1"/>
  <c r="C67" s="1"/>
  <c r="Q50" i="5" l="1"/>
  <c r="O58" s="1"/>
  <c r="P50"/>
  <c r="N58" s="1"/>
  <c r="Q53"/>
  <c r="O59" s="1"/>
  <c r="P53"/>
  <c r="N59" s="1"/>
  <c r="Q50" i="3"/>
  <c r="O58" s="1"/>
  <c r="P50"/>
  <c r="N58" s="1"/>
  <c r="Q53"/>
  <c r="O59" s="1"/>
  <c r="P53"/>
  <c r="N59" s="1"/>
  <c r="M40" i="1"/>
  <c r="B65" s="1"/>
  <c r="N40"/>
  <c r="C65" s="1"/>
  <c r="O50"/>
  <c r="M50"/>
  <c r="B66" s="1"/>
  <c r="N50"/>
  <c r="C66" s="1"/>
  <c r="O54"/>
  <c r="M43"/>
  <c r="B67" s="1"/>
  <c r="M53"/>
  <c r="B68" s="1"/>
  <c r="N53"/>
  <c r="C68" s="1"/>
  <c r="P53"/>
  <c r="N59" s="1"/>
  <c r="Q53"/>
  <c r="O59" s="1"/>
  <c r="O52"/>
  <c r="Q50" l="1"/>
  <c r="O58" s="1"/>
  <c r="P50"/>
  <c r="N58" s="1"/>
</calcChain>
</file>

<file path=xl/sharedStrings.xml><?xml version="1.0" encoding="utf-8"?>
<sst xmlns="http://schemas.openxmlformats.org/spreadsheetml/2006/main" count="294" uniqueCount="44">
  <si>
    <t>Date</t>
  </si>
  <si>
    <t>passage</t>
  </si>
  <si>
    <t>operateur</t>
  </si>
  <si>
    <t>mU/L</t>
    <phoneticPr fontId="0" type="noConversion"/>
  </si>
  <si>
    <t>Calibrator µg/L</t>
  </si>
  <si>
    <t xml:space="preserve">  Dulicate O.D</t>
  </si>
  <si>
    <t>Means</t>
  </si>
  <si>
    <t>Means-blank</t>
  </si>
  <si>
    <t>log (Conc)</t>
    <phoneticPr fontId="0" type="noConversion"/>
  </si>
  <si>
    <t>log (Abs)</t>
    <phoneticPr fontId="0" type="noConversion"/>
  </si>
  <si>
    <t>Slope</t>
  </si>
  <si>
    <t>Intercept</t>
  </si>
  <si>
    <t>Insulin content samples dil 500X (LYSAT)</t>
  </si>
  <si>
    <t>ng insulin/TOTAL CELLS</t>
  </si>
  <si>
    <t>Samples</t>
  </si>
  <si>
    <t>O.D</t>
  </si>
  <si>
    <t>mean</t>
    <phoneticPr fontId="0" type="noConversion"/>
  </si>
  <si>
    <t>mean-BK</t>
    <phoneticPr fontId="0" type="noConversion"/>
  </si>
  <si>
    <t>log conc</t>
    <phoneticPr fontId="0" type="noConversion"/>
  </si>
  <si>
    <t>µg/L</t>
  </si>
  <si>
    <t>dilutions to measure</t>
    <phoneticPr fontId="0" type="noConversion"/>
  </si>
  <si>
    <t>Final conc  µg/L</t>
  </si>
  <si>
    <t>Total ng (in 50 ul)</t>
  </si>
  <si>
    <t>Total content</t>
  </si>
  <si>
    <t>ug insulin/million cells</t>
  </si>
  <si>
    <t>16,7 mM Glc</t>
  </si>
  <si>
    <t>16,7 mM Glc + IBMX</t>
  </si>
  <si>
    <t>Insulin secretion samples 0,5 mM dil 16x (SN1)</t>
  </si>
  <si>
    <t xml:space="preserve"> insulin secretion (% of content) </t>
  </si>
  <si>
    <t>Total ng (in 100 ul)</t>
    <phoneticPr fontId="0" type="noConversion"/>
  </si>
  <si>
    <t xml:space="preserve"> insulin secretion (% of content) </t>
    <phoneticPr fontId="0" type="noConversion"/>
  </si>
  <si>
    <t>Mean tripl</t>
  </si>
  <si>
    <t>Ectype</t>
  </si>
  <si>
    <t>0,5 mM Glc</t>
  </si>
  <si>
    <t>0,5 mM Glc + IBMX</t>
  </si>
  <si>
    <t>Insulin secretion samples 16,7 mM Glc dil 16x (SN2)</t>
  </si>
  <si>
    <t>16,7mM/0,5mM</t>
  </si>
  <si>
    <t>Fold change</t>
  </si>
  <si>
    <t>Mean</t>
  </si>
  <si>
    <t>ectype</t>
  </si>
  <si>
    <t>viabilité</t>
  </si>
  <si>
    <t>J0</t>
  </si>
  <si>
    <t>J3</t>
  </si>
  <si>
    <t>Fatou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</si>
</sst>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12">
    <font>
      <sz val="10"/>
      <name val="Comic Sans MS"/>
      <family val="4"/>
    </font>
    <font>
      <sz val="11"/>
      <color theme="1"/>
      <name val="Calibri"/>
      <family val="2"/>
      <scheme val="minor"/>
    </font>
    <font>
      <sz val="10"/>
      <name val="Comic Sans MS"/>
      <family val="4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48"/>
      <name val="Arial"/>
      <family val="2"/>
    </font>
    <font>
      <b/>
      <sz val="8"/>
      <name val="Arial"/>
      <family val="2"/>
    </font>
    <font>
      <sz val="18"/>
      <color indexed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2" borderId="1" applyNumberFormat="0" applyFont="0" applyAlignment="0" applyProtection="0"/>
    <xf numFmtId="0" fontId="2" fillId="0" borderId="0"/>
    <xf numFmtId="0" fontId="1" fillId="0" borderId="0"/>
    <xf numFmtId="0" fontId="1" fillId="0" borderId="0"/>
  </cellStyleXfs>
  <cellXfs count="66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6" fillId="0" borderId="2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  <protection locked="0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1" fillId="0" borderId="0" xfId="1" applyFill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2" xfId="0" applyFont="1" applyBorder="1" applyAlignment="1">
      <alignment horizontal="left"/>
    </xf>
    <xf numFmtId="0" fontId="6" fillId="0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4" borderId="0" xfId="0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>
      <alignment horizontal="center"/>
    </xf>
    <xf numFmtId="165" fontId="8" fillId="0" borderId="0" xfId="0" applyNumberFormat="1" applyFont="1" applyAlignment="1">
      <alignment horizontal="center"/>
    </xf>
    <xf numFmtId="2" fontId="10" fillId="0" borderId="5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1" fontId="3" fillId="4" borderId="0" xfId="0" applyNumberFormat="1" applyFont="1" applyFill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2" fontId="8" fillId="0" borderId="6" xfId="0" applyNumberFormat="1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11" xfId="0" applyFont="1" applyBorder="1" applyAlignment="1">
      <alignment horizontal="center"/>
    </xf>
    <xf numFmtId="2" fontId="8" fillId="0" borderId="11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2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2" xfId="0" applyBorder="1"/>
    <xf numFmtId="14" fontId="3" fillId="0" borderId="0" xfId="0" applyNumberFormat="1" applyFont="1" applyAlignment="1">
      <alignment horizontal="center"/>
    </xf>
    <xf numFmtId="0" fontId="5" fillId="0" borderId="0" xfId="0" applyFont="1" applyBorder="1" applyAlignment="1">
      <alignment horizontal="left"/>
    </xf>
  </cellXfs>
  <cellStyles count="6">
    <cellStyle name="Commentaire 2" xfId="2"/>
    <cellStyle name="Normal" xfId="0" builtinId="0"/>
    <cellStyle name="Normal 2" xfId="1"/>
    <cellStyle name="Normal 3" xfId="3"/>
    <cellStyle name="Normal 4" xfId="4"/>
    <cellStyle name="Normal 5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-1.593459819566045</c:v>
                </c:pt>
                <c:pt idx="1">
                  <c:v>-1.0177287669604316</c:v>
                </c:pt>
                <c:pt idx="2">
                  <c:v>-0.47690416174743222</c:v>
                </c:pt>
                <c:pt idx="3">
                  <c:v>4.6885190837710047E-2</c:v>
                </c:pt>
                <c:pt idx="4">
                  <c:v>0.2489536154957076</c:v>
                </c:pt>
              </c:numCache>
            </c:numRef>
          </c:yVal>
        </c:ser>
        <c:axId val="59613568"/>
        <c:axId val="59615104"/>
      </c:scatterChart>
      <c:valAx>
        <c:axId val="59613568"/>
        <c:scaling>
          <c:orientation val="minMax"/>
        </c:scaling>
        <c:axPos val="b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9615104"/>
        <c:crosses val="autoZero"/>
        <c:crossBetween val="midCat"/>
      </c:valAx>
      <c:valAx>
        <c:axId val="59615104"/>
        <c:scaling>
          <c:orientation val="minMax"/>
        </c:scaling>
        <c:axPos val="l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96135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errBars>
            <c:errBarType val="both"/>
            <c:errValType val="cust"/>
            <c:plus>
              <c:numRef>
                <c:f>siNTP!$C$65:$C$68</c:f>
                <c:numCache>
                  <c:formatCode>General</c:formatCode>
                  <c:ptCount val="4"/>
                  <c:pt idx="0">
                    <c:v>0.19998583219955404</c:v>
                  </c:pt>
                  <c:pt idx="1">
                    <c:v>0.35001999513869808</c:v>
                  </c:pt>
                  <c:pt idx="2">
                    <c:v>0.1224856879196413</c:v>
                  </c:pt>
                  <c:pt idx="3">
                    <c:v>0.43187431190344294</c:v>
                  </c:pt>
                </c:numCache>
              </c:numRef>
            </c:plus>
            <c:minus>
              <c:numRef>
                <c:f>siNTP!$C$65:$C$68</c:f>
                <c:numCache>
                  <c:formatCode>General</c:formatCode>
                  <c:ptCount val="4"/>
                  <c:pt idx="0">
                    <c:v>0.19998583219955404</c:v>
                  </c:pt>
                  <c:pt idx="1">
                    <c:v>0.35001999513869808</c:v>
                  </c:pt>
                  <c:pt idx="2">
                    <c:v>0.1224856879196413</c:v>
                  </c:pt>
                  <c:pt idx="3">
                    <c:v>0.43187431190344294</c:v>
                  </c:pt>
                </c:numCache>
              </c:numRef>
            </c:minus>
          </c:errBars>
          <c:cat>
            <c:strRef>
              <c:f>(siNTP!$A$65,siNTP!$A$66,siNTP!$A$67,siNTP!$A$68)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siNTP!$B$65:$B$68</c:f>
              <c:numCache>
                <c:formatCode>0.0</c:formatCode>
                <c:ptCount val="4"/>
                <c:pt idx="0">
                  <c:v>0.27257440547945544</c:v>
                </c:pt>
                <c:pt idx="1">
                  <c:v>0.88208635817501768</c:v>
                </c:pt>
                <c:pt idx="2">
                  <c:v>0.79151788474196261</c:v>
                </c:pt>
                <c:pt idx="3">
                  <c:v>2.4541252080442493</c:v>
                </c:pt>
              </c:numCache>
            </c:numRef>
          </c:val>
        </c:ser>
        <c:axId val="59999360"/>
        <c:axId val="60000896"/>
      </c:barChart>
      <c:catAx>
        <c:axId val="599993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000896"/>
        <c:crosses val="autoZero"/>
        <c:auto val="1"/>
        <c:lblAlgn val="ctr"/>
        <c:lblOffset val="100"/>
      </c:catAx>
      <c:valAx>
        <c:axId val="60000896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999936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11"/>
          <c:y val="2.7200801823077388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NTP</c:v>
          </c:tx>
          <c:errBars>
            <c:errBarType val="both"/>
            <c:errValType val="cust"/>
            <c:plus>
              <c:numRef>
                <c:f>siNTP!$O$58:$O$59</c:f>
                <c:numCache>
                  <c:formatCode>General</c:formatCode>
                  <c:ptCount val="2"/>
                  <c:pt idx="0">
                    <c:v>1.3977972131204377</c:v>
                  </c:pt>
                  <c:pt idx="1">
                    <c:v>0.56338953183166829</c:v>
                  </c:pt>
                </c:numCache>
              </c:numRef>
            </c:plus>
            <c:minus>
              <c:numRef>
                <c:f>siNTP!$O$58:$O$59</c:f>
                <c:numCache>
                  <c:formatCode>General</c:formatCode>
                  <c:ptCount val="2"/>
                  <c:pt idx="0">
                    <c:v>1.3977972131204377</c:v>
                  </c:pt>
                  <c:pt idx="1">
                    <c:v>0.56338953183166829</c:v>
                  </c:pt>
                </c:numCache>
              </c:numRef>
            </c:minus>
          </c:errBars>
          <c:cat>
            <c:strRef>
              <c:f>siNTP!$M$58:$M$59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siNTP!$N$58:$N$59</c:f>
              <c:numCache>
                <c:formatCode>0.0</c:formatCode>
                <c:ptCount val="2"/>
                <c:pt idx="0">
                  <c:v>3.8055838064086518</c:v>
                </c:pt>
                <c:pt idx="1">
                  <c:v>3.1331844215704039</c:v>
                </c:pt>
              </c:numCache>
            </c:numRef>
          </c:val>
        </c:ser>
        <c:axId val="60295808"/>
        <c:axId val="60297600"/>
      </c:barChart>
      <c:catAx>
        <c:axId val="602958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297600"/>
        <c:crosses val="autoZero"/>
        <c:auto val="1"/>
        <c:lblAlgn val="ctr"/>
        <c:lblOffset val="100"/>
      </c:catAx>
      <c:valAx>
        <c:axId val="60297600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29580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siKCNJ11!$G$9:$G$13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siKCNJ11!$H$9:$H$13</c:f>
              <c:numCache>
                <c:formatCode>0.00</c:formatCode>
                <c:ptCount val="5"/>
                <c:pt idx="0">
                  <c:v>-1.593459819566045</c:v>
                </c:pt>
                <c:pt idx="1">
                  <c:v>-1.0177287669604316</c:v>
                </c:pt>
                <c:pt idx="2">
                  <c:v>-0.47690416174743222</c:v>
                </c:pt>
                <c:pt idx="3">
                  <c:v>4.6885190837710047E-2</c:v>
                </c:pt>
                <c:pt idx="4">
                  <c:v>0.2489536154957076</c:v>
                </c:pt>
              </c:numCache>
            </c:numRef>
          </c:yVal>
        </c:ser>
        <c:axId val="60466304"/>
        <c:axId val="60467840"/>
      </c:scatterChart>
      <c:valAx>
        <c:axId val="60466304"/>
        <c:scaling>
          <c:orientation val="minMax"/>
        </c:scaling>
        <c:axPos val="b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60467840"/>
        <c:crosses val="autoZero"/>
        <c:crossBetween val="midCat"/>
      </c:valAx>
      <c:valAx>
        <c:axId val="60467840"/>
        <c:scaling>
          <c:orientation val="minMax"/>
        </c:scaling>
        <c:axPos val="l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4663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errBars>
            <c:errBarType val="both"/>
            <c:errValType val="cust"/>
            <c:plus>
              <c:numRef>
                <c:f>siKCNJ11!$C$65:$C$68</c:f>
                <c:numCache>
                  <c:formatCode>General</c:formatCode>
                  <c:ptCount val="4"/>
                  <c:pt idx="0">
                    <c:v>0.28695259257390193</c:v>
                  </c:pt>
                  <c:pt idx="1">
                    <c:v>0.56579391513751942</c:v>
                  </c:pt>
                  <c:pt idx="2">
                    <c:v>7.8495219248073664E-2</c:v>
                  </c:pt>
                  <c:pt idx="3">
                    <c:v>0.13578768978848987</c:v>
                  </c:pt>
                </c:numCache>
              </c:numRef>
            </c:plus>
            <c:minus>
              <c:numRef>
                <c:f>siKCNJ11!$C$65:$C$68</c:f>
                <c:numCache>
                  <c:formatCode>General</c:formatCode>
                  <c:ptCount val="4"/>
                  <c:pt idx="0">
                    <c:v>0.28695259257390193</c:v>
                  </c:pt>
                  <c:pt idx="1">
                    <c:v>0.56579391513751942</c:v>
                  </c:pt>
                  <c:pt idx="2">
                    <c:v>7.8495219248073664E-2</c:v>
                  </c:pt>
                  <c:pt idx="3">
                    <c:v>0.13578768978848987</c:v>
                  </c:pt>
                </c:numCache>
              </c:numRef>
            </c:minus>
          </c:errBars>
          <c:cat>
            <c:strRef>
              <c:f>(siKCNJ11!$A$65,siKCNJ11!$A$66,siKCNJ11!$A$67,siKCNJ11!$A$68)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siKCNJ11!$B$65:$B$68</c:f>
              <c:numCache>
                <c:formatCode>0.0</c:formatCode>
                <c:ptCount val="4"/>
                <c:pt idx="0">
                  <c:v>1.5267633255168211</c:v>
                </c:pt>
                <c:pt idx="1">
                  <c:v>1.8071284406483041</c:v>
                </c:pt>
                <c:pt idx="2">
                  <c:v>1.1279395026178207</c:v>
                </c:pt>
                <c:pt idx="3">
                  <c:v>2.9363276322329335</c:v>
                </c:pt>
              </c:numCache>
            </c:numRef>
          </c:val>
        </c:ser>
        <c:axId val="60528512"/>
        <c:axId val="60530048"/>
      </c:barChart>
      <c:catAx>
        <c:axId val="6052851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530048"/>
        <c:crosses val="autoZero"/>
        <c:auto val="1"/>
        <c:lblAlgn val="ctr"/>
        <c:lblOffset val="100"/>
      </c:catAx>
      <c:valAx>
        <c:axId val="60530048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siKCNJ11!$M$48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52851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21"/>
          <c:y val="2.7200801823077415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NTP</c:v>
          </c:tx>
          <c:errBars>
            <c:errBarType val="both"/>
            <c:errValType val="cust"/>
            <c:plus>
              <c:numRef>
                <c:f>siKCNJ11!$O$58:$O$59</c:f>
                <c:numCache>
                  <c:formatCode>General</c:formatCode>
                  <c:ptCount val="2"/>
                  <c:pt idx="0">
                    <c:v>0.27986112382860517</c:v>
                  </c:pt>
                  <c:pt idx="1">
                    <c:v>0.28143938273778712</c:v>
                  </c:pt>
                </c:numCache>
              </c:numRef>
            </c:plus>
            <c:minus>
              <c:numRef>
                <c:f>siKCNJ11!$O$58:$O$59</c:f>
                <c:numCache>
                  <c:formatCode>General</c:formatCode>
                  <c:ptCount val="2"/>
                  <c:pt idx="0">
                    <c:v>0.27986112382860517</c:v>
                  </c:pt>
                  <c:pt idx="1">
                    <c:v>0.28143938273778712</c:v>
                  </c:pt>
                </c:numCache>
              </c:numRef>
            </c:minus>
          </c:errBars>
          <c:cat>
            <c:strRef>
              <c:f>siKCNJ11!$M$58:$M$59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siKCNJ11!$N$58:$N$59</c:f>
              <c:numCache>
                <c:formatCode>0.0</c:formatCode>
                <c:ptCount val="2"/>
                <c:pt idx="0">
                  <c:v>1.1797653472444027</c:v>
                </c:pt>
                <c:pt idx="1">
                  <c:v>2.6159573385003796</c:v>
                </c:pt>
              </c:numCache>
            </c:numRef>
          </c:val>
        </c:ser>
        <c:axId val="60554624"/>
        <c:axId val="60564608"/>
      </c:barChart>
      <c:catAx>
        <c:axId val="605546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564608"/>
        <c:crosses val="autoZero"/>
        <c:auto val="1"/>
        <c:lblAlgn val="ctr"/>
        <c:lblOffset val="100"/>
      </c:catAx>
      <c:valAx>
        <c:axId val="60564608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siKCNJ11!$M$57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55462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siHNF4A!$G$9:$G$13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siHNF4A!$H$9:$H$13</c:f>
              <c:numCache>
                <c:formatCode>0.00</c:formatCode>
                <c:ptCount val="5"/>
                <c:pt idx="0">
                  <c:v>-1.593459819566045</c:v>
                </c:pt>
                <c:pt idx="1">
                  <c:v>-1.0177287669604316</c:v>
                </c:pt>
                <c:pt idx="2">
                  <c:v>-0.47690416174743222</c:v>
                </c:pt>
                <c:pt idx="3">
                  <c:v>4.6885190837710047E-2</c:v>
                </c:pt>
                <c:pt idx="4">
                  <c:v>0.2489536154957076</c:v>
                </c:pt>
              </c:numCache>
            </c:numRef>
          </c:yVal>
        </c:ser>
        <c:axId val="60605952"/>
        <c:axId val="60607488"/>
      </c:scatterChart>
      <c:valAx>
        <c:axId val="60605952"/>
        <c:scaling>
          <c:orientation val="minMax"/>
        </c:scaling>
        <c:axPos val="b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60607488"/>
        <c:crosses val="autoZero"/>
        <c:crossBetween val="midCat"/>
      </c:valAx>
      <c:valAx>
        <c:axId val="60607488"/>
        <c:scaling>
          <c:orientation val="minMax"/>
        </c:scaling>
        <c:axPos val="l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6059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errBars>
            <c:errBarType val="both"/>
            <c:errValType val="cust"/>
            <c:plus>
              <c:numRef>
                <c:f>siHNF4A!$C$65:$C$68</c:f>
                <c:numCache>
                  <c:formatCode>General</c:formatCode>
                  <c:ptCount val="4"/>
                  <c:pt idx="0">
                    <c:v>0.15332992553219379</c:v>
                  </c:pt>
                  <c:pt idx="1">
                    <c:v>5.500189601123881E-2</c:v>
                  </c:pt>
                  <c:pt idx="2">
                    <c:v>0.21774392800691567</c:v>
                  </c:pt>
                  <c:pt idx="3">
                    <c:v>0.24158742659419211</c:v>
                  </c:pt>
                </c:numCache>
              </c:numRef>
            </c:plus>
            <c:minus>
              <c:numRef>
                <c:f>siHNF4A!$C$65:$C$68</c:f>
                <c:numCache>
                  <c:formatCode>General</c:formatCode>
                  <c:ptCount val="4"/>
                  <c:pt idx="0">
                    <c:v>0.15332992553219379</c:v>
                  </c:pt>
                  <c:pt idx="1">
                    <c:v>5.500189601123881E-2</c:v>
                  </c:pt>
                  <c:pt idx="2">
                    <c:v>0.21774392800691567</c:v>
                  </c:pt>
                  <c:pt idx="3">
                    <c:v>0.24158742659419211</c:v>
                  </c:pt>
                </c:numCache>
              </c:numRef>
            </c:minus>
          </c:errBars>
          <c:cat>
            <c:strRef>
              <c:f>(siHNF4A!$A$65,siHNF4A!$A$66,siHNF4A!$A$67,siHNF4A!$A$68)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siHNF4A!$B$65:$B$68</c:f>
              <c:numCache>
                <c:formatCode>0.0</c:formatCode>
                <c:ptCount val="4"/>
                <c:pt idx="0">
                  <c:v>0.62843652535215766</c:v>
                </c:pt>
                <c:pt idx="1">
                  <c:v>0.80453765246690045</c:v>
                </c:pt>
                <c:pt idx="2">
                  <c:v>1.638481149795713</c:v>
                </c:pt>
                <c:pt idx="3">
                  <c:v>3.3960789290603497</c:v>
                </c:pt>
              </c:numCache>
            </c:numRef>
          </c:val>
        </c:ser>
        <c:axId val="60713216"/>
        <c:axId val="60731392"/>
      </c:barChart>
      <c:catAx>
        <c:axId val="6071321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731392"/>
        <c:crosses val="autoZero"/>
        <c:auto val="1"/>
        <c:lblAlgn val="ctr"/>
        <c:lblOffset val="100"/>
      </c:catAx>
      <c:valAx>
        <c:axId val="60731392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siHNF4A!$M$48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71321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17"/>
          <c:y val="2.7200801823077405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NTP</c:v>
          </c:tx>
          <c:errBars>
            <c:errBarType val="both"/>
            <c:errValType val="cust"/>
            <c:plus>
              <c:numRef>
                <c:f>siHNF4A!$O$58:$O$59</c:f>
                <c:numCache>
                  <c:formatCode>General</c:formatCode>
                  <c:ptCount val="2"/>
                  <c:pt idx="0">
                    <c:v>0.4137240949115803</c:v>
                  </c:pt>
                  <c:pt idx="1">
                    <c:v>0.40793885745889208</c:v>
                  </c:pt>
                </c:numCache>
              </c:numRef>
            </c:plus>
            <c:minus>
              <c:numRef>
                <c:f>siHNF4A!$O$58:$O$59</c:f>
                <c:numCache>
                  <c:formatCode>General</c:formatCode>
                  <c:ptCount val="2"/>
                  <c:pt idx="0">
                    <c:v>0.4137240949115803</c:v>
                  </c:pt>
                  <c:pt idx="1">
                    <c:v>0.40793885745889208</c:v>
                  </c:pt>
                </c:numCache>
              </c:numRef>
            </c:minus>
          </c:errBars>
          <c:cat>
            <c:strRef>
              <c:f>siHNF4A!$M$58:$M$59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siHNF4A!$N$58:$N$59</c:f>
              <c:numCache>
                <c:formatCode>0.0</c:formatCode>
                <c:ptCount val="2"/>
                <c:pt idx="0">
                  <c:v>1.3473615716710006</c:v>
                </c:pt>
                <c:pt idx="1">
                  <c:v>2.1088059964758732</c:v>
                </c:pt>
              </c:numCache>
            </c:numRef>
          </c:val>
        </c:ser>
        <c:axId val="60776448"/>
        <c:axId val="60777984"/>
      </c:barChart>
      <c:catAx>
        <c:axId val="607764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777984"/>
        <c:crosses val="autoZero"/>
        <c:auto val="1"/>
        <c:lblAlgn val="ctr"/>
        <c:lblOffset val="100"/>
      </c:catAx>
      <c:valAx>
        <c:axId val="60777984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siHNF4A!$M$57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77644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fils/marlene/Mes%20documents/Endo%20cell-betaTrophin/ELISA/Insulin%20secretion%20Human%20beta%20cell%20line%20october%20marianas%20formul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ptember"/>
      <sheetName val="September (2)"/>
      <sheetName val="October"/>
      <sheetName val="October (2)"/>
      <sheetName val="November 7"/>
      <sheetName val="November 7 (3)"/>
      <sheetName val="November 18"/>
      <sheetName val="November 18 (2)"/>
      <sheetName val="February"/>
      <sheetName val="Sheet3"/>
      <sheetName val="February (2)"/>
      <sheetName val="February (3)"/>
      <sheetName val="February (4)"/>
      <sheetName val="juillet P59"/>
      <sheetName val="juillet P66"/>
      <sheetName val="juillet P88"/>
      <sheetName val="sept P64 P73"/>
      <sheetName val="sept P64 P73 (2)"/>
      <sheetName val="sept P64bis"/>
      <sheetName val="multislip P74"/>
      <sheetName val="multislip P82"/>
      <sheetName val="nov P81"/>
      <sheetName val="nov P81 (2)"/>
      <sheetName val="dec2014 P73"/>
      <sheetName val="dec2014 P73 MEL"/>
      <sheetName val="dec2014 P75"/>
      <sheetName val="dec2014 P75 MEL"/>
      <sheetName val="dec2014 P76-77"/>
      <sheetName val="dec2014 P76-77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1">
          <cell r="A51" t="str">
            <v>0,5 mM Glc</v>
          </cell>
        </row>
        <row r="52">
          <cell r="A52" t="str">
            <v>11 mM Glc</v>
          </cell>
        </row>
        <row r="53">
          <cell r="A53" t="str">
            <v>11 mM Glc + FSK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18"/>
  <sheetViews>
    <sheetView zoomScale="80" zoomScaleNormal="80" workbookViewId="0">
      <selection activeCell="B8" sqref="B8:B13"/>
    </sheetView>
  </sheetViews>
  <sheetFormatPr baseColWidth="10" defaultColWidth="8.75" defaultRowHeight="12.75"/>
  <cols>
    <col min="1" max="1" width="28.125" style="1" customWidth="1"/>
    <col min="2" max="2" width="9.5" style="2" bestFit="1" customWidth="1"/>
    <col min="3" max="3" width="11.875" style="2" bestFit="1" customWidth="1"/>
    <col min="4" max="4" width="7.625" style="2" customWidth="1"/>
    <col min="5" max="5" width="6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>
      <c r="A1" s="1" t="s">
        <v>0</v>
      </c>
      <c r="B1" s="64">
        <v>42401</v>
      </c>
    </row>
    <row r="2" spans="1:20">
      <c r="A2" s="1" t="s">
        <v>1</v>
      </c>
      <c r="B2" s="2">
        <v>81</v>
      </c>
      <c r="C2" s="3"/>
      <c r="E2" s="4" t="s">
        <v>40</v>
      </c>
    </row>
    <row r="3" spans="1:20">
      <c r="A3" s="1" t="s">
        <v>2</v>
      </c>
      <c r="B3" s="2" t="s">
        <v>43</v>
      </c>
      <c r="D3" s="10" t="s">
        <v>41</v>
      </c>
      <c r="E3" s="10">
        <v>1</v>
      </c>
      <c r="F3" s="10">
        <v>2</v>
      </c>
    </row>
    <row r="4" spans="1:20">
      <c r="D4" s="10" t="s">
        <v>42</v>
      </c>
      <c r="E4" s="10">
        <v>3</v>
      </c>
      <c r="F4" s="10">
        <v>4</v>
      </c>
    </row>
    <row r="5" spans="1:20">
      <c r="A5" s="2"/>
    </row>
    <row r="6" spans="1:20" ht="15">
      <c r="N6"/>
      <c r="O6"/>
      <c r="P6"/>
    </row>
    <row r="7" spans="1:20" ht="15">
      <c r="A7" s="10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>
      <c r="A8" s="10">
        <v>0</v>
      </c>
      <c r="B8" s="10">
        <f>A8/23</f>
        <v>0</v>
      </c>
      <c r="C8" s="63">
        <v>5.2999999999999999E-2</v>
      </c>
      <c r="D8" s="63">
        <v>6.6000000000000003E-2</v>
      </c>
      <c r="E8" s="11">
        <f t="shared" ref="E8:E13" si="0">AVERAGE(C8:D8)</f>
        <v>5.9499999999999997E-2</v>
      </c>
      <c r="F8" s="12"/>
      <c r="G8" s="10"/>
      <c r="H8" s="10"/>
      <c r="N8"/>
      <c r="O8"/>
      <c r="P8"/>
    </row>
    <row r="9" spans="1:20" ht="15">
      <c r="A9" s="10">
        <v>3.15</v>
      </c>
      <c r="B9" s="10">
        <f t="shared" ref="B9:B13" si="1">A9/23</f>
        <v>0.13695652173913042</v>
      </c>
      <c r="C9" s="63">
        <v>8.1000000000000003E-2</v>
      </c>
      <c r="D9" s="63">
        <v>8.8999999999999996E-2</v>
      </c>
      <c r="E9" s="11">
        <f t="shared" si="0"/>
        <v>8.4999999999999992E-2</v>
      </c>
      <c r="F9" s="12">
        <f>(E9-$E$8)</f>
        <v>2.5499999999999995E-2</v>
      </c>
      <c r="G9" s="12">
        <f>LOG(B9)</f>
        <v>-0.86341728222799241</v>
      </c>
      <c r="H9" s="12">
        <f>LOG(F9)</f>
        <v>-1.593459819566045</v>
      </c>
      <c r="N9"/>
      <c r="O9"/>
      <c r="P9"/>
    </row>
    <row r="10" spans="1:20" ht="15">
      <c r="A10" s="10">
        <v>10.4</v>
      </c>
      <c r="B10" s="10">
        <f t="shared" si="1"/>
        <v>0.45217391304347826</v>
      </c>
      <c r="C10" s="63">
        <v>0.156</v>
      </c>
      <c r="D10" s="63">
        <v>0.155</v>
      </c>
      <c r="E10" s="11">
        <f t="shared" si="0"/>
        <v>0.1555</v>
      </c>
      <c r="F10" s="12">
        <f>(E10-$E$8)</f>
        <v>9.6000000000000002E-2</v>
      </c>
      <c r="G10" s="12">
        <f>LOG(B10)</f>
        <v>-0.34469449671881253</v>
      </c>
      <c r="H10" s="12">
        <f>LOG(F10)</f>
        <v>-1.0177287669604316</v>
      </c>
      <c r="N10"/>
      <c r="O10"/>
      <c r="P10"/>
    </row>
    <row r="11" spans="1:20" ht="15">
      <c r="A11" s="10">
        <v>31.5</v>
      </c>
      <c r="B11" s="10">
        <f t="shared" si="1"/>
        <v>1.3695652173913044</v>
      </c>
      <c r="C11" s="63">
        <v>0.38400000000000001</v>
      </c>
      <c r="D11" s="63">
        <v>0.40200000000000002</v>
      </c>
      <c r="E11" s="11">
        <f t="shared" si="0"/>
        <v>0.39300000000000002</v>
      </c>
      <c r="F11" s="12">
        <f>(E11-$E$8)</f>
        <v>0.33350000000000002</v>
      </c>
      <c r="G11" s="12">
        <f>LOG(B11)</f>
        <v>0.13658271777200767</v>
      </c>
      <c r="H11" s="12">
        <f>LOG(F11)</f>
        <v>-0.47690416174743222</v>
      </c>
      <c r="N11"/>
      <c r="O11"/>
      <c r="P11"/>
      <c r="Q11"/>
      <c r="R11"/>
      <c r="S11"/>
      <c r="T11"/>
    </row>
    <row r="12" spans="1:20" ht="15">
      <c r="A12" s="10">
        <v>106</v>
      </c>
      <c r="B12" s="10">
        <f t="shared" si="1"/>
        <v>4.6086956521739131</v>
      </c>
      <c r="C12" s="63">
        <v>1.121</v>
      </c>
      <c r="D12" s="63">
        <v>1.226</v>
      </c>
      <c r="E12" s="11">
        <f t="shared" si="0"/>
        <v>1.1735</v>
      </c>
      <c r="F12" s="12">
        <f>(E12-$E$8)</f>
        <v>1.1139999999999999</v>
      </c>
      <c r="G12" s="12">
        <f>LOG(B12)</f>
        <v>0.66357802924717735</v>
      </c>
      <c r="H12" s="12">
        <f>LOG(F12)</f>
        <v>4.6885190837710047E-2</v>
      </c>
      <c r="N12"/>
      <c r="O12"/>
      <c r="P12"/>
      <c r="Q12"/>
      <c r="R12"/>
      <c r="S12"/>
      <c r="T12"/>
    </row>
    <row r="13" spans="1:20" ht="15">
      <c r="A13" s="10">
        <v>210</v>
      </c>
      <c r="B13" s="10">
        <f t="shared" si="1"/>
        <v>9.1304347826086953</v>
      </c>
      <c r="C13" s="63">
        <v>1.8180000000000001</v>
      </c>
      <c r="D13" s="63">
        <v>1.849</v>
      </c>
      <c r="E13" s="11">
        <f t="shared" si="0"/>
        <v>1.8334999999999999</v>
      </c>
      <c r="F13" s="12">
        <f>(E13-$E$8)</f>
        <v>1.774</v>
      </c>
      <c r="G13" s="12">
        <f>LOG(B13)</f>
        <v>0.96049145871632635</v>
      </c>
      <c r="H13" s="12">
        <f>LOG(F13)</f>
        <v>0.2489536154957076</v>
      </c>
      <c r="N13"/>
      <c r="O13"/>
      <c r="P13"/>
    </row>
    <row r="14" spans="1:20" ht="15">
      <c r="N14"/>
    </row>
    <row r="15" spans="1:20" ht="15">
      <c r="A15" s="5" t="s">
        <v>10</v>
      </c>
      <c r="B15" s="11">
        <f>SLOPE(H9:H13,G9:G13)</f>
        <v>1.0254066223626468</v>
      </c>
      <c r="N15"/>
    </row>
    <row r="16" spans="1:20" ht="15">
      <c r="A16" s="5" t="s">
        <v>11</v>
      </c>
      <c r="B16" s="11">
        <f>INTERCEPT(H9:H13,G9:G13)</f>
        <v>-0.67176651093854278</v>
      </c>
      <c r="C16" s="13"/>
      <c r="G16" s="13"/>
      <c r="H16" s="13"/>
    </row>
    <row r="17" spans="1:17" ht="15">
      <c r="B17"/>
      <c r="C17"/>
      <c r="D17"/>
      <c r="E17"/>
      <c r="F17"/>
      <c r="G17"/>
    </row>
    <row r="18" spans="1:17" ht="15">
      <c r="B18"/>
      <c r="C18"/>
      <c r="D18"/>
      <c r="E18"/>
      <c r="F18"/>
      <c r="G18"/>
    </row>
    <row r="19" spans="1:17" ht="23.2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>
      <c r="A21" s="23"/>
      <c r="L21" s="25"/>
      <c r="M21" s="26"/>
    </row>
    <row r="22" spans="1:17" ht="15">
      <c r="A22" s="1" t="s">
        <v>25</v>
      </c>
      <c r="B22" s="63">
        <v>0.443</v>
      </c>
      <c r="C22" s="63">
        <v>0.503</v>
      </c>
      <c r="D22" s="27">
        <f>AVERAGE(B22:C22)</f>
        <v>0.47299999999999998</v>
      </c>
      <c r="E22" s="27">
        <f t="shared" ref="E22:E27" si="2">D22-E$8</f>
        <v>0.41349999999999998</v>
      </c>
      <c r="F22" s="27">
        <f>LOG(E22)</f>
        <v>-0.38352448611143453</v>
      </c>
      <c r="G22" s="28">
        <f>(F22-$B$16)/$B$15</f>
        <v>0.28110021774870902</v>
      </c>
      <c r="H22" s="28">
        <f>10^G22</f>
        <v>1.9102940269560589</v>
      </c>
      <c r="I22" s="29">
        <v>500</v>
      </c>
      <c r="J22" s="30">
        <f>(H22*I22)</f>
        <v>955.14701347802941</v>
      </c>
      <c r="K22" s="31">
        <f>(0.05*J22/1000)*1000</f>
        <v>47.75735067390147</v>
      </c>
      <c r="L22" s="32">
        <f>K22+K40+K50</f>
        <v>48.62133828590143</v>
      </c>
      <c r="M22" s="33">
        <f>(L22*1000000/50000)/1000</f>
        <v>0.97242676571802844</v>
      </c>
      <c r="N22" s="34"/>
    </row>
    <row r="23" spans="1:17" ht="15">
      <c r="B23" s="63">
        <v>0.48399999999999999</v>
      </c>
      <c r="C23" s="63">
        <v>0.46500000000000002</v>
      </c>
      <c r="D23" s="27">
        <f t="shared" ref="D23:D27" si="3">AVERAGE(B23:C23)</f>
        <v>0.47450000000000003</v>
      </c>
      <c r="E23" s="27">
        <f t="shared" si="2"/>
        <v>0.41500000000000004</v>
      </c>
      <c r="F23" s="27">
        <f t="shared" ref="F23:F27" si="4">LOG(E23)</f>
        <v>-0.38195190328790724</v>
      </c>
      <c r="G23" s="28">
        <f t="shared" ref="G23:G27" si="5">(F23-$B$16)/$B$15</f>
        <v>0.28263383649977958</v>
      </c>
      <c r="H23" s="28">
        <f t="shared" ref="H23:H27" si="6">10^G23</f>
        <v>1.9170517494168402</v>
      </c>
      <c r="I23" s="29">
        <v>500</v>
      </c>
      <c r="J23" s="30">
        <f t="shared" ref="J23:J27" si="7">(H23*I23)</f>
        <v>958.52587470842013</v>
      </c>
      <c r="K23" s="31">
        <f t="shared" ref="K23:K27" si="8">(0.05*J23/1000)*1000</f>
        <v>47.926293735421012</v>
      </c>
      <c r="L23" s="32">
        <f>K23+K41+K51</f>
        <v>48.313123958322663</v>
      </c>
      <c r="M23" s="33">
        <f t="shared" ref="M23:M27" si="9">(L23*1000000/50000)/1000</f>
        <v>0.96626247916645336</v>
      </c>
      <c r="N23" s="34"/>
    </row>
    <row r="24" spans="1:17" ht="15">
      <c r="B24" s="63">
        <v>0.40799999999999997</v>
      </c>
      <c r="C24" s="63">
        <v>0.46400000000000002</v>
      </c>
      <c r="D24" s="27">
        <f t="shared" si="3"/>
        <v>0.436</v>
      </c>
      <c r="E24" s="27">
        <f t="shared" si="2"/>
        <v>0.3765</v>
      </c>
      <c r="F24" s="27">
        <f t="shared" si="4"/>
        <v>-0.42423501946328063</v>
      </c>
      <c r="G24" s="28">
        <f t="shared" si="5"/>
        <v>0.241398374144418</v>
      </c>
      <c r="H24" s="28">
        <f t="shared" si="6"/>
        <v>1.7434053490777466</v>
      </c>
      <c r="I24" s="29">
        <v>500</v>
      </c>
      <c r="J24" s="30">
        <f t="shared" si="7"/>
        <v>871.70267453887334</v>
      </c>
      <c r="K24" s="31">
        <f t="shared" si="8"/>
        <v>43.585133726943667</v>
      </c>
      <c r="L24" s="32">
        <f t="shared" ref="L24:L27" si="10">K24+K42+K52</f>
        <v>43.971098539895621</v>
      </c>
      <c r="M24" s="33">
        <f t="shared" si="9"/>
        <v>0.8794219707979124</v>
      </c>
      <c r="N24" s="34"/>
    </row>
    <row r="25" spans="1:17" ht="15">
      <c r="A25" s="1" t="s">
        <v>26</v>
      </c>
      <c r="B25" s="63">
        <v>0.45500000000000002</v>
      </c>
      <c r="C25" s="63">
        <v>0.436</v>
      </c>
      <c r="D25" s="27">
        <f t="shared" si="3"/>
        <v>0.44550000000000001</v>
      </c>
      <c r="E25" s="27">
        <f t="shared" si="2"/>
        <v>0.38600000000000001</v>
      </c>
      <c r="F25" s="27">
        <f t="shared" si="4"/>
        <v>-0.41341269532824504</v>
      </c>
      <c r="G25" s="28">
        <f t="shared" si="5"/>
        <v>0.25195255226168023</v>
      </c>
      <c r="H25" s="28">
        <f t="shared" si="6"/>
        <v>1.786292407360216</v>
      </c>
      <c r="I25" s="29">
        <v>500</v>
      </c>
      <c r="J25" s="30">
        <f t="shared" si="7"/>
        <v>893.14620368010799</v>
      </c>
      <c r="K25" s="31">
        <f t="shared" si="8"/>
        <v>44.657310184005404</v>
      </c>
      <c r="L25" s="32">
        <f t="shared" si="10"/>
        <v>46.408763706433142</v>
      </c>
      <c r="M25" s="33">
        <f t="shared" si="9"/>
        <v>0.92817527412866274</v>
      </c>
      <c r="N25" s="34"/>
    </row>
    <row r="26" spans="1:17" ht="15">
      <c r="B26" s="63">
        <v>0.47199999999999998</v>
      </c>
      <c r="C26" s="63">
        <v>0.46600000000000003</v>
      </c>
      <c r="D26" s="27">
        <f t="shared" si="3"/>
        <v>0.46899999999999997</v>
      </c>
      <c r="E26" s="27">
        <f t="shared" si="2"/>
        <v>0.40949999999999998</v>
      </c>
      <c r="F26" s="27">
        <f t="shared" si="4"/>
        <v>-0.38774609390356274</v>
      </c>
      <c r="G26" s="28">
        <f t="shared" si="5"/>
        <v>0.27698320923709907</v>
      </c>
      <c r="H26" s="28">
        <f t="shared" si="6"/>
        <v>1.8922704579668275</v>
      </c>
      <c r="I26" s="29">
        <v>500</v>
      </c>
      <c r="J26" s="30">
        <f t="shared" si="7"/>
        <v>946.13522898341375</v>
      </c>
      <c r="K26" s="31">
        <f t="shared" si="8"/>
        <v>47.306761449170693</v>
      </c>
      <c r="L26" s="32">
        <f t="shared" si="10"/>
        <v>48.705355532772195</v>
      </c>
      <c r="M26" s="33">
        <f t="shared" si="9"/>
        <v>0.97410711065544398</v>
      </c>
      <c r="N26" s="34"/>
    </row>
    <row r="27" spans="1:17" ht="15">
      <c r="B27" s="63">
        <v>0.47</v>
      </c>
      <c r="C27" s="63">
        <v>0.45300000000000001</v>
      </c>
      <c r="D27" s="27">
        <f t="shared" si="3"/>
        <v>0.46150000000000002</v>
      </c>
      <c r="E27" s="27">
        <f t="shared" si="2"/>
        <v>0.40200000000000002</v>
      </c>
      <c r="F27" s="27">
        <f t="shared" si="4"/>
        <v>-0.39577394691552992</v>
      </c>
      <c r="G27" s="28">
        <f t="shared" si="5"/>
        <v>0.2691542632981016</v>
      </c>
      <c r="H27" s="28">
        <f t="shared" si="6"/>
        <v>1.8584644725674828</v>
      </c>
      <c r="I27" s="29">
        <v>500</v>
      </c>
      <c r="J27" s="30">
        <f t="shared" si="7"/>
        <v>929.23223628374137</v>
      </c>
      <c r="K27" s="31">
        <f t="shared" si="8"/>
        <v>46.461611814187073</v>
      </c>
      <c r="L27" s="32">
        <f t="shared" si="10"/>
        <v>47.914767381666387</v>
      </c>
      <c r="M27" s="33">
        <f t="shared" si="9"/>
        <v>0.95829534763332769</v>
      </c>
      <c r="N27" s="34"/>
    </row>
    <row r="28" spans="1:17" ht="23.2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>
      <c r="A30" s="23"/>
      <c r="L30" s="25"/>
      <c r="M30" s="26"/>
    </row>
    <row r="31" spans="1:17" ht="15">
      <c r="A31" s="1" t="s">
        <v>25</v>
      </c>
      <c r="B31" s="63">
        <v>0.443</v>
      </c>
      <c r="C31" s="63">
        <v>0.503</v>
      </c>
      <c r="D31" s="27">
        <f t="shared" ref="D31:D36" si="11">AVERAGE(B31:C31)</f>
        <v>0.47299999999999998</v>
      </c>
      <c r="E31" s="27">
        <f t="shared" ref="E31:E36" si="12">D31-E$8</f>
        <v>0.41349999999999998</v>
      </c>
      <c r="F31" s="27">
        <f>LOG(E31)</f>
        <v>-0.38352448611143453</v>
      </c>
      <c r="G31" s="28">
        <f>(F31-$B$16)/$B$15</f>
        <v>0.28110021774870902</v>
      </c>
      <c r="H31" s="28">
        <f>10^G31</f>
        <v>1.9102940269560589</v>
      </c>
      <c r="I31" s="29">
        <v>500</v>
      </c>
      <c r="J31" s="30">
        <f>(H31*I31)</f>
        <v>955.14701347802941</v>
      </c>
      <c r="K31" s="31">
        <f>(0.05*J31/1000)*1000</f>
        <v>47.75735067390147</v>
      </c>
      <c r="L31" s="32">
        <f>K31+K50</f>
        <v>48.377004536279706</v>
      </c>
      <c r="M31" s="33">
        <f>(L31*1000000/50000)/1000</f>
        <v>0.9675400907255941</v>
      </c>
      <c r="N31" s="35"/>
      <c r="Q31"/>
    </row>
    <row r="32" spans="1:17" ht="15">
      <c r="B32" s="63">
        <v>0.48399999999999999</v>
      </c>
      <c r="C32" s="63">
        <v>0.46500000000000002</v>
      </c>
      <c r="D32" s="27">
        <f t="shared" si="11"/>
        <v>0.47450000000000003</v>
      </c>
      <c r="E32" s="27">
        <f t="shared" si="12"/>
        <v>0.41500000000000004</v>
      </c>
      <c r="F32" s="27">
        <f t="shared" ref="F32:F36" si="13">LOG(E32)</f>
        <v>-0.38195190328790724</v>
      </c>
      <c r="G32" s="28">
        <f t="shared" ref="G32:G36" si="14">(F32-$B$16)/$B$15</f>
        <v>0.28263383649977958</v>
      </c>
      <c r="H32" s="28">
        <f t="shared" ref="H32:H36" si="15">10^G32</f>
        <v>1.9170517494168402</v>
      </c>
      <c r="I32" s="29">
        <v>500</v>
      </c>
      <c r="J32" s="30">
        <f t="shared" ref="J32:J36" si="16">(H32*I32)</f>
        <v>958.52587470842013</v>
      </c>
      <c r="K32" s="31">
        <f t="shared" ref="K32:K36" si="17">(0.05*J32/1000)*1000</f>
        <v>47.926293735421012</v>
      </c>
      <c r="L32" s="32">
        <f>K32+K51</f>
        <v>48.228115804841316</v>
      </c>
      <c r="M32" s="33">
        <f t="shared" ref="M32:M36" si="18">(L32*1000000/50000)/1000</f>
        <v>0.9645623160968263</v>
      </c>
      <c r="N32" s="36"/>
      <c r="Q32"/>
    </row>
    <row r="33" spans="1:21" ht="15">
      <c r="B33" s="63">
        <v>0.40799999999999997</v>
      </c>
      <c r="C33" s="63">
        <v>0.46400000000000002</v>
      </c>
      <c r="D33" s="27">
        <f t="shared" si="11"/>
        <v>0.436</v>
      </c>
      <c r="E33" s="27">
        <f t="shared" si="12"/>
        <v>0.3765</v>
      </c>
      <c r="F33" s="27">
        <f t="shared" si="13"/>
        <v>-0.42423501946328063</v>
      </c>
      <c r="G33" s="28">
        <f t="shared" si="14"/>
        <v>0.241398374144418</v>
      </c>
      <c r="H33" s="28">
        <f t="shared" si="15"/>
        <v>1.7434053490777466</v>
      </c>
      <c r="I33" s="29">
        <v>500</v>
      </c>
      <c r="J33" s="30">
        <f t="shared" si="16"/>
        <v>871.70267453887334</v>
      </c>
      <c r="K33" s="31">
        <f t="shared" si="17"/>
        <v>43.585133726943667</v>
      </c>
      <c r="L33" s="32">
        <f t="shared" ref="L33:L36" si="19">K33+K52</f>
        <v>43.909870102104911</v>
      </c>
      <c r="M33" s="33">
        <f t="shared" si="18"/>
        <v>0.87819740204209829</v>
      </c>
      <c r="N33" s="36"/>
      <c r="Q33"/>
      <c r="R33"/>
      <c r="S33"/>
    </row>
    <row r="34" spans="1:21" ht="15">
      <c r="A34" s="1" t="s">
        <v>26</v>
      </c>
      <c r="B34" s="63">
        <v>0.45500000000000002</v>
      </c>
      <c r="C34" s="63">
        <v>0.436</v>
      </c>
      <c r="D34" s="27">
        <f t="shared" si="11"/>
        <v>0.44550000000000001</v>
      </c>
      <c r="E34" s="27">
        <f t="shared" si="12"/>
        <v>0.38600000000000001</v>
      </c>
      <c r="F34" s="27">
        <f t="shared" si="13"/>
        <v>-0.41341269532824504</v>
      </c>
      <c r="G34" s="28">
        <f t="shared" si="14"/>
        <v>0.25195255226168023</v>
      </c>
      <c r="H34" s="28">
        <f t="shared" si="15"/>
        <v>1.786292407360216</v>
      </c>
      <c r="I34" s="29">
        <v>500</v>
      </c>
      <c r="J34" s="30">
        <f t="shared" si="16"/>
        <v>893.14620368010799</v>
      </c>
      <c r="K34" s="31">
        <f t="shared" si="17"/>
        <v>44.657310184005404</v>
      </c>
      <c r="L34" s="32">
        <f t="shared" si="19"/>
        <v>46.015519677428202</v>
      </c>
      <c r="M34" s="33">
        <f t="shared" si="18"/>
        <v>0.92031039354856403</v>
      </c>
      <c r="N34" s="36"/>
      <c r="Q34"/>
      <c r="R34"/>
      <c r="S34"/>
    </row>
    <row r="35" spans="1:21" ht="15">
      <c r="B35" s="63">
        <v>0.47199999999999998</v>
      </c>
      <c r="C35" s="63">
        <v>0.46600000000000003</v>
      </c>
      <c r="D35" s="27">
        <f t="shared" si="11"/>
        <v>0.46899999999999997</v>
      </c>
      <c r="E35" s="27">
        <f t="shared" si="12"/>
        <v>0.40949999999999998</v>
      </c>
      <c r="F35" s="27">
        <f t="shared" si="13"/>
        <v>-0.38774609390356274</v>
      </c>
      <c r="G35" s="28">
        <f t="shared" si="14"/>
        <v>0.27698320923709907</v>
      </c>
      <c r="H35" s="28">
        <f t="shared" si="15"/>
        <v>1.8922704579668275</v>
      </c>
      <c r="I35" s="29">
        <v>500</v>
      </c>
      <c r="J35" s="30">
        <f t="shared" si="16"/>
        <v>946.13522898341375</v>
      </c>
      <c r="K35" s="31">
        <f t="shared" si="17"/>
        <v>47.306761449170693</v>
      </c>
      <c r="L35" s="32">
        <f t="shared" si="19"/>
        <v>48.388252547231232</v>
      </c>
      <c r="M35" s="33">
        <f t="shared" si="18"/>
        <v>0.96776505094462473</v>
      </c>
      <c r="N35" s="36"/>
      <c r="Q35"/>
      <c r="R35"/>
      <c r="S35"/>
    </row>
    <row r="36" spans="1:21" ht="15">
      <c r="B36" s="63">
        <v>0.47</v>
      </c>
      <c r="C36" s="63">
        <v>0.45300000000000001</v>
      </c>
      <c r="D36" s="27">
        <f t="shared" si="11"/>
        <v>0.46150000000000002</v>
      </c>
      <c r="E36" s="27">
        <f t="shared" si="12"/>
        <v>0.40200000000000002</v>
      </c>
      <c r="F36" s="27">
        <f t="shared" si="13"/>
        <v>-0.39577394691552992</v>
      </c>
      <c r="G36" s="28">
        <f t="shared" si="14"/>
        <v>0.2691542632981016</v>
      </c>
      <c r="H36" s="28">
        <f t="shared" si="15"/>
        <v>1.8584644725674828</v>
      </c>
      <c r="I36" s="29">
        <v>500</v>
      </c>
      <c r="J36" s="30">
        <f t="shared" si="16"/>
        <v>929.23223628374137</v>
      </c>
      <c r="K36" s="31">
        <f t="shared" si="17"/>
        <v>46.461611814187073</v>
      </c>
      <c r="L36" s="32">
        <f t="shared" si="19"/>
        <v>47.49496640410473</v>
      </c>
      <c r="M36" s="33">
        <f t="shared" si="18"/>
        <v>0.94989932808209465</v>
      </c>
      <c r="N36" s="37"/>
      <c r="Q36"/>
      <c r="R36"/>
      <c r="S36"/>
    </row>
    <row r="37" spans="1:21" ht="15">
      <c r="R37"/>
      <c r="S37"/>
    </row>
    <row r="38" spans="1:21" ht="23.2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>
      <c r="A40" s="1" t="s">
        <v>33</v>
      </c>
      <c r="B40" s="63">
        <v>8.8999999999999996E-2</v>
      </c>
      <c r="C40" s="63">
        <v>9.1999999999999998E-2</v>
      </c>
      <c r="D40" s="27">
        <f>AVERAGE(B40:C40)</f>
        <v>9.0499999999999997E-2</v>
      </c>
      <c r="E40" s="27">
        <f t="shared" ref="E40:E45" si="20">D40-E$8</f>
        <v>3.1E-2</v>
      </c>
      <c r="F40" s="27">
        <f t="shared" ref="F40:F45" si="21">LOG(E40)</f>
        <v>-1.5086383061657274</v>
      </c>
      <c r="G40" s="28">
        <f t="shared" ref="G40:G45" si="22">(F40-$B$16)/$B$15</f>
        <v>-0.81613652279613935</v>
      </c>
      <c r="H40" s="27">
        <f t="shared" ref="H40:H45" si="23">10^G40</f>
        <v>0.15270859351357635</v>
      </c>
      <c r="I40" s="41">
        <v>16</v>
      </c>
      <c r="J40" s="42">
        <f t="shared" ref="J40:J45" si="24">H40*I40</f>
        <v>2.4433374962172216</v>
      </c>
      <c r="K40" s="30">
        <f>(0.1*J40/1000)*1000</f>
        <v>0.24433374962172219</v>
      </c>
      <c r="L40" s="43">
        <f>K40*100/L22</f>
        <v>0.50252370303959903</v>
      </c>
      <c r="M40" s="30">
        <f>AVERAGE(L40:L42)</f>
        <v>0.27257440547945544</v>
      </c>
      <c r="N40" s="44">
        <f>STDEV(L40:L42)</f>
        <v>0.19998583219955404</v>
      </c>
      <c r="R40"/>
      <c r="S40"/>
      <c r="T40"/>
      <c r="U40"/>
    </row>
    <row r="41" spans="1:21" ht="15">
      <c r="B41" s="63">
        <v>6.8000000000000005E-2</v>
      </c>
      <c r="C41" s="63">
        <v>7.1999999999999995E-2</v>
      </c>
      <c r="D41" s="27">
        <f t="shared" ref="D41:D45" si="25">AVERAGE(B41:C41)</f>
        <v>7.0000000000000007E-2</v>
      </c>
      <c r="E41" s="27">
        <f t="shared" si="20"/>
        <v>1.0500000000000009E-2</v>
      </c>
      <c r="F41" s="27">
        <f t="shared" si="21"/>
        <v>-1.9788107009300615</v>
      </c>
      <c r="G41" s="28">
        <f t="shared" si="22"/>
        <v>-1.2746593999753473</v>
      </c>
      <c r="H41" s="27">
        <f t="shared" si="23"/>
        <v>5.3130095925840191E-2</v>
      </c>
      <c r="I41" s="41">
        <v>16</v>
      </c>
      <c r="J41" s="42">
        <f t="shared" si="24"/>
        <v>0.85008153481344306</v>
      </c>
      <c r="K41" s="30">
        <f t="shared" ref="K41:K45" si="26">(0.1*J41/1000)*1000</f>
        <v>8.5008153481344315E-2</v>
      </c>
      <c r="L41" s="43">
        <f t="shared" ref="L41:L45" si="27">K41*100/L23</f>
        <v>0.17595250837986925</v>
      </c>
      <c r="M41" s="30"/>
      <c r="N41" s="44"/>
      <c r="R41"/>
      <c r="S41"/>
      <c r="T41"/>
      <c r="U41"/>
    </row>
    <row r="42" spans="1:21" s="17" customFormat="1" ht="15">
      <c r="A42" s="1"/>
      <c r="B42" s="63">
        <v>6.7000000000000004E-2</v>
      </c>
      <c r="C42" s="63">
        <v>6.7000000000000004E-2</v>
      </c>
      <c r="D42" s="27">
        <f t="shared" si="25"/>
        <v>6.7000000000000004E-2</v>
      </c>
      <c r="E42" s="27">
        <f t="shared" si="20"/>
        <v>7.5000000000000067E-3</v>
      </c>
      <c r="F42" s="27">
        <f t="shared" si="21"/>
        <v>-2.1249387366082995</v>
      </c>
      <c r="G42" s="28">
        <f t="shared" si="22"/>
        <v>-1.417166803859226</v>
      </c>
      <c r="H42" s="27">
        <f t="shared" si="23"/>
        <v>3.8267773619195665E-2</v>
      </c>
      <c r="I42" s="41">
        <v>16</v>
      </c>
      <c r="J42" s="42">
        <f t="shared" si="24"/>
        <v>0.61228437790713064</v>
      </c>
      <c r="K42" s="30">
        <f t="shared" si="26"/>
        <v>6.1228437790713068E-2</v>
      </c>
      <c r="L42" s="43">
        <f t="shared" si="27"/>
        <v>0.13924700501889806</v>
      </c>
      <c r="M42" s="30"/>
      <c r="N42" s="44"/>
      <c r="R42"/>
      <c r="S42"/>
      <c r="T42"/>
      <c r="U42"/>
    </row>
    <row r="43" spans="1:21" ht="15">
      <c r="A43" s="1" t="s">
        <v>34</v>
      </c>
      <c r="B43" s="63">
        <v>0.10299999999999999</v>
      </c>
      <c r="C43" s="63">
        <v>0.11700000000000001</v>
      </c>
      <c r="D43" s="27">
        <f t="shared" si="25"/>
        <v>0.11</v>
      </c>
      <c r="E43" s="27">
        <f t="shared" si="20"/>
        <v>5.0500000000000003E-2</v>
      </c>
      <c r="F43" s="27">
        <f t="shared" si="21"/>
        <v>-1.2967086218813386</v>
      </c>
      <c r="G43" s="28">
        <f t="shared" si="22"/>
        <v>-0.60945784561334526</v>
      </c>
      <c r="H43" s="27">
        <f t="shared" si="23"/>
        <v>0.24577751812808929</v>
      </c>
      <c r="I43" s="41">
        <v>16</v>
      </c>
      <c r="J43" s="42">
        <f t="shared" si="24"/>
        <v>3.9324402900494286</v>
      </c>
      <c r="K43" s="30">
        <f t="shared" si="26"/>
        <v>0.39324402900494287</v>
      </c>
      <c r="L43" s="43">
        <f t="shared" si="27"/>
        <v>0.84734864193426407</v>
      </c>
      <c r="M43" s="30">
        <f>AVERAGE(L43:L45)</f>
        <v>0.79151788474196261</v>
      </c>
      <c r="N43" s="44">
        <f>STDEV(L43:L45)</f>
        <v>0.1224856879196413</v>
      </c>
      <c r="R43"/>
      <c r="S43"/>
      <c r="T43"/>
      <c r="U43"/>
    </row>
    <row r="44" spans="1:21" ht="15">
      <c r="A44" s="45"/>
      <c r="B44" s="63">
        <v>0.1</v>
      </c>
      <c r="C44" s="63">
        <v>0.1</v>
      </c>
      <c r="D44" s="27">
        <f t="shared" si="25"/>
        <v>0.1</v>
      </c>
      <c r="E44" s="27">
        <f t="shared" si="20"/>
        <v>4.0500000000000008E-2</v>
      </c>
      <c r="F44" s="27">
        <f t="shared" si="21"/>
        <v>-1.3925449767853313</v>
      </c>
      <c r="G44" s="28">
        <f t="shared" si="22"/>
        <v>-0.70291965170464532</v>
      </c>
      <c r="H44" s="27">
        <f t="shared" si="23"/>
        <v>0.19818936596310038</v>
      </c>
      <c r="I44" s="41">
        <v>16</v>
      </c>
      <c r="J44" s="42">
        <f t="shared" si="24"/>
        <v>3.1710298554096061</v>
      </c>
      <c r="K44" s="30">
        <f t="shared" si="26"/>
        <v>0.31710298554096061</v>
      </c>
      <c r="L44" s="43">
        <f t="shared" si="27"/>
        <v>0.65106389651050323</v>
      </c>
      <c r="M44" s="30"/>
      <c r="N44" s="44"/>
      <c r="R44"/>
      <c r="S44"/>
      <c r="T44"/>
      <c r="U44"/>
    </row>
    <row r="45" spans="1:21" ht="15">
      <c r="A45" s="46"/>
      <c r="B45" s="63">
        <v>0.111</v>
      </c>
      <c r="C45" s="63">
        <v>0.11600000000000001</v>
      </c>
      <c r="D45" s="27">
        <f t="shared" si="25"/>
        <v>0.1135</v>
      </c>
      <c r="E45" s="27">
        <f t="shared" si="20"/>
        <v>5.4000000000000006E-2</v>
      </c>
      <c r="F45" s="27">
        <f t="shared" si="21"/>
        <v>-1.2676062401770314</v>
      </c>
      <c r="G45" s="28">
        <f t="shared" si="22"/>
        <v>-0.58107653709667872</v>
      </c>
      <c r="H45" s="27">
        <f t="shared" si="23"/>
        <v>0.26237561097603768</v>
      </c>
      <c r="I45" s="41">
        <v>16</v>
      </c>
      <c r="J45" s="42">
        <f t="shared" si="24"/>
        <v>4.1980097756166028</v>
      </c>
      <c r="K45" s="30">
        <f t="shared" si="26"/>
        <v>0.41980097756166029</v>
      </c>
      <c r="L45" s="43">
        <f t="shared" si="27"/>
        <v>0.87614111578112064</v>
      </c>
      <c r="M45" s="30"/>
      <c r="N45" s="44"/>
      <c r="R45"/>
      <c r="S45"/>
      <c r="T45"/>
      <c r="U45"/>
    </row>
    <row r="46" spans="1:21" ht="15">
      <c r="E46" s="28"/>
      <c r="F46" s="27"/>
      <c r="G46" s="30"/>
      <c r="H46" s="47"/>
      <c r="R46"/>
      <c r="S46"/>
      <c r="T46"/>
    </row>
    <row r="47" spans="1:21">
      <c r="E47" s="28"/>
      <c r="F47" s="27"/>
      <c r="G47" s="30"/>
      <c r="H47" s="47"/>
    </row>
    <row r="48" spans="1:21" ht="23.25">
      <c r="A48" s="14" t="s">
        <v>35</v>
      </c>
      <c r="E48" s="28"/>
      <c r="F48" s="27"/>
      <c r="H48" s="38"/>
      <c r="M48" s="39" t="s">
        <v>28</v>
      </c>
    </row>
    <row r="49" spans="1:25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>
      <c r="A50" s="1" t="s">
        <v>25</v>
      </c>
      <c r="B50" s="63">
        <v>0.13500000000000001</v>
      </c>
      <c r="C50" s="63">
        <v>0.14499999999999999</v>
      </c>
      <c r="D50" s="27">
        <f>AVERAGE(B50:C50)</f>
        <v>0.14000000000000001</v>
      </c>
      <c r="E50" s="27">
        <f t="shared" ref="E50:E55" si="28">D50-E$8</f>
        <v>8.0500000000000016E-2</v>
      </c>
      <c r="F50" s="27">
        <f t="shared" ref="F50:F55" si="29">LOG(E50)</f>
        <v>-1.0942041196321315</v>
      </c>
      <c r="G50" s="28">
        <f t="shared" ref="G50:G55" si="30">(F50-$B$16)/$B$15</f>
        <v>-0.41197082160465004</v>
      </c>
      <c r="H50" s="27">
        <f t="shared" ref="H50:H55" si="31">10^G50</f>
        <v>0.38728366398639857</v>
      </c>
      <c r="I50" s="41">
        <v>16</v>
      </c>
      <c r="J50" s="42">
        <f t="shared" ref="J50:J55" si="32">H50*I50</f>
        <v>6.1965386237823772</v>
      </c>
      <c r="K50" s="30">
        <f>(0.1*J50/1000)*1000</f>
        <v>0.61965386237823772</v>
      </c>
      <c r="L50" s="43">
        <f t="shared" ref="L50:L55" si="33">K50*100/L31</f>
        <v>1.2808851401982451</v>
      </c>
      <c r="M50" s="30">
        <f>AVERAGE(L50:L52)</f>
        <v>0.88208635817501768</v>
      </c>
      <c r="N50" s="44">
        <f>STDEV(L50:L52)</f>
        <v>0.35001999513869808</v>
      </c>
      <c r="O50" s="48">
        <f>L50/L40</f>
        <v>2.5489049221968956</v>
      </c>
      <c r="P50" s="30">
        <f>AVERAGE(O50:O52)</f>
        <v>3.8055838064086518</v>
      </c>
      <c r="Q50" s="44">
        <f>STDEV(O50:O52)</f>
        <v>1.3977972131204377</v>
      </c>
      <c r="S50"/>
      <c r="T50"/>
    </row>
    <row r="51" spans="1:25" ht="15">
      <c r="B51" s="63">
        <v>9.8000000000000004E-2</v>
      </c>
      <c r="C51" s="63">
        <v>9.8000000000000004E-2</v>
      </c>
      <c r="D51" s="27">
        <f t="shared" ref="D51:D55" si="34">AVERAGE(B51:C51)</f>
        <v>9.8000000000000004E-2</v>
      </c>
      <c r="E51" s="27">
        <f t="shared" si="28"/>
        <v>3.8500000000000006E-2</v>
      </c>
      <c r="F51" s="27">
        <f t="shared" si="29"/>
        <v>-1.4145392704914992</v>
      </c>
      <c r="G51" s="28">
        <f t="shared" si="30"/>
        <v>-0.72436899016853273</v>
      </c>
      <c r="H51" s="27">
        <f t="shared" si="31"/>
        <v>0.18863879338769152</v>
      </c>
      <c r="I51" s="41">
        <v>16</v>
      </c>
      <c r="J51" s="42">
        <f t="shared" si="32"/>
        <v>3.0182206942030643</v>
      </c>
      <c r="K51" s="30">
        <f t="shared" ref="K51:K55" si="35">(0.1*J51/1000)*1000</f>
        <v>0.30182206942030643</v>
      </c>
      <c r="L51" s="43">
        <f t="shared" si="33"/>
        <v>0.62582181448193419</v>
      </c>
      <c r="M51" s="30"/>
      <c r="N51" s="44"/>
      <c r="O51" s="2">
        <f t="shared" ref="O51:O55" si="36">L51/L41</f>
        <v>3.5567655172657631</v>
      </c>
      <c r="P51" s="30"/>
      <c r="Q51" s="44"/>
      <c r="S51"/>
      <c r="T51"/>
    </row>
    <row r="52" spans="1:25" ht="15">
      <c r="B52" s="63">
        <v>0.107</v>
      </c>
      <c r="C52" s="63">
        <v>9.5000000000000001E-2</v>
      </c>
      <c r="D52" s="27">
        <f t="shared" si="34"/>
        <v>0.10100000000000001</v>
      </c>
      <c r="E52" s="27">
        <f t="shared" si="28"/>
        <v>4.1500000000000009E-2</v>
      </c>
      <c r="F52" s="27">
        <f t="shared" si="29"/>
        <v>-1.3819519032879073</v>
      </c>
      <c r="G52" s="28">
        <f t="shared" si="30"/>
        <v>-0.69258904405456367</v>
      </c>
      <c r="H52" s="27">
        <f t="shared" si="31"/>
        <v>0.20296023447577957</v>
      </c>
      <c r="I52" s="41">
        <v>16</v>
      </c>
      <c r="J52" s="42">
        <f t="shared" si="32"/>
        <v>3.2473637516124731</v>
      </c>
      <c r="K52" s="30">
        <f t="shared" si="35"/>
        <v>0.32473637516124731</v>
      </c>
      <c r="L52" s="43">
        <f t="shared" si="33"/>
        <v>0.73955211984487379</v>
      </c>
      <c r="M52" s="30"/>
      <c r="N52" s="44"/>
      <c r="O52" s="2">
        <f t="shared" si="36"/>
        <v>5.3110809797632967</v>
      </c>
      <c r="P52" s="30"/>
      <c r="Q52" s="44"/>
      <c r="S52"/>
      <c r="T52"/>
    </row>
    <row r="53" spans="1:25" ht="15">
      <c r="A53" s="1" t="s">
        <v>26</v>
      </c>
      <c r="B53" s="63">
        <v>0.24</v>
      </c>
      <c r="C53" s="63">
        <v>0.23899999999999999</v>
      </c>
      <c r="D53" s="27">
        <f t="shared" si="34"/>
        <v>0.23949999999999999</v>
      </c>
      <c r="E53" s="27">
        <f t="shared" si="28"/>
        <v>0.18</v>
      </c>
      <c r="F53" s="27">
        <f t="shared" si="29"/>
        <v>-0.74472749489669399</v>
      </c>
      <c r="G53" s="28">
        <f t="shared" si="30"/>
        <v>-7.1153220943747444E-2</v>
      </c>
      <c r="H53" s="27">
        <f t="shared" si="31"/>
        <v>0.84888093338924853</v>
      </c>
      <c r="I53" s="41">
        <v>16</v>
      </c>
      <c r="J53" s="42">
        <f t="shared" si="32"/>
        <v>13.582094934227976</v>
      </c>
      <c r="K53" s="30">
        <f t="shared" si="35"/>
        <v>1.3582094934227977</v>
      </c>
      <c r="L53" s="43">
        <f t="shared" si="33"/>
        <v>2.9516334987498456</v>
      </c>
      <c r="M53" s="30">
        <f>AVERAGE(L53:L55)</f>
        <v>2.4541252080442493</v>
      </c>
      <c r="N53" s="44">
        <f>STDEV(L53:L55)</f>
        <v>0.43187431190344294</v>
      </c>
      <c r="O53" s="2">
        <f t="shared" si="36"/>
        <v>3.4833754993836745</v>
      </c>
      <c r="P53" s="30">
        <f>AVERAGE(O53:O55)</f>
        <v>3.1331844215704039</v>
      </c>
      <c r="Q53" s="44">
        <f>STDEV(O53:O55)</f>
        <v>0.56338953183166829</v>
      </c>
      <c r="S53"/>
      <c r="T53"/>
    </row>
    <row r="54" spans="1:25" ht="15">
      <c r="A54" s="45"/>
      <c r="B54" s="63">
        <v>0.21299999999999999</v>
      </c>
      <c r="C54" s="63">
        <v>0.191</v>
      </c>
      <c r="D54" s="27">
        <f t="shared" si="34"/>
        <v>0.20200000000000001</v>
      </c>
      <c r="E54" s="27">
        <f t="shared" si="28"/>
        <v>0.14250000000000002</v>
      </c>
      <c r="F54" s="27">
        <f t="shared" si="29"/>
        <v>-0.84618513565547093</v>
      </c>
      <c r="G54" s="28">
        <f t="shared" si="30"/>
        <v>-0.17009703361876963</v>
      </c>
      <c r="H54" s="27">
        <f t="shared" si="31"/>
        <v>0.67593193628783499</v>
      </c>
      <c r="I54" s="41">
        <v>16</v>
      </c>
      <c r="J54" s="42">
        <f t="shared" si="32"/>
        <v>10.81491098060536</v>
      </c>
      <c r="K54" s="30">
        <f t="shared" si="35"/>
        <v>1.0814910980605361</v>
      </c>
      <c r="L54" s="43">
        <f t="shared" si="33"/>
        <v>2.2350282168278444</v>
      </c>
      <c r="M54" s="30"/>
      <c r="N54" s="44"/>
      <c r="O54" s="2">
        <f t="shared" si="36"/>
        <v>3.4328861250130585</v>
      </c>
      <c r="P54" s="30"/>
      <c r="Q54" s="44"/>
      <c r="S54"/>
      <c r="T54"/>
    </row>
    <row r="55" spans="1:25" ht="15">
      <c r="A55" s="46"/>
      <c r="B55" s="63">
        <v>0.19400000000000001</v>
      </c>
      <c r="C55" s="63">
        <v>0.19700000000000001</v>
      </c>
      <c r="D55" s="27">
        <f t="shared" si="34"/>
        <v>0.19550000000000001</v>
      </c>
      <c r="E55" s="27">
        <f t="shared" si="28"/>
        <v>0.13600000000000001</v>
      </c>
      <c r="F55" s="27">
        <f t="shared" si="29"/>
        <v>-0.86646109162978246</v>
      </c>
      <c r="G55" s="28">
        <f t="shared" si="30"/>
        <v>-0.18987060981003076</v>
      </c>
      <c r="H55" s="27">
        <f t="shared" si="31"/>
        <v>0.64584661869853655</v>
      </c>
      <c r="I55" s="41">
        <v>16</v>
      </c>
      <c r="J55" s="42">
        <f t="shared" si="32"/>
        <v>10.333545899176585</v>
      </c>
      <c r="K55" s="30">
        <f t="shared" si="35"/>
        <v>1.0333545899176586</v>
      </c>
      <c r="L55" s="43">
        <f t="shared" si="33"/>
        <v>2.1757139085550579</v>
      </c>
      <c r="M55" s="30"/>
      <c r="N55" s="44"/>
      <c r="O55" s="2">
        <f t="shared" si="36"/>
        <v>2.48329164031448</v>
      </c>
      <c r="P55" s="30"/>
      <c r="Q55" s="44"/>
      <c r="S55"/>
      <c r="T55"/>
      <c r="Y55" s="1"/>
    </row>
    <row r="56" spans="1:25">
      <c r="D56" s="27"/>
      <c r="E56" s="28"/>
      <c r="F56" s="27"/>
      <c r="G56" s="30"/>
      <c r="H56" s="47"/>
    </row>
    <row r="57" spans="1:25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>
      <c r="C58"/>
      <c r="D58"/>
      <c r="E58"/>
      <c r="F58"/>
      <c r="G58"/>
      <c r="H58" s="47"/>
      <c r="M58" s="2" t="s">
        <v>25</v>
      </c>
      <c r="N58" s="30">
        <f>P50</f>
        <v>3.8055838064086518</v>
      </c>
      <c r="O58" s="30">
        <f>Q50</f>
        <v>1.3977972131204377</v>
      </c>
    </row>
    <row r="59" spans="1:25" ht="15">
      <c r="D59"/>
      <c r="E59"/>
      <c r="G59"/>
      <c r="M59" s="2" t="s">
        <v>26</v>
      </c>
      <c r="N59" s="30">
        <f>P53</f>
        <v>3.1331844215704039</v>
      </c>
      <c r="O59" s="30">
        <f>Q53</f>
        <v>0.56338953183166829</v>
      </c>
    </row>
    <row r="60" spans="1:25">
      <c r="G60" s="30"/>
      <c r="H60" s="47"/>
    </row>
    <row r="61" spans="1:25" ht="15">
      <c r="A61" s="49"/>
      <c r="D61"/>
      <c r="E61"/>
      <c r="F61"/>
      <c r="G61" s="30"/>
      <c r="H61" s="47"/>
    </row>
    <row r="62" spans="1:25" ht="15">
      <c r="C62" s="27"/>
      <c r="D62"/>
      <c r="E62"/>
      <c r="F62"/>
      <c r="G62" s="30"/>
      <c r="H62" s="47"/>
    </row>
    <row r="63" spans="1:25" ht="15">
      <c r="C63" s="27"/>
      <c r="D63"/>
      <c r="E63"/>
      <c r="F63"/>
      <c r="G63" s="30"/>
      <c r="H63" s="47"/>
    </row>
    <row r="64" spans="1:25" ht="13.5" thickBot="1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>
      <c r="A65" s="1" t="s">
        <v>33</v>
      </c>
      <c r="B65" s="30">
        <f>M40</f>
        <v>0.27257440547945544</v>
      </c>
      <c r="C65" s="30">
        <f>N40</f>
        <v>0.19998583219955404</v>
      </c>
      <c r="D65" s="27"/>
      <c r="E65" s="28"/>
      <c r="F65" s="27"/>
      <c r="G65" s="30"/>
      <c r="H65" s="47"/>
    </row>
    <row r="66" spans="1:8">
      <c r="A66" s="1" t="s">
        <v>25</v>
      </c>
      <c r="B66" s="30">
        <f>M50</f>
        <v>0.88208635817501768</v>
      </c>
      <c r="C66" s="30">
        <f>N50</f>
        <v>0.35001999513869808</v>
      </c>
      <c r="D66" s="27"/>
      <c r="E66" s="28"/>
      <c r="F66" s="27"/>
      <c r="G66" s="30"/>
      <c r="H66" s="47"/>
    </row>
    <row r="67" spans="1:8">
      <c r="A67" s="52" t="s">
        <v>34</v>
      </c>
      <c r="B67" s="30">
        <f>M43</f>
        <v>0.79151788474196261</v>
      </c>
      <c r="C67" s="30">
        <f>N43</f>
        <v>0.1224856879196413</v>
      </c>
      <c r="D67" s="27"/>
      <c r="E67" s="28"/>
      <c r="F67" s="27"/>
      <c r="G67" s="30"/>
      <c r="H67" s="47"/>
    </row>
    <row r="68" spans="1:8">
      <c r="A68" s="45" t="s">
        <v>26</v>
      </c>
      <c r="B68" s="30">
        <f>M53</f>
        <v>2.4541252080442493</v>
      </c>
      <c r="C68" s="30">
        <f>N53</f>
        <v>0.43187431190344294</v>
      </c>
      <c r="D68" s="27"/>
      <c r="E68" s="28"/>
      <c r="F68" s="27"/>
      <c r="G68" s="30"/>
      <c r="H68" s="47"/>
    </row>
    <row r="69" spans="1:8">
      <c r="A69" s="53"/>
      <c r="C69" s="27"/>
      <c r="D69" s="27"/>
      <c r="E69" s="28"/>
      <c r="F69" s="27"/>
      <c r="G69" s="30"/>
      <c r="H69" s="47"/>
    </row>
    <row r="70" spans="1:8">
      <c r="A70" s="53"/>
      <c r="C70" s="27"/>
      <c r="D70" s="27"/>
      <c r="E70" s="28"/>
      <c r="F70" s="27"/>
      <c r="G70" s="30"/>
      <c r="H70" s="47"/>
    </row>
    <row r="71" spans="1:8">
      <c r="A71" s="53"/>
      <c r="B71" s="48"/>
      <c r="C71" s="27"/>
      <c r="D71" s="27"/>
      <c r="E71" s="28"/>
      <c r="F71" s="27"/>
      <c r="G71" s="30"/>
      <c r="H71" s="47"/>
    </row>
    <row r="72" spans="1:8">
      <c r="A72" s="53"/>
      <c r="B72" s="48"/>
      <c r="C72" s="27"/>
      <c r="D72" s="27"/>
      <c r="E72" s="28"/>
      <c r="F72" s="27"/>
      <c r="G72" s="30"/>
      <c r="H72" s="47"/>
    </row>
    <row r="73" spans="1:8">
      <c r="C73" s="27"/>
      <c r="D73" s="27"/>
      <c r="E73" s="28"/>
      <c r="F73" s="27"/>
      <c r="G73" s="30"/>
      <c r="H73" s="47"/>
    </row>
    <row r="74" spans="1:8">
      <c r="C74" s="27"/>
      <c r="D74" s="28"/>
      <c r="H74" s="47"/>
    </row>
    <row r="75" spans="1:8">
      <c r="A75" s="54"/>
      <c r="C75" s="27"/>
      <c r="D75" s="28"/>
      <c r="H75" s="38"/>
    </row>
    <row r="76" spans="1:8">
      <c r="A76" s="54"/>
      <c r="C76" s="27"/>
      <c r="D76" s="28"/>
    </row>
    <row r="77" spans="1:8">
      <c r="A77" s="55"/>
      <c r="B77" s="38"/>
      <c r="C77" s="56"/>
      <c r="D77" s="57"/>
      <c r="E77" s="38"/>
    </row>
    <row r="78" spans="1:8">
      <c r="A78" s="52"/>
      <c r="B78" s="58"/>
      <c r="C78" s="59"/>
      <c r="D78" s="38"/>
      <c r="E78" s="38"/>
    </row>
    <row r="79" spans="1:8">
      <c r="A79" s="52"/>
      <c r="B79" s="42"/>
      <c r="C79" s="56"/>
      <c r="D79" s="38"/>
      <c r="E79" s="38"/>
    </row>
    <row r="80" spans="1:8">
      <c r="A80" s="52"/>
      <c r="B80" s="42"/>
      <c r="C80" s="56"/>
      <c r="D80" s="38"/>
      <c r="E80" s="38"/>
    </row>
    <row r="81" spans="1:7">
      <c r="A81" s="52"/>
      <c r="B81" s="42"/>
      <c r="C81" s="56"/>
      <c r="D81" s="38"/>
      <c r="E81" s="38"/>
    </row>
    <row r="82" spans="1:7">
      <c r="A82" s="52"/>
      <c r="B82" s="42"/>
      <c r="C82" s="56"/>
      <c r="D82" s="38"/>
      <c r="E82" s="38"/>
    </row>
    <row r="83" spans="1:7">
      <c r="A83" s="52"/>
      <c r="B83" s="38"/>
      <c r="C83" s="38"/>
      <c r="D83" s="60"/>
      <c r="E83" s="58"/>
    </row>
    <row r="84" spans="1:7">
      <c r="A84" s="52"/>
      <c r="B84" s="42"/>
      <c r="C84" s="56"/>
      <c r="D84" s="47"/>
      <c r="E84" s="47"/>
    </row>
    <row r="85" spans="1:7">
      <c r="A85" s="52"/>
      <c r="B85" s="42"/>
      <c r="C85" s="56"/>
      <c r="D85" s="47"/>
      <c r="E85" s="47"/>
    </row>
    <row r="86" spans="1:7">
      <c r="A86" s="52"/>
      <c r="B86" s="42"/>
      <c r="C86" s="56"/>
      <c r="D86" s="47"/>
      <c r="E86" s="47"/>
      <c r="F86" s="47"/>
      <c r="G86" s="38"/>
    </row>
    <row r="87" spans="1:7">
      <c r="A87" s="52"/>
      <c r="B87" s="42"/>
      <c r="C87" s="56"/>
      <c r="D87" s="47"/>
      <c r="E87" s="47"/>
      <c r="F87" s="47"/>
      <c r="G87" s="38"/>
    </row>
    <row r="88" spans="1:7">
      <c r="A88" s="52"/>
      <c r="B88" s="38"/>
      <c r="C88" s="47"/>
      <c r="D88" s="47"/>
      <c r="E88" s="47"/>
      <c r="F88" s="47"/>
      <c r="G88" s="38"/>
    </row>
    <row r="89" spans="1:7">
      <c r="A89" s="52"/>
      <c r="B89" s="38"/>
      <c r="C89" s="47"/>
      <c r="D89" s="47"/>
      <c r="E89" s="47"/>
      <c r="F89" s="47"/>
      <c r="G89" s="38"/>
    </row>
    <row r="90" spans="1:7">
      <c r="C90" s="47"/>
      <c r="D90" s="47"/>
      <c r="E90" s="61"/>
      <c r="F90" s="61"/>
    </row>
    <row r="91" spans="1:7">
      <c r="C91" s="47"/>
      <c r="D91" s="47"/>
      <c r="E91" s="61"/>
      <c r="F91" s="61"/>
    </row>
    <row r="92" spans="1:7">
      <c r="C92" s="47"/>
      <c r="D92" s="47"/>
      <c r="E92" s="61"/>
      <c r="F92" s="61"/>
    </row>
    <row r="93" spans="1:7">
      <c r="C93" s="47"/>
      <c r="D93" s="47"/>
      <c r="E93" s="61"/>
      <c r="F93" s="61"/>
    </row>
    <row r="94" spans="1:7">
      <c r="C94" s="47"/>
      <c r="E94" s="61"/>
      <c r="F94" s="61"/>
    </row>
    <row r="95" spans="1:7">
      <c r="C95" s="47"/>
      <c r="E95" s="61"/>
      <c r="F95" s="61"/>
    </row>
    <row r="96" spans="1:7">
      <c r="C96" s="47"/>
      <c r="D96" s="47"/>
      <c r="E96" s="61"/>
      <c r="F96" s="61"/>
    </row>
    <row r="97" spans="2:6">
      <c r="C97" s="47"/>
      <c r="D97" s="47"/>
      <c r="E97" s="61"/>
      <c r="F97" s="61"/>
    </row>
    <row r="98" spans="2:6">
      <c r="C98" s="47"/>
      <c r="D98" s="47"/>
      <c r="E98" s="61"/>
      <c r="F98" s="61"/>
    </row>
    <row r="99" spans="2:6">
      <c r="C99" s="47"/>
      <c r="D99" s="47"/>
      <c r="E99" s="61"/>
      <c r="F99" s="61"/>
    </row>
    <row r="100" spans="2:6">
      <c r="C100" s="47"/>
      <c r="D100" s="47"/>
      <c r="E100" s="61"/>
      <c r="F100" s="61"/>
    </row>
    <row r="101" spans="2:6">
      <c r="C101" s="47"/>
      <c r="D101" s="47"/>
      <c r="E101" s="61"/>
      <c r="F101" s="61"/>
    </row>
    <row r="102" spans="2:6">
      <c r="C102" s="47"/>
      <c r="D102" s="47"/>
      <c r="E102" s="61"/>
      <c r="F102" s="61"/>
    </row>
    <row r="103" spans="2:6">
      <c r="C103" s="47"/>
      <c r="D103" s="47"/>
      <c r="E103" s="61"/>
      <c r="F103" s="61"/>
    </row>
    <row r="104" spans="2:6">
      <c r="C104" s="47"/>
      <c r="D104" s="47"/>
      <c r="E104" s="61"/>
      <c r="F104" s="61"/>
    </row>
    <row r="105" spans="2:6">
      <c r="C105" s="47"/>
      <c r="D105" s="47"/>
      <c r="E105" s="61"/>
      <c r="F105" s="61"/>
    </row>
    <row r="106" spans="2:6">
      <c r="C106" s="47"/>
    </row>
    <row r="107" spans="2:6">
      <c r="C107" s="47"/>
    </row>
    <row r="108" spans="2:6" ht="13.5" thickBot="1">
      <c r="B108" s="62"/>
      <c r="C108" s="62"/>
      <c r="D108" s="62"/>
      <c r="E108" s="62"/>
    </row>
    <row r="109" spans="2:6">
      <c r="B109" s="61"/>
      <c r="C109" s="61"/>
      <c r="D109" s="61"/>
      <c r="E109" s="61"/>
    </row>
    <row r="110" spans="2:6">
      <c r="B110" s="61"/>
      <c r="C110" s="61"/>
      <c r="D110" s="61"/>
      <c r="E110" s="61"/>
    </row>
    <row r="111" spans="2:6">
      <c r="B111" s="61"/>
      <c r="C111" s="61"/>
      <c r="D111" s="61"/>
      <c r="E111" s="61"/>
    </row>
    <row r="112" spans="2:6">
      <c r="B112" s="61"/>
      <c r="C112" s="61"/>
      <c r="D112" s="61"/>
      <c r="E112" s="61"/>
    </row>
    <row r="113" spans="2:5">
      <c r="B113" s="61"/>
      <c r="C113" s="61"/>
      <c r="D113" s="61"/>
      <c r="E113" s="61"/>
    </row>
    <row r="114" spans="2:5">
      <c r="B114" s="61"/>
      <c r="C114" s="61"/>
      <c r="D114" s="61"/>
      <c r="E114" s="61"/>
    </row>
    <row r="115" spans="2:5">
      <c r="B115" s="61"/>
      <c r="C115" s="61"/>
      <c r="D115" s="61"/>
      <c r="E115" s="61"/>
    </row>
    <row r="116" spans="2:5">
      <c r="B116" s="61"/>
      <c r="C116" s="61"/>
      <c r="D116" s="61"/>
      <c r="E116" s="61"/>
    </row>
    <row r="117" spans="2:5">
      <c r="B117" s="61"/>
      <c r="C117" s="61"/>
      <c r="D117" s="61"/>
      <c r="E117" s="61"/>
    </row>
    <row r="118" spans="2:5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18"/>
  <sheetViews>
    <sheetView tabSelected="1" zoomScale="80" zoomScaleNormal="80" workbookViewId="0">
      <selection activeCell="B14" sqref="B14"/>
    </sheetView>
  </sheetViews>
  <sheetFormatPr baseColWidth="10" defaultColWidth="8.75" defaultRowHeight="12.75"/>
  <cols>
    <col min="1" max="1" width="28.125" style="1" customWidth="1"/>
    <col min="2" max="2" width="9.5" style="2" bestFit="1" customWidth="1"/>
    <col min="3" max="3" width="11.875" style="2" bestFit="1" customWidth="1"/>
    <col min="4" max="4" width="7.875" style="2" customWidth="1"/>
    <col min="5" max="5" width="6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>
      <c r="A1" s="1" t="s">
        <v>0</v>
      </c>
      <c r="B1" s="64">
        <v>42401</v>
      </c>
    </row>
    <row r="2" spans="1:20">
      <c r="A2" s="1" t="s">
        <v>1</v>
      </c>
      <c r="B2" s="2">
        <v>81</v>
      </c>
      <c r="C2" s="3"/>
      <c r="D2" s="38"/>
      <c r="E2" s="65"/>
      <c r="F2" s="38"/>
      <c r="G2" s="38"/>
    </row>
    <row r="3" spans="1:20">
      <c r="A3" s="1" t="s">
        <v>2</v>
      </c>
      <c r="B3" s="2" t="s">
        <v>43</v>
      </c>
      <c r="D3" s="38"/>
      <c r="E3" s="38"/>
      <c r="F3" s="38"/>
      <c r="G3" s="38"/>
    </row>
    <row r="4" spans="1:20">
      <c r="D4" s="38"/>
      <c r="E4" s="38"/>
      <c r="F4" s="38"/>
      <c r="G4" s="38"/>
    </row>
    <row r="5" spans="1:20">
      <c r="A5" s="2"/>
      <c r="D5" s="38"/>
      <c r="E5" s="38"/>
      <c r="F5" s="38"/>
      <c r="G5" s="38"/>
    </row>
    <row r="6" spans="1:20" ht="15">
      <c r="N6"/>
      <c r="O6"/>
      <c r="P6"/>
    </row>
    <row r="7" spans="1:20" ht="15">
      <c r="A7" s="10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>
      <c r="A8" s="10">
        <v>0</v>
      </c>
      <c r="B8" s="10">
        <f>A8/23</f>
        <v>0</v>
      </c>
      <c r="C8" s="63">
        <v>5.2999999999999999E-2</v>
      </c>
      <c r="D8" s="63">
        <v>6.6000000000000003E-2</v>
      </c>
      <c r="E8" s="11">
        <f t="shared" ref="E8:E13" si="0">AVERAGE(C8:D8)</f>
        <v>5.9499999999999997E-2</v>
      </c>
      <c r="F8" s="12"/>
      <c r="G8" s="10"/>
      <c r="H8" s="10"/>
      <c r="N8"/>
      <c r="O8"/>
      <c r="P8"/>
    </row>
    <row r="9" spans="1:20" ht="15">
      <c r="A9" s="10">
        <v>3.15</v>
      </c>
      <c r="B9" s="10">
        <f>A9/23</f>
        <v>0.13695652173913042</v>
      </c>
      <c r="C9" s="63">
        <v>8.1000000000000003E-2</v>
      </c>
      <c r="D9" s="63">
        <v>8.8999999999999996E-2</v>
      </c>
      <c r="E9" s="11">
        <f t="shared" si="0"/>
        <v>8.4999999999999992E-2</v>
      </c>
      <c r="F9" s="12">
        <f>(E9-$E$8)</f>
        <v>2.5499999999999995E-2</v>
      </c>
      <c r="G9" s="12">
        <f>LOG(B9)</f>
        <v>-0.86341728222799241</v>
      </c>
      <c r="H9" s="12">
        <f>LOG(F9)</f>
        <v>-1.593459819566045</v>
      </c>
      <c r="N9"/>
      <c r="O9"/>
      <c r="P9"/>
    </row>
    <row r="10" spans="1:20" ht="15">
      <c r="A10" s="10">
        <v>10.4</v>
      </c>
      <c r="B10" s="10">
        <f>A10/23</f>
        <v>0.45217391304347826</v>
      </c>
      <c r="C10" s="63">
        <v>0.156</v>
      </c>
      <c r="D10" s="63">
        <v>0.155</v>
      </c>
      <c r="E10" s="11">
        <f t="shared" si="0"/>
        <v>0.1555</v>
      </c>
      <c r="F10" s="12">
        <f>(E10-$E$8)</f>
        <v>9.6000000000000002E-2</v>
      </c>
      <c r="G10" s="12">
        <f>LOG(B10)</f>
        <v>-0.34469449671881253</v>
      </c>
      <c r="H10" s="12">
        <f>LOG(F10)</f>
        <v>-1.0177287669604316</v>
      </c>
      <c r="N10"/>
      <c r="O10"/>
      <c r="P10"/>
    </row>
    <row r="11" spans="1:20" ht="15">
      <c r="A11" s="10">
        <v>31.5</v>
      </c>
      <c r="B11" s="10">
        <f>A11/23</f>
        <v>1.3695652173913044</v>
      </c>
      <c r="C11" s="63">
        <v>0.38400000000000001</v>
      </c>
      <c r="D11" s="63">
        <v>0.40200000000000002</v>
      </c>
      <c r="E11" s="11">
        <f t="shared" si="0"/>
        <v>0.39300000000000002</v>
      </c>
      <c r="F11" s="12">
        <f>(E11-$E$8)</f>
        <v>0.33350000000000002</v>
      </c>
      <c r="G11" s="12">
        <f>LOG(B11)</f>
        <v>0.13658271777200767</v>
      </c>
      <c r="H11" s="12">
        <f>LOG(F11)</f>
        <v>-0.47690416174743222</v>
      </c>
      <c r="N11"/>
      <c r="O11"/>
      <c r="P11"/>
      <c r="Q11"/>
      <c r="R11"/>
      <c r="S11"/>
      <c r="T11"/>
    </row>
    <row r="12" spans="1:20" ht="15">
      <c r="A12" s="10">
        <v>106</v>
      </c>
      <c r="B12" s="10">
        <f>A12/23</f>
        <v>4.6086956521739131</v>
      </c>
      <c r="C12" s="63">
        <v>1.121</v>
      </c>
      <c r="D12" s="63">
        <v>1.226</v>
      </c>
      <c r="E12" s="11">
        <f t="shared" si="0"/>
        <v>1.1735</v>
      </c>
      <c r="F12" s="12">
        <f>(E12-$E$8)</f>
        <v>1.1139999999999999</v>
      </c>
      <c r="G12" s="12">
        <f>LOG(B12)</f>
        <v>0.66357802924717735</v>
      </c>
      <c r="H12" s="12">
        <f>LOG(F12)</f>
        <v>4.6885190837710047E-2</v>
      </c>
      <c r="N12"/>
      <c r="O12"/>
      <c r="P12"/>
      <c r="Q12"/>
      <c r="R12"/>
      <c r="S12"/>
      <c r="T12"/>
    </row>
    <row r="13" spans="1:20" ht="15">
      <c r="A13" s="10">
        <v>210</v>
      </c>
      <c r="B13" s="10">
        <f>A13/23</f>
        <v>9.1304347826086953</v>
      </c>
      <c r="C13" s="63">
        <v>1.8180000000000001</v>
      </c>
      <c r="D13" s="63">
        <v>1.849</v>
      </c>
      <c r="E13" s="11">
        <f t="shared" si="0"/>
        <v>1.8334999999999999</v>
      </c>
      <c r="F13" s="12">
        <f>(E13-$E$8)</f>
        <v>1.774</v>
      </c>
      <c r="G13" s="12">
        <f>LOG(B13)</f>
        <v>0.96049145871632635</v>
      </c>
      <c r="H13" s="12">
        <f>LOG(F13)</f>
        <v>0.2489536154957076</v>
      </c>
      <c r="N13"/>
      <c r="O13"/>
      <c r="P13"/>
    </row>
    <row r="14" spans="1:20" ht="15">
      <c r="N14"/>
    </row>
    <row r="15" spans="1:20" ht="15">
      <c r="A15" s="5" t="s">
        <v>10</v>
      </c>
      <c r="B15" s="11">
        <f>SLOPE(H9:H13,G9:G13)</f>
        <v>1.0254066223626468</v>
      </c>
      <c r="N15"/>
    </row>
    <row r="16" spans="1:20" ht="15">
      <c r="A16" s="5" t="s">
        <v>11</v>
      </c>
      <c r="B16" s="11">
        <f>INTERCEPT(H9:H13,G9:G13)</f>
        <v>-0.67176651093854278</v>
      </c>
      <c r="C16" s="13"/>
      <c r="G16" s="13"/>
      <c r="H16" s="13"/>
    </row>
    <row r="17" spans="1:17" ht="15">
      <c r="B17"/>
      <c r="C17"/>
      <c r="D17"/>
      <c r="E17"/>
      <c r="F17"/>
      <c r="G17"/>
    </row>
    <row r="18" spans="1:17" ht="15">
      <c r="B18"/>
      <c r="C18"/>
      <c r="D18"/>
      <c r="E18"/>
      <c r="F18"/>
      <c r="G18"/>
    </row>
    <row r="19" spans="1:17" ht="23.2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>
      <c r="A21" s="23"/>
      <c r="L21" s="25"/>
      <c r="M21" s="26"/>
    </row>
    <row r="22" spans="1:17" ht="15">
      <c r="A22" s="1" t="s">
        <v>25</v>
      </c>
      <c r="B22" s="63">
        <v>0.36199999999999999</v>
      </c>
      <c r="C22" s="63">
        <v>0.375</v>
      </c>
      <c r="D22" s="27">
        <f>AVERAGE(B22:C22)</f>
        <v>0.36849999999999999</v>
      </c>
      <c r="E22" s="27">
        <f t="shared" ref="E22:E27" si="1">D22-E$8</f>
        <v>0.309</v>
      </c>
      <c r="F22" s="27">
        <f>LOG(E22)</f>
        <v>-0.51004152057516539</v>
      </c>
      <c r="G22" s="28">
        <f>(F22-$B$16)/$B$15</f>
        <v>0.15771791095979629</v>
      </c>
      <c r="H22" s="28">
        <f>10^G22</f>
        <v>1.4378643330778251</v>
      </c>
      <c r="I22" s="29">
        <v>500</v>
      </c>
      <c r="J22" s="30">
        <f>(H22*I22)</f>
        <v>718.93216653891261</v>
      </c>
      <c r="K22" s="31">
        <f>(0.05*J22/1000)*1000</f>
        <v>35.946608326945629</v>
      </c>
      <c r="L22" s="32">
        <f>K22+K40+K50</f>
        <v>37.110401232782415</v>
      </c>
      <c r="M22" s="33">
        <f>(L22*1000000/50000)/1000</f>
        <v>0.74220802465564828</v>
      </c>
      <c r="N22" s="34"/>
    </row>
    <row r="23" spans="1:17" ht="15">
      <c r="B23" s="63">
        <v>0.34699999999999998</v>
      </c>
      <c r="C23" s="63">
        <v>0.35199999999999998</v>
      </c>
      <c r="D23" s="27">
        <f t="shared" ref="D23:D27" si="2">AVERAGE(B23:C23)</f>
        <v>0.34949999999999998</v>
      </c>
      <c r="E23" s="27">
        <f t="shared" si="1"/>
        <v>0.28999999999999998</v>
      </c>
      <c r="F23" s="27">
        <f t="shared" ref="F23:F27" si="3">LOG(E23)</f>
        <v>-0.53760200210104392</v>
      </c>
      <c r="G23" s="28">
        <f t="shared" ref="G23:G27" si="4">(F23-$B$16)/$B$15</f>
        <v>0.13084029877666428</v>
      </c>
      <c r="H23" s="28">
        <f t="shared" ref="H23:H27" si="5">10^G23</f>
        <v>1.3515754628276468</v>
      </c>
      <c r="I23" s="29">
        <v>500</v>
      </c>
      <c r="J23" s="30">
        <f t="shared" ref="J23:J27" si="6">(H23*I23)</f>
        <v>675.78773141382339</v>
      </c>
      <c r="K23" s="31">
        <f t="shared" ref="K23:K27" si="7">(0.05*J23/1000)*1000</f>
        <v>33.789386570691171</v>
      </c>
      <c r="L23" s="32">
        <f>K23+K41+K51</f>
        <v>35.256923340003553</v>
      </c>
      <c r="M23" s="33">
        <f t="shared" ref="M23:M27" si="8">(L23*1000000/50000)/1000</f>
        <v>0.70513846680007097</v>
      </c>
      <c r="N23" s="34"/>
    </row>
    <row r="24" spans="1:17" ht="15">
      <c r="B24" s="63">
        <v>0.34699999999999998</v>
      </c>
      <c r="C24" s="63">
        <v>0.35399999999999998</v>
      </c>
      <c r="D24" s="27">
        <f t="shared" si="2"/>
        <v>0.35049999999999998</v>
      </c>
      <c r="E24" s="27">
        <f t="shared" si="1"/>
        <v>0.29099999999999998</v>
      </c>
      <c r="F24" s="27">
        <f t="shared" si="3"/>
        <v>-0.53610701101409275</v>
      </c>
      <c r="G24" s="28">
        <f t="shared" si="4"/>
        <v>0.13229824829088385</v>
      </c>
      <c r="H24" s="28">
        <f t="shared" si="5"/>
        <v>1.356120397568187</v>
      </c>
      <c r="I24" s="29">
        <v>500</v>
      </c>
      <c r="J24" s="30">
        <f t="shared" si="6"/>
        <v>678.06019878409347</v>
      </c>
      <c r="K24" s="31">
        <f t="shared" si="7"/>
        <v>33.903009939204672</v>
      </c>
      <c r="L24" s="32">
        <f t="shared" ref="L24:L27" si="9">K24+K42+K52</f>
        <v>34.81448758298518</v>
      </c>
      <c r="M24" s="33">
        <f t="shared" si="8"/>
        <v>0.69628975165970364</v>
      </c>
      <c r="N24" s="34"/>
    </row>
    <row r="25" spans="1:17" ht="15">
      <c r="A25" s="1" t="s">
        <v>26</v>
      </c>
      <c r="B25" s="63">
        <v>0.43099999999999999</v>
      </c>
      <c r="C25" s="63">
        <v>0.443</v>
      </c>
      <c r="D25" s="27">
        <f t="shared" si="2"/>
        <v>0.437</v>
      </c>
      <c r="E25" s="27">
        <f t="shared" si="1"/>
        <v>0.3775</v>
      </c>
      <c r="F25" s="27">
        <f t="shared" si="3"/>
        <v>-0.42308304403479297</v>
      </c>
      <c r="G25" s="28">
        <f t="shared" si="4"/>
        <v>0.24252180694011558</v>
      </c>
      <c r="H25" s="28">
        <f t="shared" si="5"/>
        <v>1.7479210274113484</v>
      </c>
      <c r="I25" s="29">
        <v>500</v>
      </c>
      <c r="J25" s="30">
        <f t="shared" si="6"/>
        <v>873.9605137056742</v>
      </c>
      <c r="K25" s="31">
        <f t="shared" si="7"/>
        <v>43.69802568528371</v>
      </c>
      <c r="L25" s="32">
        <f t="shared" si="9"/>
        <v>45.525444546706879</v>
      </c>
      <c r="M25" s="33">
        <f t="shared" si="8"/>
        <v>0.91050889093413756</v>
      </c>
      <c r="N25" s="34"/>
    </row>
    <row r="26" spans="1:17" ht="15">
      <c r="B26" s="63">
        <v>0.42199999999999999</v>
      </c>
      <c r="C26" s="63">
        <v>0.437</v>
      </c>
      <c r="D26" s="27">
        <f t="shared" si="2"/>
        <v>0.42949999999999999</v>
      </c>
      <c r="E26" s="27">
        <f t="shared" si="1"/>
        <v>0.37</v>
      </c>
      <c r="F26" s="27">
        <f t="shared" si="3"/>
        <v>-0.43179827593300502</v>
      </c>
      <c r="G26" s="28">
        <f t="shared" si="4"/>
        <v>0.23402251338364211</v>
      </c>
      <c r="H26" s="28">
        <f t="shared" si="5"/>
        <v>1.7140461596126775</v>
      </c>
      <c r="I26" s="29">
        <v>500</v>
      </c>
      <c r="J26" s="30">
        <f t="shared" si="6"/>
        <v>857.02307980633873</v>
      </c>
      <c r="K26" s="31">
        <f t="shared" si="7"/>
        <v>42.851153990316938</v>
      </c>
      <c r="L26" s="32">
        <f t="shared" si="9"/>
        <v>44.613669602521071</v>
      </c>
      <c r="M26" s="33">
        <f t="shared" si="8"/>
        <v>0.89227339205042144</v>
      </c>
      <c r="N26" s="34"/>
    </row>
    <row r="27" spans="1:17" ht="15">
      <c r="B27" s="63">
        <v>0.34200000000000003</v>
      </c>
      <c r="C27" s="63">
        <v>0.35899999999999999</v>
      </c>
      <c r="D27" s="27">
        <f t="shared" si="2"/>
        <v>0.35050000000000003</v>
      </c>
      <c r="E27" s="27">
        <f t="shared" si="1"/>
        <v>0.29100000000000004</v>
      </c>
      <c r="F27" s="27">
        <f t="shared" si="3"/>
        <v>-0.53610701101409264</v>
      </c>
      <c r="G27" s="28">
        <f t="shared" si="4"/>
        <v>0.13229824829088396</v>
      </c>
      <c r="H27" s="28">
        <f t="shared" si="5"/>
        <v>1.3561203975681875</v>
      </c>
      <c r="I27" s="29">
        <v>500</v>
      </c>
      <c r="J27" s="30">
        <f t="shared" si="6"/>
        <v>678.0601987840937</v>
      </c>
      <c r="K27" s="31">
        <f t="shared" si="7"/>
        <v>33.903009939204686</v>
      </c>
      <c r="L27" s="32">
        <f t="shared" si="9"/>
        <v>35.363127350985025</v>
      </c>
      <c r="M27" s="33">
        <f t="shared" si="8"/>
        <v>0.70726254701970059</v>
      </c>
      <c r="N27" s="34"/>
    </row>
    <row r="28" spans="1:17" ht="23.2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>
      <c r="A30" s="23"/>
      <c r="L30" s="25"/>
      <c r="M30" s="26"/>
    </row>
    <row r="31" spans="1:17" ht="15">
      <c r="A31" s="1" t="s">
        <v>25</v>
      </c>
      <c r="B31" s="63">
        <v>0.36199999999999999</v>
      </c>
      <c r="C31" s="63">
        <v>0.375</v>
      </c>
      <c r="D31" s="27">
        <f t="shared" ref="D31:D36" si="10">AVERAGE(B31:C31)</f>
        <v>0.36849999999999999</v>
      </c>
      <c r="E31" s="27">
        <f t="shared" ref="E31:E36" si="11">D31-E$8</f>
        <v>0.309</v>
      </c>
      <c r="F31" s="27">
        <f>LOG(E31)</f>
        <v>-0.51004152057516539</v>
      </c>
      <c r="G31" s="28">
        <f>(F31-$B$16)/$B$15</f>
        <v>0.15771791095979629</v>
      </c>
      <c r="H31" s="28">
        <f>10^G31</f>
        <v>1.4378643330778251</v>
      </c>
      <c r="I31" s="29">
        <v>500</v>
      </c>
      <c r="J31" s="30">
        <f>(H31*I31)</f>
        <v>718.93216653891261</v>
      </c>
      <c r="K31" s="31">
        <f>(0.05*J31/1000)*1000</f>
        <v>35.946608326945629</v>
      </c>
      <c r="L31" s="32">
        <f>K31+K50</f>
        <v>36.622500481796784</v>
      </c>
      <c r="M31" s="33">
        <f>(L31*1000000/50000)/1000</f>
        <v>0.73245000963593576</v>
      </c>
      <c r="N31" s="35"/>
      <c r="Q31"/>
    </row>
    <row r="32" spans="1:17" ht="15">
      <c r="B32" s="63">
        <v>0.34699999999999998</v>
      </c>
      <c r="C32" s="63">
        <v>0.35199999999999998</v>
      </c>
      <c r="D32" s="27">
        <f t="shared" si="10"/>
        <v>0.34949999999999998</v>
      </c>
      <c r="E32" s="27">
        <f t="shared" si="11"/>
        <v>0.28999999999999998</v>
      </c>
      <c r="F32" s="27">
        <f t="shared" ref="F32:F36" si="12">LOG(E32)</f>
        <v>-0.53760200210104392</v>
      </c>
      <c r="G32" s="28">
        <f t="shared" ref="G32:G36" si="13">(F32-$B$16)/$B$15</f>
        <v>0.13084029877666428</v>
      </c>
      <c r="H32" s="28">
        <f t="shared" ref="H32:H36" si="14">10^G32</f>
        <v>1.3515754628276468</v>
      </c>
      <c r="I32" s="29">
        <v>500</v>
      </c>
      <c r="J32" s="30">
        <f t="shared" ref="J32:J36" si="15">(H32*I32)</f>
        <v>675.78773141382339</v>
      </c>
      <c r="K32" s="31">
        <f t="shared" ref="K32:K36" si="16">(0.05*J32/1000)*1000</f>
        <v>33.789386570691171</v>
      </c>
      <c r="L32" s="32">
        <f>K32+K51</f>
        <v>34.603511657021762</v>
      </c>
      <c r="M32" s="33">
        <f t="shared" ref="M32:M36" si="17">(L32*1000000/50000)/1000</f>
        <v>0.69207023314043525</v>
      </c>
      <c r="N32" s="36"/>
      <c r="Q32"/>
    </row>
    <row r="33" spans="1:21" ht="15">
      <c r="B33" s="63">
        <v>0.34699999999999998</v>
      </c>
      <c r="C33" s="63">
        <v>0.35399999999999998</v>
      </c>
      <c r="D33" s="27">
        <f t="shared" si="10"/>
        <v>0.35049999999999998</v>
      </c>
      <c r="E33" s="27">
        <f t="shared" si="11"/>
        <v>0.29099999999999998</v>
      </c>
      <c r="F33" s="27">
        <f t="shared" si="12"/>
        <v>-0.53610701101409275</v>
      </c>
      <c r="G33" s="28">
        <f t="shared" si="13"/>
        <v>0.13229824829088385</v>
      </c>
      <c r="H33" s="28">
        <f t="shared" si="14"/>
        <v>1.356120397568187</v>
      </c>
      <c r="I33" s="29">
        <v>500</v>
      </c>
      <c r="J33" s="30">
        <f t="shared" si="15"/>
        <v>678.06019878409347</v>
      </c>
      <c r="K33" s="31">
        <f t="shared" si="16"/>
        <v>33.903009939204672</v>
      </c>
      <c r="L33" s="32">
        <f t="shared" ref="L33:L36" si="18">K33+K52</f>
        <v>34.322810916766329</v>
      </c>
      <c r="M33" s="33">
        <f t="shared" si="17"/>
        <v>0.68645621833532666</v>
      </c>
      <c r="N33" s="36"/>
      <c r="Q33"/>
      <c r="R33"/>
      <c r="S33"/>
    </row>
    <row r="34" spans="1:21" ht="15">
      <c r="A34" s="1" t="s">
        <v>26</v>
      </c>
      <c r="B34" s="63">
        <v>0.43099999999999999</v>
      </c>
      <c r="C34" s="63">
        <v>0.443</v>
      </c>
      <c r="D34" s="27">
        <f t="shared" si="10"/>
        <v>0.437</v>
      </c>
      <c r="E34" s="27">
        <f t="shared" si="11"/>
        <v>0.3775</v>
      </c>
      <c r="F34" s="27">
        <f t="shared" si="12"/>
        <v>-0.42308304403479297</v>
      </c>
      <c r="G34" s="28">
        <f t="shared" si="13"/>
        <v>0.24252180694011558</v>
      </c>
      <c r="H34" s="28">
        <f t="shared" si="14"/>
        <v>1.7479210274113484</v>
      </c>
      <c r="I34" s="29">
        <v>500</v>
      </c>
      <c r="J34" s="30">
        <f t="shared" si="15"/>
        <v>873.9605137056742</v>
      </c>
      <c r="K34" s="31">
        <f t="shared" si="16"/>
        <v>43.69802568528371</v>
      </c>
      <c r="L34" s="32">
        <f t="shared" si="18"/>
        <v>45.048876021422416</v>
      </c>
      <c r="M34" s="33">
        <f t="shared" si="17"/>
        <v>0.90097752042844836</v>
      </c>
      <c r="N34" s="36"/>
      <c r="Q34"/>
      <c r="R34"/>
      <c r="S34"/>
    </row>
    <row r="35" spans="1:21" ht="15">
      <c r="B35" s="63">
        <v>0.42199999999999999</v>
      </c>
      <c r="C35" s="63">
        <v>0.437</v>
      </c>
      <c r="D35" s="27">
        <f t="shared" si="10"/>
        <v>0.42949999999999999</v>
      </c>
      <c r="E35" s="27">
        <f t="shared" si="11"/>
        <v>0.37</v>
      </c>
      <c r="F35" s="27">
        <f t="shared" si="12"/>
        <v>-0.43179827593300502</v>
      </c>
      <c r="G35" s="28">
        <f t="shared" si="13"/>
        <v>0.23402251338364211</v>
      </c>
      <c r="H35" s="28">
        <f t="shared" si="14"/>
        <v>1.7140461596126775</v>
      </c>
      <c r="I35" s="29">
        <v>500</v>
      </c>
      <c r="J35" s="30">
        <f t="shared" si="15"/>
        <v>857.02307980633873</v>
      </c>
      <c r="K35" s="31">
        <f t="shared" si="16"/>
        <v>42.851153990316938</v>
      </c>
      <c r="L35" s="32">
        <f t="shared" si="18"/>
        <v>44.076737785297524</v>
      </c>
      <c r="M35" s="33">
        <f t="shared" si="17"/>
        <v>0.88153475570595063</v>
      </c>
      <c r="N35" s="36"/>
      <c r="Q35"/>
      <c r="R35"/>
      <c r="S35"/>
    </row>
    <row r="36" spans="1:21" ht="15">
      <c r="B36" s="63">
        <v>0.34200000000000003</v>
      </c>
      <c r="C36" s="63">
        <v>0.35899999999999999</v>
      </c>
      <c r="D36" s="27">
        <f t="shared" si="10"/>
        <v>0.35050000000000003</v>
      </c>
      <c r="E36" s="27">
        <f t="shared" si="11"/>
        <v>0.29100000000000004</v>
      </c>
      <c r="F36" s="27">
        <f t="shared" si="12"/>
        <v>-0.53610701101409264</v>
      </c>
      <c r="G36" s="28">
        <f t="shared" si="13"/>
        <v>0.13229824829088396</v>
      </c>
      <c r="H36" s="28">
        <f t="shared" si="14"/>
        <v>1.3561203975681875</v>
      </c>
      <c r="I36" s="29">
        <v>500</v>
      </c>
      <c r="J36" s="30">
        <f t="shared" si="15"/>
        <v>678.0601987840937</v>
      </c>
      <c r="K36" s="31">
        <f t="shared" si="16"/>
        <v>33.903009939204686</v>
      </c>
      <c r="L36" s="32">
        <f t="shared" si="18"/>
        <v>34.962291101679135</v>
      </c>
      <c r="M36" s="33">
        <f t="shared" si="17"/>
        <v>0.69924582203358265</v>
      </c>
      <c r="N36" s="37"/>
      <c r="Q36"/>
      <c r="R36"/>
      <c r="S36"/>
    </row>
    <row r="37" spans="1:21" ht="15">
      <c r="R37"/>
      <c r="S37"/>
    </row>
    <row r="38" spans="1:21" ht="23.2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>
      <c r="A40" s="1" t="s">
        <v>33</v>
      </c>
      <c r="B40" s="63">
        <v>0.123</v>
      </c>
      <c r="C40" s="63">
        <v>0.122</v>
      </c>
      <c r="D40" s="27">
        <f>AVERAGE(B40:C40)</f>
        <v>0.1225</v>
      </c>
      <c r="E40" s="27">
        <f t="shared" ref="E40:E45" si="19">D40-E$8</f>
        <v>6.3E-2</v>
      </c>
      <c r="F40" s="27">
        <f t="shared" ref="F40:F45" si="20">LOG(E40)</f>
        <v>-1.2006594505464183</v>
      </c>
      <c r="G40" s="28">
        <f t="shared" ref="G40:G45" si="21">(F40-$B$16)/$B$15</f>
        <v>-0.5157884960692467</v>
      </c>
      <c r="H40" s="27">
        <f t="shared" ref="H40:H45" si="22">10^G40</f>
        <v>0.3049379693660208</v>
      </c>
      <c r="I40" s="41">
        <v>16</v>
      </c>
      <c r="J40" s="42">
        <f t="shared" ref="J40:J45" si="23">H40*I40</f>
        <v>4.8790075098563328</v>
      </c>
      <c r="K40" s="30">
        <f>(0.1*J40/1000)*1000</f>
        <v>0.48790075098563329</v>
      </c>
      <c r="L40" s="43">
        <f>K40*100/L22</f>
        <v>1.3147277711312746</v>
      </c>
      <c r="M40" s="30">
        <f>AVERAGE(L40:L42)</f>
        <v>1.5267633255168211</v>
      </c>
      <c r="N40" s="44">
        <f>STDEV(L40:L42)</f>
        <v>0.28695259257390193</v>
      </c>
      <c r="R40"/>
      <c r="S40"/>
      <c r="T40"/>
      <c r="U40"/>
    </row>
    <row r="41" spans="1:21" ht="15">
      <c r="B41" s="63">
        <v>0.14399999999999999</v>
      </c>
      <c r="C41" s="63">
        <v>0.14499999999999999</v>
      </c>
      <c r="D41" s="27">
        <f t="shared" ref="D41:D45" si="24">AVERAGE(B41:C41)</f>
        <v>0.14449999999999999</v>
      </c>
      <c r="E41" s="27">
        <f t="shared" si="19"/>
        <v>8.4999999999999992E-2</v>
      </c>
      <c r="F41" s="27">
        <f t="shared" si="20"/>
        <v>-1.0705810742857074</v>
      </c>
      <c r="G41" s="28">
        <f t="shared" si="21"/>
        <v>-0.38893308727444442</v>
      </c>
      <c r="H41" s="27">
        <f t="shared" si="22"/>
        <v>0.40838230186361879</v>
      </c>
      <c r="I41" s="41">
        <v>16</v>
      </c>
      <c r="J41" s="42">
        <f t="shared" si="23"/>
        <v>6.5341168298179007</v>
      </c>
      <c r="K41" s="30">
        <f t="shared" ref="K41:K45" si="25">(0.1*J41/1000)*1000</f>
        <v>0.65341168298179009</v>
      </c>
      <c r="L41" s="43">
        <f t="shared" ref="L41:L45" si="26">K41*100/L23</f>
        <v>1.8532861664659486</v>
      </c>
      <c r="M41" s="30"/>
      <c r="N41" s="44"/>
      <c r="R41"/>
      <c r="S41"/>
      <c r="T41"/>
      <c r="U41"/>
    </row>
    <row r="42" spans="1:21" s="17" customFormat="1" ht="15">
      <c r="A42" s="1"/>
      <c r="B42" s="63">
        <v>0.125</v>
      </c>
      <c r="C42" s="63">
        <v>0.121</v>
      </c>
      <c r="D42" s="27">
        <f t="shared" si="24"/>
        <v>0.123</v>
      </c>
      <c r="E42" s="27">
        <f t="shared" si="19"/>
        <v>6.3500000000000001E-2</v>
      </c>
      <c r="F42" s="27">
        <f t="shared" si="20"/>
        <v>-1.1972262747080242</v>
      </c>
      <c r="G42" s="28">
        <f t="shared" si="21"/>
        <v>-0.51244038443867845</v>
      </c>
      <c r="H42" s="27">
        <f t="shared" si="22"/>
        <v>0.30729791638678172</v>
      </c>
      <c r="I42" s="41">
        <v>16</v>
      </c>
      <c r="J42" s="42">
        <f t="shared" si="23"/>
        <v>4.9167666621885076</v>
      </c>
      <c r="K42" s="30">
        <f t="shared" si="25"/>
        <v>0.49167666621885076</v>
      </c>
      <c r="L42" s="43">
        <f t="shared" si="26"/>
        <v>1.4122760389532403</v>
      </c>
      <c r="M42" s="30"/>
      <c r="N42" s="44"/>
      <c r="R42"/>
      <c r="S42"/>
      <c r="T42"/>
      <c r="U42"/>
    </row>
    <row r="43" spans="1:21" ht="15">
      <c r="A43" s="1" t="s">
        <v>34</v>
      </c>
      <c r="B43" s="63">
        <v>0.12</v>
      </c>
      <c r="C43" s="63">
        <v>0.122</v>
      </c>
      <c r="D43" s="27">
        <f t="shared" si="24"/>
        <v>0.121</v>
      </c>
      <c r="E43" s="27">
        <f t="shared" si="19"/>
        <v>6.1499999999999999E-2</v>
      </c>
      <c r="F43" s="27">
        <f t="shared" si="20"/>
        <v>-1.2111248842245832</v>
      </c>
      <c r="G43" s="28">
        <f t="shared" si="21"/>
        <v>-0.52599462644711703</v>
      </c>
      <c r="H43" s="27">
        <f t="shared" si="22"/>
        <v>0.29785532830279121</v>
      </c>
      <c r="I43" s="41">
        <v>16</v>
      </c>
      <c r="J43" s="42">
        <f t="shared" si="23"/>
        <v>4.7656852528446594</v>
      </c>
      <c r="K43" s="30">
        <f t="shared" si="25"/>
        <v>0.47656852528446597</v>
      </c>
      <c r="L43" s="43">
        <f t="shared" si="26"/>
        <v>1.0468179498950965</v>
      </c>
      <c r="M43" s="30">
        <f>AVERAGE(L43:L45)</f>
        <v>1.1279395026178207</v>
      </c>
      <c r="N43" s="44">
        <f>STDEV(L43:L45)</f>
        <v>7.8495219248073664E-2</v>
      </c>
      <c r="R43"/>
      <c r="S43"/>
      <c r="T43"/>
      <c r="U43"/>
    </row>
    <row r="44" spans="1:21" ht="15">
      <c r="A44" s="45"/>
      <c r="B44" s="63">
        <v>0.13100000000000001</v>
      </c>
      <c r="C44" s="63">
        <v>0.127</v>
      </c>
      <c r="D44" s="27">
        <f t="shared" si="24"/>
        <v>0.129</v>
      </c>
      <c r="E44" s="27">
        <f t="shared" si="19"/>
        <v>6.9500000000000006E-2</v>
      </c>
      <c r="F44" s="27">
        <f t="shared" si="20"/>
        <v>-1.1580151954098861</v>
      </c>
      <c r="G44" s="28">
        <f t="shared" si="21"/>
        <v>-0.47420084273590335</v>
      </c>
      <c r="H44" s="27">
        <f t="shared" si="22"/>
        <v>0.33558238576471755</v>
      </c>
      <c r="I44" s="41">
        <v>16</v>
      </c>
      <c r="J44" s="42">
        <f t="shared" si="23"/>
        <v>5.3693181722354808</v>
      </c>
      <c r="K44" s="30">
        <f t="shared" si="25"/>
        <v>0.5369318172235481</v>
      </c>
      <c r="L44" s="43">
        <f t="shared" si="26"/>
        <v>1.2035141292058311</v>
      </c>
      <c r="M44" s="30"/>
      <c r="N44" s="44"/>
      <c r="R44"/>
      <c r="S44"/>
      <c r="T44"/>
      <c r="U44"/>
    </row>
    <row r="45" spans="1:21" ht="15">
      <c r="A45" s="46"/>
      <c r="B45" s="63">
        <v>0.107</v>
      </c>
      <c r="C45" s="63">
        <v>0.115</v>
      </c>
      <c r="D45" s="27">
        <f t="shared" si="24"/>
        <v>0.111</v>
      </c>
      <c r="E45" s="27">
        <f t="shared" si="19"/>
        <v>5.1500000000000004E-2</v>
      </c>
      <c r="F45" s="27">
        <f t="shared" si="20"/>
        <v>-1.288192770958809</v>
      </c>
      <c r="G45" s="28">
        <f t="shared" si="21"/>
        <v>-0.60115299294630464</v>
      </c>
      <c r="H45" s="27">
        <f t="shared" si="22"/>
        <v>0.25052265581618177</v>
      </c>
      <c r="I45" s="41">
        <v>16</v>
      </c>
      <c r="J45" s="42">
        <f t="shared" si="23"/>
        <v>4.0083624930589083</v>
      </c>
      <c r="K45" s="30">
        <f t="shared" si="25"/>
        <v>0.40083624930589085</v>
      </c>
      <c r="L45" s="43">
        <f t="shared" si="26"/>
        <v>1.1334864287525341</v>
      </c>
      <c r="M45" s="30"/>
      <c r="N45" s="44"/>
      <c r="R45"/>
      <c r="S45"/>
      <c r="T45"/>
      <c r="U45"/>
    </row>
    <row r="46" spans="1:21" ht="15">
      <c r="E46" s="28"/>
      <c r="F46" s="27"/>
      <c r="G46" s="30"/>
      <c r="H46" s="47"/>
      <c r="R46"/>
      <c r="S46"/>
      <c r="T46"/>
    </row>
    <row r="47" spans="1:21">
      <c r="E47" s="28"/>
      <c r="F47" s="27"/>
      <c r="G47" s="30"/>
      <c r="H47" s="47"/>
    </row>
    <row r="48" spans="1:21" ht="23.25">
      <c r="A48" s="14" t="s">
        <v>35</v>
      </c>
      <c r="E48" s="28"/>
      <c r="F48" s="27"/>
      <c r="H48" s="38"/>
      <c r="M48" s="39" t="s">
        <v>28</v>
      </c>
    </row>
    <row r="49" spans="1:25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>
      <c r="A50" s="1" t="s">
        <v>25</v>
      </c>
      <c r="B50" s="63">
        <v>0.14599999999999999</v>
      </c>
      <c r="C50" s="63">
        <v>0.14899999999999999</v>
      </c>
      <c r="D50" s="27">
        <f>AVERAGE(B50:C50)</f>
        <v>0.14749999999999999</v>
      </c>
      <c r="E50" s="27">
        <f t="shared" ref="E50:E55" si="27">D50-E$8</f>
        <v>8.7999999999999995E-2</v>
      </c>
      <c r="F50" s="27">
        <f t="shared" ref="F50:F55" si="28">LOG(E50)</f>
        <v>-1.0555173278498313</v>
      </c>
      <c r="G50" s="28">
        <f t="shared" ref="G50:G55" si="29">(F50-$B$16)/$B$15</f>
        <v>-0.37424257708330916</v>
      </c>
      <c r="H50" s="27">
        <f t="shared" ref="H50:H55" si="30">10^G50</f>
        <v>0.42243259678197204</v>
      </c>
      <c r="I50" s="41">
        <v>16</v>
      </c>
      <c r="J50" s="42">
        <f t="shared" ref="J50:J55" si="31">H50*I50</f>
        <v>6.7589215485115526</v>
      </c>
      <c r="K50" s="30">
        <f>(0.1*J50/1000)*1000</f>
        <v>0.67589215485115528</v>
      </c>
      <c r="L50" s="43">
        <f t="shared" ref="L50:L55" si="32">K50*100/L31</f>
        <v>1.8455652835259229</v>
      </c>
      <c r="M50" s="30">
        <f>AVERAGE(L50:L52)</f>
        <v>1.8071284406483041</v>
      </c>
      <c r="N50" s="44">
        <f>STDEV(L50:L52)</f>
        <v>0.56579391513751942</v>
      </c>
      <c r="O50" s="48">
        <f>L50/L40</f>
        <v>1.4037623027753359</v>
      </c>
      <c r="P50" s="30">
        <f>AVERAGE(O50:O52)</f>
        <v>1.1797653472444027</v>
      </c>
      <c r="Q50" s="44">
        <f>STDEV(O50:O52)</f>
        <v>0.27986112382860517</v>
      </c>
      <c r="S50"/>
      <c r="T50"/>
    </row>
    <row r="51" spans="1:25" ht="15">
      <c r="B51" s="63">
        <v>0.16300000000000001</v>
      </c>
      <c r="C51" s="63">
        <v>0.16900000000000001</v>
      </c>
      <c r="D51" s="27">
        <f t="shared" ref="D51:D55" si="33">AVERAGE(B51:C51)</f>
        <v>0.16600000000000001</v>
      </c>
      <c r="E51" s="27">
        <f t="shared" si="27"/>
        <v>0.10650000000000001</v>
      </c>
      <c r="F51" s="27">
        <f t="shared" si="28"/>
        <v>-0.97265039222524341</v>
      </c>
      <c r="G51" s="28">
        <f t="shared" si="29"/>
        <v>-0.29342884542078723</v>
      </c>
      <c r="H51" s="27">
        <f t="shared" si="30"/>
        <v>0.50882817895661969</v>
      </c>
      <c r="I51" s="41">
        <v>16</v>
      </c>
      <c r="J51" s="42">
        <f t="shared" si="31"/>
        <v>8.1412508633059151</v>
      </c>
      <c r="K51" s="30">
        <f t="shared" ref="K51:K55" si="34">(0.1*J51/1000)*1000</f>
        <v>0.81412508633059155</v>
      </c>
      <c r="L51" s="43">
        <f t="shared" si="32"/>
        <v>2.3527238923029619</v>
      </c>
      <c r="M51" s="30"/>
      <c r="N51" s="44"/>
      <c r="O51" s="2">
        <f t="shared" ref="O51:O55" si="35">L51/L41</f>
        <v>1.2694876457149606</v>
      </c>
      <c r="P51" s="30"/>
      <c r="Q51" s="44"/>
      <c r="S51"/>
      <c r="T51"/>
    </row>
    <row r="52" spans="1:25" ht="15">
      <c r="B52" s="63">
        <v>0.112</v>
      </c>
      <c r="C52" s="63">
        <v>0.115</v>
      </c>
      <c r="D52" s="27">
        <f t="shared" si="33"/>
        <v>0.1135</v>
      </c>
      <c r="E52" s="27">
        <f t="shared" si="27"/>
        <v>5.4000000000000006E-2</v>
      </c>
      <c r="F52" s="27">
        <f t="shared" si="28"/>
        <v>-1.2676062401770314</v>
      </c>
      <c r="G52" s="28">
        <f t="shared" si="29"/>
        <v>-0.58107653709667872</v>
      </c>
      <c r="H52" s="27">
        <f t="shared" si="30"/>
        <v>0.26237561097603768</v>
      </c>
      <c r="I52" s="41">
        <v>16</v>
      </c>
      <c r="J52" s="42">
        <f t="shared" si="31"/>
        <v>4.1980097756166028</v>
      </c>
      <c r="K52" s="30">
        <f t="shared" si="34"/>
        <v>0.41980097756166029</v>
      </c>
      <c r="L52" s="43">
        <f t="shared" si="32"/>
        <v>1.2230961461160281</v>
      </c>
      <c r="M52" s="30"/>
      <c r="N52" s="44"/>
      <c r="O52" s="2">
        <f t="shared" si="35"/>
        <v>0.86604609324291182</v>
      </c>
      <c r="P52" s="30"/>
      <c r="Q52" s="44"/>
      <c r="S52"/>
      <c r="T52"/>
    </row>
    <row r="53" spans="1:25" ht="15">
      <c r="A53" s="1" t="s">
        <v>26</v>
      </c>
      <c r="B53" s="63">
        <v>0.24</v>
      </c>
      <c r="C53" s="63">
        <v>0.23699999999999999</v>
      </c>
      <c r="D53" s="27">
        <f t="shared" si="33"/>
        <v>0.23849999999999999</v>
      </c>
      <c r="E53" s="27">
        <f t="shared" si="27"/>
        <v>0.17899999999999999</v>
      </c>
      <c r="F53" s="27">
        <f t="shared" si="28"/>
        <v>-0.7471469690201068</v>
      </c>
      <c r="G53" s="28">
        <f t="shared" si="29"/>
        <v>-7.3512747467808781E-2</v>
      </c>
      <c r="H53" s="27">
        <f t="shared" si="30"/>
        <v>0.84428146008669025</v>
      </c>
      <c r="I53" s="41">
        <v>16</v>
      </c>
      <c r="J53" s="42">
        <f t="shared" si="31"/>
        <v>13.508503361387044</v>
      </c>
      <c r="K53" s="30">
        <f t="shared" si="34"/>
        <v>1.3508503361387045</v>
      </c>
      <c r="L53" s="43">
        <f t="shared" si="32"/>
        <v>2.9986327194852209</v>
      </c>
      <c r="M53" s="30">
        <f>AVERAGE(L53:L55)</f>
        <v>2.9363276322329335</v>
      </c>
      <c r="N53" s="44">
        <f>STDEV(L53:L55)</f>
        <v>0.13578768978848987</v>
      </c>
      <c r="O53" s="2">
        <f t="shared" si="35"/>
        <v>2.8645216866846037</v>
      </c>
      <c r="P53" s="30">
        <f>AVERAGE(O53:O55)</f>
        <v>2.6159573385003796</v>
      </c>
      <c r="Q53" s="44">
        <f>STDEV(O53:O55)</f>
        <v>0.28143938273778712</v>
      </c>
      <c r="S53"/>
      <c r="T53"/>
    </row>
    <row r="54" spans="1:25" ht="15">
      <c r="A54" s="45"/>
      <c r="B54" s="63">
        <v>0.224</v>
      </c>
      <c r="C54" s="63">
        <v>0.219</v>
      </c>
      <c r="D54" s="27">
        <f t="shared" si="33"/>
        <v>0.2215</v>
      </c>
      <c r="E54" s="27">
        <f t="shared" si="27"/>
        <v>0.16200000000000001</v>
      </c>
      <c r="F54" s="27">
        <f t="shared" si="28"/>
        <v>-0.790484985457369</v>
      </c>
      <c r="G54" s="28">
        <f t="shared" si="29"/>
        <v>-0.1157769726952671</v>
      </c>
      <c r="H54" s="27">
        <f t="shared" si="30"/>
        <v>0.76598987186286527</v>
      </c>
      <c r="I54" s="41">
        <v>16</v>
      </c>
      <c r="J54" s="42">
        <f t="shared" si="31"/>
        <v>12.255837949805844</v>
      </c>
      <c r="K54" s="30">
        <f t="shared" si="34"/>
        <v>1.2255837949805846</v>
      </c>
      <c r="L54" s="43">
        <f t="shared" si="32"/>
        <v>2.7805682919424153</v>
      </c>
      <c r="M54" s="30"/>
      <c r="N54" s="44"/>
      <c r="O54" s="2">
        <f t="shared" si="35"/>
        <v>2.3103744480151991</v>
      </c>
      <c r="P54" s="30"/>
      <c r="Q54" s="44"/>
      <c r="S54"/>
      <c r="T54"/>
    </row>
    <row r="55" spans="1:25" ht="15">
      <c r="A55" s="46"/>
      <c r="B55" s="63">
        <v>0.20300000000000001</v>
      </c>
      <c r="C55" s="63">
        <v>0.19500000000000001</v>
      </c>
      <c r="D55" s="27">
        <f t="shared" si="33"/>
        <v>0.19900000000000001</v>
      </c>
      <c r="E55" s="27">
        <f t="shared" si="27"/>
        <v>0.13950000000000001</v>
      </c>
      <c r="F55" s="27">
        <f t="shared" si="28"/>
        <v>-0.85542579239038363</v>
      </c>
      <c r="G55" s="28">
        <f t="shared" si="29"/>
        <v>-0.1791087334980051</v>
      </c>
      <c r="H55" s="27">
        <f t="shared" si="30"/>
        <v>0.6620507265465293</v>
      </c>
      <c r="I55" s="41">
        <v>16</v>
      </c>
      <c r="J55" s="42">
        <f t="shared" si="31"/>
        <v>10.592811624744469</v>
      </c>
      <c r="K55" s="30">
        <f t="shared" si="34"/>
        <v>1.0592811624744469</v>
      </c>
      <c r="L55" s="43">
        <f t="shared" si="32"/>
        <v>3.0297818852711651</v>
      </c>
      <c r="M55" s="30"/>
      <c r="N55" s="44"/>
      <c r="O55" s="2">
        <f t="shared" si="35"/>
        <v>2.6729758808013355</v>
      </c>
      <c r="P55" s="30"/>
      <c r="Q55" s="44"/>
      <c r="S55"/>
      <c r="T55"/>
      <c r="Y55" s="1"/>
    </row>
    <row r="56" spans="1:25">
      <c r="D56" s="27"/>
      <c r="E56" s="28"/>
      <c r="F56" s="27"/>
      <c r="G56" s="30"/>
      <c r="H56" s="47"/>
    </row>
    <row r="57" spans="1:25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>
      <c r="C58"/>
      <c r="D58"/>
      <c r="E58"/>
      <c r="F58"/>
      <c r="G58"/>
      <c r="H58" s="47"/>
      <c r="M58" s="2" t="s">
        <v>25</v>
      </c>
      <c r="N58" s="30">
        <f>P50</f>
        <v>1.1797653472444027</v>
      </c>
      <c r="O58" s="30">
        <f>Q50</f>
        <v>0.27986112382860517</v>
      </c>
    </row>
    <row r="59" spans="1:25" ht="15">
      <c r="D59"/>
      <c r="E59"/>
      <c r="G59"/>
      <c r="M59" s="2" t="s">
        <v>26</v>
      </c>
      <c r="N59" s="30">
        <f>P53</f>
        <v>2.6159573385003796</v>
      </c>
      <c r="O59" s="30">
        <f>Q53</f>
        <v>0.28143938273778712</v>
      </c>
    </row>
    <row r="60" spans="1:25">
      <c r="G60" s="30"/>
      <c r="H60" s="47"/>
    </row>
    <row r="61" spans="1:25" ht="15">
      <c r="A61" s="49"/>
      <c r="D61"/>
      <c r="E61"/>
      <c r="F61"/>
      <c r="G61" s="30"/>
      <c r="H61" s="47"/>
    </row>
    <row r="62" spans="1:25" ht="15">
      <c r="C62" s="27"/>
      <c r="D62"/>
      <c r="E62"/>
      <c r="F62"/>
      <c r="G62" s="30"/>
      <c r="H62" s="47"/>
    </row>
    <row r="63" spans="1:25" ht="15">
      <c r="C63" s="27"/>
      <c r="D63"/>
      <c r="E63"/>
      <c r="F63"/>
      <c r="G63" s="30"/>
      <c r="H63" s="47"/>
    </row>
    <row r="64" spans="1:25" ht="13.5" thickBot="1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>
      <c r="A65" s="1" t="s">
        <v>33</v>
      </c>
      <c r="B65" s="30">
        <f>M40</f>
        <v>1.5267633255168211</v>
      </c>
      <c r="C65" s="30">
        <f>N40</f>
        <v>0.28695259257390193</v>
      </c>
      <c r="D65" s="27"/>
      <c r="E65" s="28"/>
      <c r="F65" s="27"/>
      <c r="G65" s="30"/>
      <c r="H65" s="47"/>
    </row>
    <row r="66" spans="1:8">
      <c r="A66" s="1" t="s">
        <v>25</v>
      </c>
      <c r="B66" s="30">
        <f>M50</f>
        <v>1.8071284406483041</v>
      </c>
      <c r="C66" s="30">
        <f>N50</f>
        <v>0.56579391513751942</v>
      </c>
      <c r="D66" s="27"/>
      <c r="E66" s="28"/>
      <c r="F66" s="27"/>
      <c r="G66" s="30"/>
      <c r="H66" s="47"/>
    </row>
    <row r="67" spans="1:8">
      <c r="A67" s="52" t="s">
        <v>34</v>
      </c>
      <c r="B67" s="30">
        <f>M43</f>
        <v>1.1279395026178207</v>
      </c>
      <c r="C67" s="30">
        <f>N43</f>
        <v>7.8495219248073664E-2</v>
      </c>
      <c r="D67" s="27"/>
      <c r="E67" s="28"/>
      <c r="F67" s="27"/>
      <c r="G67" s="30"/>
      <c r="H67" s="47"/>
    </row>
    <row r="68" spans="1:8">
      <c r="A68" s="45" t="s">
        <v>26</v>
      </c>
      <c r="B68" s="30">
        <f>M53</f>
        <v>2.9363276322329335</v>
      </c>
      <c r="C68" s="30">
        <f>N53</f>
        <v>0.13578768978848987</v>
      </c>
      <c r="D68" s="27"/>
      <c r="E68" s="28"/>
      <c r="F68" s="27"/>
      <c r="G68" s="30"/>
      <c r="H68" s="47"/>
    </row>
    <row r="69" spans="1:8">
      <c r="A69" s="53"/>
      <c r="C69" s="27"/>
      <c r="D69" s="27"/>
      <c r="E69" s="28"/>
      <c r="F69" s="27"/>
      <c r="G69" s="30"/>
      <c r="H69" s="47"/>
    </row>
    <row r="70" spans="1:8">
      <c r="A70" s="53"/>
      <c r="C70" s="27"/>
      <c r="D70" s="27"/>
      <c r="E70" s="28"/>
      <c r="F70" s="27"/>
      <c r="G70" s="30"/>
      <c r="H70" s="47"/>
    </row>
    <row r="71" spans="1:8">
      <c r="A71" s="53"/>
      <c r="B71" s="48"/>
      <c r="C71" s="27"/>
      <c r="D71" s="27"/>
      <c r="E71" s="28"/>
      <c r="F71" s="27"/>
      <c r="G71" s="30"/>
      <c r="H71" s="47"/>
    </row>
    <row r="72" spans="1:8">
      <c r="A72" s="53"/>
      <c r="B72" s="48"/>
      <c r="C72" s="27"/>
      <c r="D72" s="27"/>
      <c r="E72" s="28"/>
      <c r="F72" s="27"/>
      <c r="G72" s="30"/>
      <c r="H72" s="47"/>
    </row>
    <row r="73" spans="1:8">
      <c r="C73" s="27"/>
      <c r="D73" s="27"/>
      <c r="E73" s="28"/>
      <c r="F73" s="27"/>
      <c r="G73" s="30"/>
      <c r="H73" s="47"/>
    </row>
    <row r="74" spans="1:8">
      <c r="C74" s="27"/>
      <c r="D74" s="28"/>
      <c r="H74" s="47"/>
    </row>
    <row r="75" spans="1:8">
      <c r="A75" s="54"/>
      <c r="C75" s="27"/>
      <c r="D75" s="28"/>
      <c r="H75" s="38"/>
    </row>
    <row r="76" spans="1:8">
      <c r="A76" s="54"/>
      <c r="C76" s="27"/>
      <c r="D76" s="28"/>
      <c r="H76" s="38"/>
    </row>
    <row r="77" spans="1:8">
      <c r="A77" s="55"/>
      <c r="B77" s="38"/>
      <c r="C77" s="56"/>
      <c r="D77" s="57"/>
      <c r="E77" s="38"/>
    </row>
    <row r="78" spans="1:8">
      <c r="A78" s="52"/>
      <c r="B78" s="58"/>
      <c r="C78" s="59"/>
      <c r="D78" s="38"/>
      <c r="E78" s="38"/>
    </row>
    <row r="79" spans="1:8">
      <c r="A79" s="52"/>
      <c r="B79" s="42"/>
      <c r="C79" s="56"/>
      <c r="D79" s="38"/>
      <c r="E79" s="38"/>
    </row>
    <row r="80" spans="1:8">
      <c r="A80" s="52"/>
      <c r="B80" s="42"/>
      <c r="C80" s="56"/>
      <c r="D80" s="38"/>
      <c r="E80" s="38"/>
    </row>
    <row r="81" spans="1:7">
      <c r="A81" s="52"/>
      <c r="B81" s="42"/>
      <c r="C81" s="56"/>
      <c r="D81" s="38"/>
      <c r="E81" s="38"/>
    </row>
    <row r="82" spans="1:7">
      <c r="A82" s="52"/>
      <c r="B82" s="42"/>
      <c r="C82" s="56"/>
      <c r="D82" s="38"/>
      <c r="E82" s="38"/>
    </row>
    <row r="83" spans="1:7">
      <c r="A83" s="52"/>
      <c r="B83" s="38"/>
      <c r="C83" s="38"/>
      <c r="D83" s="60"/>
      <c r="E83" s="58"/>
    </row>
    <row r="84" spans="1:7">
      <c r="A84" s="52"/>
      <c r="B84" s="42"/>
      <c r="C84" s="56"/>
      <c r="D84" s="47"/>
      <c r="E84" s="47"/>
    </row>
    <row r="85" spans="1:7">
      <c r="A85" s="52"/>
      <c r="B85" s="42"/>
      <c r="C85" s="56"/>
      <c r="D85" s="47"/>
      <c r="E85" s="47"/>
    </row>
    <row r="86" spans="1:7">
      <c r="A86" s="52"/>
      <c r="B86" s="42"/>
      <c r="C86" s="56"/>
      <c r="D86" s="47"/>
      <c r="E86" s="47"/>
      <c r="F86" s="47"/>
      <c r="G86" s="38"/>
    </row>
    <row r="87" spans="1:7">
      <c r="A87" s="52"/>
      <c r="B87" s="42"/>
      <c r="C87" s="56"/>
      <c r="D87" s="47"/>
      <c r="E87" s="47"/>
      <c r="F87" s="47"/>
      <c r="G87" s="38"/>
    </row>
    <row r="88" spans="1:7">
      <c r="A88" s="52"/>
      <c r="B88" s="38"/>
      <c r="C88" s="47"/>
      <c r="D88" s="47"/>
      <c r="E88" s="47"/>
      <c r="F88" s="47"/>
      <c r="G88" s="38"/>
    </row>
    <row r="89" spans="1:7">
      <c r="A89" s="52"/>
      <c r="B89" s="38"/>
      <c r="C89" s="47"/>
      <c r="D89" s="47"/>
      <c r="E89" s="47"/>
      <c r="F89" s="47"/>
      <c r="G89" s="38"/>
    </row>
    <row r="90" spans="1:7">
      <c r="C90" s="47"/>
      <c r="D90" s="47"/>
      <c r="E90" s="61"/>
      <c r="F90" s="61"/>
    </row>
    <row r="91" spans="1:7">
      <c r="C91" s="47"/>
      <c r="D91" s="47"/>
      <c r="E91" s="61"/>
      <c r="F91" s="61"/>
    </row>
    <row r="92" spans="1:7">
      <c r="C92" s="47"/>
      <c r="D92" s="47"/>
      <c r="E92" s="61"/>
      <c r="F92" s="61"/>
    </row>
    <row r="93" spans="1:7">
      <c r="C93" s="47"/>
      <c r="D93" s="47"/>
      <c r="E93" s="61"/>
      <c r="F93" s="61"/>
    </row>
    <row r="94" spans="1:7">
      <c r="C94" s="47"/>
      <c r="E94" s="61"/>
      <c r="F94" s="61"/>
    </row>
    <row r="95" spans="1:7">
      <c r="C95" s="47"/>
      <c r="E95" s="61"/>
      <c r="F95" s="61"/>
    </row>
    <row r="96" spans="1:7">
      <c r="C96" s="47"/>
      <c r="D96" s="47"/>
      <c r="E96" s="61"/>
      <c r="F96" s="61"/>
    </row>
    <row r="97" spans="2:6">
      <c r="C97" s="47"/>
      <c r="D97" s="47"/>
      <c r="E97" s="61"/>
      <c r="F97" s="61"/>
    </row>
    <row r="98" spans="2:6">
      <c r="C98" s="47"/>
      <c r="D98" s="47"/>
      <c r="E98" s="61"/>
      <c r="F98" s="61"/>
    </row>
    <row r="99" spans="2:6">
      <c r="C99" s="47"/>
      <c r="D99" s="47"/>
      <c r="E99" s="61"/>
      <c r="F99" s="61"/>
    </row>
    <row r="100" spans="2:6">
      <c r="C100" s="47"/>
      <c r="D100" s="47"/>
      <c r="E100" s="61"/>
      <c r="F100" s="61"/>
    </row>
    <row r="101" spans="2:6">
      <c r="C101" s="47"/>
      <c r="D101" s="47"/>
      <c r="E101" s="61"/>
      <c r="F101" s="61"/>
    </row>
    <row r="102" spans="2:6">
      <c r="C102" s="47"/>
      <c r="D102" s="47"/>
      <c r="E102" s="61"/>
      <c r="F102" s="61"/>
    </row>
    <row r="103" spans="2:6">
      <c r="C103" s="47"/>
      <c r="D103" s="47"/>
      <c r="E103" s="61"/>
      <c r="F103" s="61"/>
    </row>
    <row r="104" spans="2:6">
      <c r="C104" s="47"/>
      <c r="D104" s="47"/>
      <c r="E104" s="61"/>
      <c r="F104" s="61"/>
    </row>
    <row r="105" spans="2:6">
      <c r="C105" s="47"/>
      <c r="D105" s="47"/>
      <c r="E105" s="61"/>
      <c r="F105" s="61"/>
    </row>
    <row r="106" spans="2:6">
      <c r="C106" s="47"/>
    </row>
    <row r="107" spans="2:6">
      <c r="C107" s="47"/>
    </row>
    <row r="108" spans="2:6" ht="13.5" thickBot="1">
      <c r="B108" s="62"/>
      <c r="C108" s="62"/>
      <c r="D108" s="62"/>
      <c r="E108" s="62"/>
    </row>
    <row r="109" spans="2:6">
      <c r="B109" s="61"/>
      <c r="C109" s="61"/>
      <c r="D109" s="61"/>
      <c r="E109" s="61"/>
    </row>
    <row r="110" spans="2:6">
      <c r="B110" s="61"/>
      <c r="C110" s="61"/>
      <c r="D110" s="61"/>
      <c r="E110" s="61"/>
    </row>
    <row r="111" spans="2:6">
      <c r="B111" s="61"/>
      <c r="C111" s="61"/>
      <c r="D111" s="61"/>
      <c r="E111" s="61"/>
    </row>
    <row r="112" spans="2:6">
      <c r="B112" s="61"/>
      <c r="C112" s="61"/>
      <c r="D112" s="61"/>
      <c r="E112" s="61"/>
    </row>
    <row r="113" spans="2:5">
      <c r="B113" s="61"/>
      <c r="C113" s="61"/>
      <c r="D113" s="61"/>
      <c r="E113" s="61"/>
    </row>
    <row r="114" spans="2:5">
      <c r="B114" s="61"/>
      <c r="C114" s="61"/>
      <c r="D114" s="61"/>
      <c r="E114" s="61"/>
    </row>
    <row r="115" spans="2:5">
      <c r="B115" s="61"/>
      <c r="C115" s="61"/>
      <c r="D115" s="61"/>
      <c r="E115" s="61"/>
    </row>
    <row r="116" spans="2:5">
      <c r="B116" s="61"/>
      <c r="C116" s="61"/>
      <c r="D116" s="61"/>
      <c r="E116" s="61"/>
    </row>
    <row r="117" spans="2:5">
      <c r="B117" s="61"/>
      <c r="C117" s="61"/>
      <c r="D117" s="61"/>
      <c r="E117" s="61"/>
    </row>
    <row r="118" spans="2:5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18"/>
  <sheetViews>
    <sheetView zoomScale="80" zoomScaleNormal="80" workbookViewId="0">
      <selection activeCell="B8" sqref="B8:B13"/>
    </sheetView>
  </sheetViews>
  <sheetFormatPr baseColWidth="10" defaultColWidth="8.75" defaultRowHeight="12.75"/>
  <cols>
    <col min="1" max="1" width="28.125" style="1" customWidth="1"/>
    <col min="2" max="2" width="9.5" style="2" bestFit="1" customWidth="1"/>
    <col min="3" max="3" width="11.875" style="2" bestFit="1" customWidth="1"/>
    <col min="4" max="4" width="7.875" style="2" customWidth="1"/>
    <col min="5" max="5" width="6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>
      <c r="A1" s="1" t="s">
        <v>0</v>
      </c>
      <c r="B1" s="64">
        <v>42401</v>
      </c>
    </row>
    <row r="2" spans="1:20">
      <c r="A2" s="1" t="s">
        <v>1</v>
      </c>
      <c r="B2" s="2">
        <v>81</v>
      </c>
      <c r="C2" s="3"/>
      <c r="D2" s="38"/>
      <c r="E2" s="65"/>
      <c r="F2" s="38"/>
      <c r="G2" s="38"/>
    </row>
    <row r="3" spans="1:20">
      <c r="A3" s="1" t="s">
        <v>2</v>
      </c>
      <c r="B3" s="2" t="s">
        <v>43</v>
      </c>
      <c r="D3" s="38"/>
      <c r="E3" s="38"/>
      <c r="F3" s="38"/>
      <c r="G3" s="38"/>
    </row>
    <row r="4" spans="1:20">
      <c r="D4" s="38"/>
      <c r="E4" s="38"/>
      <c r="F4" s="38"/>
      <c r="G4" s="38"/>
    </row>
    <row r="5" spans="1:20">
      <c r="A5" s="2"/>
      <c r="D5" s="38"/>
      <c r="E5" s="38"/>
      <c r="F5" s="38"/>
      <c r="G5" s="38"/>
    </row>
    <row r="6" spans="1:20" ht="15">
      <c r="N6"/>
      <c r="O6"/>
      <c r="P6"/>
    </row>
    <row r="7" spans="1:20" ht="15">
      <c r="A7" s="10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>
      <c r="A8" s="10">
        <v>0</v>
      </c>
      <c r="B8" s="10">
        <f>A8/23</f>
        <v>0</v>
      </c>
      <c r="C8" s="63">
        <v>5.2999999999999999E-2</v>
      </c>
      <c r="D8" s="63">
        <v>6.6000000000000003E-2</v>
      </c>
      <c r="E8" s="11">
        <f t="shared" ref="E8:E13" si="0">AVERAGE(C8:D8)</f>
        <v>5.9499999999999997E-2</v>
      </c>
      <c r="F8" s="12"/>
      <c r="G8" s="10"/>
      <c r="H8" s="10"/>
      <c r="N8"/>
      <c r="O8"/>
      <c r="P8"/>
    </row>
    <row r="9" spans="1:20" ht="15">
      <c r="A9" s="10">
        <v>3.15</v>
      </c>
      <c r="B9" s="10">
        <f t="shared" ref="B9:B13" si="1">A9/23</f>
        <v>0.13695652173913042</v>
      </c>
      <c r="C9" s="63">
        <v>8.1000000000000003E-2</v>
      </c>
      <c r="D9" s="63">
        <v>8.8999999999999996E-2</v>
      </c>
      <c r="E9" s="11">
        <f t="shared" si="0"/>
        <v>8.4999999999999992E-2</v>
      </c>
      <c r="F9" s="12">
        <f>(E9-$E$8)</f>
        <v>2.5499999999999995E-2</v>
      </c>
      <c r="G9" s="12">
        <f>LOG(B9)</f>
        <v>-0.86341728222799241</v>
      </c>
      <c r="H9" s="12">
        <f>LOG(F9)</f>
        <v>-1.593459819566045</v>
      </c>
      <c r="N9"/>
      <c r="O9"/>
      <c r="P9"/>
    </row>
    <row r="10" spans="1:20" ht="15">
      <c r="A10" s="10">
        <v>10.4</v>
      </c>
      <c r="B10" s="10">
        <f t="shared" si="1"/>
        <v>0.45217391304347826</v>
      </c>
      <c r="C10" s="63">
        <v>0.156</v>
      </c>
      <c r="D10" s="63">
        <v>0.155</v>
      </c>
      <c r="E10" s="11">
        <f t="shared" si="0"/>
        <v>0.1555</v>
      </c>
      <c r="F10" s="12">
        <f>(E10-$E$8)</f>
        <v>9.6000000000000002E-2</v>
      </c>
      <c r="G10" s="12">
        <f>LOG(B10)</f>
        <v>-0.34469449671881253</v>
      </c>
      <c r="H10" s="12">
        <f>LOG(F10)</f>
        <v>-1.0177287669604316</v>
      </c>
      <c r="N10"/>
      <c r="O10"/>
      <c r="P10"/>
    </row>
    <row r="11" spans="1:20" ht="15">
      <c r="A11" s="10">
        <v>31.5</v>
      </c>
      <c r="B11" s="10">
        <f t="shared" si="1"/>
        <v>1.3695652173913044</v>
      </c>
      <c r="C11" s="63">
        <v>0.38400000000000001</v>
      </c>
      <c r="D11" s="63">
        <v>0.40200000000000002</v>
      </c>
      <c r="E11" s="11">
        <f t="shared" si="0"/>
        <v>0.39300000000000002</v>
      </c>
      <c r="F11" s="12">
        <f>(E11-$E$8)</f>
        <v>0.33350000000000002</v>
      </c>
      <c r="G11" s="12">
        <f>LOG(B11)</f>
        <v>0.13658271777200767</v>
      </c>
      <c r="H11" s="12">
        <f>LOG(F11)</f>
        <v>-0.47690416174743222</v>
      </c>
      <c r="N11"/>
      <c r="O11"/>
      <c r="P11"/>
      <c r="Q11"/>
      <c r="R11"/>
      <c r="S11"/>
      <c r="T11"/>
    </row>
    <row r="12" spans="1:20" ht="15">
      <c r="A12" s="10">
        <v>106</v>
      </c>
      <c r="B12" s="10">
        <f t="shared" si="1"/>
        <v>4.6086956521739131</v>
      </c>
      <c r="C12" s="63">
        <v>1.121</v>
      </c>
      <c r="D12" s="63">
        <v>1.226</v>
      </c>
      <c r="E12" s="11">
        <f t="shared" si="0"/>
        <v>1.1735</v>
      </c>
      <c r="F12" s="12">
        <f>(E12-$E$8)</f>
        <v>1.1139999999999999</v>
      </c>
      <c r="G12" s="12">
        <f>LOG(B12)</f>
        <v>0.66357802924717735</v>
      </c>
      <c r="H12" s="12">
        <f>LOG(F12)</f>
        <v>4.6885190837710047E-2</v>
      </c>
      <c r="N12"/>
      <c r="O12"/>
      <c r="P12"/>
      <c r="Q12"/>
      <c r="R12"/>
      <c r="S12"/>
      <c r="T12"/>
    </row>
    <row r="13" spans="1:20" ht="15">
      <c r="A13" s="10">
        <v>210</v>
      </c>
      <c r="B13" s="10">
        <f t="shared" si="1"/>
        <v>9.1304347826086953</v>
      </c>
      <c r="C13" s="63">
        <v>1.8180000000000001</v>
      </c>
      <c r="D13" s="63">
        <v>1.849</v>
      </c>
      <c r="E13" s="11">
        <f t="shared" si="0"/>
        <v>1.8334999999999999</v>
      </c>
      <c r="F13" s="12">
        <f>(E13-$E$8)</f>
        <v>1.774</v>
      </c>
      <c r="G13" s="12">
        <f>LOG(B13)</f>
        <v>0.96049145871632635</v>
      </c>
      <c r="H13" s="12">
        <f>LOG(F13)</f>
        <v>0.2489536154957076</v>
      </c>
      <c r="N13"/>
      <c r="O13"/>
      <c r="P13"/>
    </row>
    <row r="14" spans="1:20" ht="15">
      <c r="N14"/>
    </row>
    <row r="15" spans="1:20" ht="15">
      <c r="A15" s="5" t="s">
        <v>10</v>
      </c>
      <c r="B15" s="11">
        <f>SLOPE(H9:H13,G9:G13)</f>
        <v>1.0254066223626468</v>
      </c>
      <c r="N15"/>
    </row>
    <row r="16" spans="1:20" ht="15">
      <c r="A16" s="5" t="s">
        <v>11</v>
      </c>
      <c r="B16" s="11">
        <f>INTERCEPT(H9:H13,G9:G13)</f>
        <v>-0.67176651093854278</v>
      </c>
      <c r="C16" s="13"/>
      <c r="G16" s="13"/>
      <c r="H16" s="13"/>
    </row>
    <row r="17" spans="1:17" ht="15">
      <c r="B17"/>
      <c r="C17"/>
      <c r="D17"/>
      <c r="E17"/>
      <c r="F17"/>
      <c r="G17"/>
    </row>
    <row r="18" spans="1:17" ht="15">
      <c r="B18"/>
      <c r="C18"/>
      <c r="D18"/>
      <c r="E18"/>
      <c r="F18"/>
      <c r="G18"/>
    </row>
    <row r="19" spans="1:17" ht="23.2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>
      <c r="A21" s="23"/>
      <c r="L21" s="25"/>
      <c r="M21" s="26"/>
    </row>
    <row r="22" spans="1:17" ht="15">
      <c r="A22" s="1" t="s">
        <v>25</v>
      </c>
      <c r="B22" s="63">
        <v>0.499</v>
      </c>
      <c r="C22" s="63">
        <v>0.56899999999999995</v>
      </c>
      <c r="D22" s="27">
        <f>AVERAGE(B22:C22)</f>
        <v>0.53400000000000003</v>
      </c>
      <c r="E22" s="27">
        <f t="shared" ref="E22:E27" si="2">D22-E$8</f>
        <v>0.47450000000000003</v>
      </c>
      <c r="F22" s="27">
        <f>LOG(E22)</f>
        <v>-0.32376378323668847</v>
      </c>
      <c r="G22" s="28">
        <f>(F22-$B$16)/$B$15</f>
        <v>0.33938022255017108</v>
      </c>
      <c r="H22" s="28">
        <f>10^G22</f>
        <v>2.1846417172440407</v>
      </c>
      <c r="I22" s="29">
        <v>500</v>
      </c>
      <c r="J22" s="30">
        <f>(H22*I22)</f>
        <v>1092.3208586220203</v>
      </c>
      <c r="K22" s="31">
        <f>(0.05*J22/1000)*1000</f>
        <v>54.61604293110102</v>
      </c>
      <c r="L22" s="32">
        <f>K22+K40+K50</f>
        <v>55.344803557145063</v>
      </c>
      <c r="M22" s="33">
        <f>(L22*1000000/50000)/1000</f>
        <v>1.1068960711429012</v>
      </c>
      <c r="N22" s="34"/>
    </row>
    <row r="23" spans="1:17" ht="15">
      <c r="B23" s="63">
        <v>0.48299999999999998</v>
      </c>
      <c r="C23" s="63">
        <v>0.53300000000000003</v>
      </c>
      <c r="D23" s="27">
        <f t="shared" ref="D23:D27" si="3">AVERAGE(B23:C23)</f>
        <v>0.50800000000000001</v>
      </c>
      <c r="E23" s="27">
        <f t="shared" si="2"/>
        <v>0.44850000000000001</v>
      </c>
      <c r="F23" s="27">
        <f t="shared" ref="F23:F27" si="4">LOG(E23)</f>
        <v>-0.34823755261988909</v>
      </c>
      <c r="G23" s="28">
        <f t="shared" ref="G23:G27" si="5">(F23-$B$16)/$B$15</f>
        <v>0.31551284267426349</v>
      </c>
      <c r="H23" s="28">
        <f t="shared" ref="H23:H27" si="6">10^G23</f>
        <v>2.0678205292605862</v>
      </c>
      <c r="I23" s="29">
        <v>500</v>
      </c>
      <c r="J23" s="30">
        <f t="shared" ref="J23:J27" si="7">(H23*I23)</f>
        <v>1033.9102646302931</v>
      </c>
      <c r="K23" s="31">
        <f t="shared" ref="K23:K27" si="8">(0.05*J23/1000)*1000</f>
        <v>51.69551323151466</v>
      </c>
      <c r="L23" s="32">
        <f>K23+K41+K51</f>
        <v>52.455233895353309</v>
      </c>
      <c r="M23" s="33">
        <f t="shared" ref="M23:M27" si="9">(L23*1000000/50000)/1000</f>
        <v>1.0491046779070661</v>
      </c>
      <c r="N23" s="34"/>
    </row>
    <row r="24" spans="1:17" ht="15">
      <c r="B24" s="63">
        <v>0.45</v>
      </c>
      <c r="C24" s="63">
        <v>0.501</v>
      </c>
      <c r="D24" s="27">
        <f t="shared" si="3"/>
        <v>0.47550000000000003</v>
      </c>
      <c r="E24" s="27">
        <f t="shared" si="2"/>
        <v>0.41600000000000004</v>
      </c>
      <c r="F24" s="27">
        <f t="shared" si="4"/>
        <v>-0.38090666937325723</v>
      </c>
      <c r="G24" s="28">
        <f t="shared" si="5"/>
        <v>0.28365317252887767</v>
      </c>
      <c r="H24" s="28">
        <f t="shared" si="6"/>
        <v>1.9215565613814742</v>
      </c>
      <c r="I24" s="29">
        <v>500</v>
      </c>
      <c r="J24" s="30">
        <f t="shared" si="7"/>
        <v>960.77828069073712</v>
      </c>
      <c r="K24" s="31">
        <f t="shared" si="8"/>
        <v>48.038914034536859</v>
      </c>
      <c r="L24" s="32">
        <f t="shared" ref="L24:L27" si="10">K24+K42+K52</f>
        <v>48.779794504917732</v>
      </c>
      <c r="M24" s="33">
        <f t="shared" si="9"/>
        <v>0.97559589009835468</v>
      </c>
      <c r="N24" s="34"/>
    </row>
    <row r="25" spans="1:17" ht="15">
      <c r="A25" s="1" t="s">
        <v>26</v>
      </c>
      <c r="B25" s="63">
        <v>0.443</v>
      </c>
      <c r="C25" s="63">
        <v>0.43</v>
      </c>
      <c r="D25" s="27">
        <f t="shared" si="3"/>
        <v>0.4365</v>
      </c>
      <c r="E25" s="27">
        <f t="shared" si="2"/>
        <v>0.377</v>
      </c>
      <c r="F25" s="27">
        <f t="shared" si="4"/>
        <v>-0.42365864979420714</v>
      </c>
      <c r="G25" s="28">
        <f t="shared" si="5"/>
        <v>0.241960463033356</v>
      </c>
      <c r="H25" s="28">
        <f t="shared" si="6"/>
        <v>1.7456632253418733</v>
      </c>
      <c r="I25" s="29">
        <v>500</v>
      </c>
      <c r="J25" s="30">
        <f t="shared" si="7"/>
        <v>872.83161267093669</v>
      </c>
      <c r="K25" s="31">
        <f t="shared" si="8"/>
        <v>43.641580633546837</v>
      </c>
      <c r="L25" s="32">
        <f t="shared" si="10"/>
        <v>45.937322306485065</v>
      </c>
      <c r="M25" s="33">
        <f t="shared" si="9"/>
        <v>0.91874644612970136</v>
      </c>
      <c r="N25" s="34"/>
    </row>
    <row r="26" spans="1:17" ht="15">
      <c r="B26" s="63">
        <v>0.40500000000000003</v>
      </c>
      <c r="C26" s="63">
        <v>0.35399999999999998</v>
      </c>
      <c r="D26" s="27">
        <f t="shared" si="3"/>
        <v>0.3795</v>
      </c>
      <c r="E26" s="27">
        <f t="shared" si="2"/>
        <v>0.32</v>
      </c>
      <c r="F26" s="27">
        <f t="shared" si="4"/>
        <v>-0.49485002168009401</v>
      </c>
      <c r="G26" s="28">
        <f t="shared" si="5"/>
        <v>0.17253300827218593</v>
      </c>
      <c r="H26" s="28">
        <f t="shared" si="6"/>
        <v>1.4877604460562786</v>
      </c>
      <c r="I26" s="29">
        <v>500</v>
      </c>
      <c r="J26" s="30">
        <f t="shared" si="7"/>
        <v>743.88022302813931</v>
      </c>
      <c r="K26" s="31">
        <f t="shared" si="8"/>
        <v>37.194011151406968</v>
      </c>
      <c r="L26" s="32">
        <f t="shared" si="10"/>
        <v>39.129514376338278</v>
      </c>
      <c r="M26" s="33">
        <f t="shared" si="9"/>
        <v>0.78259028752676552</v>
      </c>
      <c r="N26" s="34"/>
    </row>
    <row r="27" spans="1:17" ht="15">
      <c r="B27" s="63">
        <v>0.36799999999999999</v>
      </c>
      <c r="C27" s="63">
        <v>0.41699999999999998</v>
      </c>
      <c r="D27" s="27">
        <f t="shared" si="3"/>
        <v>0.39249999999999996</v>
      </c>
      <c r="E27" s="27">
        <f t="shared" si="2"/>
        <v>0.33299999999999996</v>
      </c>
      <c r="F27" s="27">
        <f t="shared" si="4"/>
        <v>-0.4775557664936802</v>
      </c>
      <c r="G27" s="28">
        <f t="shared" si="5"/>
        <v>0.1893987616321223</v>
      </c>
      <c r="H27" s="28">
        <f t="shared" si="6"/>
        <v>1.546673916831526</v>
      </c>
      <c r="I27" s="29">
        <v>500</v>
      </c>
      <c r="J27" s="30">
        <f t="shared" si="7"/>
        <v>773.33695841576298</v>
      </c>
      <c r="K27" s="31">
        <f t="shared" si="8"/>
        <v>38.66684792078815</v>
      </c>
      <c r="L27" s="32">
        <f t="shared" si="10"/>
        <v>40.699308077140884</v>
      </c>
      <c r="M27" s="33">
        <f t="shared" si="9"/>
        <v>0.81398616154281767</v>
      </c>
      <c r="N27" s="34"/>
    </row>
    <row r="28" spans="1:17" ht="23.2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>
      <c r="A30" s="23"/>
      <c r="L30" s="25"/>
      <c r="M30" s="26"/>
    </row>
    <row r="31" spans="1:17" ht="15">
      <c r="A31" s="1" t="s">
        <v>25</v>
      </c>
      <c r="B31" s="63">
        <v>0.499</v>
      </c>
      <c r="C31" s="63">
        <v>0.56899999999999995</v>
      </c>
      <c r="D31" s="27">
        <f t="shared" ref="D31:D36" si="11">AVERAGE(B31:C31)</f>
        <v>0.53400000000000003</v>
      </c>
      <c r="E31" s="27">
        <f t="shared" ref="E31:E36" si="12">D31-E$8</f>
        <v>0.47450000000000003</v>
      </c>
      <c r="F31" s="27">
        <f>LOG(E31)</f>
        <v>-0.32376378323668847</v>
      </c>
      <c r="G31" s="28">
        <f>(F31-$B$16)/$B$15</f>
        <v>0.33938022255017108</v>
      </c>
      <c r="H31" s="28">
        <f>10^G31</f>
        <v>2.1846417172440407</v>
      </c>
      <c r="I31" s="29">
        <v>500</v>
      </c>
      <c r="J31" s="30">
        <f>(H31*I31)</f>
        <v>1092.3208586220203</v>
      </c>
      <c r="K31" s="31">
        <f>(0.05*J31/1000)*1000</f>
        <v>54.61604293110102</v>
      </c>
      <c r="L31" s="32">
        <f>K31+K50</f>
        <v>55.081272379636161</v>
      </c>
      <c r="M31" s="33">
        <f>(L31*1000000/50000)/1000</f>
        <v>1.1016254475927232</v>
      </c>
      <c r="N31" s="35"/>
      <c r="Q31"/>
    </row>
    <row r="32" spans="1:17" ht="15">
      <c r="B32" s="63">
        <v>0.48299999999999998</v>
      </c>
      <c r="C32" s="63">
        <v>0.53300000000000003</v>
      </c>
      <c r="D32" s="27">
        <f t="shared" si="11"/>
        <v>0.50800000000000001</v>
      </c>
      <c r="E32" s="27">
        <f t="shared" si="12"/>
        <v>0.44850000000000001</v>
      </c>
      <c r="F32" s="27">
        <f t="shared" ref="F32:F36" si="13">LOG(E32)</f>
        <v>-0.34823755261988909</v>
      </c>
      <c r="G32" s="28">
        <f t="shared" ref="G32:G36" si="14">(F32-$B$16)/$B$15</f>
        <v>0.31551284267426349</v>
      </c>
      <c r="H32" s="28">
        <f t="shared" ref="H32:H36" si="15">10^G32</f>
        <v>2.0678205292605862</v>
      </c>
      <c r="I32" s="29">
        <v>500</v>
      </c>
      <c r="J32" s="30">
        <f t="shared" ref="J32:J36" si="16">(H32*I32)</f>
        <v>1033.9102646302931</v>
      </c>
      <c r="K32" s="31">
        <f t="shared" ref="K32:K36" si="17">(0.05*J32/1000)*1000</f>
        <v>51.69551323151466</v>
      </c>
      <c r="L32" s="32">
        <f>K32+K51</f>
        <v>52.126682541066231</v>
      </c>
      <c r="M32" s="33">
        <f t="shared" ref="M32:M36" si="18">(L32*1000000/50000)/1000</f>
        <v>1.0425336508213245</v>
      </c>
      <c r="N32" s="36"/>
      <c r="Q32"/>
    </row>
    <row r="33" spans="1:21" ht="15">
      <c r="B33" s="63">
        <v>0.45</v>
      </c>
      <c r="C33" s="63">
        <v>0.501</v>
      </c>
      <c r="D33" s="27">
        <f t="shared" si="11"/>
        <v>0.47550000000000003</v>
      </c>
      <c r="E33" s="27">
        <f t="shared" si="12"/>
        <v>0.41600000000000004</v>
      </c>
      <c r="F33" s="27">
        <f t="shared" si="13"/>
        <v>-0.38090666937325723</v>
      </c>
      <c r="G33" s="28">
        <f t="shared" si="14"/>
        <v>0.28365317252887767</v>
      </c>
      <c r="H33" s="28">
        <f t="shared" si="15"/>
        <v>1.9215565613814742</v>
      </c>
      <c r="I33" s="29">
        <v>500</v>
      </c>
      <c r="J33" s="30">
        <f t="shared" si="16"/>
        <v>960.77828069073712</v>
      </c>
      <c r="K33" s="31">
        <f t="shared" si="17"/>
        <v>48.038914034536859</v>
      </c>
      <c r="L33" s="32">
        <f t="shared" ref="L33:L36" si="19">K33+K52</f>
        <v>48.397945816939234</v>
      </c>
      <c r="M33" s="33">
        <f t="shared" si="18"/>
        <v>0.96795891633878461</v>
      </c>
      <c r="N33" s="36"/>
      <c r="Q33"/>
      <c r="R33"/>
      <c r="S33"/>
    </row>
    <row r="34" spans="1:21" ht="15">
      <c r="A34" s="1" t="s">
        <v>26</v>
      </c>
      <c r="B34" s="63">
        <v>0.443</v>
      </c>
      <c r="C34" s="63">
        <v>0.43</v>
      </c>
      <c r="D34" s="27">
        <f t="shared" si="11"/>
        <v>0.4365</v>
      </c>
      <c r="E34" s="27">
        <f t="shared" si="12"/>
        <v>0.377</v>
      </c>
      <c r="F34" s="27">
        <f t="shared" si="13"/>
        <v>-0.42365864979420714</v>
      </c>
      <c r="G34" s="28">
        <f t="shared" si="14"/>
        <v>0.241960463033356</v>
      </c>
      <c r="H34" s="28">
        <f t="shared" si="15"/>
        <v>1.7456632253418733</v>
      </c>
      <c r="I34" s="29">
        <v>500</v>
      </c>
      <c r="J34" s="30">
        <f t="shared" si="16"/>
        <v>872.83161267093669</v>
      </c>
      <c r="K34" s="31">
        <f t="shared" si="17"/>
        <v>43.641580633546837</v>
      </c>
      <c r="L34" s="32">
        <f t="shared" si="19"/>
        <v>45.2127867363034</v>
      </c>
      <c r="M34" s="33">
        <f t="shared" si="18"/>
        <v>0.90425573472606791</v>
      </c>
      <c r="N34" s="36"/>
      <c r="Q34"/>
      <c r="R34"/>
      <c r="S34"/>
    </row>
    <row r="35" spans="1:21" ht="15">
      <c r="B35" s="63">
        <v>0.40500000000000003</v>
      </c>
      <c r="C35" s="63">
        <v>0.35399999999999998</v>
      </c>
      <c r="D35" s="27">
        <f t="shared" si="11"/>
        <v>0.3795</v>
      </c>
      <c r="E35" s="27">
        <f t="shared" si="12"/>
        <v>0.32</v>
      </c>
      <c r="F35" s="27">
        <f t="shared" si="13"/>
        <v>-0.49485002168009401</v>
      </c>
      <c r="G35" s="28">
        <f t="shared" si="14"/>
        <v>0.17253300827218593</v>
      </c>
      <c r="H35" s="28">
        <f t="shared" si="15"/>
        <v>1.4877604460562786</v>
      </c>
      <c r="I35" s="29">
        <v>500</v>
      </c>
      <c r="J35" s="30">
        <f t="shared" si="16"/>
        <v>743.88022302813931</v>
      </c>
      <c r="K35" s="31">
        <f t="shared" si="17"/>
        <v>37.194011151406968</v>
      </c>
      <c r="L35" s="32">
        <f t="shared" si="19"/>
        <v>38.393765386031284</v>
      </c>
      <c r="M35" s="33">
        <f t="shared" si="18"/>
        <v>0.76787530772062562</v>
      </c>
      <c r="N35" s="36"/>
      <c r="Q35"/>
      <c r="R35"/>
      <c r="S35"/>
    </row>
    <row r="36" spans="1:21" ht="15">
      <c r="B36" s="63">
        <v>0.36799999999999999</v>
      </c>
      <c r="C36" s="63">
        <v>0.41699999999999998</v>
      </c>
      <c r="D36" s="27">
        <f t="shared" si="11"/>
        <v>0.39249999999999996</v>
      </c>
      <c r="E36" s="27">
        <f t="shared" si="12"/>
        <v>0.33299999999999996</v>
      </c>
      <c r="F36" s="27">
        <f t="shared" si="13"/>
        <v>-0.4775557664936802</v>
      </c>
      <c r="G36" s="28">
        <f t="shared" si="14"/>
        <v>0.1893987616321223</v>
      </c>
      <c r="H36" s="28">
        <f t="shared" si="15"/>
        <v>1.546673916831526</v>
      </c>
      <c r="I36" s="29">
        <v>500</v>
      </c>
      <c r="J36" s="30">
        <f t="shared" si="16"/>
        <v>773.33695841576298</v>
      </c>
      <c r="K36" s="31">
        <f t="shared" si="17"/>
        <v>38.66684792078815</v>
      </c>
      <c r="L36" s="32">
        <f t="shared" si="19"/>
        <v>40.105942521909959</v>
      </c>
      <c r="M36" s="33">
        <f t="shared" si="18"/>
        <v>0.80211885043819919</v>
      </c>
      <c r="N36" s="37"/>
      <c r="Q36"/>
      <c r="R36"/>
      <c r="S36"/>
    </row>
    <row r="37" spans="1:21" ht="15">
      <c r="R37"/>
      <c r="S37"/>
    </row>
    <row r="38" spans="1:21" ht="23.2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>
      <c r="A40" s="1" t="s">
        <v>33</v>
      </c>
      <c r="B40" s="63">
        <v>8.6999999999999994E-2</v>
      </c>
      <c r="C40" s="63">
        <v>9.9000000000000005E-2</v>
      </c>
      <c r="D40" s="27">
        <f>AVERAGE(B40:C40)</f>
        <v>9.2999999999999999E-2</v>
      </c>
      <c r="E40" s="27">
        <f t="shared" ref="E40:E45" si="20">D40-E$8</f>
        <v>3.3500000000000002E-2</v>
      </c>
      <c r="F40" s="27">
        <f t="shared" ref="F40:F45" si="21">LOG(E40)</f>
        <v>-1.4749551929631548</v>
      </c>
      <c r="G40" s="28">
        <f t="shared" ref="G40:G45" si="22">(F40-$B$16)/$B$15</f>
        <v>-0.78328798011268852</v>
      </c>
      <c r="H40" s="27">
        <f t="shared" ref="H40:H45" si="23">10^G40</f>
        <v>0.16470698594306549</v>
      </c>
      <c r="I40" s="41">
        <v>16</v>
      </c>
      <c r="J40" s="42">
        <f t="shared" ref="J40:J45" si="24">H40*I40</f>
        <v>2.6353117750890478</v>
      </c>
      <c r="K40" s="30">
        <f>(0.1*J40/1000)*1000</f>
        <v>0.26353117750890481</v>
      </c>
      <c r="L40" s="43">
        <f>K40*100/L22</f>
        <v>0.47616245893221298</v>
      </c>
      <c r="M40" s="30">
        <f>AVERAGE(L40:L42)</f>
        <v>0.62843652535215766</v>
      </c>
      <c r="N40" s="44">
        <f>STDEV(L40:L42)</f>
        <v>0.15332992553219379</v>
      </c>
      <c r="R40"/>
      <c r="S40"/>
      <c r="T40"/>
      <c r="U40"/>
    </row>
    <row r="41" spans="1:21" ht="15">
      <c r="B41" s="63">
        <v>0.105</v>
      </c>
      <c r="C41" s="63">
        <v>9.8000000000000004E-2</v>
      </c>
      <c r="D41" s="27">
        <f t="shared" ref="D41:D45" si="25">AVERAGE(B41:C41)</f>
        <v>0.10150000000000001</v>
      </c>
      <c r="E41" s="27">
        <f t="shared" si="20"/>
        <v>4.200000000000001E-2</v>
      </c>
      <c r="F41" s="27">
        <f t="shared" si="21"/>
        <v>-1.3767507096020994</v>
      </c>
      <c r="G41" s="28">
        <f t="shared" si="22"/>
        <v>-0.68751672096596905</v>
      </c>
      <c r="H41" s="27">
        <f t="shared" si="23"/>
        <v>0.20534459642942296</v>
      </c>
      <c r="I41" s="41">
        <v>16</v>
      </c>
      <c r="J41" s="42">
        <f t="shared" si="24"/>
        <v>3.2855135428707674</v>
      </c>
      <c r="K41" s="30">
        <f t="shared" ref="K41:K45" si="26">(0.1*J41/1000)*1000</f>
        <v>0.32855135428707677</v>
      </c>
      <c r="L41" s="43">
        <f t="shared" ref="L41:L45" si="27">K41*100/L23</f>
        <v>0.62634618109324858</v>
      </c>
      <c r="M41" s="30"/>
      <c r="N41" s="44"/>
      <c r="R41"/>
      <c r="S41"/>
      <c r="T41"/>
      <c r="U41"/>
    </row>
    <row r="42" spans="1:21" s="17" customFormat="1" ht="15">
      <c r="A42" s="1"/>
      <c r="B42" s="63">
        <v>0.113</v>
      </c>
      <c r="C42" s="63">
        <v>0.104</v>
      </c>
      <c r="D42" s="27">
        <f t="shared" si="25"/>
        <v>0.1085</v>
      </c>
      <c r="E42" s="27">
        <f t="shared" si="20"/>
        <v>4.9000000000000002E-2</v>
      </c>
      <c r="F42" s="27">
        <f t="shared" si="21"/>
        <v>-1.3098039199714864</v>
      </c>
      <c r="G42" s="28">
        <f t="shared" si="22"/>
        <v>-0.62222867993853692</v>
      </c>
      <c r="H42" s="27">
        <f t="shared" si="23"/>
        <v>0.23865542998656239</v>
      </c>
      <c r="I42" s="41">
        <v>16</v>
      </c>
      <c r="J42" s="42">
        <f t="shared" si="24"/>
        <v>3.8184868797849982</v>
      </c>
      <c r="K42" s="30">
        <f t="shared" si="26"/>
        <v>0.38184868797849986</v>
      </c>
      <c r="L42" s="43">
        <f t="shared" si="27"/>
        <v>0.78280093603101142</v>
      </c>
      <c r="M42" s="30"/>
      <c r="N42" s="44"/>
      <c r="R42"/>
      <c r="S42"/>
      <c r="T42"/>
      <c r="U42"/>
    </row>
    <row r="43" spans="1:21" ht="15">
      <c r="A43" s="1" t="s">
        <v>34</v>
      </c>
      <c r="B43" s="63">
        <v>0.14299999999999999</v>
      </c>
      <c r="C43" s="63">
        <v>0.16500000000000001</v>
      </c>
      <c r="D43" s="27">
        <f t="shared" si="25"/>
        <v>0.154</v>
      </c>
      <c r="E43" s="27">
        <f t="shared" si="20"/>
        <v>9.4500000000000001E-2</v>
      </c>
      <c r="F43" s="27">
        <f t="shared" si="21"/>
        <v>-1.024568191490737</v>
      </c>
      <c r="G43" s="28">
        <f t="shared" si="22"/>
        <v>-0.34406027117252402</v>
      </c>
      <c r="H43" s="27">
        <f t="shared" si="23"/>
        <v>0.45283473136354013</v>
      </c>
      <c r="I43" s="41">
        <v>16</v>
      </c>
      <c r="J43" s="42">
        <f t="shared" si="24"/>
        <v>7.2453557018166421</v>
      </c>
      <c r="K43" s="30">
        <f t="shared" si="26"/>
        <v>0.72453557018166426</v>
      </c>
      <c r="L43" s="43">
        <f t="shared" si="27"/>
        <v>1.577226389791945</v>
      </c>
      <c r="M43" s="30">
        <f>AVERAGE(L43:L45)</f>
        <v>1.638481149795713</v>
      </c>
      <c r="N43" s="44">
        <f>STDEV(L43:L45)</f>
        <v>0.21774392800691567</v>
      </c>
      <c r="R43"/>
      <c r="S43"/>
      <c r="T43"/>
      <c r="U43"/>
    </row>
    <row r="44" spans="1:21" ht="15">
      <c r="A44" s="45"/>
      <c r="B44" s="63">
        <v>0.156</v>
      </c>
      <c r="C44" s="63">
        <v>0.155</v>
      </c>
      <c r="D44" s="27">
        <f t="shared" si="25"/>
        <v>0.1555</v>
      </c>
      <c r="E44" s="27">
        <f t="shared" si="20"/>
        <v>9.6000000000000002E-2</v>
      </c>
      <c r="F44" s="27">
        <f t="shared" si="21"/>
        <v>-1.0177287669604316</v>
      </c>
      <c r="G44" s="28">
        <f t="shared" si="22"/>
        <v>-0.33739030788074553</v>
      </c>
      <c r="H44" s="27">
        <f t="shared" si="23"/>
        <v>0.45984311894187052</v>
      </c>
      <c r="I44" s="41">
        <v>16</v>
      </c>
      <c r="J44" s="42">
        <f t="shared" si="24"/>
        <v>7.3574899030699283</v>
      </c>
      <c r="K44" s="30">
        <f t="shared" si="26"/>
        <v>0.73574899030699292</v>
      </c>
      <c r="L44" s="43">
        <f t="shared" si="27"/>
        <v>1.8802916469413236</v>
      </c>
      <c r="M44" s="30"/>
      <c r="N44" s="44"/>
      <c r="R44"/>
      <c r="S44"/>
      <c r="T44"/>
      <c r="U44"/>
    </row>
    <row r="45" spans="1:21" ht="15">
      <c r="A45" s="46"/>
      <c r="B45" s="63">
        <v>0.13200000000000001</v>
      </c>
      <c r="C45" s="63">
        <v>0.14099999999999999</v>
      </c>
      <c r="D45" s="27">
        <f t="shared" si="25"/>
        <v>0.13650000000000001</v>
      </c>
      <c r="E45" s="27">
        <f t="shared" si="20"/>
        <v>7.7000000000000013E-2</v>
      </c>
      <c r="F45" s="27">
        <f t="shared" si="21"/>
        <v>-1.1135092748275182</v>
      </c>
      <c r="G45" s="28">
        <f t="shared" si="22"/>
        <v>-0.43079765066384368</v>
      </c>
      <c r="H45" s="27">
        <f t="shared" si="23"/>
        <v>0.37085347201932894</v>
      </c>
      <c r="I45" s="41">
        <v>16</v>
      </c>
      <c r="J45" s="42">
        <f t="shared" si="24"/>
        <v>5.9336555523092631</v>
      </c>
      <c r="K45" s="30">
        <f t="shared" si="26"/>
        <v>0.59336555523092638</v>
      </c>
      <c r="L45" s="43">
        <f t="shared" si="27"/>
        <v>1.4579254126538708</v>
      </c>
      <c r="M45" s="30"/>
      <c r="N45" s="44"/>
      <c r="R45"/>
      <c r="S45"/>
      <c r="T45"/>
      <c r="U45"/>
    </row>
    <row r="46" spans="1:21" ht="15">
      <c r="E46" s="28"/>
      <c r="F46" s="27"/>
      <c r="G46" s="30"/>
      <c r="H46" s="47"/>
      <c r="R46"/>
      <c r="S46"/>
      <c r="T46"/>
    </row>
    <row r="47" spans="1:21">
      <c r="E47" s="28"/>
      <c r="F47" s="27"/>
      <c r="G47" s="30"/>
      <c r="H47" s="47"/>
    </row>
    <row r="48" spans="1:21" ht="23.25">
      <c r="A48" s="14" t="s">
        <v>35</v>
      </c>
      <c r="E48" s="28"/>
      <c r="F48" s="27"/>
      <c r="H48" s="38"/>
      <c r="M48" s="39" t="s">
        <v>28</v>
      </c>
    </row>
    <row r="49" spans="1:25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>
      <c r="A50" s="1" t="s">
        <v>25</v>
      </c>
      <c r="B50" s="63">
        <v>0.115</v>
      </c>
      <c r="C50" s="63">
        <v>0.124</v>
      </c>
      <c r="D50" s="27">
        <f>AVERAGE(B50:C50)</f>
        <v>0.1195</v>
      </c>
      <c r="E50" s="27">
        <f t="shared" ref="E50:E55" si="28">D50-E$8</f>
        <v>0.06</v>
      </c>
      <c r="F50" s="27">
        <f t="shared" ref="F50:F55" si="29">LOG(E50)</f>
        <v>-1.2218487496163564</v>
      </c>
      <c r="G50" s="28">
        <f t="shared" ref="G50:G55" si="30">(F50-$B$16)/$B$15</f>
        <v>-0.53645278534515906</v>
      </c>
      <c r="H50" s="27">
        <f t="shared" ref="H50:H55" si="31">10^G50</f>
        <v>0.29076840533446069</v>
      </c>
      <c r="I50" s="41">
        <v>16</v>
      </c>
      <c r="J50" s="42">
        <f t="shared" ref="J50:J55" si="32">H50*I50</f>
        <v>4.652294485351371</v>
      </c>
      <c r="K50" s="30">
        <f>(0.1*J50/1000)*1000</f>
        <v>0.46522944853513715</v>
      </c>
      <c r="L50" s="43">
        <f t="shared" ref="L50:L55" si="33">K50*100/L31</f>
        <v>0.8446236414595516</v>
      </c>
      <c r="M50" s="30">
        <f>AVERAGE(L50:L52)</f>
        <v>0.80453765246690045</v>
      </c>
      <c r="N50" s="44">
        <f>STDEV(L50:L52)</f>
        <v>5.500189601123881E-2</v>
      </c>
      <c r="O50" s="48">
        <f>L50/L40</f>
        <v>1.7738140116161345</v>
      </c>
      <c r="P50" s="30">
        <f>AVERAGE(O50:O52)</f>
        <v>1.3473615716710006</v>
      </c>
      <c r="Q50" s="44">
        <f>STDEV(O50:O52)</f>
        <v>0.4137240949115803</v>
      </c>
      <c r="S50"/>
      <c r="T50"/>
    </row>
    <row r="51" spans="1:25" ht="15">
      <c r="B51" s="63">
        <v>0.111</v>
      </c>
      <c r="C51" s="63">
        <v>0.11899999999999999</v>
      </c>
      <c r="D51" s="27">
        <f t="shared" ref="D51:D55" si="34">AVERAGE(B51:C51)</f>
        <v>0.11499999999999999</v>
      </c>
      <c r="E51" s="27">
        <f t="shared" si="28"/>
        <v>5.5499999999999994E-2</v>
      </c>
      <c r="F51" s="27">
        <f t="shared" si="29"/>
        <v>-1.2557070168773239</v>
      </c>
      <c r="G51" s="28">
        <f t="shared" si="30"/>
        <v>-0.56947214227397869</v>
      </c>
      <c r="H51" s="27">
        <f t="shared" si="31"/>
        <v>0.26948081846973371</v>
      </c>
      <c r="I51" s="41">
        <v>16</v>
      </c>
      <c r="J51" s="42">
        <f t="shared" si="32"/>
        <v>4.3116930955157393</v>
      </c>
      <c r="K51" s="30">
        <f t="shared" ref="K51:K55" si="35">(0.1*J51/1000)*1000</f>
        <v>0.43116930955157395</v>
      </c>
      <c r="L51" s="43">
        <f t="shared" si="33"/>
        <v>0.82715662791679079</v>
      </c>
      <c r="M51" s="30"/>
      <c r="N51" s="44"/>
      <c r="O51" s="2">
        <f t="shared" ref="O51:O55" si="36">L51/L41</f>
        <v>1.3206061645862357</v>
      </c>
      <c r="P51" s="30"/>
      <c r="Q51" s="44"/>
      <c r="S51"/>
      <c r="T51"/>
    </row>
    <row r="52" spans="1:25" ht="15">
      <c r="B52" s="63">
        <v>0.10199999999999999</v>
      </c>
      <c r="C52" s="63">
        <v>0.109</v>
      </c>
      <c r="D52" s="27">
        <f t="shared" si="34"/>
        <v>0.1055</v>
      </c>
      <c r="E52" s="27">
        <f t="shared" si="28"/>
        <v>4.5999999999999999E-2</v>
      </c>
      <c r="F52" s="27">
        <f t="shared" si="29"/>
        <v>-1.3372421683184259</v>
      </c>
      <c r="G52" s="28">
        <f t="shared" si="30"/>
        <v>-0.64898708752880474</v>
      </c>
      <c r="H52" s="27">
        <f t="shared" si="31"/>
        <v>0.22439486400148326</v>
      </c>
      <c r="I52" s="41">
        <v>16</v>
      </c>
      <c r="J52" s="42">
        <f t="shared" si="32"/>
        <v>3.5903178240237321</v>
      </c>
      <c r="K52" s="30">
        <f t="shared" si="35"/>
        <v>0.35903178240237321</v>
      </c>
      <c r="L52" s="43">
        <f t="shared" si="33"/>
        <v>0.7418326880243592</v>
      </c>
      <c r="M52" s="30"/>
      <c r="N52" s="44"/>
      <c r="O52" s="2">
        <f t="shared" si="36"/>
        <v>0.94766453881063162</v>
      </c>
      <c r="P52" s="30"/>
      <c r="Q52" s="44"/>
      <c r="S52"/>
      <c r="T52"/>
    </row>
    <row r="53" spans="1:25" ht="15">
      <c r="A53" s="1" t="s">
        <v>26</v>
      </c>
      <c r="B53" s="63">
        <v>0.26400000000000001</v>
      </c>
      <c r="C53" s="63">
        <v>0.27300000000000002</v>
      </c>
      <c r="D53" s="27">
        <f t="shared" si="34"/>
        <v>0.26850000000000002</v>
      </c>
      <c r="E53" s="27">
        <f t="shared" si="28"/>
        <v>0.20900000000000002</v>
      </c>
      <c r="F53" s="27">
        <f t="shared" si="29"/>
        <v>-0.679853713888946</v>
      </c>
      <c r="G53" s="28">
        <f t="shared" si="30"/>
        <v>-7.886825356919808E-3</v>
      </c>
      <c r="H53" s="27">
        <f t="shared" si="31"/>
        <v>0.98200381422285166</v>
      </c>
      <c r="I53" s="41">
        <v>16</v>
      </c>
      <c r="J53" s="42">
        <f t="shared" si="32"/>
        <v>15.712061027565627</v>
      </c>
      <c r="K53" s="30">
        <f t="shared" si="35"/>
        <v>1.5712061027565627</v>
      </c>
      <c r="L53" s="43">
        <f t="shared" si="33"/>
        <v>3.4751366066426734</v>
      </c>
      <c r="M53" s="30">
        <f>AVERAGE(L53:L55)</f>
        <v>3.3960789290603497</v>
      </c>
      <c r="N53" s="44">
        <f>STDEV(L53:L55)</f>
        <v>0.24158742659419211</v>
      </c>
      <c r="O53" s="2">
        <f t="shared" si="36"/>
        <v>2.2033213678989263</v>
      </c>
      <c r="P53" s="30">
        <f>AVERAGE(O53:O55)</f>
        <v>2.1088059964758732</v>
      </c>
      <c r="Q53" s="44">
        <f>STDEV(O53:O55)</f>
        <v>0.40793885745889208</v>
      </c>
      <c r="S53"/>
      <c r="T53"/>
    </row>
    <row r="54" spans="1:25" ht="15">
      <c r="A54" s="45"/>
      <c r="B54" s="63">
        <v>0.223</v>
      </c>
      <c r="C54" s="63">
        <v>0.21299999999999999</v>
      </c>
      <c r="D54" s="27">
        <f t="shared" si="34"/>
        <v>0.218</v>
      </c>
      <c r="E54" s="27">
        <f t="shared" si="28"/>
        <v>0.1585</v>
      </c>
      <c r="F54" s="27">
        <f t="shared" si="29"/>
        <v>-0.79997073344622971</v>
      </c>
      <c r="G54" s="28">
        <f t="shared" si="30"/>
        <v>-0.12502769117317641</v>
      </c>
      <c r="H54" s="27">
        <f t="shared" si="31"/>
        <v>0.74984639664019725</v>
      </c>
      <c r="I54" s="41">
        <v>16</v>
      </c>
      <c r="J54" s="42">
        <f t="shared" si="32"/>
        <v>11.997542346243156</v>
      </c>
      <c r="K54" s="30">
        <f t="shared" si="35"/>
        <v>1.1997542346243157</v>
      </c>
      <c r="L54" s="43">
        <f t="shared" si="33"/>
        <v>3.1248673386456116</v>
      </c>
      <c r="M54" s="30"/>
      <c r="N54" s="44"/>
      <c r="O54" s="2">
        <f t="shared" si="36"/>
        <v>1.6619056643307666</v>
      </c>
      <c r="P54" s="30"/>
      <c r="Q54" s="44"/>
      <c r="S54"/>
      <c r="T54"/>
    </row>
    <row r="55" spans="1:25" ht="15">
      <c r="A55" s="46"/>
      <c r="B55" s="63">
        <v>0.22700000000000001</v>
      </c>
      <c r="C55" s="63">
        <v>0.27400000000000002</v>
      </c>
      <c r="D55" s="27">
        <f t="shared" si="34"/>
        <v>0.2505</v>
      </c>
      <c r="E55" s="27">
        <f t="shared" si="28"/>
        <v>0.191</v>
      </c>
      <c r="F55" s="27">
        <f t="shared" si="29"/>
        <v>-0.71896663275227246</v>
      </c>
      <c r="G55" s="28">
        <f t="shared" si="30"/>
        <v>-4.6030638757701345E-2</v>
      </c>
      <c r="H55" s="27">
        <f t="shared" si="31"/>
        <v>0.89943412570113002</v>
      </c>
      <c r="I55" s="41">
        <v>16</v>
      </c>
      <c r="J55" s="42">
        <f t="shared" si="32"/>
        <v>14.39094601121808</v>
      </c>
      <c r="K55" s="30">
        <f t="shared" si="35"/>
        <v>1.4390946011218082</v>
      </c>
      <c r="L55" s="43">
        <f t="shared" si="33"/>
        <v>3.588232841892764</v>
      </c>
      <c r="M55" s="30"/>
      <c r="N55" s="44"/>
      <c r="O55" s="2">
        <f t="shared" si="36"/>
        <v>2.4611909571979278</v>
      </c>
      <c r="P55" s="30"/>
      <c r="Q55" s="44"/>
      <c r="S55"/>
      <c r="T55"/>
      <c r="Y55" s="1"/>
    </row>
    <row r="56" spans="1:25">
      <c r="D56" s="27"/>
      <c r="E56" s="28"/>
      <c r="F56" s="27"/>
      <c r="G56" s="30"/>
      <c r="H56" s="47"/>
    </row>
    <row r="57" spans="1:25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>
      <c r="C58"/>
      <c r="D58"/>
      <c r="E58"/>
      <c r="F58"/>
      <c r="G58"/>
      <c r="H58" s="47"/>
      <c r="M58" s="2" t="s">
        <v>25</v>
      </c>
      <c r="N58" s="30">
        <f>P50</f>
        <v>1.3473615716710006</v>
      </c>
      <c r="O58" s="30">
        <f>Q50</f>
        <v>0.4137240949115803</v>
      </c>
    </row>
    <row r="59" spans="1:25" ht="15">
      <c r="D59"/>
      <c r="E59"/>
      <c r="G59"/>
      <c r="M59" s="2" t="s">
        <v>26</v>
      </c>
      <c r="N59" s="30">
        <f>P53</f>
        <v>2.1088059964758732</v>
      </c>
      <c r="O59" s="30">
        <f>Q53</f>
        <v>0.40793885745889208</v>
      </c>
    </row>
    <row r="60" spans="1:25">
      <c r="G60" s="30"/>
      <c r="H60" s="47"/>
    </row>
    <row r="61" spans="1:25" ht="15">
      <c r="A61" s="49"/>
      <c r="D61"/>
      <c r="E61"/>
      <c r="F61"/>
      <c r="G61" s="30"/>
      <c r="H61" s="47"/>
    </row>
    <row r="62" spans="1:25" ht="15">
      <c r="C62" s="27"/>
      <c r="D62"/>
      <c r="E62"/>
      <c r="F62"/>
      <c r="G62" s="30"/>
      <c r="H62" s="47"/>
    </row>
    <row r="63" spans="1:25" ht="15">
      <c r="C63" s="27"/>
      <c r="D63"/>
      <c r="E63"/>
      <c r="F63"/>
      <c r="G63" s="30"/>
      <c r="H63" s="47"/>
    </row>
    <row r="64" spans="1:25" ht="13.5" thickBot="1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>
      <c r="A65" s="1" t="s">
        <v>33</v>
      </c>
      <c r="B65" s="30">
        <f>M40</f>
        <v>0.62843652535215766</v>
      </c>
      <c r="C65" s="30">
        <f>N40</f>
        <v>0.15332992553219379</v>
      </c>
      <c r="D65" s="27"/>
      <c r="E65" s="28"/>
      <c r="F65" s="27"/>
      <c r="G65" s="30"/>
      <c r="H65" s="47"/>
    </row>
    <row r="66" spans="1:8">
      <c r="A66" s="1" t="s">
        <v>25</v>
      </c>
      <c r="B66" s="30">
        <f>M50</f>
        <v>0.80453765246690045</v>
      </c>
      <c r="C66" s="30">
        <f>N50</f>
        <v>5.500189601123881E-2</v>
      </c>
      <c r="D66" s="27"/>
      <c r="E66" s="28"/>
      <c r="F66" s="27"/>
      <c r="G66" s="30"/>
      <c r="H66" s="47"/>
    </row>
    <row r="67" spans="1:8">
      <c r="A67" s="52" t="s">
        <v>34</v>
      </c>
      <c r="B67" s="30">
        <f>M43</f>
        <v>1.638481149795713</v>
      </c>
      <c r="C67" s="30">
        <f>N43</f>
        <v>0.21774392800691567</v>
      </c>
      <c r="D67" s="27"/>
      <c r="E67" s="28"/>
      <c r="F67" s="27"/>
      <c r="G67" s="30"/>
      <c r="H67" s="47"/>
    </row>
    <row r="68" spans="1:8">
      <c r="A68" s="45" t="s">
        <v>26</v>
      </c>
      <c r="B68" s="30">
        <f>M53</f>
        <v>3.3960789290603497</v>
      </c>
      <c r="C68" s="30">
        <f>N53</f>
        <v>0.24158742659419211</v>
      </c>
      <c r="D68" s="27"/>
      <c r="E68" s="28"/>
      <c r="F68" s="27"/>
      <c r="G68" s="30"/>
      <c r="H68" s="47"/>
    </row>
    <row r="69" spans="1:8">
      <c r="A69" s="53"/>
      <c r="C69" s="27"/>
      <c r="D69" s="27"/>
      <c r="E69" s="28"/>
      <c r="F69" s="27"/>
      <c r="G69" s="30"/>
      <c r="H69" s="47"/>
    </row>
    <row r="70" spans="1:8">
      <c r="A70" s="53"/>
      <c r="C70" s="27"/>
      <c r="D70" s="27"/>
      <c r="E70" s="28"/>
      <c r="F70" s="27"/>
      <c r="G70" s="30"/>
      <c r="H70" s="47"/>
    </row>
    <row r="71" spans="1:8">
      <c r="A71" s="53"/>
      <c r="B71" s="48"/>
      <c r="C71" s="27"/>
      <c r="D71" s="27"/>
      <c r="E71" s="28"/>
      <c r="F71" s="27"/>
      <c r="G71" s="30"/>
      <c r="H71" s="47"/>
    </row>
    <row r="72" spans="1:8">
      <c r="A72" s="53"/>
      <c r="B72" s="48"/>
      <c r="C72" s="27"/>
      <c r="D72" s="27"/>
      <c r="E72" s="28"/>
      <c r="F72" s="27"/>
      <c r="G72" s="30"/>
      <c r="H72" s="47"/>
    </row>
    <row r="73" spans="1:8">
      <c r="C73" s="27"/>
      <c r="D73" s="27"/>
      <c r="E73" s="28"/>
      <c r="F73" s="27"/>
      <c r="G73" s="30"/>
      <c r="H73" s="47"/>
    </row>
    <row r="74" spans="1:8">
      <c r="C74" s="27"/>
      <c r="D74" s="28"/>
      <c r="H74" s="47"/>
    </row>
    <row r="75" spans="1:8">
      <c r="A75" s="54"/>
      <c r="C75" s="27"/>
      <c r="D75" s="28"/>
      <c r="H75" s="38"/>
    </row>
    <row r="76" spans="1:8">
      <c r="A76" s="54"/>
      <c r="C76" s="27"/>
      <c r="D76" s="28"/>
      <c r="H76" s="38"/>
    </row>
    <row r="77" spans="1:8">
      <c r="A77" s="55"/>
      <c r="B77" s="38"/>
      <c r="C77" s="56"/>
      <c r="D77" s="57"/>
      <c r="E77" s="38"/>
    </row>
    <row r="78" spans="1:8">
      <c r="A78" s="52"/>
      <c r="B78" s="58"/>
      <c r="C78" s="59"/>
      <c r="D78" s="38"/>
      <c r="E78" s="38"/>
    </row>
    <row r="79" spans="1:8">
      <c r="A79" s="52"/>
      <c r="B79" s="42"/>
      <c r="C79" s="56"/>
      <c r="D79" s="38"/>
      <c r="E79" s="38"/>
    </row>
    <row r="80" spans="1:8">
      <c r="A80" s="52"/>
      <c r="B80" s="42"/>
      <c r="C80" s="56"/>
      <c r="D80" s="38"/>
      <c r="E80" s="38"/>
    </row>
    <row r="81" spans="1:7">
      <c r="A81" s="52"/>
      <c r="B81" s="42"/>
      <c r="C81" s="56"/>
      <c r="D81" s="38"/>
      <c r="E81" s="38"/>
    </row>
    <row r="82" spans="1:7">
      <c r="A82" s="52"/>
      <c r="B82" s="42"/>
      <c r="C82" s="56"/>
      <c r="D82" s="38"/>
      <c r="E82" s="38"/>
    </row>
    <row r="83" spans="1:7">
      <c r="A83" s="52"/>
      <c r="B83" s="38"/>
      <c r="C83" s="38"/>
      <c r="D83" s="60"/>
      <c r="E83" s="58"/>
    </row>
    <row r="84" spans="1:7">
      <c r="A84" s="52"/>
      <c r="B84" s="42"/>
      <c r="C84" s="56"/>
      <c r="D84" s="47"/>
      <c r="E84" s="47"/>
    </row>
    <row r="85" spans="1:7">
      <c r="A85" s="52"/>
      <c r="B85" s="42"/>
      <c r="C85" s="56"/>
      <c r="D85" s="47"/>
      <c r="E85" s="47"/>
    </row>
    <row r="86" spans="1:7">
      <c r="A86" s="52"/>
      <c r="B86" s="42"/>
      <c r="C86" s="56"/>
      <c r="D86" s="47"/>
      <c r="E86" s="47"/>
      <c r="F86" s="47"/>
      <c r="G86" s="38"/>
    </row>
    <row r="87" spans="1:7">
      <c r="A87" s="52"/>
      <c r="B87" s="42"/>
      <c r="C87" s="56"/>
      <c r="D87" s="47"/>
      <c r="E87" s="47"/>
      <c r="F87" s="47"/>
      <c r="G87" s="38"/>
    </row>
    <row r="88" spans="1:7">
      <c r="A88" s="52"/>
      <c r="B88" s="38"/>
      <c r="C88" s="47"/>
      <c r="D88" s="47"/>
      <c r="E88" s="47"/>
      <c r="F88" s="47"/>
      <c r="G88" s="38"/>
    </row>
    <row r="89" spans="1:7">
      <c r="A89" s="52"/>
      <c r="B89" s="38"/>
      <c r="C89" s="47"/>
      <c r="D89" s="47"/>
      <c r="E89" s="47"/>
      <c r="F89" s="47"/>
      <c r="G89" s="38"/>
    </row>
    <row r="90" spans="1:7">
      <c r="C90" s="47"/>
      <c r="D90" s="47"/>
      <c r="E90" s="61"/>
      <c r="F90" s="61"/>
    </row>
    <row r="91" spans="1:7">
      <c r="C91" s="47"/>
      <c r="D91" s="47"/>
      <c r="E91" s="61"/>
      <c r="F91" s="61"/>
    </row>
    <row r="92" spans="1:7">
      <c r="C92" s="47"/>
      <c r="D92" s="47"/>
      <c r="E92" s="61"/>
      <c r="F92" s="61"/>
    </row>
    <row r="93" spans="1:7">
      <c r="C93" s="47"/>
      <c r="D93" s="47"/>
      <c r="E93" s="61"/>
      <c r="F93" s="61"/>
    </row>
    <row r="94" spans="1:7">
      <c r="C94" s="47"/>
      <c r="E94" s="61"/>
      <c r="F94" s="61"/>
    </row>
    <row r="95" spans="1:7">
      <c r="C95" s="47"/>
      <c r="E95" s="61"/>
      <c r="F95" s="61"/>
    </row>
    <row r="96" spans="1:7">
      <c r="C96" s="47"/>
      <c r="D96" s="47"/>
      <c r="E96" s="61"/>
      <c r="F96" s="61"/>
    </row>
    <row r="97" spans="2:6">
      <c r="C97" s="47"/>
      <c r="D97" s="47"/>
      <c r="E97" s="61"/>
      <c r="F97" s="61"/>
    </row>
    <row r="98" spans="2:6">
      <c r="C98" s="47"/>
      <c r="D98" s="47"/>
      <c r="E98" s="61"/>
      <c r="F98" s="61"/>
    </row>
    <row r="99" spans="2:6">
      <c r="C99" s="47"/>
      <c r="D99" s="47"/>
      <c r="E99" s="61"/>
      <c r="F99" s="61"/>
    </row>
    <row r="100" spans="2:6">
      <c r="C100" s="47"/>
      <c r="D100" s="47"/>
      <c r="E100" s="61"/>
      <c r="F100" s="61"/>
    </row>
    <row r="101" spans="2:6">
      <c r="C101" s="47"/>
      <c r="D101" s="47"/>
      <c r="E101" s="61"/>
      <c r="F101" s="61"/>
    </row>
    <row r="102" spans="2:6">
      <c r="C102" s="47"/>
      <c r="D102" s="47"/>
      <c r="E102" s="61"/>
      <c r="F102" s="61"/>
    </row>
    <row r="103" spans="2:6">
      <c r="C103" s="47"/>
      <c r="D103" s="47"/>
      <c r="E103" s="61"/>
      <c r="F103" s="61"/>
    </row>
    <row r="104" spans="2:6">
      <c r="C104" s="47"/>
      <c r="D104" s="47"/>
      <c r="E104" s="61"/>
      <c r="F104" s="61"/>
    </row>
    <row r="105" spans="2:6">
      <c r="C105" s="47"/>
      <c r="D105" s="47"/>
      <c r="E105" s="61"/>
      <c r="F105" s="61"/>
    </row>
    <row r="106" spans="2:6">
      <c r="C106" s="47"/>
    </row>
    <row r="107" spans="2:6">
      <c r="C107" s="47"/>
    </row>
    <row r="108" spans="2:6" ht="13.5" thickBot="1">
      <c r="B108" s="62"/>
      <c r="C108" s="62"/>
      <c r="D108" s="62"/>
      <c r="E108" s="62"/>
    </row>
    <row r="109" spans="2:6">
      <c r="B109" s="61"/>
      <c r="C109" s="61"/>
      <c r="D109" s="61"/>
      <c r="E109" s="61"/>
    </row>
    <row r="110" spans="2:6">
      <c r="B110" s="61"/>
      <c r="C110" s="61"/>
      <c r="D110" s="61"/>
      <c r="E110" s="61"/>
    </row>
    <row r="111" spans="2:6">
      <c r="B111" s="61"/>
      <c r="C111" s="61"/>
      <c r="D111" s="61"/>
      <c r="E111" s="61"/>
    </row>
    <row r="112" spans="2:6">
      <c r="B112" s="61"/>
      <c r="C112" s="61"/>
      <c r="D112" s="61"/>
      <c r="E112" s="61"/>
    </row>
    <row r="113" spans="2:5">
      <c r="B113" s="61"/>
      <c r="C113" s="61"/>
      <c r="D113" s="61"/>
      <c r="E113" s="61"/>
    </row>
    <row r="114" spans="2:5">
      <c r="B114" s="61"/>
      <c r="C114" s="61"/>
      <c r="D114" s="61"/>
      <c r="E114" s="61"/>
    </row>
    <row r="115" spans="2:5">
      <c r="B115" s="61"/>
      <c r="C115" s="61"/>
      <c r="D115" s="61"/>
      <c r="E115" s="61"/>
    </row>
    <row r="116" spans="2:5">
      <c r="B116" s="61"/>
      <c r="C116" s="61"/>
      <c r="D116" s="61"/>
      <c r="E116" s="61"/>
    </row>
    <row r="117" spans="2:5">
      <c r="B117" s="61"/>
      <c r="C117" s="61"/>
      <c r="D117" s="61"/>
      <c r="E117" s="61"/>
    </row>
    <row r="118" spans="2:5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siNTP</vt:lpstr>
      <vt:lpstr>siKCNJ11</vt:lpstr>
      <vt:lpstr>siHNF4A</vt:lpstr>
      <vt:lpstr>siHNF4A!Zone_d_impression</vt:lpstr>
      <vt:lpstr>siKCNJ11!Zone_d_impression</vt:lpstr>
      <vt:lpstr>siNTP!Zone_d_impression</vt:lpstr>
    </vt:vector>
  </TitlesOfParts>
  <Company>CNRS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</dc:creator>
  <cp:lastModifiedBy>fndiaye</cp:lastModifiedBy>
  <dcterms:created xsi:type="dcterms:W3CDTF">2015-12-08T15:20:20Z</dcterms:created>
  <dcterms:modified xsi:type="dcterms:W3CDTF">2016-05-12T08:50:39Z</dcterms:modified>
</cp:coreProperties>
</file>