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fichiers shinny\fichiers mis à jour 12.5.16\"/>
    </mc:Choice>
  </mc:AlternateContent>
  <bookViews>
    <workbookView minimized="1" xWindow="1800" yWindow="75" windowWidth="8295" windowHeight="10155" tabRatio="693"/>
  </bookViews>
  <sheets>
    <sheet name="siNTP" sheetId="3" r:id="rId1"/>
    <sheet name="siTBC1D4" sheetId="1" r:id="rId2"/>
    <sheet name="siKCNJ11" sheetId="4" r:id="rId3"/>
    <sheet name="siHNF4A" sheetId="5" r:id="rId4"/>
  </sheets>
  <externalReferences>
    <externalReference r:id="rId5"/>
  </externalReferences>
  <definedNames>
    <definedName name="_xlnm.Print_Area" localSheetId="3">siHNF4A!$A$1:$Q$83</definedName>
    <definedName name="_xlnm.Print_Area" localSheetId="2">siKCNJ11!$A$1:$Q$83</definedName>
    <definedName name="_xlnm.Print_Area" localSheetId="0">siNTP!$A$1:$Q$83</definedName>
    <definedName name="_xlnm.Print_Area" localSheetId="1">siTBC1D4!$A$1:$Q$83</definedName>
  </definedNames>
  <calcPr calcId="152511"/>
</workbook>
</file>

<file path=xl/calcChain.xml><?xml version="1.0" encoding="utf-8"?>
<calcChain xmlns="http://schemas.openxmlformats.org/spreadsheetml/2006/main">
  <c r="B9" i="5" l="1"/>
  <c r="B13" i="5" l="1"/>
  <c r="B12" i="5"/>
  <c r="B11" i="5"/>
  <c r="B10" i="5"/>
  <c r="B8" i="5"/>
  <c r="B13" i="4" l="1"/>
  <c r="B9" i="4"/>
  <c r="G9" i="4" s="1"/>
  <c r="B13" i="1"/>
  <c r="B9" i="1"/>
  <c r="B13" i="3"/>
  <c r="B8" i="3"/>
  <c r="B8" i="4"/>
  <c r="B8" i="1"/>
  <c r="B9" i="3"/>
  <c r="B10" i="3"/>
  <c r="G10" i="3" s="1"/>
  <c r="B11" i="3"/>
  <c r="B12" i="3"/>
  <c r="B10" i="1"/>
  <c r="B11" i="1"/>
  <c r="B12" i="1"/>
  <c r="B12" i="4"/>
  <c r="B10" i="4"/>
  <c r="B11" i="4"/>
  <c r="G11" i="4" s="1"/>
  <c r="D55" i="5"/>
  <c r="D54" i="5"/>
  <c r="D53" i="5"/>
  <c r="D52" i="5"/>
  <c r="D51" i="5"/>
  <c r="D50" i="5"/>
  <c r="D45" i="5"/>
  <c r="D44" i="5"/>
  <c r="D43" i="5"/>
  <c r="D42" i="5"/>
  <c r="D41" i="5"/>
  <c r="D40" i="5"/>
  <c r="D36" i="5"/>
  <c r="D35" i="5"/>
  <c r="D34" i="5"/>
  <c r="D33" i="5"/>
  <c r="D32" i="5"/>
  <c r="D31" i="5"/>
  <c r="D27" i="5"/>
  <c r="D26" i="5"/>
  <c r="D25" i="5"/>
  <c r="D24" i="5"/>
  <c r="D23" i="5"/>
  <c r="D22" i="5"/>
  <c r="G13" i="5"/>
  <c r="E13" i="5"/>
  <c r="G12" i="5"/>
  <c r="E12" i="5"/>
  <c r="G11" i="5"/>
  <c r="E11" i="5"/>
  <c r="G10" i="5"/>
  <c r="E10" i="5"/>
  <c r="G9" i="5"/>
  <c r="E9" i="5"/>
  <c r="E8" i="5"/>
  <c r="D55" i="4"/>
  <c r="D54" i="4"/>
  <c r="D53" i="4"/>
  <c r="D52" i="4"/>
  <c r="D51" i="4"/>
  <c r="D50" i="4"/>
  <c r="D45" i="4"/>
  <c r="D44" i="4"/>
  <c r="D43" i="4"/>
  <c r="D42" i="4"/>
  <c r="D41" i="4"/>
  <c r="D40" i="4"/>
  <c r="D36" i="4"/>
  <c r="D35" i="4"/>
  <c r="D34" i="4"/>
  <c r="D33" i="4"/>
  <c r="D32" i="4"/>
  <c r="D31" i="4"/>
  <c r="D27" i="4"/>
  <c r="D26" i="4"/>
  <c r="D25" i="4"/>
  <c r="D24" i="4"/>
  <c r="D23" i="4"/>
  <c r="D22" i="4"/>
  <c r="G13" i="4"/>
  <c r="E13" i="4"/>
  <c r="G12" i="4"/>
  <c r="E12" i="4"/>
  <c r="E11" i="4"/>
  <c r="G10" i="4"/>
  <c r="E10" i="4"/>
  <c r="E9" i="4"/>
  <c r="E8" i="4"/>
  <c r="D51" i="1"/>
  <c r="D52" i="1"/>
  <c r="D53" i="1"/>
  <c r="D54" i="1"/>
  <c r="D55" i="1"/>
  <c r="D50" i="1"/>
  <c r="D41" i="1"/>
  <c r="D42" i="1"/>
  <c r="D43" i="1"/>
  <c r="D44" i="1"/>
  <c r="D45" i="1"/>
  <c r="D40" i="1"/>
  <c r="D23" i="1"/>
  <c r="D24" i="1"/>
  <c r="D25" i="1"/>
  <c r="D26" i="1"/>
  <c r="D27" i="1"/>
  <c r="D22" i="1"/>
  <c r="D55" i="3"/>
  <c r="D54" i="3"/>
  <c r="D53" i="3"/>
  <c r="D52" i="3"/>
  <c r="D51" i="3"/>
  <c r="D50" i="3"/>
  <c r="D45" i="3"/>
  <c r="D44" i="3"/>
  <c r="D43" i="3"/>
  <c r="D42" i="3"/>
  <c r="D41" i="3"/>
  <c r="D40" i="3"/>
  <c r="D36" i="3"/>
  <c r="D35" i="3"/>
  <c r="D34" i="3"/>
  <c r="D33" i="3"/>
  <c r="D32" i="3"/>
  <c r="D31" i="3"/>
  <c r="D27" i="3"/>
  <c r="D26" i="3"/>
  <c r="D25" i="3"/>
  <c r="D24" i="3"/>
  <c r="D23" i="3"/>
  <c r="D22" i="3"/>
  <c r="E13" i="3"/>
  <c r="G13" i="3"/>
  <c r="E12" i="3"/>
  <c r="G12" i="3"/>
  <c r="E11" i="3"/>
  <c r="G11" i="3"/>
  <c r="E10" i="3"/>
  <c r="E9" i="3"/>
  <c r="G9" i="3"/>
  <c r="E8" i="3"/>
  <c r="F9" i="5" l="1"/>
  <c r="H9" i="5" s="1"/>
  <c r="F10" i="5"/>
  <c r="H10" i="5" s="1"/>
  <c r="F11" i="5"/>
  <c r="H11" i="5" s="1"/>
  <c r="F12" i="5"/>
  <c r="H12" i="5" s="1"/>
  <c r="F13" i="5"/>
  <c r="H13" i="5" s="1"/>
  <c r="E22" i="5"/>
  <c r="F22" i="5" s="1"/>
  <c r="E23" i="5"/>
  <c r="F23" i="5" s="1"/>
  <c r="E24" i="5"/>
  <c r="F24" i="5" s="1"/>
  <c r="E25" i="5"/>
  <c r="F25" i="5" s="1"/>
  <c r="E26" i="5"/>
  <c r="F26" i="5" s="1"/>
  <c r="E27" i="5"/>
  <c r="F27" i="5" s="1"/>
  <c r="E31" i="5"/>
  <c r="F31" i="5" s="1"/>
  <c r="E32" i="5"/>
  <c r="F32" i="5" s="1"/>
  <c r="E33" i="5"/>
  <c r="F33" i="5" s="1"/>
  <c r="E34" i="5"/>
  <c r="F34" i="5" s="1"/>
  <c r="E35" i="5"/>
  <c r="F35" i="5" s="1"/>
  <c r="E36" i="5"/>
  <c r="F36" i="5" s="1"/>
  <c r="E40" i="5"/>
  <c r="F40" i="5" s="1"/>
  <c r="E41" i="5"/>
  <c r="F41" i="5" s="1"/>
  <c r="E42" i="5"/>
  <c r="F42" i="5" s="1"/>
  <c r="E43" i="5"/>
  <c r="F43" i="5" s="1"/>
  <c r="E44" i="5"/>
  <c r="F44" i="5" s="1"/>
  <c r="E45" i="5"/>
  <c r="F45" i="5" s="1"/>
  <c r="E50" i="5"/>
  <c r="F50" i="5" s="1"/>
  <c r="E51" i="5"/>
  <c r="F51" i="5" s="1"/>
  <c r="E52" i="5"/>
  <c r="F52" i="5" s="1"/>
  <c r="E53" i="5"/>
  <c r="F53" i="5" s="1"/>
  <c r="E54" i="5"/>
  <c r="F54" i="5" s="1"/>
  <c r="E55" i="5"/>
  <c r="F55" i="5" s="1"/>
  <c r="F9" i="4"/>
  <c r="H9" i="4" s="1"/>
  <c r="F10" i="4"/>
  <c r="H10" i="4" s="1"/>
  <c r="F11" i="4"/>
  <c r="H11" i="4" s="1"/>
  <c r="F12" i="4"/>
  <c r="H12" i="4" s="1"/>
  <c r="F13" i="4"/>
  <c r="H13" i="4" s="1"/>
  <c r="E22" i="4"/>
  <c r="F22" i="4" s="1"/>
  <c r="E23" i="4"/>
  <c r="F23" i="4" s="1"/>
  <c r="E24" i="4"/>
  <c r="F24" i="4" s="1"/>
  <c r="E25" i="4"/>
  <c r="F25" i="4" s="1"/>
  <c r="E26" i="4"/>
  <c r="F26" i="4" s="1"/>
  <c r="E27" i="4"/>
  <c r="F27" i="4" s="1"/>
  <c r="E31" i="4"/>
  <c r="F31" i="4" s="1"/>
  <c r="E32" i="4"/>
  <c r="F32" i="4" s="1"/>
  <c r="E33" i="4"/>
  <c r="F33" i="4" s="1"/>
  <c r="E34" i="4"/>
  <c r="F34" i="4" s="1"/>
  <c r="E35" i="4"/>
  <c r="F35" i="4" s="1"/>
  <c r="E36" i="4"/>
  <c r="F36" i="4" s="1"/>
  <c r="E40" i="4"/>
  <c r="F40" i="4" s="1"/>
  <c r="E41" i="4"/>
  <c r="F41" i="4" s="1"/>
  <c r="E42" i="4"/>
  <c r="F42" i="4" s="1"/>
  <c r="E43" i="4"/>
  <c r="F43" i="4" s="1"/>
  <c r="E44" i="4"/>
  <c r="F44" i="4" s="1"/>
  <c r="E45" i="4"/>
  <c r="F45" i="4" s="1"/>
  <c r="E50" i="4"/>
  <c r="F50" i="4" s="1"/>
  <c r="E51" i="4"/>
  <c r="F51" i="4" s="1"/>
  <c r="E52" i="4"/>
  <c r="F52" i="4" s="1"/>
  <c r="E53" i="4"/>
  <c r="F53" i="4" s="1"/>
  <c r="E54" i="4"/>
  <c r="F54" i="4" s="1"/>
  <c r="E55" i="4"/>
  <c r="F55" i="4" s="1"/>
  <c r="B16" i="4"/>
  <c r="F9" i="3"/>
  <c r="H9" i="3" s="1"/>
  <c r="F10" i="3"/>
  <c r="H10" i="3" s="1"/>
  <c r="F11" i="3"/>
  <c r="H11" i="3" s="1"/>
  <c r="F12" i="3"/>
  <c r="H12" i="3" s="1"/>
  <c r="F13" i="3"/>
  <c r="H13" i="3" s="1"/>
  <c r="E22" i="3"/>
  <c r="F22" i="3" s="1"/>
  <c r="E23" i="3"/>
  <c r="F23" i="3" s="1"/>
  <c r="E24" i="3"/>
  <c r="F24" i="3" s="1"/>
  <c r="E25" i="3"/>
  <c r="F25" i="3" s="1"/>
  <c r="E26" i="3"/>
  <c r="F26" i="3" s="1"/>
  <c r="E27" i="3"/>
  <c r="F27" i="3" s="1"/>
  <c r="E31" i="3"/>
  <c r="F31" i="3" s="1"/>
  <c r="E32" i="3"/>
  <c r="F32" i="3" s="1"/>
  <c r="E33" i="3"/>
  <c r="F33" i="3" s="1"/>
  <c r="E34" i="3"/>
  <c r="F34" i="3" s="1"/>
  <c r="E35" i="3"/>
  <c r="F35" i="3" s="1"/>
  <c r="E36" i="3"/>
  <c r="F36" i="3" s="1"/>
  <c r="E40" i="3"/>
  <c r="F40" i="3" s="1"/>
  <c r="E41" i="3"/>
  <c r="F41" i="3" s="1"/>
  <c r="E42" i="3"/>
  <c r="F42" i="3" s="1"/>
  <c r="E43" i="3"/>
  <c r="F43" i="3" s="1"/>
  <c r="E44" i="3"/>
  <c r="F44" i="3" s="1"/>
  <c r="E45" i="3"/>
  <c r="F45" i="3" s="1"/>
  <c r="E50" i="3"/>
  <c r="F50" i="3" s="1"/>
  <c r="E51" i="3"/>
  <c r="F51" i="3" s="1"/>
  <c r="E52" i="3"/>
  <c r="F52" i="3" s="1"/>
  <c r="E53" i="3"/>
  <c r="F53" i="3" s="1"/>
  <c r="E54" i="3"/>
  <c r="F54" i="3" s="1"/>
  <c r="E55" i="3"/>
  <c r="F55" i="3" s="1"/>
  <c r="D36" i="1"/>
  <c r="D35" i="1"/>
  <c r="D34" i="1"/>
  <c r="D33" i="1"/>
  <c r="D32" i="1"/>
  <c r="D31" i="1"/>
  <c r="E13" i="1"/>
  <c r="G13" i="1"/>
  <c r="E12" i="1"/>
  <c r="G12" i="1"/>
  <c r="E11" i="1"/>
  <c r="G11" i="1"/>
  <c r="E10" i="1"/>
  <c r="G10" i="1"/>
  <c r="E9" i="1"/>
  <c r="G9" i="1"/>
  <c r="E8" i="1"/>
  <c r="B15" i="3" l="1"/>
  <c r="B15" i="4"/>
  <c r="G24" i="4" s="1"/>
  <c r="H24" i="4" s="1"/>
  <c r="J24" i="4" s="1"/>
  <c r="K24" i="4" s="1"/>
  <c r="E36" i="1"/>
  <c r="F36" i="1" s="1"/>
  <c r="B16" i="3"/>
  <c r="B15" i="5"/>
  <c r="B16" i="5"/>
  <c r="G26" i="5" s="1"/>
  <c r="H26" i="5" s="1"/>
  <c r="J26" i="5" s="1"/>
  <c r="K26" i="5" s="1"/>
  <c r="E26" i="1"/>
  <c r="F26" i="1" s="1"/>
  <c r="E24" i="1"/>
  <c r="F24" i="1" s="1"/>
  <c r="E23" i="1"/>
  <c r="F23" i="1" s="1"/>
  <c r="E22" i="1"/>
  <c r="F22" i="1" s="1"/>
  <c r="E27" i="1"/>
  <c r="F27" i="1" s="1"/>
  <c r="E25" i="1"/>
  <c r="F25" i="1" s="1"/>
  <c r="F9" i="1"/>
  <c r="H9" i="1" s="1"/>
  <c r="F10" i="1"/>
  <c r="H10" i="1" s="1"/>
  <c r="F11" i="1"/>
  <c r="H11" i="1" s="1"/>
  <c r="F12" i="1"/>
  <c r="H12" i="1" s="1"/>
  <c r="F13" i="1"/>
  <c r="H13" i="1" s="1"/>
  <c r="E31" i="1"/>
  <c r="F31" i="1" s="1"/>
  <c r="E33" i="1"/>
  <c r="F33" i="1" s="1"/>
  <c r="E35" i="1"/>
  <c r="F35" i="1" s="1"/>
  <c r="E40" i="1"/>
  <c r="F40" i="1" s="1"/>
  <c r="E41" i="1"/>
  <c r="F41" i="1" s="1"/>
  <c r="E42" i="1"/>
  <c r="F42" i="1" s="1"/>
  <c r="E43" i="1"/>
  <c r="F43" i="1" s="1"/>
  <c r="E44" i="1"/>
  <c r="F44" i="1" s="1"/>
  <c r="E45" i="1"/>
  <c r="F45" i="1" s="1"/>
  <c r="E50" i="1"/>
  <c r="F50" i="1" s="1"/>
  <c r="E51" i="1"/>
  <c r="F51" i="1" s="1"/>
  <c r="E53" i="1"/>
  <c r="F53" i="1" s="1"/>
  <c r="E55" i="1"/>
  <c r="F55" i="1" s="1"/>
  <c r="E52" i="1"/>
  <c r="F52" i="1" s="1"/>
  <c r="E54" i="1"/>
  <c r="F54" i="1" s="1"/>
  <c r="E32" i="1"/>
  <c r="F32" i="1" s="1"/>
  <c r="E34" i="1"/>
  <c r="F34" i="1" s="1"/>
  <c r="G54" i="3" l="1"/>
  <c r="H54" i="3" s="1"/>
  <c r="J54" i="3" s="1"/>
  <c r="K54" i="3" s="1"/>
  <c r="G22" i="3"/>
  <c r="H22" i="3" s="1"/>
  <c r="J22" i="3" s="1"/>
  <c r="K22" i="3" s="1"/>
  <c r="G43" i="3"/>
  <c r="H43" i="3" s="1"/>
  <c r="J43" i="3" s="1"/>
  <c r="K43" i="3" s="1"/>
  <c r="G53" i="3"/>
  <c r="H53" i="3" s="1"/>
  <c r="J53" i="3" s="1"/>
  <c r="K53" i="3" s="1"/>
  <c r="G52" i="3"/>
  <c r="H52" i="3" s="1"/>
  <c r="J52" i="3" s="1"/>
  <c r="K52" i="3" s="1"/>
  <c r="G40" i="3"/>
  <c r="H40" i="3" s="1"/>
  <c r="J40" i="3" s="1"/>
  <c r="K40" i="3" s="1"/>
  <c r="G25" i="3"/>
  <c r="H25" i="3" s="1"/>
  <c r="J25" i="3" s="1"/>
  <c r="K25" i="3" s="1"/>
  <c r="G27" i="3"/>
  <c r="H27" i="3" s="1"/>
  <c r="J27" i="3" s="1"/>
  <c r="K27" i="3" s="1"/>
  <c r="G32" i="3"/>
  <c r="H32" i="3" s="1"/>
  <c r="J32" i="3" s="1"/>
  <c r="K32" i="3" s="1"/>
  <c r="G23" i="3"/>
  <c r="H23" i="3" s="1"/>
  <c r="J23" i="3" s="1"/>
  <c r="K23" i="3" s="1"/>
  <c r="G42" i="3"/>
  <c r="H42" i="3" s="1"/>
  <c r="J42" i="3" s="1"/>
  <c r="K42" i="3" s="1"/>
  <c r="G55" i="3"/>
  <c r="H55" i="3" s="1"/>
  <c r="J55" i="3" s="1"/>
  <c r="K55" i="3" s="1"/>
  <c r="G26" i="3"/>
  <c r="H26" i="3" s="1"/>
  <c r="J26" i="3" s="1"/>
  <c r="K26" i="3" s="1"/>
  <c r="G51" i="3"/>
  <c r="H51" i="3" s="1"/>
  <c r="J51" i="3" s="1"/>
  <c r="K51" i="3" s="1"/>
  <c r="G45" i="3"/>
  <c r="H45" i="3" s="1"/>
  <c r="J45" i="3" s="1"/>
  <c r="K45" i="3" s="1"/>
  <c r="G43" i="5"/>
  <c r="H43" i="5" s="1"/>
  <c r="J43" i="5" s="1"/>
  <c r="K43" i="5" s="1"/>
  <c r="G33" i="5"/>
  <c r="H33" i="5" s="1"/>
  <c r="J33" i="5" s="1"/>
  <c r="K33" i="5" s="1"/>
  <c r="G52" i="5"/>
  <c r="H52" i="5" s="1"/>
  <c r="J52" i="5" s="1"/>
  <c r="K52" i="5" s="1"/>
  <c r="G25" i="5"/>
  <c r="H25" i="5" s="1"/>
  <c r="J25" i="5" s="1"/>
  <c r="K25" i="5" s="1"/>
  <c r="G25" i="4"/>
  <c r="H25" i="4" s="1"/>
  <c r="J25" i="4" s="1"/>
  <c r="K25" i="4" s="1"/>
  <c r="G51" i="4"/>
  <c r="H51" i="4" s="1"/>
  <c r="J51" i="4" s="1"/>
  <c r="K51" i="4" s="1"/>
  <c r="G34" i="4"/>
  <c r="H34" i="4" s="1"/>
  <c r="J34" i="4" s="1"/>
  <c r="K34" i="4" s="1"/>
  <c r="G26" i="4"/>
  <c r="H26" i="4" s="1"/>
  <c r="J26" i="4" s="1"/>
  <c r="K26" i="4" s="1"/>
  <c r="G31" i="4"/>
  <c r="H31" i="4" s="1"/>
  <c r="J31" i="4" s="1"/>
  <c r="K31" i="4" s="1"/>
  <c r="G54" i="4"/>
  <c r="H54" i="4" s="1"/>
  <c r="J54" i="4" s="1"/>
  <c r="K54" i="4" s="1"/>
  <c r="G32" i="4"/>
  <c r="H32" i="4" s="1"/>
  <c r="J32" i="4" s="1"/>
  <c r="K32" i="4" s="1"/>
  <c r="G55" i="4"/>
  <c r="H55" i="4" s="1"/>
  <c r="J55" i="4" s="1"/>
  <c r="K55" i="4" s="1"/>
  <c r="G33" i="4"/>
  <c r="H33" i="4" s="1"/>
  <c r="J33" i="4" s="1"/>
  <c r="K33" i="4" s="1"/>
  <c r="G41" i="4"/>
  <c r="H41" i="4" s="1"/>
  <c r="J41" i="4" s="1"/>
  <c r="K41" i="4" s="1"/>
  <c r="G44" i="4"/>
  <c r="H44" i="4" s="1"/>
  <c r="J44" i="4" s="1"/>
  <c r="K44" i="4" s="1"/>
  <c r="G23" i="4"/>
  <c r="H23" i="4" s="1"/>
  <c r="J23" i="4" s="1"/>
  <c r="K23" i="4" s="1"/>
  <c r="G45" i="4"/>
  <c r="H45" i="4" s="1"/>
  <c r="J45" i="4" s="1"/>
  <c r="K45" i="4" s="1"/>
  <c r="G50" i="4"/>
  <c r="H50" i="4" s="1"/>
  <c r="J50" i="4" s="1"/>
  <c r="K50" i="4" s="1"/>
  <c r="G22" i="4"/>
  <c r="H22" i="4" s="1"/>
  <c r="J22" i="4" s="1"/>
  <c r="K22" i="4" s="1"/>
  <c r="G35" i="4"/>
  <c r="H35" i="4" s="1"/>
  <c r="J35" i="4" s="1"/>
  <c r="K35" i="4" s="1"/>
  <c r="L35" i="4" s="1"/>
  <c r="M35" i="4" s="1"/>
  <c r="G36" i="4"/>
  <c r="H36" i="4" s="1"/>
  <c r="J36" i="4" s="1"/>
  <c r="K36" i="4" s="1"/>
  <c r="L36" i="4" s="1"/>
  <c r="G40" i="4"/>
  <c r="H40" i="4" s="1"/>
  <c r="J40" i="4" s="1"/>
  <c r="K40" i="4" s="1"/>
  <c r="G42" i="4"/>
  <c r="H42" i="4" s="1"/>
  <c r="J42" i="4" s="1"/>
  <c r="K42" i="4" s="1"/>
  <c r="G43" i="4"/>
  <c r="H43" i="4" s="1"/>
  <c r="J43" i="4" s="1"/>
  <c r="K43" i="4" s="1"/>
  <c r="G27" i="4"/>
  <c r="H27" i="4" s="1"/>
  <c r="J27" i="4" s="1"/>
  <c r="K27" i="4" s="1"/>
  <c r="G53" i="4"/>
  <c r="H53" i="4" s="1"/>
  <c r="J53" i="4" s="1"/>
  <c r="K53" i="4" s="1"/>
  <c r="L34" i="4" s="1"/>
  <c r="G52" i="4"/>
  <c r="H52" i="4" s="1"/>
  <c r="J52" i="4" s="1"/>
  <c r="K52" i="4" s="1"/>
  <c r="L23" i="4"/>
  <c r="M23" i="4" s="1"/>
  <c r="L26" i="4"/>
  <c r="M26" i="4" s="1"/>
  <c r="B15" i="1"/>
  <c r="B16" i="1"/>
  <c r="G35" i="3"/>
  <c r="H35" i="3" s="1"/>
  <c r="J35" i="3" s="1"/>
  <c r="K35" i="3" s="1"/>
  <c r="L35" i="3" s="1"/>
  <c r="M35" i="3" s="1"/>
  <c r="G44" i="3"/>
  <c r="H44" i="3" s="1"/>
  <c r="J44" i="3" s="1"/>
  <c r="K44" i="3" s="1"/>
  <c r="L26" i="3" s="1"/>
  <c r="M26" i="3" s="1"/>
  <c r="G33" i="3"/>
  <c r="H33" i="3" s="1"/>
  <c r="J33" i="3" s="1"/>
  <c r="K33" i="3" s="1"/>
  <c r="G36" i="3"/>
  <c r="H36" i="3" s="1"/>
  <c r="J36" i="3" s="1"/>
  <c r="K36" i="3" s="1"/>
  <c r="G34" i="3"/>
  <c r="H34" i="3" s="1"/>
  <c r="J34" i="3" s="1"/>
  <c r="K34" i="3" s="1"/>
  <c r="G24" i="3"/>
  <c r="H24" i="3" s="1"/>
  <c r="J24" i="3" s="1"/>
  <c r="K24" i="3" s="1"/>
  <c r="L24" i="3" s="1"/>
  <c r="M24" i="3" s="1"/>
  <c r="G50" i="3"/>
  <c r="H50" i="3" s="1"/>
  <c r="J50" i="3" s="1"/>
  <c r="K50" i="3" s="1"/>
  <c r="L22" i="3" s="1"/>
  <c r="G41" i="3"/>
  <c r="H41" i="3" s="1"/>
  <c r="J41" i="3" s="1"/>
  <c r="K41" i="3" s="1"/>
  <c r="L23" i="3" s="1"/>
  <c r="G31" i="3"/>
  <c r="H31" i="3" s="1"/>
  <c r="J31" i="3" s="1"/>
  <c r="K31" i="3" s="1"/>
  <c r="L32" i="4"/>
  <c r="M32" i="4" s="1"/>
  <c r="L22" i="4"/>
  <c r="M22" i="4" s="1"/>
  <c r="G36" i="5"/>
  <c r="H36" i="5" s="1"/>
  <c r="J36" i="5" s="1"/>
  <c r="K36" i="5" s="1"/>
  <c r="G40" i="5"/>
  <c r="H40" i="5" s="1"/>
  <c r="J40" i="5" s="1"/>
  <c r="K40" i="5" s="1"/>
  <c r="G51" i="5"/>
  <c r="H51" i="5" s="1"/>
  <c r="J51" i="5" s="1"/>
  <c r="K51" i="5" s="1"/>
  <c r="G23" i="5"/>
  <c r="H23" i="5" s="1"/>
  <c r="J23" i="5" s="1"/>
  <c r="K23" i="5" s="1"/>
  <c r="G27" i="5"/>
  <c r="H27" i="5" s="1"/>
  <c r="J27" i="5" s="1"/>
  <c r="K27" i="5" s="1"/>
  <c r="G34" i="5"/>
  <c r="H34" i="5" s="1"/>
  <c r="J34" i="5" s="1"/>
  <c r="K34" i="5" s="1"/>
  <c r="G45" i="5"/>
  <c r="H45" i="5" s="1"/>
  <c r="J45" i="5" s="1"/>
  <c r="K45" i="5" s="1"/>
  <c r="G41" i="5"/>
  <c r="H41" i="5" s="1"/>
  <c r="J41" i="5" s="1"/>
  <c r="K41" i="5" s="1"/>
  <c r="G53" i="5"/>
  <c r="H53" i="5" s="1"/>
  <c r="J53" i="5" s="1"/>
  <c r="K53" i="5" s="1"/>
  <c r="G24" i="5"/>
  <c r="H24" i="5" s="1"/>
  <c r="J24" i="5" s="1"/>
  <c r="K24" i="5" s="1"/>
  <c r="G31" i="5"/>
  <c r="H31" i="5" s="1"/>
  <c r="J31" i="5" s="1"/>
  <c r="K31" i="5" s="1"/>
  <c r="G35" i="5"/>
  <c r="H35" i="5" s="1"/>
  <c r="J35" i="5" s="1"/>
  <c r="K35" i="5" s="1"/>
  <c r="G42" i="5"/>
  <c r="H42" i="5" s="1"/>
  <c r="J42" i="5" s="1"/>
  <c r="K42" i="5" s="1"/>
  <c r="G50" i="5"/>
  <c r="H50" i="5" s="1"/>
  <c r="J50" i="5" s="1"/>
  <c r="K50" i="5" s="1"/>
  <c r="G54" i="5"/>
  <c r="H54" i="5" s="1"/>
  <c r="J54" i="5" s="1"/>
  <c r="K54" i="5" s="1"/>
  <c r="G32" i="5"/>
  <c r="H32" i="5" s="1"/>
  <c r="J32" i="5" s="1"/>
  <c r="K32" i="5" s="1"/>
  <c r="L32" i="5" s="1"/>
  <c r="M32" i="5" s="1"/>
  <c r="G55" i="5"/>
  <c r="H55" i="5" s="1"/>
  <c r="J55" i="5" s="1"/>
  <c r="K55" i="5" s="1"/>
  <c r="G22" i="5"/>
  <c r="H22" i="5" s="1"/>
  <c r="J22" i="5" s="1"/>
  <c r="K22" i="5" s="1"/>
  <c r="L22" i="5" s="1"/>
  <c r="M22" i="5" s="1"/>
  <c r="G44" i="5"/>
  <c r="H44" i="5" s="1"/>
  <c r="J44" i="5" s="1"/>
  <c r="K44" i="5" s="1"/>
  <c r="L26" i="5" s="1"/>
  <c r="M26" i="5" s="1"/>
  <c r="M34" i="4" l="1"/>
  <c r="L53" i="4"/>
  <c r="L41" i="4"/>
  <c r="L27" i="4"/>
  <c r="M27" i="4" s="1"/>
  <c r="L25" i="4"/>
  <c r="M25" i="4" s="1"/>
  <c r="L44" i="4"/>
  <c r="L27" i="3"/>
  <c r="M27" i="3" s="1"/>
  <c r="L32" i="3"/>
  <c r="L35" i="5"/>
  <c r="M35" i="5" s="1"/>
  <c r="L51" i="5"/>
  <c r="L33" i="5"/>
  <c r="M33" i="5" s="1"/>
  <c r="L25" i="5"/>
  <c r="M25" i="5" s="1"/>
  <c r="L43" i="4"/>
  <c r="O53" i="4" s="1"/>
  <c r="M36" i="4"/>
  <c r="L55" i="4"/>
  <c r="L33" i="4"/>
  <c r="L52" i="4" s="1"/>
  <c r="L54" i="4"/>
  <c r="O54" i="4" s="1"/>
  <c r="L31" i="4"/>
  <c r="L51" i="4"/>
  <c r="O51" i="4" s="1"/>
  <c r="L36" i="3"/>
  <c r="M36" i="3" s="1"/>
  <c r="L25" i="3"/>
  <c r="L43" i="3" s="1"/>
  <c r="N43" i="3" s="1"/>
  <c r="C67" i="3" s="1"/>
  <c r="L31" i="3"/>
  <c r="M31" i="3" s="1"/>
  <c r="L34" i="3"/>
  <c r="M34" i="3" s="1"/>
  <c r="L45" i="3"/>
  <c r="M32" i="3"/>
  <c r="L51" i="3"/>
  <c r="L44" i="3"/>
  <c r="L33" i="3"/>
  <c r="M33" i="3" s="1"/>
  <c r="L52" i="5"/>
  <c r="L24" i="4"/>
  <c r="L36" i="5"/>
  <c r="M36" i="5" s="1"/>
  <c r="L40" i="5"/>
  <c r="L43" i="5"/>
  <c r="G43" i="1"/>
  <c r="H43" i="1" s="1"/>
  <c r="J43" i="1" s="1"/>
  <c r="K43" i="1" s="1"/>
  <c r="G55" i="1"/>
  <c r="H55" i="1" s="1"/>
  <c r="J55" i="1" s="1"/>
  <c r="K55" i="1" s="1"/>
  <c r="G51" i="1"/>
  <c r="H51" i="1" s="1"/>
  <c r="J51" i="1" s="1"/>
  <c r="K51" i="1" s="1"/>
  <c r="G25" i="1"/>
  <c r="H25" i="1" s="1"/>
  <c r="J25" i="1" s="1"/>
  <c r="K25" i="1" s="1"/>
  <c r="G44" i="1"/>
  <c r="H44" i="1" s="1"/>
  <c r="J44" i="1" s="1"/>
  <c r="K44" i="1" s="1"/>
  <c r="G45" i="1"/>
  <c r="H45" i="1" s="1"/>
  <c r="J45" i="1" s="1"/>
  <c r="K45" i="1" s="1"/>
  <c r="G54" i="1"/>
  <c r="H54" i="1" s="1"/>
  <c r="J54" i="1" s="1"/>
  <c r="K54" i="1" s="1"/>
  <c r="G27" i="1"/>
  <c r="H27" i="1" s="1"/>
  <c r="J27" i="1" s="1"/>
  <c r="K27" i="1" s="1"/>
  <c r="G50" i="1"/>
  <c r="H50" i="1" s="1"/>
  <c r="J50" i="1" s="1"/>
  <c r="K50" i="1" s="1"/>
  <c r="G41" i="1"/>
  <c r="H41" i="1" s="1"/>
  <c r="J41" i="1" s="1"/>
  <c r="K41" i="1" s="1"/>
  <c r="G22" i="1"/>
  <c r="H22" i="1" s="1"/>
  <c r="J22" i="1" s="1"/>
  <c r="K22" i="1" s="1"/>
  <c r="G26" i="1"/>
  <c r="H26" i="1" s="1"/>
  <c r="J26" i="1" s="1"/>
  <c r="K26" i="1" s="1"/>
  <c r="G33" i="1"/>
  <c r="H33" i="1" s="1"/>
  <c r="J33" i="1" s="1"/>
  <c r="K33" i="1" s="1"/>
  <c r="G34" i="1"/>
  <c r="H34" i="1" s="1"/>
  <c r="J34" i="1" s="1"/>
  <c r="K34" i="1" s="1"/>
  <c r="G53" i="1"/>
  <c r="H53" i="1" s="1"/>
  <c r="J53" i="1" s="1"/>
  <c r="K53" i="1" s="1"/>
  <c r="G31" i="1"/>
  <c r="H31" i="1" s="1"/>
  <c r="J31" i="1" s="1"/>
  <c r="K31" i="1" s="1"/>
  <c r="G24" i="1"/>
  <c r="H24" i="1" s="1"/>
  <c r="J24" i="1" s="1"/>
  <c r="K24" i="1" s="1"/>
  <c r="G40" i="1"/>
  <c r="H40" i="1" s="1"/>
  <c r="J40" i="1" s="1"/>
  <c r="K40" i="1" s="1"/>
  <c r="G23" i="1"/>
  <c r="H23" i="1" s="1"/>
  <c r="J23" i="1" s="1"/>
  <c r="K23" i="1" s="1"/>
  <c r="G42" i="1"/>
  <c r="H42" i="1" s="1"/>
  <c r="J42" i="1" s="1"/>
  <c r="K42" i="1" s="1"/>
  <c r="G32" i="1"/>
  <c r="H32" i="1" s="1"/>
  <c r="J32" i="1" s="1"/>
  <c r="K32" i="1" s="1"/>
  <c r="G35" i="1"/>
  <c r="H35" i="1" s="1"/>
  <c r="J35" i="1" s="1"/>
  <c r="K35" i="1" s="1"/>
  <c r="G36" i="1"/>
  <c r="H36" i="1" s="1"/>
  <c r="J36" i="1" s="1"/>
  <c r="K36" i="1" s="1"/>
  <c r="L36" i="1" s="1"/>
  <c r="M36" i="1" s="1"/>
  <c r="G52" i="1"/>
  <c r="H52" i="1" s="1"/>
  <c r="J52" i="1" s="1"/>
  <c r="K52" i="1" s="1"/>
  <c r="L55" i="3"/>
  <c r="O55" i="3" s="1"/>
  <c r="M23" i="3"/>
  <c r="L41" i="3"/>
  <c r="M22" i="3"/>
  <c r="L40" i="3"/>
  <c r="L54" i="3"/>
  <c r="O54" i="3" s="1"/>
  <c r="L42" i="3"/>
  <c r="L40" i="4"/>
  <c r="L31" i="5"/>
  <c r="M31" i="5" s="1"/>
  <c r="L55" i="5"/>
  <c r="L23" i="5"/>
  <c r="M23" i="5" s="1"/>
  <c r="L24" i="5"/>
  <c r="L34" i="5"/>
  <c r="L44" i="5"/>
  <c r="L27" i="5"/>
  <c r="M27" i="5" s="1"/>
  <c r="M53" i="4"/>
  <c r="B68" i="4" s="1"/>
  <c r="L45" i="4" l="1"/>
  <c r="O55" i="4" s="1"/>
  <c r="M33" i="4"/>
  <c r="L54" i="5"/>
  <c r="N53" i="4"/>
  <c r="C68" i="4" s="1"/>
  <c r="O51" i="3"/>
  <c r="M25" i="3"/>
  <c r="M31" i="4"/>
  <c r="L50" i="4"/>
  <c r="N50" i="4" s="1"/>
  <c r="C66" i="4" s="1"/>
  <c r="L53" i="3"/>
  <c r="O53" i="3" s="1"/>
  <c r="P53" i="3" s="1"/>
  <c r="N59" i="3" s="1"/>
  <c r="L50" i="3"/>
  <c r="M43" i="3"/>
  <c r="B67" i="3" s="1"/>
  <c r="L52" i="3"/>
  <c r="O52" i="3" s="1"/>
  <c r="N53" i="3"/>
  <c r="C68" i="3" s="1"/>
  <c r="L31" i="1"/>
  <c r="M31" i="1" s="1"/>
  <c r="M24" i="4"/>
  <c r="L42" i="4"/>
  <c r="M40" i="4" s="1"/>
  <c r="B65" i="4" s="1"/>
  <c r="O54" i="5"/>
  <c r="L27" i="1"/>
  <c r="M27" i="1" s="1"/>
  <c r="L23" i="1"/>
  <c r="M23" i="1" s="1"/>
  <c r="L26" i="1"/>
  <c r="M26" i="1" s="1"/>
  <c r="L33" i="1"/>
  <c r="M33" i="1" s="1"/>
  <c r="L24" i="1"/>
  <c r="M24" i="1" s="1"/>
  <c r="L34" i="1"/>
  <c r="M34" i="1" s="1"/>
  <c r="L32" i="1"/>
  <c r="M32" i="1" s="1"/>
  <c r="L25" i="1"/>
  <c r="M25" i="1" s="1"/>
  <c r="L35" i="1"/>
  <c r="M35" i="1" s="1"/>
  <c r="L50" i="1"/>
  <c r="L22" i="1"/>
  <c r="L42" i="1"/>
  <c r="N40" i="3"/>
  <c r="C65" i="3" s="1"/>
  <c r="M40" i="3"/>
  <c r="B65" i="3" s="1"/>
  <c r="O50" i="3"/>
  <c r="L55" i="1"/>
  <c r="L50" i="5"/>
  <c r="M34" i="5"/>
  <c r="L53" i="5"/>
  <c r="M24" i="5"/>
  <c r="L42" i="5"/>
  <c r="O52" i="5" s="1"/>
  <c r="L41" i="5"/>
  <c r="L45" i="5"/>
  <c r="O55" i="5" s="1"/>
  <c r="Q53" i="4" l="1"/>
  <c r="O59" i="4" s="1"/>
  <c r="P53" i="4"/>
  <c r="N59" i="4" s="1"/>
  <c r="N43" i="4"/>
  <c r="C67" i="4" s="1"/>
  <c r="M43" i="4"/>
  <c r="B67" i="4" s="1"/>
  <c r="L44" i="1"/>
  <c r="Q53" i="3"/>
  <c r="O59" i="3" s="1"/>
  <c r="M53" i="3"/>
  <c r="B68" i="3" s="1"/>
  <c r="N50" i="3"/>
  <c r="C66" i="3" s="1"/>
  <c r="O50" i="4"/>
  <c r="M50" i="4"/>
  <c r="B66" i="4" s="1"/>
  <c r="L43" i="1"/>
  <c r="M43" i="1" s="1"/>
  <c r="B67" i="1" s="1"/>
  <c r="M50" i="3"/>
  <c r="B66" i="3" s="1"/>
  <c r="P50" i="3"/>
  <c r="N58" i="3" s="1"/>
  <c r="L45" i="1"/>
  <c r="L41" i="1"/>
  <c r="N40" i="4"/>
  <c r="C65" i="4" s="1"/>
  <c r="O52" i="4"/>
  <c r="P50" i="4" s="1"/>
  <c r="N58" i="4" s="1"/>
  <c r="L52" i="1"/>
  <c r="O52" i="1" s="1"/>
  <c r="L54" i="1"/>
  <c r="O54" i="1" s="1"/>
  <c r="L51" i="1"/>
  <c r="L53" i="1"/>
  <c r="M22" i="1"/>
  <c r="L40" i="1"/>
  <c r="O50" i="1" s="1"/>
  <c r="Q50" i="3"/>
  <c r="O58" i="3" s="1"/>
  <c r="M50" i="5"/>
  <c r="B66" i="5" s="1"/>
  <c r="O50" i="5"/>
  <c r="N50" i="5"/>
  <c r="C66" i="5" s="1"/>
  <c r="N43" i="5"/>
  <c r="C67" i="5" s="1"/>
  <c r="M43" i="5"/>
  <c r="B67" i="5" s="1"/>
  <c r="O51" i="5"/>
  <c r="N40" i="5"/>
  <c r="C65" i="5" s="1"/>
  <c r="M40" i="5"/>
  <c r="B65" i="5" s="1"/>
  <c r="O53" i="5"/>
  <c r="N53" i="5"/>
  <c r="C68" i="5" s="1"/>
  <c r="M53" i="5"/>
  <c r="B68" i="5" s="1"/>
  <c r="N43" i="1" l="1"/>
  <c r="C67" i="1" s="1"/>
  <c r="O51" i="1"/>
  <c r="P50" i="1" s="1"/>
  <c r="N58" i="1" s="1"/>
  <c r="Q50" i="4"/>
  <c r="O58" i="4" s="1"/>
  <c r="O55" i="1"/>
  <c r="N40" i="1"/>
  <c r="C65" i="1" s="1"/>
  <c r="M50" i="1"/>
  <c r="B66" i="1" s="1"/>
  <c r="N50" i="1"/>
  <c r="C66" i="1" s="1"/>
  <c r="M53" i="1"/>
  <c r="B68" i="1" s="1"/>
  <c r="O53" i="1"/>
  <c r="N53" i="1"/>
  <c r="C68" i="1" s="1"/>
  <c r="M40" i="1"/>
  <c r="B65" i="1" s="1"/>
  <c r="P50" i="5"/>
  <c r="N58" i="5" s="1"/>
  <c r="Q50" i="5"/>
  <c r="O58" i="5" s="1"/>
  <c r="Q53" i="5"/>
  <c r="O59" i="5" s="1"/>
  <c r="P53" i="5"/>
  <c r="N59" i="5" s="1"/>
  <c r="Q53" i="1" l="1"/>
  <c r="O59" i="1" s="1"/>
  <c r="Q50" i="1"/>
  <c r="O58" i="1" s="1"/>
  <c r="P53" i="1"/>
  <c r="N59" i="1" s="1"/>
</calcChain>
</file>

<file path=xl/sharedStrings.xml><?xml version="1.0" encoding="utf-8"?>
<sst xmlns="http://schemas.openxmlformats.org/spreadsheetml/2006/main" count="397" uniqueCount="44">
  <si>
    <t>Date</t>
  </si>
  <si>
    <t>passage</t>
  </si>
  <si>
    <t>operateur</t>
  </si>
  <si>
    <t>mU/L</t>
    <phoneticPr fontId="0" type="noConversion"/>
  </si>
  <si>
    <t>Calibrator µg/L</t>
  </si>
  <si>
    <t xml:space="preserve">  Dulicate O.D</t>
  </si>
  <si>
    <t>Means</t>
  </si>
  <si>
    <t>Means-blank</t>
  </si>
  <si>
    <t>log (Conc)</t>
    <phoneticPr fontId="0" type="noConversion"/>
  </si>
  <si>
    <t>log (Abs)</t>
    <phoneticPr fontId="0" type="noConversion"/>
  </si>
  <si>
    <t>Slope</t>
  </si>
  <si>
    <t>Intercept</t>
  </si>
  <si>
    <t>Insulin content samples dil 500X (LYSAT)</t>
  </si>
  <si>
    <t>ng insulin/TOTAL CELLS</t>
  </si>
  <si>
    <t>Samples</t>
  </si>
  <si>
    <t>O.D</t>
  </si>
  <si>
    <t>mean</t>
    <phoneticPr fontId="0" type="noConversion"/>
  </si>
  <si>
    <t>mean-BK</t>
    <phoneticPr fontId="0" type="noConversion"/>
  </si>
  <si>
    <t>log conc</t>
    <phoneticPr fontId="0" type="noConversion"/>
  </si>
  <si>
    <t>µg/L</t>
  </si>
  <si>
    <t>dilutions to measure</t>
    <phoneticPr fontId="0" type="noConversion"/>
  </si>
  <si>
    <t>Final conc  µg/L</t>
  </si>
  <si>
    <t>Total ng (in 50 ul)</t>
  </si>
  <si>
    <t>Total content</t>
  </si>
  <si>
    <t>ug insulin/million cells</t>
  </si>
  <si>
    <t>16,7 mM Glc</t>
  </si>
  <si>
    <t>16,7 mM Glc + IBMX</t>
  </si>
  <si>
    <t>Insulin secretion samples 0,5 mM dil 16x (SN1)</t>
  </si>
  <si>
    <t xml:space="preserve"> insulin secretion (% of content) </t>
  </si>
  <si>
    <t>Total ng (in 100 ul)</t>
    <phoneticPr fontId="0" type="noConversion"/>
  </si>
  <si>
    <t xml:space="preserve"> insulin secretion (% of content) </t>
    <phoneticPr fontId="0" type="noConversion"/>
  </si>
  <si>
    <t>Mean tripl</t>
  </si>
  <si>
    <t>Ectype</t>
  </si>
  <si>
    <t>0,5 mM Glc</t>
  </si>
  <si>
    <t>0,5 mM Glc + IBMX</t>
  </si>
  <si>
    <t>Insulin secretion samples 16,7 mM Glc dil 16x (SN2)</t>
  </si>
  <si>
    <t>16,7mM/0,5mM</t>
  </si>
  <si>
    <t>Fold change</t>
  </si>
  <si>
    <t>Mean</t>
  </si>
  <si>
    <t>ectype</t>
  </si>
  <si>
    <t>viabilité</t>
  </si>
  <si>
    <t>J0</t>
  </si>
  <si>
    <t>J3</t>
  </si>
  <si>
    <t>Fatou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</si>
</sst>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13" x14ac:knownFonts="1">
    <font>
      <sz val="10"/>
      <name val="Comic Sans MS"/>
      <family val="4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omic Sans MS"/>
      <family val="4"/>
    </font>
    <font>
      <sz val="10"/>
      <name val="Arial"/>
      <family val="2"/>
    </font>
    <font>
      <sz val="10"/>
      <color indexed="10"/>
      <name val="Arial"/>
      <family val="2"/>
    </font>
    <font>
      <b/>
      <sz val="10"/>
      <color indexed="48"/>
      <name val="Arial"/>
      <family val="2"/>
    </font>
    <font>
      <b/>
      <sz val="8"/>
      <name val="Arial"/>
      <family val="2"/>
    </font>
    <font>
      <sz val="18"/>
      <color indexed="10"/>
      <name val="Arial"/>
      <family val="2"/>
    </font>
    <font>
      <b/>
      <sz val="10"/>
      <name val="Arial"/>
      <family val="2"/>
    </font>
    <font>
      <sz val="10"/>
      <color rgb="FFFF0000"/>
      <name val="Arial"/>
      <family val="2"/>
    </font>
    <font>
      <sz val="10"/>
      <color rgb="FF00B050"/>
      <name val="Arial"/>
      <family val="2"/>
    </font>
    <font>
      <b/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indexed="50"/>
        <bgColor indexed="64"/>
      </patternFill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7">
    <xf numFmtId="0" fontId="0" fillId="0" borderId="0"/>
    <xf numFmtId="0" fontId="2" fillId="0" borderId="0"/>
    <xf numFmtId="0" fontId="2" fillId="2" borderId="1" applyNumberFormat="0" applyFont="0" applyAlignment="0" applyProtection="0"/>
    <xf numFmtId="0" fontId="3" fillId="0" borderId="0"/>
    <xf numFmtId="0" fontId="2" fillId="0" borderId="0"/>
    <xf numFmtId="0" fontId="2" fillId="0" borderId="0"/>
    <xf numFmtId="0" fontId="1" fillId="0" borderId="0"/>
  </cellStyleXfs>
  <cellXfs count="66">
    <xf numFmtId="0" fontId="0" fillId="0" borderId="0" xfId="0"/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4" fillId="0" borderId="2" xfId="0" applyFont="1" applyBorder="1" applyAlignment="1">
      <alignment horizontal="left"/>
    </xf>
    <xf numFmtId="0" fontId="7" fillId="0" borderId="2" xfId="0" applyFont="1" applyBorder="1" applyAlignment="1" applyProtection="1">
      <alignment horizontal="center"/>
    </xf>
    <xf numFmtId="0" fontId="7" fillId="0" borderId="3" xfId="0" applyFont="1" applyBorder="1" applyAlignment="1" applyProtection="1">
      <alignment horizontal="center"/>
      <protection locked="0"/>
    </xf>
    <xf numFmtId="0" fontId="7" fillId="0" borderId="4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164" fontId="4" fillId="0" borderId="2" xfId="0" applyNumberFormat="1" applyFon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0" fontId="2" fillId="0" borderId="0" xfId="1" applyFill="1"/>
    <xf numFmtId="0" fontId="8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0" fontId="7" fillId="0" borderId="0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9" fillId="0" borderId="2" xfId="0" applyFont="1" applyBorder="1" applyAlignment="1">
      <alignment horizontal="left"/>
    </xf>
    <xf numFmtId="0" fontId="7" fillId="0" borderId="2" xfId="0" applyFont="1" applyFill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4" fillId="3" borderId="0" xfId="0" applyFont="1" applyFill="1" applyAlignment="1">
      <alignment horizontal="left"/>
    </xf>
    <xf numFmtId="0" fontId="4" fillId="3" borderId="0" xfId="0" applyFont="1" applyFill="1" applyAlignment="1">
      <alignment horizontal="center"/>
    </xf>
    <xf numFmtId="0" fontId="9" fillId="3" borderId="0" xfId="0" applyFont="1" applyFill="1" applyAlignment="1">
      <alignment horizontal="center"/>
    </xf>
    <xf numFmtId="0" fontId="11" fillId="3" borderId="0" xfId="0" applyFont="1" applyFill="1" applyAlignment="1">
      <alignment horizontal="center"/>
    </xf>
    <xf numFmtId="2" fontId="4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0" fontId="4" fillId="4" borderId="0" xfId="0" applyFont="1" applyFill="1" applyAlignment="1">
      <alignment horizontal="center"/>
    </xf>
    <xf numFmtId="165" fontId="4" fillId="0" borderId="0" xfId="0" applyNumberFormat="1" applyFont="1" applyAlignment="1">
      <alignment horizontal="center"/>
    </xf>
    <xf numFmtId="165" fontId="4" fillId="0" borderId="0" xfId="0" applyNumberFormat="1" applyFont="1" applyFill="1" applyAlignment="1">
      <alignment horizontal="center"/>
    </xf>
    <xf numFmtId="165" fontId="9" fillId="0" borderId="0" xfId="0" applyNumberFormat="1" applyFont="1" applyAlignment="1">
      <alignment horizontal="center"/>
    </xf>
    <xf numFmtId="2" fontId="11" fillId="0" borderId="5" xfId="0" applyNumberFormat="1" applyFont="1" applyBorder="1" applyAlignment="1">
      <alignment horizontal="center"/>
    </xf>
    <xf numFmtId="2" fontId="4" fillId="0" borderId="6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9" fillId="0" borderId="2" xfId="0" applyFont="1" applyFill="1" applyBorder="1" applyAlignment="1">
      <alignment horizontal="center"/>
    </xf>
    <xf numFmtId="1" fontId="4" fillId="4" borderId="0" xfId="0" applyNumberFormat="1" applyFont="1" applyFill="1" applyAlignment="1">
      <alignment horizontal="center"/>
    </xf>
    <xf numFmtId="165" fontId="4" fillId="0" borderId="0" xfId="0" applyNumberFormat="1" applyFont="1" applyBorder="1" applyAlignment="1">
      <alignment horizontal="center"/>
    </xf>
    <xf numFmtId="165" fontId="4" fillId="0" borderId="5" xfId="0" applyNumberFormat="1" applyFont="1" applyBorder="1" applyAlignment="1">
      <alignment horizontal="center"/>
    </xf>
    <xf numFmtId="2" fontId="9" fillId="0" borderId="6" xfId="0" applyNumberFormat="1" applyFont="1" applyBorder="1" applyAlignment="1">
      <alignment horizontal="center"/>
    </xf>
    <xf numFmtId="0" fontId="4" fillId="0" borderId="9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1" fontId="4" fillId="0" borderId="0" xfId="0" applyNumberFormat="1" applyFont="1" applyBorder="1" applyAlignment="1">
      <alignment horizontal="center"/>
    </xf>
    <xf numFmtId="0" fontId="4" fillId="0" borderId="0" xfId="0" applyFont="1" applyFill="1" applyAlignment="1">
      <alignment horizontal="center"/>
    </xf>
    <xf numFmtId="0" fontId="9" fillId="0" borderId="0" xfId="0" applyFont="1" applyFill="1" applyAlignment="1">
      <alignment horizontal="left"/>
    </xf>
    <xf numFmtId="0" fontId="9" fillId="0" borderId="11" xfId="0" applyFont="1" applyBorder="1" applyAlignment="1">
      <alignment horizontal="center"/>
    </xf>
    <xf numFmtId="2" fontId="9" fillId="0" borderId="11" xfId="0" applyNumberFormat="1" applyFont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10" fillId="0" borderId="0" xfId="0" applyFont="1" applyAlignment="1">
      <alignment horizontal="left"/>
    </xf>
    <xf numFmtId="0" fontId="4" fillId="0" borderId="0" xfId="0" applyFont="1" applyFill="1" applyAlignment="1">
      <alignment horizontal="left"/>
    </xf>
    <xf numFmtId="0" fontId="4" fillId="0" borderId="0" xfId="0" applyFont="1" applyFill="1" applyBorder="1" applyAlignment="1">
      <alignment horizontal="left"/>
    </xf>
    <xf numFmtId="2" fontId="4" fillId="0" borderId="0" xfId="0" applyNumberFormat="1" applyFont="1" applyBorder="1" applyAlignment="1">
      <alignment horizontal="center"/>
    </xf>
    <xf numFmtId="164" fontId="4" fillId="0" borderId="0" xfId="0" applyNumberFormat="1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2" fontId="9" fillId="0" borderId="0" xfId="0" applyNumberFormat="1" applyFont="1" applyBorder="1" applyAlignment="1">
      <alignment horizontal="center"/>
    </xf>
    <xf numFmtId="14" fontId="9" fillId="0" borderId="0" xfId="0" applyNumberFormat="1" applyFont="1" applyBorder="1" applyAlignment="1">
      <alignment horizontal="center"/>
    </xf>
    <xf numFmtId="1" fontId="4" fillId="0" borderId="0" xfId="0" applyNumberFormat="1" applyFont="1" applyAlignment="1">
      <alignment horizontal="center"/>
    </xf>
    <xf numFmtId="0" fontId="4" fillId="0" borderId="11" xfId="0" applyFont="1" applyBorder="1" applyAlignment="1">
      <alignment horizontal="center"/>
    </xf>
    <xf numFmtId="14" fontId="4" fillId="0" borderId="0" xfId="0" applyNumberFormat="1" applyFont="1" applyAlignment="1">
      <alignment horizontal="center"/>
    </xf>
    <xf numFmtId="0" fontId="6" fillId="0" borderId="0" xfId="0" applyFont="1" applyBorder="1" applyAlignment="1">
      <alignment horizontal="left"/>
    </xf>
    <xf numFmtId="0" fontId="0" fillId="0" borderId="0" xfId="0" applyAlignment="1">
      <alignment horizontal="center"/>
    </xf>
  </cellXfs>
  <cellStyles count="7">
    <cellStyle name="Commentaire 2" xfId="2"/>
    <cellStyle name="Normal" xfId="0" builtinId="0"/>
    <cellStyle name="Normal 2" xfId="1"/>
    <cellStyle name="Normal 2 2" xfId="6"/>
    <cellStyle name="Normal 3" xfId="3"/>
    <cellStyle name="Normal 4" xfId="4"/>
    <cellStyle name="Normal 5" xf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9"/>
            <c:spPr>
              <a:solidFill>
                <a:srgbClr val="4F81BD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0.22565769903762029"/>
                  <c:y val="0.4121613444152812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</c:trendlineLbl>
          </c:trendline>
          <c:xVal>
            <c:numRef>
              <c:f>siNTP!$G$9:$G$13</c:f>
              <c:numCache>
                <c:formatCode>0.00</c:formatCode>
                <c:ptCount val="5"/>
                <c:pt idx="0">
                  <c:v>-0.86341728222799241</c:v>
                </c:pt>
                <c:pt idx="1">
                  <c:v>-0.34469449671881253</c:v>
                </c:pt>
                <c:pt idx="2">
                  <c:v>0.13658271777200767</c:v>
                </c:pt>
                <c:pt idx="3">
                  <c:v>0.66357802924717735</c:v>
                </c:pt>
                <c:pt idx="4">
                  <c:v>0.96049145871632635</c:v>
                </c:pt>
              </c:numCache>
            </c:numRef>
          </c:xVal>
          <c:yVal>
            <c:numRef>
              <c:f>siNTP!$H$9:$H$13</c:f>
              <c:numCache>
                <c:formatCode>0.00</c:formatCode>
                <c:ptCount val="5"/>
                <c:pt idx="0">
                  <c:v>-1.530177984021837</c:v>
                </c:pt>
                <c:pt idx="1">
                  <c:v>-0.99353395775076836</c:v>
                </c:pt>
                <c:pt idx="2">
                  <c:v>-0.48811663902112562</c:v>
                </c:pt>
                <c:pt idx="3">
                  <c:v>9.1139153825754854E-2</c:v>
                </c:pt>
                <c:pt idx="4">
                  <c:v>0.25017594808392507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118592"/>
        <c:axId val="147119152"/>
      </c:scatterChart>
      <c:valAx>
        <c:axId val="147118592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47119152"/>
        <c:crosses val="autoZero"/>
        <c:crossBetween val="midCat"/>
      </c:valAx>
      <c:valAx>
        <c:axId val="147119152"/>
        <c:scaling>
          <c:orientation val="minMax"/>
        </c:scaling>
        <c:delete val="0"/>
        <c:axPos val="l"/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47118592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9"/>
            <c:spPr>
              <a:solidFill>
                <a:srgbClr val="4F81BD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0.22565769903762029"/>
                  <c:y val="0.4121613444152812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</c:trendlineLbl>
          </c:trendline>
          <c:xVal>
            <c:numRef>
              <c:f>siHNF4A!$G$9:$G$13</c:f>
              <c:numCache>
                <c:formatCode>0.00</c:formatCode>
                <c:ptCount val="5"/>
                <c:pt idx="0">
                  <c:v>-0.86341728222799241</c:v>
                </c:pt>
                <c:pt idx="1">
                  <c:v>-0.34469449671881253</c:v>
                </c:pt>
                <c:pt idx="2">
                  <c:v>0.13658271777200767</c:v>
                </c:pt>
                <c:pt idx="3">
                  <c:v>0.66357802924717735</c:v>
                </c:pt>
                <c:pt idx="4">
                  <c:v>0.96049145871632635</c:v>
                </c:pt>
              </c:numCache>
            </c:numRef>
          </c:xVal>
          <c:yVal>
            <c:numRef>
              <c:f>siHNF4A!$H$9:$H$13</c:f>
              <c:numCache>
                <c:formatCode>0.00</c:formatCode>
                <c:ptCount val="5"/>
                <c:pt idx="0">
                  <c:v>-1.530177984021837</c:v>
                </c:pt>
                <c:pt idx="1">
                  <c:v>-0.99353395775076836</c:v>
                </c:pt>
                <c:pt idx="2">
                  <c:v>-0.48811663902112562</c:v>
                </c:pt>
                <c:pt idx="3">
                  <c:v>9.1139153825754854E-2</c:v>
                </c:pt>
                <c:pt idx="4">
                  <c:v>0.25017594808392507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0905616"/>
        <c:axId val="280906176"/>
      </c:scatterChart>
      <c:valAx>
        <c:axId val="280905616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280906176"/>
        <c:crosses val="autoZero"/>
        <c:crossBetween val="midCat"/>
      </c:valAx>
      <c:valAx>
        <c:axId val="280906176"/>
        <c:scaling>
          <c:orientation val="minMax"/>
        </c:scaling>
        <c:delete val="0"/>
        <c:axPos val="l"/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280905616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400">
                <a:latin typeface="Arial"/>
                <a:cs typeface="Arial"/>
              </a:defRPr>
            </a:pPr>
            <a:r>
              <a:rPr lang="en-US" sz="1400">
                <a:latin typeface="Arial"/>
                <a:cs typeface="Arial"/>
              </a:rPr>
              <a:t>Insulin secretion Human </a:t>
            </a:r>
            <a:r>
              <a:rPr lang="en-US" sz="1400">
                <a:latin typeface="Symbol" charset="2"/>
                <a:cs typeface="Symbol" charset="2"/>
              </a:rPr>
              <a:t>b</a:t>
            </a:r>
            <a:r>
              <a:rPr lang="en-US" sz="1400">
                <a:latin typeface="Arial"/>
                <a:cs typeface="Arial"/>
              </a:rPr>
              <a:t>-cell line</a:t>
            </a:r>
          </a:p>
        </c:rich>
      </c:tx>
      <c:layout>
        <c:manualLayout>
          <c:xMode val="edge"/>
          <c:yMode val="edge"/>
          <c:x val="0.1158374877696501"/>
          <c:y val="3.4924464383812477E-2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'[1]juillet P59'!$A$51:$A$53</c:f>
              <c:strCache>
                <c:ptCount val="1"/>
                <c:pt idx="0">
                  <c:v>0,5 mM Glc 11 mM Glc 11 mM Glc + FSK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siHNF4A!$C$65:$C$68</c:f>
                <c:numCache>
                  <c:formatCode>General</c:formatCode>
                  <c:ptCount val="4"/>
                  <c:pt idx="0">
                    <c:v>0.21393218413996298</c:v>
                  </c:pt>
                  <c:pt idx="1">
                    <c:v>8.6712818760817295E-2</c:v>
                  </c:pt>
                  <c:pt idx="2">
                    <c:v>0.49629598745117759</c:v>
                  </c:pt>
                  <c:pt idx="3">
                    <c:v>0.15531608260768037</c:v>
                  </c:pt>
                </c:numCache>
              </c:numRef>
            </c:plus>
            <c:minus>
              <c:numRef>
                <c:f>siHNF4A!$C$65:$C$68</c:f>
                <c:numCache>
                  <c:formatCode>General</c:formatCode>
                  <c:ptCount val="4"/>
                  <c:pt idx="0">
                    <c:v>0.21393218413996298</c:v>
                  </c:pt>
                  <c:pt idx="1">
                    <c:v>8.6712818760817295E-2</c:v>
                  </c:pt>
                  <c:pt idx="2">
                    <c:v>0.49629598745117759</c:v>
                  </c:pt>
                  <c:pt idx="3">
                    <c:v>0.15531608260768037</c:v>
                  </c:pt>
                </c:numCache>
              </c:numRef>
            </c:minus>
          </c:errBars>
          <c:cat>
            <c:strRef>
              <c:f>(siHNF4A!$A$65,siHNF4A!$A$66,siHNF4A!$A$67,siHNF4A!$A$68)</c:f>
              <c:strCache>
                <c:ptCount val="4"/>
                <c:pt idx="0">
                  <c:v>0,5 mM Glc</c:v>
                </c:pt>
                <c:pt idx="1">
                  <c:v>16,7 mM Glc</c:v>
                </c:pt>
                <c:pt idx="2">
                  <c:v>0,5 mM Glc + IBMX</c:v>
                </c:pt>
                <c:pt idx="3">
                  <c:v>16,7 mM Glc + IBMX</c:v>
                </c:pt>
              </c:strCache>
            </c:strRef>
          </c:cat>
          <c:val>
            <c:numRef>
              <c:f>siHNF4A!$B$65:$B$68</c:f>
              <c:numCache>
                <c:formatCode>0.0</c:formatCode>
                <c:ptCount val="4"/>
                <c:pt idx="0">
                  <c:v>0.89434266647287097</c:v>
                </c:pt>
                <c:pt idx="1">
                  <c:v>0.7708358149959148</c:v>
                </c:pt>
                <c:pt idx="2">
                  <c:v>1.624613107540821</c:v>
                </c:pt>
                <c:pt idx="3">
                  <c:v>1.9392549906013852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0908416"/>
        <c:axId val="280908976"/>
      </c:barChart>
      <c:catAx>
        <c:axId val="280908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280908976"/>
        <c:crosses val="autoZero"/>
        <c:auto val="1"/>
        <c:lblAlgn val="ctr"/>
        <c:lblOffset val="100"/>
        <c:noMultiLvlLbl val="0"/>
      </c:catAx>
      <c:valAx>
        <c:axId val="28090897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strRef>
              <c:f>siHNF4A!$M$48</c:f>
              <c:strCache>
                <c:ptCount val="1"/>
                <c:pt idx="0">
                  <c:v> insulin secretion (% of content) </c:v>
                </c:pt>
              </c:strCache>
            </c:strRef>
          </c:tx>
          <c:layout>
            <c:manualLayout>
              <c:xMode val="edge"/>
              <c:yMode val="edge"/>
              <c:x val="2.7148722883121052E-2"/>
              <c:y val="0.2049764779515062"/>
            </c:manualLayout>
          </c:layout>
          <c:overlay val="0"/>
          <c:spPr>
            <a:noFill/>
            <a:ln w="25400">
              <a:noFill/>
            </a:ln>
          </c:spPr>
          <c:txPr>
            <a:bodyPr/>
            <a:lstStyle/>
            <a:p>
              <a:pPr>
                <a:defRPr/>
              </a:pPr>
              <a:endParaRPr lang="fr-FR"/>
            </a:p>
          </c:tx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280908416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400">
                <a:latin typeface="Arial"/>
                <a:cs typeface="Arial"/>
              </a:defRPr>
            </a:pPr>
            <a:r>
              <a:rPr lang="en-US" sz="1400">
                <a:latin typeface="Arial"/>
                <a:cs typeface="Arial"/>
              </a:rPr>
              <a:t>Insulin secretion Human </a:t>
            </a:r>
            <a:r>
              <a:rPr lang="en-US" sz="1400">
                <a:latin typeface="Symbol" charset="2"/>
                <a:cs typeface="Symbol" charset="2"/>
              </a:rPr>
              <a:t>b</a:t>
            </a:r>
            <a:r>
              <a:rPr lang="en-US" sz="1400">
                <a:latin typeface="Arial"/>
                <a:cs typeface="Arial"/>
              </a:rPr>
              <a:t>-cell line</a:t>
            </a:r>
          </a:p>
        </c:rich>
      </c:tx>
      <c:layout>
        <c:manualLayout>
          <c:xMode val="edge"/>
          <c:yMode val="edge"/>
          <c:x val="0.1097931839129633"/>
          <c:y val="2.7200801823077436E-2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NTP</c:v>
          </c:tx>
          <c:invertIfNegative val="0"/>
          <c:errBars>
            <c:errBarType val="both"/>
            <c:errValType val="cust"/>
            <c:noEndCap val="0"/>
            <c:plus>
              <c:numRef>
                <c:f>siHNF4A!$O$58:$O$59</c:f>
                <c:numCache>
                  <c:formatCode>General</c:formatCode>
                  <c:ptCount val="2"/>
                  <c:pt idx="0">
                    <c:v>0.28320577870320546</c:v>
                  </c:pt>
                  <c:pt idx="1">
                    <c:v>0.54561850726852923</c:v>
                  </c:pt>
                </c:numCache>
              </c:numRef>
            </c:plus>
            <c:minus>
              <c:numRef>
                <c:f>siHNF4A!$O$58:$O$59</c:f>
                <c:numCache>
                  <c:formatCode>General</c:formatCode>
                  <c:ptCount val="2"/>
                  <c:pt idx="0">
                    <c:v>0.28320577870320546</c:v>
                  </c:pt>
                  <c:pt idx="1">
                    <c:v>0.54561850726852923</c:v>
                  </c:pt>
                </c:numCache>
              </c:numRef>
            </c:minus>
          </c:errBars>
          <c:cat>
            <c:strRef>
              <c:f>siHNF4A!$M$58:$M$59</c:f>
              <c:strCache>
                <c:ptCount val="2"/>
                <c:pt idx="0">
                  <c:v>16,7 mM Glc</c:v>
                </c:pt>
                <c:pt idx="1">
                  <c:v>16,7 mM Glc + IBMX</c:v>
                </c:pt>
              </c:strCache>
            </c:strRef>
          </c:cat>
          <c:val>
            <c:numRef>
              <c:f>siHNF4A!$N$58:$N$59</c:f>
              <c:numCache>
                <c:formatCode>0.0</c:formatCode>
                <c:ptCount val="2"/>
                <c:pt idx="0">
                  <c:v>0.90358267896489319</c:v>
                </c:pt>
                <c:pt idx="1">
                  <c:v>1.3039792102568881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0911776"/>
        <c:axId val="280912336"/>
      </c:barChart>
      <c:catAx>
        <c:axId val="280911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280912336"/>
        <c:crosses val="autoZero"/>
        <c:auto val="1"/>
        <c:lblAlgn val="ctr"/>
        <c:lblOffset val="100"/>
        <c:noMultiLvlLbl val="0"/>
      </c:catAx>
      <c:valAx>
        <c:axId val="28091233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strRef>
              <c:f>siHNF4A!$M$57</c:f>
              <c:strCache>
                <c:ptCount val="1"/>
                <c:pt idx="0">
                  <c:v>Fold change</c:v>
                </c:pt>
              </c:strCache>
            </c:strRef>
          </c:tx>
          <c:layout>
            <c:manualLayout>
              <c:xMode val="edge"/>
              <c:yMode val="edge"/>
              <c:x val="2.3714092174040566E-2"/>
              <c:y val="0.48323914522412659"/>
            </c:manualLayout>
          </c:layout>
          <c:overlay val="0"/>
          <c:spPr>
            <a:noFill/>
            <a:ln w="25400">
              <a:noFill/>
            </a:ln>
          </c:spPr>
          <c:txPr>
            <a:bodyPr/>
            <a:lstStyle/>
            <a:p>
              <a:pPr>
                <a:defRPr/>
              </a:pPr>
              <a:endParaRPr lang="fr-FR"/>
            </a:p>
          </c:tx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280911776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400">
                <a:latin typeface="Arial"/>
                <a:cs typeface="Arial"/>
              </a:defRPr>
            </a:pPr>
            <a:r>
              <a:rPr lang="en-US" sz="1400">
                <a:latin typeface="Arial"/>
                <a:cs typeface="Arial"/>
              </a:rPr>
              <a:t>Insulin secretion Human </a:t>
            </a:r>
            <a:r>
              <a:rPr lang="en-US" sz="1400">
                <a:latin typeface="Symbol" charset="2"/>
                <a:cs typeface="Symbol" charset="2"/>
              </a:rPr>
              <a:t>b</a:t>
            </a:r>
            <a:r>
              <a:rPr lang="en-US" sz="1400">
                <a:latin typeface="Arial"/>
                <a:cs typeface="Arial"/>
              </a:rPr>
              <a:t>-cell line</a:t>
            </a:r>
          </a:p>
        </c:rich>
      </c:tx>
      <c:layout>
        <c:manualLayout>
          <c:xMode val="edge"/>
          <c:yMode val="edge"/>
          <c:x val="0.1158374877696501"/>
          <c:y val="3.4924464383812477E-2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'[1]juillet P59'!$A$51:$A$53</c:f>
              <c:strCache>
                <c:ptCount val="1"/>
                <c:pt idx="0">
                  <c:v>0,5 mM Glc 11 mM Glc 11 mM Glc + FSK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siNTP!$C$65:$C$68</c:f>
                <c:numCache>
                  <c:formatCode>General</c:formatCode>
                  <c:ptCount val="4"/>
                  <c:pt idx="0">
                    <c:v>0.12662402208218115</c:v>
                  </c:pt>
                  <c:pt idx="1">
                    <c:v>6.8718420040280198E-2</c:v>
                  </c:pt>
                  <c:pt idx="2">
                    <c:v>9.7682455730899523E-2</c:v>
                  </c:pt>
                  <c:pt idx="3">
                    <c:v>0.40823697426815164</c:v>
                  </c:pt>
                </c:numCache>
              </c:numRef>
            </c:plus>
            <c:minus>
              <c:numRef>
                <c:f>siNTP!$C$65:$C$68</c:f>
                <c:numCache>
                  <c:formatCode>General</c:formatCode>
                  <c:ptCount val="4"/>
                  <c:pt idx="0">
                    <c:v>0.12662402208218115</c:v>
                  </c:pt>
                  <c:pt idx="1">
                    <c:v>6.8718420040280198E-2</c:v>
                  </c:pt>
                  <c:pt idx="2">
                    <c:v>9.7682455730899523E-2</c:v>
                  </c:pt>
                  <c:pt idx="3">
                    <c:v>0.40823697426815164</c:v>
                  </c:pt>
                </c:numCache>
              </c:numRef>
            </c:minus>
          </c:errBars>
          <c:cat>
            <c:strRef>
              <c:f>(siNTP!$A$65,siNTP!$A$66,siNTP!$A$67,siNTP!$A$68)</c:f>
              <c:strCache>
                <c:ptCount val="4"/>
                <c:pt idx="0">
                  <c:v>0,5 mM Glc</c:v>
                </c:pt>
                <c:pt idx="1">
                  <c:v>16,7 mM Glc</c:v>
                </c:pt>
                <c:pt idx="2">
                  <c:v>0,5 mM Glc + IBMX</c:v>
                </c:pt>
                <c:pt idx="3">
                  <c:v>16,7 mM Glc + IBMX</c:v>
                </c:pt>
              </c:strCache>
            </c:strRef>
          </c:cat>
          <c:val>
            <c:numRef>
              <c:f>siNTP!$B$65:$B$68</c:f>
              <c:numCache>
                <c:formatCode>0.0</c:formatCode>
                <c:ptCount val="4"/>
                <c:pt idx="0">
                  <c:v>0.62934082096993593</c:v>
                </c:pt>
                <c:pt idx="1">
                  <c:v>0.59119993046577834</c:v>
                </c:pt>
                <c:pt idx="2">
                  <c:v>1.0557938459775325</c:v>
                </c:pt>
                <c:pt idx="3">
                  <c:v>1.604329938320193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9654096"/>
        <c:axId val="279654656"/>
      </c:barChart>
      <c:catAx>
        <c:axId val="279654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279654656"/>
        <c:crosses val="autoZero"/>
        <c:auto val="1"/>
        <c:lblAlgn val="ctr"/>
        <c:lblOffset val="100"/>
        <c:noMultiLvlLbl val="0"/>
      </c:catAx>
      <c:valAx>
        <c:axId val="27965465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strRef>
              <c:f>siNTP!$M$48</c:f>
              <c:strCache>
                <c:ptCount val="1"/>
                <c:pt idx="0">
                  <c:v> insulin secretion (% of content) </c:v>
                </c:pt>
              </c:strCache>
            </c:strRef>
          </c:tx>
          <c:layout>
            <c:manualLayout>
              <c:xMode val="edge"/>
              <c:yMode val="edge"/>
              <c:x val="2.7148722883121052E-2"/>
              <c:y val="0.2049764779515062"/>
            </c:manualLayout>
          </c:layout>
          <c:overlay val="0"/>
          <c:spPr>
            <a:noFill/>
            <a:ln w="25400">
              <a:noFill/>
            </a:ln>
          </c:spPr>
          <c:txPr>
            <a:bodyPr/>
            <a:lstStyle/>
            <a:p>
              <a:pPr>
                <a:defRPr/>
              </a:pPr>
              <a:endParaRPr lang="fr-FR"/>
            </a:p>
          </c:tx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279654096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400">
                <a:latin typeface="Arial"/>
                <a:cs typeface="Arial"/>
              </a:defRPr>
            </a:pPr>
            <a:r>
              <a:rPr lang="en-US" sz="1400">
                <a:latin typeface="Arial"/>
                <a:cs typeface="Arial"/>
              </a:rPr>
              <a:t>Insulin secretion Human </a:t>
            </a:r>
            <a:r>
              <a:rPr lang="en-US" sz="1400">
                <a:latin typeface="Symbol" charset="2"/>
                <a:cs typeface="Symbol" charset="2"/>
              </a:rPr>
              <a:t>b</a:t>
            </a:r>
            <a:r>
              <a:rPr lang="en-US" sz="1400">
                <a:latin typeface="Arial"/>
                <a:cs typeface="Arial"/>
              </a:rPr>
              <a:t>-cell line</a:t>
            </a:r>
          </a:p>
        </c:rich>
      </c:tx>
      <c:layout>
        <c:manualLayout>
          <c:xMode val="edge"/>
          <c:yMode val="edge"/>
          <c:x val="0.10979318391296326"/>
          <c:y val="2.7200801823077422E-2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NTP</c:v>
          </c:tx>
          <c:invertIfNegative val="0"/>
          <c:errBars>
            <c:errBarType val="both"/>
            <c:errValType val="cust"/>
            <c:noEndCap val="0"/>
            <c:plus>
              <c:numRef>
                <c:f>siNTP!$O$58:$O$59</c:f>
                <c:numCache>
                  <c:formatCode>General</c:formatCode>
                  <c:ptCount val="2"/>
                  <c:pt idx="0">
                    <c:v>0.11295118805091299</c:v>
                  </c:pt>
                  <c:pt idx="1">
                    <c:v>0.31755300104235951</c:v>
                  </c:pt>
                </c:numCache>
              </c:numRef>
            </c:plus>
            <c:minus>
              <c:numRef>
                <c:f>siNTP!$O$58:$O$59</c:f>
                <c:numCache>
                  <c:formatCode>General</c:formatCode>
                  <c:ptCount val="2"/>
                  <c:pt idx="0">
                    <c:v>0.11295118805091299</c:v>
                  </c:pt>
                  <c:pt idx="1">
                    <c:v>0.31755300104235951</c:v>
                  </c:pt>
                </c:numCache>
              </c:numRef>
            </c:minus>
          </c:errBars>
          <c:cat>
            <c:strRef>
              <c:f>siNTP!$M$58:$M$59</c:f>
              <c:strCache>
                <c:ptCount val="2"/>
                <c:pt idx="0">
                  <c:v>16,7 mM Glc</c:v>
                </c:pt>
                <c:pt idx="1">
                  <c:v>16,7 mM Glc + IBMX</c:v>
                </c:pt>
              </c:strCache>
            </c:strRef>
          </c:cat>
          <c:val>
            <c:numRef>
              <c:f>siNTP!$N$58:$N$59</c:f>
              <c:numCache>
                <c:formatCode>0.0</c:formatCode>
                <c:ptCount val="2"/>
                <c:pt idx="0">
                  <c:v>0.95234694824229071</c:v>
                </c:pt>
                <c:pt idx="1">
                  <c:v>1.5143813762024045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9657456"/>
        <c:axId val="279658016"/>
      </c:barChart>
      <c:catAx>
        <c:axId val="279657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279658016"/>
        <c:crosses val="autoZero"/>
        <c:auto val="1"/>
        <c:lblAlgn val="ctr"/>
        <c:lblOffset val="100"/>
        <c:noMultiLvlLbl val="0"/>
      </c:catAx>
      <c:valAx>
        <c:axId val="27965801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strRef>
              <c:f>siNTP!$M$57</c:f>
              <c:strCache>
                <c:ptCount val="1"/>
                <c:pt idx="0">
                  <c:v>Fold change</c:v>
                </c:pt>
              </c:strCache>
            </c:strRef>
          </c:tx>
          <c:layout>
            <c:manualLayout>
              <c:xMode val="edge"/>
              <c:yMode val="edge"/>
              <c:x val="2.3714092174040566E-2"/>
              <c:y val="0.48323914522412659"/>
            </c:manualLayout>
          </c:layout>
          <c:overlay val="0"/>
          <c:spPr>
            <a:noFill/>
            <a:ln w="25400">
              <a:noFill/>
            </a:ln>
          </c:spPr>
          <c:txPr>
            <a:bodyPr/>
            <a:lstStyle/>
            <a:p>
              <a:pPr>
                <a:defRPr/>
              </a:pPr>
              <a:endParaRPr lang="fr-FR"/>
            </a:p>
          </c:tx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279657456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9"/>
            <c:spPr>
              <a:solidFill>
                <a:srgbClr val="4F81BD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0.22565769903762029"/>
                  <c:y val="0.4121613444152812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</c:trendlineLbl>
          </c:trendline>
          <c:xVal>
            <c:numRef>
              <c:f>siTBC1D4!$G$9:$G$13</c:f>
              <c:numCache>
                <c:formatCode>0.00</c:formatCode>
                <c:ptCount val="5"/>
                <c:pt idx="0">
                  <c:v>-0.86341728222799241</c:v>
                </c:pt>
                <c:pt idx="1">
                  <c:v>-0.34469449671881253</c:v>
                </c:pt>
                <c:pt idx="2">
                  <c:v>0.13658271777200767</c:v>
                </c:pt>
                <c:pt idx="3">
                  <c:v>0.66357802924717735</c:v>
                </c:pt>
                <c:pt idx="4">
                  <c:v>0.96049145871632635</c:v>
                </c:pt>
              </c:numCache>
            </c:numRef>
          </c:xVal>
          <c:yVal>
            <c:numRef>
              <c:f>siTBC1D4!$H$9:$H$13</c:f>
              <c:numCache>
                <c:formatCode>0.00</c:formatCode>
                <c:ptCount val="5"/>
                <c:pt idx="0">
                  <c:v>-1.530177984021837</c:v>
                </c:pt>
                <c:pt idx="1">
                  <c:v>-0.99353395775076836</c:v>
                </c:pt>
                <c:pt idx="2">
                  <c:v>-0.48811663902112562</c:v>
                </c:pt>
                <c:pt idx="3">
                  <c:v>9.1139153825754854E-2</c:v>
                </c:pt>
                <c:pt idx="4">
                  <c:v>0.25017594808392507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9957952"/>
        <c:axId val="279958512"/>
      </c:scatterChart>
      <c:valAx>
        <c:axId val="279957952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279958512"/>
        <c:crosses val="autoZero"/>
        <c:crossBetween val="midCat"/>
      </c:valAx>
      <c:valAx>
        <c:axId val="279958512"/>
        <c:scaling>
          <c:orientation val="minMax"/>
        </c:scaling>
        <c:delete val="0"/>
        <c:axPos val="l"/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279957952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400">
                <a:latin typeface="Arial"/>
                <a:cs typeface="Arial"/>
              </a:defRPr>
            </a:pPr>
            <a:r>
              <a:rPr lang="en-US" sz="1400">
                <a:latin typeface="Arial"/>
                <a:cs typeface="Arial"/>
              </a:rPr>
              <a:t>Insulin secretion Human </a:t>
            </a:r>
            <a:r>
              <a:rPr lang="en-US" sz="1400">
                <a:latin typeface="Symbol" charset="2"/>
                <a:cs typeface="Symbol" charset="2"/>
              </a:rPr>
              <a:t>b</a:t>
            </a:r>
            <a:r>
              <a:rPr lang="en-US" sz="1400">
                <a:latin typeface="Arial"/>
                <a:cs typeface="Arial"/>
              </a:rPr>
              <a:t>-cell line</a:t>
            </a:r>
          </a:p>
        </c:rich>
      </c:tx>
      <c:layout>
        <c:manualLayout>
          <c:xMode val="edge"/>
          <c:yMode val="edge"/>
          <c:x val="0.1158374877696501"/>
          <c:y val="3.4924464383812477E-2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'[1]juillet P59'!$A$51:$A$53</c:f>
              <c:strCache>
                <c:ptCount val="1"/>
                <c:pt idx="0">
                  <c:v>0,5 mM Glc 11 mM Glc 11 mM Glc + FSK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siTBC1D4!$C$65:$C$68</c:f>
                <c:numCache>
                  <c:formatCode>General</c:formatCode>
                  <c:ptCount val="4"/>
                  <c:pt idx="0">
                    <c:v>2.3641583006207306E-2</c:v>
                  </c:pt>
                  <c:pt idx="1">
                    <c:v>0.10889523288465706</c:v>
                  </c:pt>
                  <c:pt idx="2">
                    <c:v>0.26998058417209414</c:v>
                  </c:pt>
                  <c:pt idx="3">
                    <c:v>0.18934749398931836</c:v>
                  </c:pt>
                </c:numCache>
              </c:numRef>
            </c:plus>
            <c:minus>
              <c:numRef>
                <c:f>siTBC1D4!$C$65:$C$68</c:f>
                <c:numCache>
                  <c:formatCode>General</c:formatCode>
                  <c:ptCount val="4"/>
                  <c:pt idx="0">
                    <c:v>2.3641583006207306E-2</c:v>
                  </c:pt>
                  <c:pt idx="1">
                    <c:v>0.10889523288465706</c:v>
                  </c:pt>
                  <c:pt idx="2">
                    <c:v>0.26998058417209414</c:v>
                  </c:pt>
                  <c:pt idx="3">
                    <c:v>0.18934749398931836</c:v>
                  </c:pt>
                </c:numCache>
              </c:numRef>
            </c:minus>
          </c:errBars>
          <c:cat>
            <c:strRef>
              <c:f>(siTBC1D4!$A$65,siTBC1D4!$A$66,siTBC1D4!$A$67,siTBC1D4!$A$68)</c:f>
              <c:strCache>
                <c:ptCount val="4"/>
                <c:pt idx="0">
                  <c:v>0,5 mM Glc</c:v>
                </c:pt>
                <c:pt idx="1">
                  <c:v>16,7 mM Glc</c:v>
                </c:pt>
                <c:pt idx="2">
                  <c:v>0,5 mM Glc + IBMX</c:v>
                </c:pt>
                <c:pt idx="3">
                  <c:v>16,7 mM Glc + IBMX</c:v>
                </c:pt>
              </c:strCache>
            </c:strRef>
          </c:cat>
          <c:val>
            <c:numRef>
              <c:f>siTBC1D4!$B$65:$B$68</c:f>
              <c:numCache>
                <c:formatCode>0.0</c:formatCode>
                <c:ptCount val="4"/>
                <c:pt idx="0">
                  <c:v>0.39595036639303988</c:v>
                </c:pt>
                <c:pt idx="1">
                  <c:v>0.63602355393750065</c:v>
                </c:pt>
                <c:pt idx="2">
                  <c:v>0.89253899842908879</c:v>
                </c:pt>
                <c:pt idx="3">
                  <c:v>1.4740546309898239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9960752"/>
        <c:axId val="279961312"/>
      </c:barChart>
      <c:catAx>
        <c:axId val="279960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279961312"/>
        <c:crosses val="autoZero"/>
        <c:auto val="1"/>
        <c:lblAlgn val="ctr"/>
        <c:lblOffset val="100"/>
        <c:noMultiLvlLbl val="0"/>
      </c:catAx>
      <c:valAx>
        <c:axId val="27996131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strRef>
              <c:f>siTBC1D4!$M$48</c:f>
              <c:strCache>
                <c:ptCount val="1"/>
                <c:pt idx="0">
                  <c:v> insulin secretion (% of content) </c:v>
                </c:pt>
              </c:strCache>
            </c:strRef>
          </c:tx>
          <c:layout>
            <c:manualLayout>
              <c:xMode val="edge"/>
              <c:yMode val="edge"/>
              <c:x val="2.7148722883121052E-2"/>
              <c:y val="0.2049764779515062"/>
            </c:manualLayout>
          </c:layout>
          <c:overlay val="0"/>
          <c:spPr>
            <a:noFill/>
            <a:ln w="25400">
              <a:noFill/>
            </a:ln>
          </c:spPr>
          <c:txPr>
            <a:bodyPr/>
            <a:lstStyle/>
            <a:p>
              <a:pPr>
                <a:defRPr/>
              </a:pPr>
              <a:endParaRPr lang="fr-FR"/>
            </a:p>
          </c:tx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279960752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400">
                <a:latin typeface="Arial"/>
                <a:cs typeface="Arial"/>
              </a:defRPr>
            </a:pPr>
            <a:r>
              <a:rPr lang="en-US" sz="1400">
                <a:latin typeface="Arial"/>
                <a:cs typeface="Arial"/>
              </a:rPr>
              <a:t>Insulin secretion Human </a:t>
            </a:r>
            <a:r>
              <a:rPr lang="en-US" sz="1400">
                <a:latin typeface="Symbol" charset="2"/>
                <a:cs typeface="Symbol" charset="2"/>
              </a:rPr>
              <a:t>b</a:t>
            </a:r>
            <a:r>
              <a:rPr lang="en-US" sz="1400">
                <a:latin typeface="Arial"/>
                <a:cs typeface="Arial"/>
              </a:rPr>
              <a:t>-cell line</a:t>
            </a:r>
          </a:p>
        </c:rich>
      </c:tx>
      <c:layout>
        <c:manualLayout>
          <c:xMode val="edge"/>
          <c:yMode val="edge"/>
          <c:x val="0.10979318391296321"/>
          <c:y val="2.7200801823077415E-2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NTP</c:v>
          </c:tx>
          <c:invertIfNegative val="0"/>
          <c:errBars>
            <c:errBarType val="both"/>
            <c:errValType val="cust"/>
            <c:noEndCap val="0"/>
            <c:plus>
              <c:numRef>
                <c:f>siTBC1D4!$O$58:$O$59</c:f>
                <c:numCache>
                  <c:formatCode>General</c:formatCode>
                  <c:ptCount val="2"/>
                  <c:pt idx="0">
                    <c:v>0.35359753636712932</c:v>
                  </c:pt>
                  <c:pt idx="1">
                    <c:v>0.6463190704061218</c:v>
                  </c:pt>
                </c:numCache>
              </c:numRef>
            </c:plus>
            <c:minus>
              <c:numRef>
                <c:f>siTBC1D4!$O$58:$O$59</c:f>
                <c:numCache>
                  <c:formatCode>General</c:formatCode>
                  <c:ptCount val="2"/>
                  <c:pt idx="0">
                    <c:v>0.35359753636712932</c:v>
                  </c:pt>
                  <c:pt idx="1">
                    <c:v>0.6463190704061218</c:v>
                  </c:pt>
                </c:numCache>
              </c:numRef>
            </c:minus>
          </c:errBars>
          <c:cat>
            <c:strRef>
              <c:f>siTBC1D4!$M$58:$M$59</c:f>
              <c:strCache>
                <c:ptCount val="2"/>
                <c:pt idx="0">
                  <c:v>16,7 mM Glc</c:v>
                </c:pt>
                <c:pt idx="1">
                  <c:v>16,7 mM Glc + IBMX</c:v>
                </c:pt>
              </c:strCache>
            </c:strRef>
          </c:cat>
          <c:val>
            <c:numRef>
              <c:f>siTBC1D4!$N$58:$N$59</c:f>
              <c:numCache>
                <c:formatCode>0.0</c:formatCode>
                <c:ptCount val="2"/>
                <c:pt idx="0">
                  <c:v>1.6196565095963882</c:v>
                </c:pt>
                <c:pt idx="1">
                  <c:v>1.7817987704995024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9964112"/>
        <c:axId val="279964672"/>
      </c:barChart>
      <c:catAx>
        <c:axId val="279964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279964672"/>
        <c:crosses val="autoZero"/>
        <c:auto val="1"/>
        <c:lblAlgn val="ctr"/>
        <c:lblOffset val="100"/>
        <c:noMultiLvlLbl val="0"/>
      </c:catAx>
      <c:valAx>
        <c:axId val="27996467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strRef>
              <c:f>siTBC1D4!$M$57</c:f>
              <c:strCache>
                <c:ptCount val="1"/>
                <c:pt idx="0">
                  <c:v>Fold change</c:v>
                </c:pt>
              </c:strCache>
            </c:strRef>
          </c:tx>
          <c:layout>
            <c:manualLayout>
              <c:xMode val="edge"/>
              <c:yMode val="edge"/>
              <c:x val="2.3714092174040566E-2"/>
              <c:y val="0.48323914522412659"/>
            </c:manualLayout>
          </c:layout>
          <c:overlay val="0"/>
          <c:spPr>
            <a:noFill/>
            <a:ln w="25400">
              <a:noFill/>
            </a:ln>
          </c:spPr>
          <c:txPr>
            <a:bodyPr/>
            <a:lstStyle/>
            <a:p>
              <a:pPr>
                <a:defRPr/>
              </a:pPr>
              <a:endParaRPr lang="fr-FR"/>
            </a:p>
          </c:tx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279964112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9"/>
            <c:spPr>
              <a:solidFill>
                <a:srgbClr val="4F81BD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0.22565769903762029"/>
                  <c:y val="0.4121613444152812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</c:trendlineLbl>
          </c:trendline>
          <c:xVal>
            <c:numRef>
              <c:f>siKCNJ11!$G$9:$G$13</c:f>
              <c:numCache>
                <c:formatCode>0.00</c:formatCode>
                <c:ptCount val="5"/>
                <c:pt idx="0">
                  <c:v>-0.86341728222799241</c:v>
                </c:pt>
                <c:pt idx="1">
                  <c:v>-0.34469449671881253</c:v>
                </c:pt>
                <c:pt idx="2">
                  <c:v>0.13658271777200767</c:v>
                </c:pt>
                <c:pt idx="3">
                  <c:v>0.66357802924717735</c:v>
                </c:pt>
                <c:pt idx="4">
                  <c:v>0.96049145871632635</c:v>
                </c:pt>
              </c:numCache>
            </c:numRef>
          </c:xVal>
          <c:yVal>
            <c:numRef>
              <c:f>siKCNJ11!$H$9:$H$13</c:f>
              <c:numCache>
                <c:formatCode>0.00</c:formatCode>
                <c:ptCount val="5"/>
                <c:pt idx="0">
                  <c:v>-1.530177984021837</c:v>
                </c:pt>
                <c:pt idx="1">
                  <c:v>-0.99353395775076836</c:v>
                </c:pt>
                <c:pt idx="2">
                  <c:v>-0.48811663902112562</c:v>
                </c:pt>
                <c:pt idx="3">
                  <c:v>9.1139153825754854E-2</c:v>
                </c:pt>
                <c:pt idx="4">
                  <c:v>0.25017594808392507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0322704"/>
        <c:axId val="280323264"/>
      </c:scatterChart>
      <c:valAx>
        <c:axId val="280322704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280323264"/>
        <c:crosses val="autoZero"/>
        <c:crossBetween val="midCat"/>
      </c:valAx>
      <c:valAx>
        <c:axId val="280323264"/>
        <c:scaling>
          <c:orientation val="minMax"/>
        </c:scaling>
        <c:delete val="0"/>
        <c:axPos val="l"/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28032270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400">
                <a:latin typeface="Arial"/>
                <a:cs typeface="Arial"/>
              </a:defRPr>
            </a:pPr>
            <a:r>
              <a:rPr lang="en-US" sz="1400">
                <a:latin typeface="Arial"/>
                <a:cs typeface="Arial"/>
              </a:rPr>
              <a:t>Insulin secretion Human </a:t>
            </a:r>
            <a:r>
              <a:rPr lang="en-US" sz="1400">
                <a:latin typeface="Symbol" charset="2"/>
                <a:cs typeface="Symbol" charset="2"/>
              </a:rPr>
              <a:t>b</a:t>
            </a:r>
            <a:r>
              <a:rPr lang="en-US" sz="1400">
                <a:latin typeface="Arial"/>
                <a:cs typeface="Arial"/>
              </a:rPr>
              <a:t>-cell line</a:t>
            </a:r>
          </a:p>
        </c:rich>
      </c:tx>
      <c:layout>
        <c:manualLayout>
          <c:xMode val="edge"/>
          <c:yMode val="edge"/>
          <c:x val="0.1158374877696501"/>
          <c:y val="3.4924464383812477E-2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'[1]juillet P59'!$A$51:$A$53</c:f>
              <c:strCache>
                <c:ptCount val="1"/>
                <c:pt idx="0">
                  <c:v>0,5 mM Glc 11 mM Glc 11 mM Glc + FSK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siKCNJ11!$C$65:$C$68</c:f>
                <c:numCache>
                  <c:formatCode>General</c:formatCode>
                  <c:ptCount val="4"/>
                  <c:pt idx="0">
                    <c:v>6.3717020439439012E-2</c:v>
                  </c:pt>
                  <c:pt idx="1">
                    <c:v>0.49639373902618494</c:v>
                  </c:pt>
                  <c:pt idx="2">
                    <c:v>0.28078923619593893</c:v>
                  </c:pt>
                  <c:pt idx="3">
                    <c:v>7.8234445953174275E-2</c:v>
                  </c:pt>
                </c:numCache>
              </c:numRef>
            </c:plus>
            <c:minus>
              <c:numRef>
                <c:f>siKCNJ11!$C$65:$C$68</c:f>
                <c:numCache>
                  <c:formatCode>General</c:formatCode>
                  <c:ptCount val="4"/>
                  <c:pt idx="0">
                    <c:v>6.3717020439439012E-2</c:v>
                  </c:pt>
                  <c:pt idx="1">
                    <c:v>0.49639373902618494</c:v>
                  </c:pt>
                  <c:pt idx="2">
                    <c:v>0.28078923619593893</c:v>
                  </c:pt>
                  <c:pt idx="3">
                    <c:v>7.8234445953174275E-2</c:v>
                  </c:pt>
                </c:numCache>
              </c:numRef>
            </c:minus>
          </c:errBars>
          <c:cat>
            <c:strRef>
              <c:f>(siKCNJ11!$A$65,siKCNJ11!$A$66,siKCNJ11!$A$67,siKCNJ11!$A$68)</c:f>
              <c:strCache>
                <c:ptCount val="4"/>
                <c:pt idx="0">
                  <c:v>0,5 mM Glc</c:v>
                </c:pt>
                <c:pt idx="1">
                  <c:v>16,7 mM Glc</c:v>
                </c:pt>
                <c:pt idx="2">
                  <c:v>0,5 mM Glc + IBMX</c:v>
                </c:pt>
                <c:pt idx="3">
                  <c:v>16,7 mM Glc + IBMX</c:v>
                </c:pt>
              </c:strCache>
            </c:strRef>
          </c:cat>
          <c:val>
            <c:numRef>
              <c:f>siKCNJ11!$B$65:$B$68</c:f>
              <c:numCache>
                <c:formatCode>0.0</c:formatCode>
                <c:ptCount val="4"/>
                <c:pt idx="0">
                  <c:v>0.68778538756272845</c:v>
                </c:pt>
                <c:pt idx="1">
                  <c:v>1.3496527451583102</c:v>
                </c:pt>
                <c:pt idx="2">
                  <c:v>1.3018400207260532</c:v>
                </c:pt>
                <c:pt idx="3">
                  <c:v>2.6941133966874347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0325504"/>
        <c:axId val="280326064"/>
      </c:barChart>
      <c:catAx>
        <c:axId val="280325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280326064"/>
        <c:crosses val="autoZero"/>
        <c:auto val="1"/>
        <c:lblAlgn val="ctr"/>
        <c:lblOffset val="100"/>
        <c:noMultiLvlLbl val="0"/>
      </c:catAx>
      <c:valAx>
        <c:axId val="280326064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strRef>
              <c:f>siKCNJ11!$M$48</c:f>
              <c:strCache>
                <c:ptCount val="1"/>
                <c:pt idx="0">
                  <c:v> insulin secretion (% of content) </c:v>
                </c:pt>
              </c:strCache>
            </c:strRef>
          </c:tx>
          <c:layout>
            <c:manualLayout>
              <c:xMode val="edge"/>
              <c:yMode val="edge"/>
              <c:x val="2.7148722883121052E-2"/>
              <c:y val="0.2049764779515062"/>
            </c:manualLayout>
          </c:layout>
          <c:overlay val="0"/>
          <c:spPr>
            <a:noFill/>
            <a:ln w="25400">
              <a:noFill/>
            </a:ln>
          </c:spPr>
          <c:txPr>
            <a:bodyPr/>
            <a:lstStyle/>
            <a:p>
              <a:pPr>
                <a:defRPr/>
              </a:pPr>
              <a:endParaRPr lang="fr-FR"/>
            </a:p>
          </c:tx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280325504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400">
                <a:latin typeface="Arial"/>
                <a:cs typeface="Arial"/>
              </a:defRPr>
            </a:pPr>
            <a:r>
              <a:rPr lang="en-US" sz="1400">
                <a:latin typeface="Arial"/>
                <a:cs typeface="Arial"/>
              </a:rPr>
              <a:t>Insulin secretion Human </a:t>
            </a:r>
            <a:r>
              <a:rPr lang="en-US" sz="1400">
                <a:latin typeface="Symbol" charset="2"/>
                <a:cs typeface="Symbol" charset="2"/>
              </a:rPr>
              <a:t>b</a:t>
            </a:r>
            <a:r>
              <a:rPr lang="en-US" sz="1400">
                <a:latin typeface="Arial"/>
                <a:cs typeface="Arial"/>
              </a:rPr>
              <a:t>-cell line</a:t>
            </a:r>
          </a:p>
        </c:rich>
      </c:tx>
      <c:layout>
        <c:manualLayout>
          <c:xMode val="edge"/>
          <c:yMode val="edge"/>
          <c:x val="0.10979318391296326"/>
          <c:y val="2.7200801823077422E-2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NTP</c:v>
          </c:tx>
          <c:invertIfNegative val="0"/>
          <c:errBars>
            <c:errBarType val="both"/>
            <c:errValType val="cust"/>
            <c:noEndCap val="0"/>
            <c:plus>
              <c:numRef>
                <c:f>siKCNJ11!$O$58:$O$59</c:f>
                <c:numCache>
                  <c:formatCode>General</c:formatCode>
                  <c:ptCount val="2"/>
                  <c:pt idx="0">
                    <c:v>0.6071065235017683</c:v>
                  </c:pt>
                  <c:pt idx="1">
                    <c:v>0.37537519769149574</c:v>
                  </c:pt>
                </c:numCache>
              </c:numRef>
            </c:plus>
            <c:minus>
              <c:numRef>
                <c:f>siKCNJ11!$O$58:$O$59</c:f>
                <c:numCache>
                  <c:formatCode>General</c:formatCode>
                  <c:ptCount val="2"/>
                  <c:pt idx="0">
                    <c:v>0.6071065235017683</c:v>
                  </c:pt>
                  <c:pt idx="1">
                    <c:v>0.37537519769149574</c:v>
                  </c:pt>
                </c:numCache>
              </c:numRef>
            </c:minus>
          </c:errBars>
          <c:cat>
            <c:strRef>
              <c:f>siKCNJ11!$M$58:$M$59</c:f>
              <c:strCache>
                <c:ptCount val="2"/>
                <c:pt idx="0">
                  <c:v>16,7 mM Glc</c:v>
                </c:pt>
                <c:pt idx="1">
                  <c:v>16,7 mM Glc + IBMX</c:v>
                </c:pt>
              </c:strCache>
            </c:strRef>
          </c:cat>
          <c:val>
            <c:numRef>
              <c:f>siKCNJ11!$N$58:$N$59</c:f>
              <c:numCache>
                <c:formatCode>0.0</c:formatCode>
                <c:ptCount val="2"/>
                <c:pt idx="0">
                  <c:v>1.9491411555215299</c:v>
                </c:pt>
                <c:pt idx="1">
                  <c:v>2.1229280033158955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0818336"/>
        <c:axId val="280818896"/>
      </c:barChart>
      <c:catAx>
        <c:axId val="280818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280818896"/>
        <c:crosses val="autoZero"/>
        <c:auto val="1"/>
        <c:lblAlgn val="ctr"/>
        <c:lblOffset val="100"/>
        <c:noMultiLvlLbl val="0"/>
      </c:catAx>
      <c:valAx>
        <c:axId val="28081889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strRef>
              <c:f>siKCNJ11!$M$57</c:f>
              <c:strCache>
                <c:ptCount val="1"/>
                <c:pt idx="0">
                  <c:v>Fold change</c:v>
                </c:pt>
              </c:strCache>
            </c:strRef>
          </c:tx>
          <c:layout>
            <c:manualLayout>
              <c:xMode val="edge"/>
              <c:yMode val="edge"/>
              <c:x val="2.3714092174040566E-2"/>
              <c:y val="0.48323914522412659"/>
            </c:manualLayout>
          </c:layout>
          <c:overlay val="0"/>
          <c:spPr>
            <a:noFill/>
            <a:ln w="25400">
              <a:noFill/>
            </a:ln>
          </c:spPr>
          <c:txPr>
            <a:bodyPr/>
            <a:lstStyle/>
            <a:p>
              <a:pPr>
                <a:defRPr/>
              </a:pPr>
              <a:endParaRPr lang="fr-FR"/>
            </a:p>
          </c:tx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280818336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571500</xdr:colOff>
      <xdr:row>1</xdr:row>
      <xdr:rowOff>57150</xdr:rowOff>
    </xdr:from>
    <xdr:to>
      <xdr:col>11</xdr:col>
      <xdr:colOff>962025</xdr:colOff>
      <xdr:row>16</xdr:row>
      <xdr:rowOff>133350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119062</xdr:colOff>
      <xdr:row>56</xdr:row>
      <xdr:rowOff>116681</xdr:rowOff>
    </xdr:from>
    <xdr:to>
      <xdr:col>8</xdr:col>
      <xdr:colOff>428626</xdr:colOff>
      <xdr:row>73</xdr:row>
      <xdr:rowOff>0</xdr:rowOff>
    </xdr:to>
    <xdr:graphicFrame macro="">
      <xdr:nvGraphicFramePr>
        <xdr:cNvPr id="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619123</xdr:colOff>
      <xdr:row>60</xdr:row>
      <xdr:rowOff>119063</xdr:rowOff>
    </xdr:from>
    <xdr:to>
      <xdr:col>14</xdr:col>
      <xdr:colOff>572455</xdr:colOff>
      <xdr:row>80</xdr:row>
      <xdr:rowOff>2381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571500</xdr:colOff>
      <xdr:row>1</xdr:row>
      <xdr:rowOff>57150</xdr:rowOff>
    </xdr:from>
    <xdr:to>
      <xdr:col>11</xdr:col>
      <xdr:colOff>962025</xdr:colOff>
      <xdr:row>16</xdr:row>
      <xdr:rowOff>133350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119062</xdr:colOff>
      <xdr:row>56</xdr:row>
      <xdr:rowOff>116681</xdr:rowOff>
    </xdr:from>
    <xdr:to>
      <xdr:col>8</xdr:col>
      <xdr:colOff>428626</xdr:colOff>
      <xdr:row>73</xdr:row>
      <xdr:rowOff>0</xdr:rowOff>
    </xdr:to>
    <xdr:graphicFrame macro="">
      <xdr:nvGraphicFramePr>
        <xdr:cNvPr id="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619123</xdr:colOff>
      <xdr:row>60</xdr:row>
      <xdr:rowOff>119063</xdr:rowOff>
    </xdr:from>
    <xdr:to>
      <xdr:col>14</xdr:col>
      <xdr:colOff>572455</xdr:colOff>
      <xdr:row>80</xdr:row>
      <xdr:rowOff>2381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571500</xdr:colOff>
      <xdr:row>1</xdr:row>
      <xdr:rowOff>57150</xdr:rowOff>
    </xdr:from>
    <xdr:to>
      <xdr:col>11</xdr:col>
      <xdr:colOff>962025</xdr:colOff>
      <xdr:row>16</xdr:row>
      <xdr:rowOff>133350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119062</xdr:colOff>
      <xdr:row>56</xdr:row>
      <xdr:rowOff>116681</xdr:rowOff>
    </xdr:from>
    <xdr:to>
      <xdr:col>8</xdr:col>
      <xdr:colOff>428626</xdr:colOff>
      <xdr:row>73</xdr:row>
      <xdr:rowOff>0</xdr:rowOff>
    </xdr:to>
    <xdr:graphicFrame macro="">
      <xdr:nvGraphicFramePr>
        <xdr:cNvPr id="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619123</xdr:colOff>
      <xdr:row>60</xdr:row>
      <xdr:rowOff>119063</xdr:rowOff>
    </xdr:from>
    <xdr:to>
      <xdr:col>14</xdr:col>
      <xdr:colOff>572455</xdr:colOff>
      <xdr:row>80</xdr:row>
      <xdr:rowOff>2381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571500</xdr:colOff>
      <xdr:row>1</xdr:row>
      <xdr:rowOff>57150</xdr:rowOff>
    </xdr:from>
    <xdr:to>
      <xdr:col>11</xdr:col>
      <xdr:colOff>962025</xdr:colOff>
      <xdr:row>16</xdr:row>
      <xdr:rowOff>133350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119062</xdr:colOff>
      <xdr:row>56</xdr:row>
      <xdr:rowOff>116681</xdr:rowOff>
    </xdr:from>
    <xdr:to>
      <xdr:col>8</xdr:col>
      <xdr:colOff>428626</xdr:colOff>
      <xdr:row>73</xdr:row>
      <xdr:rowOff>0</xdr:rowOff>
    </xdr:to>
    <xdr:graphicFrame macro="">
      <xdr:nvGraphicFramePr>
        <xdr:cNvPr id="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619123</xdr:colOff>
      <xdr:row>60</xdr:row>
      <xdr:rowOff>119063</xdr:rowOff>
    </xdr:from>
    <xdr:to>
      <xdr:col>14</xdr:col>
      <xdr:colOff>572455</xdr:colOff>
      <xdr:row>80</xdr:row>
      <xdr:rowOff>2381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profils\marlene\Mes%20documents\Endo%20cell-betaTrophin\ELISA\Insulin%20secretion%20Human%20beta%20cell%20line%20october%20marianas%20formula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ptember"/>
      <sheetName val="September (2)"/>
      <sheetName val="October"/>
      <sheetName val="October (2)"/>
      <sheetName val="November 7"/>
      <sheetName val="November 7 (3)"/>
      <sheetName val="November 18"/>
      <sheetName val="November 18 (2)"/>
      <sheetName val="February"/>
      <sheetName val="Sheet3"/>
      <sheetName val="February (2)"/>
      <sheetName val="February (3)"/>
      <sheetName val="February (4)"/>
      <sheetName val="juillet P59"/>
      <sheetName val="juillet P66"/>
      <sheetName val="juillet P88"/>
      <sheetName val="sept P64 P73"/>
      <sheetName val="sept P64 P73 (2)"/>
      <sheetName val="sept P64bis"/>
      <sheetName val="multislip P74"/>
      <sheetName val="multislip P82"/>
      <sheetName val="nov P81"/>
      <sheetName val="nov P81 (2)"/>
      <sheetName val="dec2014 P73"/>
      <sheetName val="dec2014 P73 MEL"/>
      <sheetName val="dec2014 P75"/>
      <sheetName val="dec2014 P75 MEL"/>
      <sheetName val="dec2014 P76-77"/>
      <sheetName val="dec2014 P76-77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51">
          <cell r="A51" t="str">
            <v>0,5 mM Glc</v>
          </cell>
        </row>
        <row r="52">
          <cell r="A52" t="str">
            <v>11 mM Glc</v>
          </cell>
        </row>
        <row r="53">
          <cell r="A53" t="str">
            <v>11 mM Glc + FSK</v>
          </cell>
        </row>
      </sheetData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8"/>
  <sheetViews>
    <sheetView tabSelected="1" topLeftCell="A28" zoomScale="80" zoomScaleNormal="80" workbookViewId="0">
      <selection activeCell="J67" sqref="J67"/>
    </sheetView>
  </sheetViews>
  <sheetFormatPr baseColWidth="10" defaultColWidth="8.75" defaultRowHeight="12.75" x14ac:dyDescent="0.2"/>
  <cols>
    <col min="1" max="1" width="28.125" style="1" customWidth="1"/>
    <col min="2" max="2" width="9.5" style="2" bestFit="1" customWidth="1"/>
    <col min="3" max="3" width="11.875" style="2" bestFit="1" customWidth="1"/>
    <col min="4" max="4" width="7.875" style="2" customWidth="1"/>
    <col min="5" max="5" width="6" style="2" bestFit="1" customWidth="1"/>
    <col min="6" max="8" width="11" style="2" bestFit="1" customWidth="1"/>
    <col min="9" max="9" width="12.125" style="2" bestFit="1" customWidth="1"/>
    <col min="10" max="10" width="12" style="2" bestFit="1" customWidth="1"/>
    <col min="11" max="11" width="12.125" style="2" bestFit="1" customWidth="1"/>
    <col min="12" max="12" width="13" style="2" bestFit="1" customWidth="1"/>
    <col min="13" max="13" width="14.875" style="2" bestFit="1" customWidth="1"/>
    <col min="14" max="14" width="13.75" style="2" bestFit="1" customWidth="1"/>
    <col min="15" max="15" width="14" style="2" customWidth="1"/>
    <col min="16" max="16" width="11.375" style="2" customWidth="1"/>
    <col min="17" max="17" width="10.375" style="2" bestFit="1" customWidth="1"/>
    <col min="18" max="16384" width="8.75" style="2"/>
  </cols>
  <sheetData>
    <row r="1" spans="1:20" x14ac:dyDescent="0.2">
      <c r="A1" s="1" t="s">
        <v>0</v>
      </c>
      <c r="B1" s="63">
        <v>42507</v>
      </c>
    </row>
    <row r="2" spans="1:20" x14ac:dyDescent="0.2">
      <c r="A2" s="1" t="s">
        <v>1</v>
      </c>
      <c r="B2" s="2">
        <v>82</v>
      </c>
      <c r="C2" s="3"/>
      <c r="D2" s="38"/>
      <c r="E2" s="64"/>
      <c r="F2" s="38"/>
      <c r="G2" s="38"/>
    </row>
    <row r="3" spans="1:20" x14ac:dyDescent="0.2">
      <c r="A3" s="1" t="s">
        <v>2</v>
      </c>
      <c r="B3" s="2" t="s">
        <v>43</v>
      </c>
      <c r="D3" s="38"/>
      <c r="E3" s="38"/>
      <c r="F3" s="38"/>
      <c r="G3" s="38"/>
    </row>
    <row r="4" spans="1:20" x14ac:dyDescent="0.2">
      <c r="D4" s="38"/>
      <c r="E4" s="38"/>
      <c r="F4" s="38"/>
      <c r="G4" s="38"/>
    </row>
    <row r="5" spans="1:20" x14ac:dyDescent="0.2">
      <c r="A5" s="2"/>
      <c r="D5" s="38"/>
      <c r="E5" s="38"/>
      <c r="F5" s="38"/>
      <c r="G5" s="38"/>
    </row>
    <row r="6" spans="1:20" ht="15" x14ac:dyDescent="0.3">
      <c r="N6"/>
      <c r="O6"/>
      <c r="P6"/>
    </row>
    <row r="7" spans="1:20" ht="15" x14ac:dyDescent="0.3">
      <c r="A7" s="10" t="s">
        <v>3</v>
      </c>
      <c r="B7" s="6" t="s">
        <v>4</v>
      </c>
      <c r="C7" s="7" t="s">
        <v>5</v>
      </c>
      <c r="D7" s="7"/>
      <c r="E7" s="8" t="s">
        <v>6</v>
      </c>
      <c r="F7" s="9" t="s">
        <v>7</v>
      </c>
      <c r="G7" s="10" t="s">
        <v>8</v>
      </c>
      <c r="H7" s="10" t="s">
        <v>9</v>
      </c>
      <c r="N7"/>
      <c r="O7"/>
      <c r="P7"/>
    </row>
    <row r="8" spans="1:20" ht="15" x14ac:dyDescent="0.3">
      <c r="A8" s="10">
        <v>0</v>
      </c>
      <c r="B8" s="10">
        <f>A8/23</f>
        <v>0</v>
      </c>
      <c r="C8" s="65">
        <v>4.7E-2</v>
      </c>
      <c r="D8" s="65">
        <v>4.7E-2</v>
      </c>
      <c r="E8" s="11">
        <f t="shared" ref="E8:E13" si="0">AVERAGE(C8:D8)</f>
        <v>4.7E-2</v>
      </c>
      <c r="F8" s="12"/>
      <c r="G8" s="10"/>
      <c r="H8" s="10"/>
      <c r="N8"/>
      <c r="O8"/>
      <c r="P8"/>
    </row>
    <row r="9" spans="1:20" ht="15" x14ac:dyDescent="0.3">
      <c r="A9" s="10">
        <v>3.15</v>
      </c>
      <c r="B9" s="10">
        <f t="shared" ref="B9:B12" si="1">A9/23</f>
        <v>0.13695652173913042</v>
      </c>
      <c r="C9" s="65">
        <v>7.5999999999999998E-2</v>
      </c>
      <c r="D9" s="65">
        <v>7.6999999999999999E-2</v>
      </c>
      <c r="E9" s="11">
        <f t="shared" si="0"/>
        <v>7.6499999999999999E-2</v>
      </c>
      <c r="F9" s="12">
        <f>(E9-$E$8)</f>
        <v>2.9499999999999998E-2</v>
      </c>
      <c r="G9" s="12">
        <f>LOG(B9)</f>
        <v>-0.86341728222799241</v>
      </c>
      <c r="H9" s="12">
        <f>LOG(F9)</f>
        <v>-1.530177984021837</v>
      </c>
      <c r="N9"/>
      <c r="O9"/>
      <c r="P9"/>
    </row>
    <row r="10" spans="1:20" ht="15" x14ac:dyDescent="0.3">
      <c r="A10" s="10">
        <v>10.4</v>
      </c>
      <c r="B10" s="10">
        <f t="shared" si="1"/>
        <v>0.45217391304347826</v>
      </c>
      <c r="C10" s="65">
        <v>0.14699999999999999</v>
      </c>
      <c r="D10" s="65">
        <v>0.15</v>
      </c>
      <c r="E10" s="11">
        <f t="shared" si="0"/>
        <v>0.14849999999999999</v>
      </c>
      <c r="F10" s="12">
        <f>(E10-$E$8)</f>
        <v>0.10149999999999999</v>
      </c>
      <c r="G10" s="12">
        <f>LOG(B10)</f>
        <v>-0.34469449671881253</v>
      </c>
      <c r="H10" s="12">
        <f>LOG(F10)</f>
        <v>-0.99353395775076836</v>
      </c>
      <c r="N10"/>
      <c r="O10"/>
      <c r="P10"/>
    </row>
    <row r="11" spans="1:20" ht="15" x14ac:dyDescent="0.3">
      <c r="A11" s="10">
        <v>31.5</v>
      </c>
      <c r="B11" s="10">
        <f t="shared" si="1"/>
        <v>1.3695652173913044</v>
      </c>
      <c r="C11" s="65">
        <v>0.378</v>
      </c>
      <c r="D11" s="65">
        <v>0.36599999999999999</v>
      </c>
      <c r="E11" s="11">
        <f t="shared" si="0"/>
        <v>0.372</v>
      </c>
      <c r="F11" s="12">
        <f>(E11-$E$8)</f>
        <v>0.32500000000000001</v>
      </c>
      <c r="G11" s="12">
        <f>LOG(B11)</f>
        <v>0.13658271777200767</v>
      </c>
      <c r="H11" s="12">
        <f>LOG(F11)</f>
        <v>-0.48811663902112562</v>
      </c>
      <c r="N11"/>
      <c r="O11"/>
      <c r="P11"/>
      <c r="Q11"/>
      <c r="R11"/>
      <c r="S11"/>
      <c r="T11"/>
    </row>
    <row r="12" spans="1:20" ht="15" x14ac:dyDescent="0.3">
      <c r="A12" s="10">
        <v>106</v>
      </c>
      <c r="B12" s="10">
        <f t="shared" si="1"/>
        <v>4.6086956521739131</v>
      </c>
      <c r="C12" s="65">
        <v>1.258</v>
      </c>
      <c r="D12" s="65">
        <v>1.3029999999999999</v>
      </c>
      <c r="E12" s="11">
        <f t="shared" si="0"/>
        <v>1.2805</v>
      </c>
      <c r="F12" s="12">
        <f>(E12-$E$8)</f>
        <v>1.2335</v>
      </c>
      <c r="G12" s="12">
        <f>LOG(B12)</f>
        <v>0.66357802924717735</v>
      </c>
      <c r="H12" s="12">
        <f>LOG(F12)</f>
        <v>9.1139153825754854E-2</v>
      </c>
      <c r="N12"/>
      <c r="O12"/>
      <c r="P12"/>
      <c r="Q12"/>
      <c r="R12"/>
      <c r="S12"/>
      <c r="T12"/>
    </row>
    <row r="13" spans="1:20" ht="15" x14ac:dyDescent="0.3">
      <c r="A13" s="10">
        <v>210</v>
      </c>
      <c r="B13" s="10">
        <f>A13/23</f>
        <v>9.1304347826086953</v>
      </c>
      <c r="C13" s="65">
        <v>1.821</v>
      </c>
      <c r="D13" s="65">
        <v>1.831</v>
      </c>
      <c r="E13" s="11">
        <f t="shared" si="0"/>
        <v>1.8260000000000001</v>
      </c>
      <c r="F13" s="12">
        <f>(E13-$E$8)</f>
        <v>1.7790000000000001</v>
      </c>
      <c r="G13" s="12">
        <f>LOG(B13)</f>
        <v>0.96049145871632635</v>
      </c>
      <c r="H13" s="12">
        <f>LOG(F13)</f>
        <v>0.25017594808392507</v>
      </c>
      <c r="N13"/>
      <c r="O13"/>
      <c r="P13"/>
    </row>
    <row r="14" spans="1:20" ht="15" x14ac:dyDescent="0.3">
      <c r="N14"/>
    </row>
    <row r="15" spans="1:20" ht="15" x14ac:dyDescent="0.3">
      <c r="A15" s="5" t="s">
        <v>10</v>
      </c>
      <c r="B15" s="11">
        <f>SLOPE(H9:H13,G9:G13)</f>
        <v>1.003700441385871</v>
      </c>
      <c r="N15"/>
    </row>
    <row r="16" spans="1:20" ht="15" x14ac:dyDescent="0.25">
      <c r="A16" s="5" t="s">
        <v>11</v>
      </c>
      <c r="B16" s="11">
        <f>INTERCEPT(H9:H13,G9:G13)</f>
        <v>-0.64501970982708257</v>
      </c>
      <c r="C16" s="13"/>
      <c r="G16" s="13"/>
      <c r="H16" s="13"/>
    </row>
    <row r="17" spans="1:17" ht="15" x14ac:dyDescent="0.3">
      <c r="B17"/>
      <c r="C17"/>
      <c r="D17"/>
      <c r="E17"/>
      <c r="F17"/>
      <c r="G17"/>
    </row>
    <row r="18" spans="1:17" ht="15" x14ac:dyDescent="0.3">
      <c r="B18"/>
      <c r="C18"/>
      <c r="D18"/>
      <c r="E18"/>
      <c r="F18"/>
      <c r="G18"/>
    </row>
    <row r="19" spans="1:17" ht="23.25" x14ac:dyDescent="0.35">
      <c r="A19" s="14" t="s">
        <v>12</v>
      </c>
      <c r="B19" s="15"/>
      <c r="C19" s="15"/>
      <c r="K19" s="16"/>
      <c r="L19" s="17" t="s">
        <v>13</v>
      </c>
      <c r="M19" s="18"/>
    </row>
    <row r="20" spans="1:17" s="17" customFormat="1" x14ac:dyDescent="0.2">
      <c r="A20" s="19" t="s">
        <v>14</v>
      </c>
      <c r="B20" s="9" t="s">
        <v>15</v>
      </c>
      <c r="C20" s="9" t="s">
        <v>15</v>
      </c>
      <c r="D20" s="9" t="s">
        <v>16</v>
      </c>
      <c r="E20" s="20" t="s">
        <v>17</v>
      </c>
      <c r="F20" s="21" t="s">
        <v>9</v>
      </c>
      <c r="G20" s="21" t="s">
        <v>18</v>
      </c>
      <c r="H20" s="21" t="s">
        <v>19</v>
      </c>
      <c r="I20" s="9" t="s">
        <v>20</v>
      </c>
      <c r="J20" s="21" t="s">
        <v>21</v>
      </c>
      <c r="K20" s="21" t="s">
        <v>22</v>
      </c>
      <c r="L20" s="21" t="s">
        <v>23</v>
      </c>
      <c r="M20" s="22" t="s">
        <v>24</v>
      </c>
    </row>
    <row r="21" spans="1:17" s="24" customFormat="1" x14ac:dyDescent="0.2">
      <c r="A21" s="23"/>
      <c r="L21" s="25"/>
      <c r="M21" s="26"/>
    </row>
    <row r="22" spans="1:17" ht="15" x14ac:dyDescent="0.3">
      <c r="A22" s="1" t="s">
        <v>25</v>
      </c>
      <c r="B22">
        <v>0.53300000000000003</v>
      </c>
      <c r="C22">
        <v>0.51500000000000001</v>
      </c>
      <c r="D22" s="27">
        <f>AVERAGE(B22:C22)</f>
        <v>0.52400000000000002</v>
      </c>
      <c r="E22" s="27">
        <f t="shared" ref="E22:E27" si="2">D22-E$8</f>
        <v>0.47700000000000004</v>
      </c>
      <c r="F22" s="27">
        <f>LOG(E22)</f>
        <v>-0.32148162095988603</v>
      </c>
      <c r="G22" s="28">
        <f>(F22-$B$16)/$B$15</f>
        <v>0.32234526909290545</v>
      </c>
      <c r="H22" s="28">
        <f>10^G22</f>
        <v>2.1006092283844686</v>
      </c>
      <c r="I22" s="29">
        <v>500</v>
      </c>
      <c r="J22" s="30">
        <f>(H22*I22)</f>
        <v>1050.3046141922343</v>
      </c>
      <c r="K22" s="31">
        <f>(0.05*J22/1000)*1000</f>
        <v>52.515230709611721</v>
      </c>
      <c r="L22" s="32">
        <f>K22+K40+K50</f>
        <v>53.055750100704891</v>
      </c>
      <c r="M22" s="33">
        <f>(L22*1000000/50000)/1000</f>
        <v>1.0611150020140978</v>
      </c>
      <c r="N22" s="34"/>
    </row>
    <row r="23" spans="1:17" ht="15" x14ac:dyDescent="0.3">
      <c r="B23">
        <v>0.53700000000000003</v>
      </c>
      <c r="C23">
        <v>0.50900000000000001</v>
      </c>
      <c r="D23" s="27">
        <f t="shared" ref="D23:D27" si="3">AVERAGE(B23:C23)</f>
        <v>0.52300000000000002</v>
      </c>
      <c r="E23" s="27">
        <f t="shared" si="2"/>
        <v>0.47600000000000003</v>
      </c>
      <c r="F23" s="27">
        <f t="shared" ref="F23:F27" si="4">LOG(E23)</f>
        <v>-0.32239304727950679</v>
      </c>
      <c r="G23" s="28">
        <f t="shared" ref="G23:G27" si="5">(F23-$B$16)/$B$15</f>
        <v>0.32143720301856726</v>
      </c>
      <c r="H23" s="28">
        <f t="shared" ref="H23:H27" si="6">10^G23</f>
        <v>2.0962216543825551</v>
      </c>
      <c r="I23" s="29">
        <v>500</v>
      </c>
      <c r="J23" s="30">
        <f t="shared" ref="J23:J27" si="7">(H23*I23)</f>
        <v>1048.1108271912776</v>
      </c>
      <c r="K23" s="31">
        <f t="shared" ref="K23:K27" si="8">(0.05*J23/1000)*1000</f>
        <v>52.405541359563884</v>
      </c>
      <c r="L23" s="32">
        <f>K23+K41+K51</f>
        <v>53.14079183598237</v>
      </c>
      <c r="M23" s="33">
        <f t="shared" ref="M23:M27" si="9">(L23*1000000/50000)/1000</f>
        <v>1.0628158367196474</v>
      </c>
      <c r="N23" s="34"/>
    </row>
    <row r="24" spans="1:17" ht="15" x14ac:dyDescent="0.3">
      <c r="B24">
        <v>0.52100000000000002</v>
      </c>
      <c r="C24">
        <v>0.47199999999999998</v>
      </c>
      <c r="D24" s="27">
        <f t="shared" si="3"/>
        <v>0.4965</v>
      </c>
      <c r="E24" s="27">
        <f t="shared" si="2"/>
        <v>0.44950000000000001</v>
      </c>
      <c r="F24" s="27">
        <f t="shared" si="4"/>
        <v>-0.34727030393075242</v>
      </c>
      <c r="G24" s="28">
        <f t="shared" si="5"/>
        <v>0.29665166380240821</v>
      </c>
      <c r="H24" s="28">
        <f t="shared" si="6"/>
        <v>1.9799383322305397</v>
      </c>
      <c r="I24" s="29">
        <v>500</v>
      </c>
      <c r="J24" s="30">
        <f t="shared" si="7"/>
        <v>989.9691661152699</v>
      </c>
      <c r="K24" s="31">
        <f t="shared" si="8"/>
        <v>49.498458305763499</v>
      </c>
      <c r="L24" s="32">
        <f t="shared" ref="L24:L27" si="10">K24+K42+K52</f>
        <v>50.123984528699275</v>
      </c>
      <c r="M24" s="33">
        <f t="shared" si="9"/>
        <v>1.0024796905739854</v>
      </c>
      <c r="N24" s="34"/>
    </row>
    <row r="25" spans="1:17" ht="15" x14ac:dyDescent="0.3">
      <c r="A25" s="1" t="s">
        <v>26</v>
      </c>
      <c r="B25">
        <v>0.42499999999999999</v>
      </c>
      <c r="C25">
        <v>0.45800000000000002</v>
      </c>
      <c r="D25" s="27">
        <f t="shared" si="3"/>
        <v>0.4415</v>
      </c>
      <c r="E25" s="27">
        <f t="shared" si="2"/>
        <v>0.39450000000000002</v>
      </c>
      <c r="F25" s="27">
        <f t="shared" si="4"/>
        <v>-0.40395299245456084</v>
      </c>
      <c r="G25" s="28">
        <f t="shared" si="5"/>
        <v>0.2401779529355054</v>
      </c>
      <c r="H25" s="28">
        <f t="shared" si="6"/>
        <v>1.7385130416315264</v>
      </c>
      <c r="I25" s="29">
        <v>500</v>
      </c>
      <c r="J25" s="30">
        <f t="shared" si="7"/>
        <v>869.25652081576322</v>
      </c>
      <c r="K25" s="31">
        <f t="shared" si="8"/>
        <v>43.462826040788165</v>
      </c>
      <c r="L25" s="32">
        <f t="shared" si="10"/>
        <v>44.449201951788176</v>
      </c>
      <c r="M25" s="33">
        <f t="shared" si="9"/>
        <v>0.8889840390357634</v>
      </c>
      <c r="N25" s="34"/>
    </row>
    <row r="26" spans="1:17" ht="15" x14ac:dyDescent="0.3">
      <c r="B26">
        <v>0.43</v>
      </c>
      <c r="C26">
        <v>0.41599999999999998</v>
      </c>
      <c r="D26" s="27">
        <f t="shared" si="3"/>
        <v>0.42299999999999999</v>
      </c>
      <c r="E26" s="27">
        <f t="shared" si="2"/>
        <v>0.376</v>
      </c>
      <c r="F26" s="27">
        <f t="shared" si="4"/>
        <v>-0.42481215507233894</v>
      </c>
      <c r="G26" s="28">
        <f t="shared" si="5"/>
        <v>0.21939569384934163</v>
      </c>
      <c r="H26" s="28">
        <f t="shared" si="6"/>
        <v>1.6572792540106935</v>
      </c>
      <c r="I26" s="29">
        <v>500</v>
      </c>
      <c r="J26" s="30">
        <f t="shared" si="7"/>
        <v>828.63962700534682</v>
      </c>
      <c r="K26" s="31">
        <f t="shared" si="8"/>
        <v>41.431981350267343</v>
      </c>
      <c r="L26" s="32">
        <f t="shared" si="10"/>
        <v>42.778549265816963</v>
      </c>
      <c r="M26" s="33">
        <f t="shared" si="9"/>
        <v>0.85557098531633924</v>
      </c>
      <c r="N26" s="34"/>
    </row>
    <row r="27" spans="1:17" ht="15" x14ac:dyDescent="0.3">
      <c r="B27">
        <v>0.49399999999999999</v>
      </c>
      <c r="C27">
        <v>0.46899999999999997</v>
      </c>
      <c r="D27" s="27">
        <f t="shared" si="3"/>
        <v>0.48149999999999998</v>
      </c>
      <c r="E27" s="27">
        <f t="shared" si="2"/>
        <v>0.4345</v>
      </c>
      <c r="F27" s="27">
        <f t="shared" si="4"/>
        <v>-0.36201021921531473</v>
      </c>
      <c r="G27" s="28">
        <f t="shared" si="5"/>
        <v>0.28196609161693625</v>
      </c>
      <c r="H27" s="28">
        <f t="shared" si="6"/>
        <v>1.9141064716156255</v>
      </c>
      <c r="I27" s="29">
        <v>500</v>
      </c>
      <c r="J27" s="30">
        <f t="shared" si="7"/>
        <v>957.05323580781271</v>
      </c>
      <c r="K27" s="31">
        <f t="shared" si="8"/>
        <v>47.852661790390641</v>
      </c>
      <c r="L27" s="32">
        <f t="shared" si="10"/>
        <v>49.110977102888917</v>
      </c>
      <c r="M27" s="33">
        <f t="shared" si="9"/>
        <v>0.98221954205777839</v>
      </c>
      <c r="N27" s="34"/>
    </row>
    <row r="28" spans="1:17" ht="23.25" x14ac:dyDescent="0.35">
      <c r="A28" s="14" t="s">
        <v>12</v>
      </c>
      <c r="B28" s="15"/>
      <c r="C28" s="15"/>
      <c r="K28" s="16"/>
      <c r="L28" s="17" t="s">
        <v>13</v>
      </c>
      <c r="M28" s="18"/>
    </row>
    <row r="29" spans="1:17" s="17" customFormat="1" x14ac:dyDescent="0.2">
      <c r="A29" s="19" t="s">
        <v>14</v>
      </c>
      <c r="B29" s="9" t="s">
        <v>15</v>
      </c>
      <c r="C29" s="9" t="s">
        <v>15</v>
      </c>
      <c r="D29" s="9" t="s">
        <v>16</v>
      </c>
      <c r="E29" s="20" t="s">
        <v>17</v>
      </c>
      <c r="F29" s="21" t="s">
        <v>9</v>
      </c>
      <c r="G29" s="21" t="s">
        <v>18</v>
      </c>
      <c r="H29" s="21" t="s">
        <v>19</v>
      </c>
      <c r="I29" s="9" t="s">
        <v>20</v>
      </c>
      <c r="J29" s="21" t="s">
        <v>21</v>
      </c>
      <c r="K29" s="21" t="s">
        <v>22</v>
      </c>
      <c r="L29" s="21" t="s">
        <v>23</v>
      </c>
      <c r="M29" s="22" t="s">
        <v>24</v>
      </c>
    </row>
    <row r="30" spans="1:17" s="24" customFormat="1" x14ac:dyDescent="0.2">
      <c r="A30" s="23"/>
      <c r="L30" s="25"/>
      <c r="M30" s="26"/>
    </row>
    <row r="31" spans="1:17" ht="15" x14ac:dyDescent="0.3">
      <c r="A31" s="1" t="s">
        <v>25</v>
      </c>
      <c r="B31">
        <v>0.53300000000000003</v>
      </c>
      <c r="C31">
        <v>0.51500000000000001</v>
      </c>
      <c r="D31" s="27">
        <f t="shared" ref="D31:D36" si="11">AVERAGE(B31:C31)</f>
        <v>0.52400000000000002</v>
      </c>
      <c r="E31" s="27">
        <f t="shared" ref="E31:E36" si="12">D31-E$8</f>
        <v>0.47700000000000004</v>
      </c>
      <c r="F31" s="27">
        <f>LOG(E31)</f>
        <v>-0.32148162095988603</v>
      </c>
      <c r="G31" s="28">
        <f>(F31-$B$16)/$B$15</f>
        <v>0.32234526909290545</v>
      </c>
      <c r="H31" s="28">
        <f>10^G31</f>
        <v>2.1006092283844686</v>
      </c>
      <c r="I31" s="29">
        <v>500</v>
      </c>
      <c r="J31" s="30">
        <f>(H31*I31)</f>
        <v>1050.3046141922343</v>
      </c>
      <c r="K31" s="31">
        <f>(0.05*J31/1000)*1000</f>
        <v>52.515230709611721</v>
      </c>
      <c r="L31" s="32">
        <f>K31+K50</f>
        <v>52.785490405158306</v>
      </c>
      <c r="M31" s="33">
        <f>(L31*1000000/50000)/1000</f>
        <v>1.0557098081031662</v>
      </c>
      <c r="N31" s="35"/>
      <c r="Q31"/>
    </row>
    <row r="32" spans="1:17" ht="15" x14ac:dyDescent="0.3">
      <c r="B32">
        <v>0.53700000000000003</v>
      </c>
      <c r="C32">
        <v>0.50900000000000001</v>
      </c>
      <c r="D32" s="27">
        <f t="shared" si="11"/>
        <v>0.52300000000000002</v>
      </c>
      <c r="E32" s="27">
        <f t="shared" si="12"/>
        <v>0.47600000000000003</v>
      </c>
      <c r="F32" s="27">
        <f t="shared" ref="F32:F36" si="13">LOG(E32)</f>
        <v>-0.32239304727950679</v>
      </c>
      <c r="G32" s="28">
        <f t="shared" ref="G32:G36" si="14">(F32-$B$16)/$B$15</f>
        <v>0.32143720301856726</v>
      </c>
      <c r="H32" s="28">
        <f t="shared" ref="H32:H36" si="15">10^G32</f>
        <v>2.0962216543825551</v>
      </c>
      <c r="I32" s="29">
        <v>500</v>
      </c>
      <c r="J32" s="30">
        <f t="shared" ref="J32:J36" si="16">(H32*I32)</f>
        <v>1048.1108271912776</v>
      </c>
      <c r="K32" s="31">
        <f t="shared" ref="K32:K36" si="17">(0.05*J32/1000)*1000</f>
        <v>52.405541359563884</v>
      </c>
      <c r="L32" s="32">
        <f>K32+K51</f>
        <v>52.736007843874766</v>
      </c>
      <c r="M32" s="33">
        <f t="shared" ref="M32:M36" si="18">(L32*1000000/50000)/1000</f>
        <v>1.0547201568774953</v>
      </c>
      <c r="N32" s="36"/>
      <c r="Q32"/>
    </row>
    <row r="33" spans="1:21" ht="15" x14ac:dyDescent="0.3">
      <c r="B33">
        <v>0.52100000000000002</v>
      </c>
      <c r="C33">
        <v>0.47199999999999998</v>
      </c>
      <c r="D33" s="27">
        <f t="shared" si="11"/>
        <v>0.4965</v>
      </c>
      <c r="E33" s="27">
        <f t="shared" si="12"/>
        <v>0.44950000000000001</v>
      </c>
      <c r="F33" s="27">
        <f t="shared" si="13"/>
        <v>-0.34727030393075242</v>
      </c>
      <c r="G33" s="28">
        <f t="shared" si="14"/>
        <v>0.29665166380240821</v>
      </c>
      <c r="H33" s="28">
        <f t="shared" si="15"/>
        <v>1.9799383322305397</v>
      </c>
      <c r="I33" s="29">
        <v>500</v>
      </c>
      <c r="J33" s="30">
        <f t="shared" si="16"/>
        <v>989.9691661152699</v>
      </c>
      <c r="K33" s="31">
        <f t="shared" si="17"/>
        <v>49.498458305763499</v>
      </c>
      <c r="L33" s="32">
        <f t="shared" ref="L33:L36" si="19">K33+K52</f>
        <v>49.814762441272151</v>
      </c>
      <c r="M33" s="33">
        <f t="shared" si="18"/>
        <v>0.99629524882544307</v>
      </c>
      <c r="N33" s="36"/>
      <c r="Q33"/>
      <c r="R33"/>
      <c r="S33"/>
    </row>
    <row r="34" spans="1:21" ht="15" x14ac:dyDescent="0.3">
      <c r="A34" s="1" t="s">
        <v>26</v>
      </c>
      <c r="B34">
        <v>0.42499999999999999</v>
      </c>
      <c r="C34">
        <v>0.45800000000000002</v>
      </c>
      <c r="D34" s="27">
        <f t="shared" si="11"/>
        <v>0.4415</v>
      </c>
      <c r="E34" s="27">
        <f t="shared" si="12"/>
        <v>0.39450000000000002</v>
      </c>
      <c r="F34" s="27">
        <f t="shared" si="13"/>
        <v>-0.40395299245456084</v>
      </c>
      <c r="G34" s="28">
        <f t="shared" si="14"/>
        <v>0.2401779529355054</v>
      </c>
      <c r="H34" s="28">
        <f t="shared" si="15"/>
        <v>1.7385130416315264</v>
      </c>
      <c r="I34" s="29">
        <v>500</v>
      </c>
      <c r="J34" s="30">
        <f t="shared" si="16"/>
        <v>869.25652081576322</v>
      </c>
      <c r="K34" s="31">
        <f t="shared" si="17"/>
        <v>43.462826040788165</v>
      </c>
      <c r="L34" s="32">
        <f t="shared" si="19"/>
        <v>43.987829626221583</v>
      </c>
      <c r="M34" s="33">
        <f t="shared" si="18"/>
        <v>0.87975659252443161</v>
      </c>
      <c r="N34" s="36"/>
      <c r="Q34"/>
      <c r="R34"/>
      <c r="S34"/>
    </row>
    <row r="35" spans="1:21" ht="15" x14ac:dyDescent="0.3">
      <c r="B35">
        <v>0.43</v>
      </c>
      <c r="C35">
        <v>0.41599999999999998</v>
      </c>
      <c r="D35" s="27">
        <f t="shared" si="11"/>
        <v>0.42299999999999999</v>
      </c>
      <c r="E35" s="27">
        <f t="shared" si="12"/>
        <v>0.376</v>
      </c>
      <c r="F35" s="27">
        <f t="shared" si="13"/>
        <v>-0.42481215507233894</v>
      </c>
      <c r="G35" s="28">
        <f t="shared" si="14"/>
        <v>0.21939569384934163</v>
      </c>
      <c r="H35" s="28">
        <f t="shared" si="15"/>
        <v>1.6572792540106935</v>
      </c>
      <c r="I35" s="29">
        <v>500</v>
      </c>
      <c r="J35" s="30">
        <f t="shared" si="16"/>
        <v>828.63962700534682</v>
      </c>
      <c r="K35" s="31">
        <f t="shared" si="17"/>
        <v>41.431981350267343</v>
      </c>
      <c r="L35" s="32">
        <f t="shared" si="19"/>
        <v>42.281822496170903</v>
      </c>
      <c r="M35" s="33">
        <f t="shared" si="18"/>
        <v>0.84563644992341802</v>
      </c>
      <c r="N35" s="36"/>
      <c r="Q35"/>
      <c r="R35"/>
      <c r="S35"/>
    </row>
    <row r="36" spans="1:21" ht="15" x14ac:dyDescent="0.3">
      <c r="B36">
        <v>0.49399999999999999</v>
      </c>
      <c r="C36">
        <v>0.46899999999999997</v>
      </c>
      <c r="D36" s="27">
        <f t="shared" si="11"/>
        <v>0.48149999999999998</v>
      </c>
      <c r="E36" s="27">
        <f t="shared" si="12"/>
        <v>0.4345</v>
      </c>
      <c r="F36" s="27">
        <f t="shared" si="13"/>
        <v>-0.36201021921531473</v>
      </c>
      <c r="G36" s="28">
        <f t="shared" si="14"/>
        <v>0.28196609161693625</v>
      </c>
      <c r="H36" s="28">
        <f t="shared" si="15"/>
        <v>1.9141064716156255</v>
      </c>
      <c r="I36" s="29">
        <v>500</v>
      </c>
      <c r="J36" s="30">
        <f t="shared" si="16"/>
        <v>957.05323580781271</v>
      </c>
      <c r="K36" s="31">
        <f t="shared" si="17"/>
        <v>47.852661790390641</v>
      </c>
      <c r="L36" s="32">
        <f t="shared" si="19"/>
        <v>48.635461837922101</v>
      </c>
      <c r="M36" s="33">
        <f t="shared" si="18"/>
        <v>0.97270923675844212</v>
      </c>
      <c r="N36" s="37"/>
      <c r="Q36"/>
      <c r="R36"/>
      <c r="S36"/>
    </row>
    <row r="37" spans="1:21" ht="15" x14ac:dyDescent="0.3">
      <c r="R37"/>
      <c r="S37"/>
    </row>
    <row r="38" spans="1:21" ht="23.25" x14ac:dyDescent="0.35">
      <c r="A38" s="14" t="s">
        <v>27</v>
      </c>
      <c r="E38" s="28"/>
      <c r="F38" s="27"/>
      <c r="H38" s="38"/>
      <c r="M38" s="39" t="s">
        <v>28</v>
      </c>
      <c r="R38"/>
      <c r="S38"/>
      <c r="T38"/>
    </row>
    <row r="39" spans="1:21" ht="15" x14ac:dyDescent="0.3">
      <c r="A39" s="19" t="s">
        <v>14</v>
      </c>
      <c r="B39" s="21" t="s">
        <v>15</v>
      </c>
      <c r="C39" s="21" t="s">
        <v>15</v>
      </c>
      <c r="D39" s="9" t="s">
        <v>16</v>
      </c>
      <c r="E39" s="20" t="s">
        <v>17</v>
      </c>
      <c r="F39" s="21" t="s">
        <v>9</v>
      </c>
      <c r="G39" s="21" t="s">
        <v>18</v>
      </c>
      <c r="H39" s="21" t="s">
        <v>19</v>
      </c>
      <c r="I39" s="9" t="s">
        <v>20</v>
      </c>
      <c r="J39" s="21" t="s">
        <v>21</v>
      </c>
      <c r="K39" s="21" t="s">
        <v>29</v>
      </c>
      <c r="L39" s="21" t="s">
        <v>30</v>
      </c>
      <c r="M39" s="17" t="s">
        <v>31</v>
      </c>
      <c r="N39" s="40" t="s">
        <v>32</v>
      </c>
      <c r="R39"/>
      <c r="S39"/>
      <c r="T39"/>
    </row>
    <row r="40" spans="1:21" ht="15" x14ac:dyDescent="0.3">
      <c r="A40" s="1" t="s">
        <v>33</v>
      </c>
      <c r="B40">
        <v>8.5000000000000006E-2</v>
      </c>
      <c r="C40">
        <v>8.5000000000000006E-2</v>
      </c>
      <c r="D40" s="27">
        <f>AVERAGE(B40:C40)</f>
        <v>8.5000000000000006E-2</v>
      </c>
      <c r="E40" s="27">
        <f t="shared" ref="E40:E45" si="20">D40-E$8</f>
        <v>3.8000000000000006E-2</v>
      </c>
      <c r="F40" s="27">
        <f t="shared" ref="F40:F45" si="21">LOG(E40)</f>
        <v>-1.4202164033831899</v>
      </c>
      <c r="G40" s="28">
        <f t="shared" ref="G40:G45" si="22">(F40-$B$16)/$B$15</f>
        <v>-0.77233869946868361</v>
      </c>
      <c r="H40" s="27">
        <f t="shared" ref="H40:H45" si="23">10^G40</f>
        <v>0.16891230971661753</v>
      </c>
      <c r="I40" s="41">
        <v>16</v>
      </c>
      <c r="J40" s="42">
        <f t="shared" ref="J40:J45" si="24">H40*I40</f>
        <v>2.7025969554658804</v>
      </c>
      <c r="K40" s="30">
        <f>(0.1*J40/1000)*1000</f>
        <v>0.27025969554658807</v>
      </c>
      <c r="L40" s="43">
        <f>K40*100/L22</f>
        <v>0.50938813424296014</v>
      </c>
      <c r="M40" s="30">
        <f>AVERAGE(L40:L42)</f>
        <v>0.62934082096993593</v>
      </c>
      <c r="N40" s="44">
        <f>STDEV(L40:L42)</f>
        <v>0.12662402208218115</v>
      </c>
      <c r="R40"/>
      <c r="S40"/>
      <c r="T40"/>
      <c r="U40"/>
    </row>
    <row r="41" spans="1:21" ht="15" x14ac:dyDescent="0.3">
      <c r="B41">
        <v>0.107</v>
      </c>
      <c r="C41">
        <v>0.10100000000000001</v>
      </c>
      <c r="D41" s="27">
        <f t="shared" ref="D41:D45" si="25">AVERAGE(B41:C41)</f>
        <v>0.10400000000000001</v>
      </c>
      <c r="E41" s="27">
        <f t="shared" si="20"/>
        <v>5.7000000000000009E-2</v>
      </c>
      <c r="F41" s="27">
        <f t="shared" si="21"/>
        <v>-1.2441251443275085</v>
      </c>
      <c r="G41" s="28">
        <f t="shared" si="22"/>
        <v>-0.59689665342101894</v>
      </c>
      <c r="H41" s="27">
        <f t="shared" si="23"/>
        <v>0.252989995067253</v>
      </c>
      <c r="I41" s="41">
        <v>16</v>
      </c>
      <c r="J41" s="42">
        <f t="shared" si="24"/>
        <v>4.0478399210760481</v>
      </c>
      <c r="K41" s="30">
        <f t="shared" ref="K41:K45" si="26">(0.1*J41/1000)*1000</f>
        <v>0.40478399210760485</v>
      </c>
      <c r="L41" s="43">
        <f t="shared" ref="L41:L45" si="27">K41*100/L23</f>
        <v>0.76171991067984046</v>
      </c>
      <c r="M41" s="30"/>
      <c r="N41" s="44"/>
      <c r="R41"/>
      <c r="S41"/>
      <c r="T41"/>
      <c r="U41"/>
    </row>
    <row r="42" spans="1:21" s="17" customFormat="1" ht="15" x14ac:dyDescent="0.3">
      <c r="A42" s="1"/>
      <c r="B42">
        <v>9.7000000000000003E-2</v>
      </c>
      <c r="C42">
        <v>8.4000000000000005E-2</v>
      </c>
      <c r="D42" s="27">
        <f t="shared" si="25"/>
        <v>9.0499999999999997E-2</v>
      </c>
      <c r="E42" s="27">
        <f t="shared" si="20"/>
        <v>4.3499999999999997E-2</v>
      </c>
      <c r="F42" s="27">
        <f t="shared" si="21"/>
        <v>-1.3615107430453628</v>
      </c>
      <c r="G42" s="28">
        <f t="shared" si="22"/>
        <v>-0.71384947507742147</v>
      </c>
      <c r="H42" s="27">
        <f t="shared" si="23"/>
        <v>0.1932638046419517</v>
      </c>
      <c r="I42" s="41">
        <v>16</v>
      </c>
      <c r="J42" s="42">
        <f t="shared" si="24"/>
        <v>3.0922208742712272</v>
      </c>
      <c r="K42" s="30">
        <f t="shared" si="26"/>
        <v>0.30922208742712276</v>
      </c>
      <c r="L42" s="43">
        <f t="shared" si="27"/>
        <v>0.61691441798700741</v>
      </c>
      <c r="M42" s="30"/>
      <c r="N42" s="44"/>
      <c r="R42"/>
      <c r="S42"/>
      <c r="T42"/>
      <c r="U42"/>
    </row>
    <row r="43" spans="1:21" ht="15" x14ac:dyDescent="0.3">
      <c r="A43" s="1" t="s">
        <v>34</v>
      </c>
      <c r="B43">
        <v>0.11600000000000001</v>
      </c>
      <c r="C43">
        <v>0.108</v>
      </c>
      <c r="D43" s="27">
        <f t="shared" si="25"/>
        <v>0.112</v>
      </c>
      <c r="E43" s="27">
        <f t="shared" si="20"/>
        <v>6.5000000000000002E-2</v>
      </c>
      <c r="F43" s="27">
        <f t="shared" si="21"/>
        <v>-1.1870866433571443</v>
      </c>
      <c r="G43" s="28">
        <f t="shared" si="22"/>
        <v>-0.54006844191639147</v>
      </c>
      <c r="H43" s="27">
        <f t="shared" si="23"/>
        <v>0.28835770347912221</v>
      </c>
      <c r="I43" s="41">
        <v>16</v>
      </c>
      <c r="J43" s="42">
        <f t="shared" si="24"/>
        <v>4.6137232556659553</v>
      </c>
      <c r="K43" s="30">
        <f t="shared" si="26"/>
        <v>0.46137232556659558</v>
      </c>
      <c r="L43" s="43">
        <f t="shared" si="27"/>
        <v>1.0379766234431453</v>
      </c>
      <c r="M43" s="30">
        <f>AVERAGE(L43:L45)</f>
        <v>1.0557938459775325</v>
      </c>
      <c r="N43" s="44">
        <f>STDEV(L43:L45)</f>
        <v>9.7682455730899523E-2</v>
      </c>
      <c r="R43"/>
      <c r="S43"/>
      <c r="T43"/>
      <c r="U43"/>
    </row>
    <row r="44" spans="1:21" ht="15" x14ac:dyDescent="0.3">
      <c r="A44" s="45"/>
      <c r="B44">
        <v>0.11799999999999999</v>
      </c>
      <c r="C44">
        <v>0.11600000000000001</v>
      </c>
      <c r="D44" s="27">
        <f t="shared" si="25"/>
        <v>0.11699999999999999</v>
      </c>
      <c r="E44" s="27">
        <f t="shared" si="20"/>
        <v>6.9999999999999993E-2</v>
      </c>
      <c r="F44" s="27">
        <f t="shared" si="21"/>
        <v>-1.1549019599857433</v>
      </c>
      <c r="G44" s="28">
        <f t="shared" si="22"/>
        <v>-0.50800241699070581</v>
      </c>
      <c r="H44" s="27">
        <f t="shared" si="23"/>
        <v>0.31045423102878522</v>
      </c>
      <c r="I44" s="41">
        <v>16</v>
      </c>
      <c r="J44" s="42">
        <f t="shared" si="24"/>
        <v>4.9672676964605635</v>
      </c>
      <c r="K44" s="30">
        <f t="shared" si="26"/>
        <v>0.49672676964605639</v>
      </c>
      <c r="L44" s="43">
        <f t="shared" si="27"/>
        <v>1.1611585202656127</v>
      </c>
      <c r="M44" s="30"/>
      <c r="N44" s="44"/>
      <c r="R44"/>
      <c r="S44"/>
      <c r="T44"/>
      <c r="U44"/>
    </row>
    <row r="45" spans="1:21" ht="15" x14ac:dyDescent="0.3">
      <c r="A45" s="46"/>
      <c r="B45">
        <v>0.11600000000000001</v>
      </c>
      <c r="C45">
        <v>0.112</v>
      </c>
      <c r="D45" s="27">
        <f t="shared" si="25"/>
        <v>0.114</v>
      </c>
      <c r="E45" s="27">
        <f t="shared" si="20"/>
        <v>6.7000000000000004E-2</v>
      </c>
      <c r="F45" s="27">
        <f t="shared" si="21"/>
        <v>-1.1739251972991736</v>
      </c>
      <c r="G45" s="28">
        <f t="shared" si="22"/>
        <v>-0.52695551945937036</v>
      </c>
      <c r="H45" s="27">
        <f t="shared" si="23"/>
        <v>0.29719704060426089</v>
      </c>
      <c r="I45" s="41">
        <v>16</v>
      </c>
      <c r="J45" s="42">
        <f t="shared" si="24"/>
        <v>4.7551526496681742</v>
      </c>
      <c r="K45" s="30">
        <f t="shared" si="26"/>
        <v>0.47551526496681745</v>
      </c>
      <c r="L45" s="43">
        <f t="shared" si="27"/>
        <v>0.96824639422383962</v>
      </c>
      <c r="M45" s="30"/>
      <c r="N45" s="44"/>
      <c r="R45"/>
      <c r="S45"/>
      <c r="T45"/>
      <c r="U45"/>
    </row>
    <row r="46" spans="1:21" ht="15" x14ac:dyDescent="0.3">
      <c r="E46" s="28"/>
      <c r="F46" s="27"/>
      <c r="G46" s="30"/>
      <c r="H46" s="47"/>
      <c r="R46"/>
      <c r="S46"/>
      <c r="T46"/>
    </row>
    <row r="47" spans="1:21" x14ac:dyDescent="0.2">
      <c r="E47" s="28"/>
      <c r="F47" s="27"/>
      <c r="G47" s="30"/>
      <c r="H47" s="47"/>
    </row>
    <row r="48" spans="1:21" ht="23.25" x14ac:dyDescent="0.35">
      <c r="A48" s="14" t="s">
        <v>35</v>
      </c>
      <c r="E48" s="28"/>
      <c r="F48" s="27"/>
      <c r="H48" s="38"/>
      <c r="M48" s="39" t="s">
        <v>28</v>
      </c>
    </row>
    <row r="49" spans="1:25" x14ac:dyDescent="0.2">
      <c r="A49" s="19" t="s">
        <v>14</v>
      </c>
      <c r="B49" s="21" t="s">
        <v>15</v>
      </c>
      <c r="C49" s="21" t="s">
        <v>15</v>
      </c>
      <c r="D49" s="9" t="s">
        <v>16</v>
      </c>
      <c r="E49" s="20" t="s">
        <v>17</v>
      </c>
      <c r="F49" s="21" t="s">
        <v>9</v>
      </c>
      <c r="G49" s="21" t="s">
        <v>18</v>
      </c>
      <c r="H49" s="21" t="s">
        <v>19</v>
      </c>
      <c r="I49" s="9" t="s">
        <v>20</v>
      </c>
      <c r="J49" s="21" t="s">
        <v>21</v>
      </c>
      <c r="K49" s="21" t="s">
        <v>29</v>
      </c>
      <c r="L49" s="21" t="s">
        <v>30</v>
      </c>
      <c r="M49" s="17" t="s">
        <v>31</v>
      </c>
      <c r="N49" s="40" t="s">
        <v>32</v>
      </c>
      <c r="O49" s="2" t="s">
        <v>36</v>
      </c>
      <c r="P49" s="17" t="s">
        <v>31</v>
      </c>
      <c r="Q49" s="40" t="s">
        <v>32</v>
      </c>
    </row>
    <row r="50" spans="1:25" ht="15" x14ac:dyDescent="0.3">
      <c r="A50" s="1" t="s">
        <v>25</v>
      </c>
      <c r="B50">
        <v>8.4000000000000005E-2</v>
      </c>
      <c r="C50">
        <v>8.5999999999999993E-2</v>
      </c>
      <c r="D50" s="27">
        <f>AVERAGE(B50:C50)</f>
        <v>8.4999999999999992E-2</v>
      </c>
      <c r="E50" s="27">
        <f t="shared" ref="E50:E55" si="28">D50-E$8</f>
        <v>3.7999999999999992E-2</v>
      </c>
      <c r="F50" s="27">
        <f t="shared" ref="F50:F55" si="29">LOG(E50)</f>
        <v>-1.4202164033831899</v>
      </c>
      <c r="G50" s="28">
        <f t="shared" ref="G50:G55" si="30">(F50-$B$16)/$B$15</f>
        <v>-0.77233869946868361</v>
      </c>
      <c r="H50" s="27">
        <f t="shared" ref="H50:H55" si="31">10^G50</f>
        <v>0.16891230971661753</v>
      </c>
      <c r="I50" s="41">
        <v>16</v>
      </c>
      <c r="J50" s="42">
        <f t="shared" ref="J50:J55" si="32">H50*I50</f>
        <v>2.7025969554658804</v>
      </c>
      <c r="K50" s="30">
        <f>(0.1*J50/1000)*1000</f>
        <v>0.27025969554658807</v>
      </c>
      <c r="L50" s="43">
        <f t="shared" ref="L50:L55" si="33">K50*100/L31</f>
        <v>0.51199618204205932</v>
      </c>
      <c r="M50" s="30">
        <f>AVERAGE(L50:L52)</f>
        <v>0.59119993046577834</v>
      </c>
      <c r="N50" s="44">
        <f>STDEV(L50:L52)</f>
        <v>6.8718420040280198E-2</v>
      </c>
      <c r="O50" s="48">
        <f>L50/L40</f>
        <v>1.0051199618204205</v>
      </c>
      <c r="P50" s="30">
        <f>AVERAGE(O50:O52)</f>
        <v>0.95234694824229071</v>
      </c>
      <c r="Q50" s="44">
        <f>STDEV(O50:O52)</f>
        <v>0.11295118805091299</v>
      </c>
      <c r="S50"/>
      <c r="T50"/>
    </row>
    <row r="51" spans="1:25" ht="15" x14ac:dyDescent="0.3">
      <c r="B51">
        <v>9.6000000000000002E-2</v>
      </c>
      <c r="C51">
        <v>9.0999999999999998E-2</v>
      </c>
      <c r="D51" s="27">
        <f t="shared" ref="D51:D55" si="34">AVERAGE(B51:C51)</f>
        <v>9.35E-2</v>
      </c>
      <c r="E51" s="27">
        <f t="shared" si="28"/>
        <v>4.65E-2</v>
      </c>
      <c r="F51" s="27">
        <f t="shared" si="29"/>
        <v>-1.332547047110046</v>
      </c>
      <c r="G51" s="28">
        <f t="shared" si="30"/>
        <v>-0.68499256245583806</v>
      </c>
      <c r="H51" s="27">
        <f t="shared" si="31"/>
        <v>0.20654155269430138</v>
      </c>
      <c r="I51" s="41">
        <v>16</v>
      </c>
      <c r="J51" s="42">
        <f t="shared" si="32"/>
        <v>3.3046648431088221</v>
      </c>
      <c r="K51" s="30">
        <f t="shared" ref="K51:K55" si="35">(0.1*J51/1000)*1000</f>
        <v>0.33046648431088221</v>
      </c>
      <c r="L51" s="43">
        <f t="shared" si="33"/>
        <v>0.62664296715297452</v>
      </c>
      <c r="M51" s="30"/>
      <c r="N51" s="44"/>
      <c r="O51" s="2">
        <f t="shared" ref="O51:O55" si="36">L51/L41</f>
        <v>0.82266848794026037</v>
      </c>
      <c r="P51" s="30"/>
      <c r="Q51" s="44"/>
      <c r="S51"/>
      <c r="T51"/>
    </row>
    <row r="52" spans="1:25" ht="15" x14ac:dyDescent="0.3">
      <c r="B52">
        <v>9.6000000000000002E-2</v>
      </c>
      <c r="C52">
        <v>8.6999999999999994E-2</v>
      </c>
      <c r="D52" s="27">
        <f t="shared" si="34"/>
        <v>9.1499999999999998E-2</v>
      </c>
      <c r="E52" s="27">
        <f t="shared" si="28"/>
        <v>4.4499999999999998E-2</v>
      </c>
      <c r="F52" s="27">
        <f t="shared" si="29"/>
        <v>-1.3516399890190685</v>
      </c>
      <c r="G52" s="28">
        <f t="shared" si="30"/>
        <v>-0.70401511253328908</v>
      </c>
      <c r="H52" s="27">
        <f t="shared" si="31"/>
        <v>0.19769008469290777</v>
      </c>
      <c r="I52" s="41">
        <v>16</v>
      </c>
      <c r="J52" s="42">
        <f t="shared" si="32"/>
        <v>3.1630413550865244</v>
      </c>
      <c r="K52" s="30">
        <f t="shared" si="35"/>
        <v>0.31630413550865244</v>
      </c>
      <c r="L52" s="43">
        <f t="shared" si="33"/>
        <v>0.63496064220230131</v>
      </c>
      <c r="M52" s="30"/>
      <c r="N52" s="44"/>
      <c r="O52" s="2">
        <f t="shared" si="36"/>
        <v>1.0292523949661911</v>
      </c>
      <c r="P52" s="30"/>
      <c r="Q52" s="44"/>
      <c r="S52"/>
      <c r="T52"/>
    </row>
    <row r="53" spans="1:25" ht="15" x14ac:dyDescent="0.3">
      <c r="A53" s="1" t="s">
        <v>26</v>
      </c>
      <c r="B53">
        <v>0.11700000000000001</v>
      </c>
      <c r="C53">
        <v>0.125</v>
      </c>
      <c r="D53" s="27">
        <f t="shared" si="34"/>
        <v>0.121</v>
      </c>
      <c r="E53" s="27">
        <f t="shared" si="28"/>
        <v>7.3999999999999996E-2</v>
      </c>
      <c r="F53" s="27">
        <f t="shared" si="29"/>
        <v>-1.1307682802690238</v>
      </c>
      <c r="G53" s="28">
        <f t="shared" si="30"/>
        <v>-0.48395771329066889</v>
      </c>
      <c r="H53" s="27">
        <f t="shared" si="31"/>
        <v>0.32812724089588685</v>
      </c>
      <c r="I53" s="41">
        <v>16</v>
      </c>
      <c r="J53" s="42">
        <f t="shared" si="32"/>
        <v>5.2500358543341896</v>
      </c>
      <c r="K53" s="30">
        <f t="shared" si="35"/>
        <v>0.52500358543341896</v>
      </c>
      <c r="L53" s="43">
        <f t="shared" si="33"/>
        <v>1.1935200938408179</v>
      </c>
      <c r="M53" s="30">
        <f>AVERAGE(L53:L55)</f>
        <v>1.604329938320193</v>
      </c>
      <c r="N53" s="44">
        <f>STDEV(L53:L55)</f>
        <v>0.40823697426815164</v>
      </c>
      <c r="O53" s="2">
        <f t="shared" si="36"/>
        <v>1.1498525755635116</v>
      </c>
      <c r="P53" s="30">
        <f>AVERAGE(O53:O55)</f>
        <v>1.5143813762024045</v>
      </c>
      <c r="Q53" s="44">
        <f>STDEV(O53:O55)</f>
        <v>0.31755300104235951</v>
      </c>
      <c r="S53"/>
      <c r="T53"/>
    </row>
    <row r="54" spans="1:25" ht="15" x14ac:dyDescent="0.3">
      <c r="A54" s="45"/>
      <c r="B54">
        <v>0.17399999999999999</v>
      </c>
      <c r="C54">
        <v>0.16</v>
      </c>
      <c r="D54" s="27">
        <f t="shared" si="34"/>
        <v>0.16699999999999998</v>
      </c>
      <c r="E54" s="27">
        <f t="shared" si="28"/>
        <v>0.11999999999999998</v>
      </c>
      <c r="F54" s="27">
        <f t="shared" si="29"/>
        <v>-0.92081875395237522</v>
      </c>
      <c r="G54" s="28">
        <f t="shared" si="30"/>
        <v>-0.27478222859449969</v>
      </c>
      <c r="H54" s="27">
        <f t="shared" si="31"/>
        <v>0.53115071618972465</v>
      </c>
      <c r="I54" s="41">
        <v>16</v>
      </c>
      <c r="J54" s="42">
        <f t="shared" si="32"/>
        <v>8.4984114590355944</v>
      </c>
      <c r="K54" s="30">
        <f t="shared" si="35"/>
        <v>0.84984114590355953</v>
      </c>
      <c r="L54" s="43">
        <f t="shared" si="33"/>
        <v>2.0099444530342141</v>
      </c>
      <c r="M54" s="30"/>
      <c r="N54" s="44"/>
      <c r="O54" s="2">
        <f t="shared" si="36"/>
        <v>1.7309819615106843</v>
      </c>
      <c r="P54" s="30"/>
      <c r="Q54" s="44"/>
      <c r="S54"/>
      <c r="T54"/>
    </row>
    <row r="55" spans="1:25" ht="15" x14ac:dyDescent="0.3">
      <c r="A55" s="46"/>
      <c r="B55">
        <v>0.155</v>
      </c>
      <c r="C55">
        <v>0.16</v>
      </c>
      <c r="D55" s="27">
        <f t="shared" si="34"/>
        <v>0.1575</v>
      </c>
      <c r="E55" s="27">
        <f t="shared" si="28"/>
        <v>0.1105</v>
      </c>
      <c r="F55" s="27">
        <f t="shared" si="29"/>
        <v>-0.95663772197887054</v>
      </c>
      <c r="G55" s="28">
        <f t="shared" si="30"/>
        <v>-0.31046913929968767</v>
      </c>
      <c r="H55" s="27">
        <f t="shared" si="31"/>
        <v>0.48925002970716241</v>
      </c>
      <c r="I55" s="41">
        <v>16</v>
      </c>
      <c r="J55" s="42">
        <f t="shared" si="32"/>
        <v>7.8280004753145986</v>
      </c>
      <c r="K55" s="30">
        <f t="shared" si="35"/>
        <v>0.78280004753145993</v>
      </c>
      <c r="L55" s="43">
        <f t="shared" si="33"/>
        <v>1.6095252680855476</v>
      </c>
      <c r="M55" s="30"/>
      <c r="N55" s="44"/>
      <c r="O55" s="2">
        <f t="shared" si="36"/>
        <v>1.6623095915330173</v>
      </c>
      <c r="P55" s="30"/>
      <c r="Q55" s="44"/>
      <c r="S55"/>
      <c r="T55"/>
      <c r="Y55" s="1"/>
    </row>
    <row r="56" spans="1:25" x14ac:dyDescent="0.2">
      <c r="D56" s="27"/>
      <c r="E56" s="28"/>
      <c r="F56" s="27"/>
      <c r="G56" s="30"/>
      <c r="H56" s="47"/>
    </row>
    <row r="57" spans="1:25" x14ac:dyDescent="0.2">
      <c r="B57" s="30"/>
      <c r="C57" s="30"/>
      <c r="D57" s="27"/>
      <c r="E57" s="28"/>
      <c r="F57" s="27"/>
      <c r="G57" s="30"/>
      <c r="H57" s="47"/>
      <c r="M57" s="2" t="s">
        <v>37</v>
      </c>
      <c r="N57" s="2" t="s">
        <v>38</v>
      </c>
      <c r="O57" s="40" t="s">
        <v>32</v>
      </c>
    </row>
    <row r="58" spans="1:25" ht="15" x14ac:dyDescent="0.3">
      <c r="C58"/>
      <c r="D58"/>
      <c r="E58"/>
      <c r="F58"/>
      <c r="G58"/>
      <c r="H58" s="47"/>
      <c r="M58" s="2" t="s">
        <v>25</v>
      </c>
      <c r="N58" s="30">
        <f>P50</f>
        <v>0.95234694824229071</v>
      </c>
      <c r="O58" s="30">
        <f>Q50</f>
        <v>0.11295118805091299</v>
      </c>
    </row>
    <row r="59" spans="1:25" ht="15" x14ac:dyDescent="0.3">
      <c r="D59"/>
      <c r="E59"/>
      <c r="G59"/>
      <c r="M59" s="2" t="s">
        <v>26</v>
      </c>
      <c r="N59" s="30">
        <f>P53</f>
        <v>1.5143813762024045</v>
      </c>
      <c r="O59" s="30">
        <f>Q53</f>
        <v>0.31755300104235951</v>
      </c>
    </row>
    <row r="60" spans="1:25" x14ac:dyDescent="0.2">
      <c r="G60" s="30"/>
      <c r="H60" s="47"/>
    </row>
    <row r="61" spans="1:25" ht="15" x14ac:dyDescent="0.3">
      <c r="A61" s="49"/>
      <c r="D61"/>
      <c r="E61"/>
      <c r="F61"/>
      <c r="G61" s="30"/>
      <c r="H61" s="47"/>
    </row>
    <row r="62" spans="1:25" ht="15" x14ac:dyDescent="0.3">
      <c r="C62" s="27"/>
      <c r="D62"/>
      <c r="E62"/>
      <c r="F62"/>
      <c r="G62" s="30"/>
      <c r="H62" s="47"/>
    </row>
    <row r="63" spans="1:25" ht="15" x14ac:dyDescent="0.3">
      <c r="C63" s="27"/>
      <c r="D63"/>
      <c r="E63"/>
      <c r="F63"/>
      <c r="G63" s="30"/>
      <c r="H63" s="47"/>
    </row>
    <row r="64" spans="1:25" ht="13.5" thickBot="1" x14ac:dyDescent="0.25">
      <c r="B64" s="50" t="s">
        <v>16</v>
      </c>
      <c r="C64" s="51" t="s">
        <v>39</v>
      </c>
      <c r="D64" s="27"/>
      <c r="E64" s="28"/>
      <c r="F64" s="27"/>
      <c r="G64" s="30"/>
      <c r="H64" s="47"/>
    </row>
    <row r="65" spans="1:8" x14ac:dyDescent="0.2">
      <c r="A65" s="1" t="s">
        <v>33</v>
      </c>
      <c r="B65" s="30">
        <f>M40</f>
        <v>0.62934082096993593</v>
      </c>
      <c r="C65" s="30">
        <f>N40</f>
        <v>0.12662402208218115</v>
      </c>
      <c r="D65" s="27"/>
      <c r="E65" s="28"/>
      <c r="F65" s="27"/>
      <c r="G65" s="30"/>
      <c r="H65" s="47"/>
    </row>
    <row r="66" spans="1:8" x14ac:dyDescent="0.2">
      <c r="A66" s="1" t="s">
        <v>25</v>
      </c>
      <c r="B66" s="30">
        <f>M50</f>
        <v>0.59119993046577834</v>
      </c>
      <c r="C66" s="30">
        <f>N50</f>
        <v>6.8718420040280198E-2</v>
      </c>
      <c r="D66" s="27"/>
      <c r="E66" s="28"/>
      <c r="F66" s="27"/>
      <c r="G66" s="30"/>
      <c r="H66" s="47"/>
    </row>
    <row r="67" spans="1:8" x14ac:dyDescent="0.2">
      <c r="A67" s="52" t="s">
        <v>34</v>
      </c>
      <c r="B67" s="30">
        <f>M43</f>
        <v>1.0557938459775325</v>
      </c>
      <c r="C67" s="30">
        <f>N43</f>
        <v>9.7682455730899523E-2</v>
      </c>
      <c r="D67" s="27"/>
      <c r="E67" s="28"/>
      <c r="F67" s="27"/>
      <c r="G67" s="30"/>
      <c r="H67" s="47"/>
    </row>
    <row r="68" spans="1:8" x14ac:dyDescent="0.2">
      <c r="A68" s="45" t="s">
        <v>26</v>
      </c>
      <c r="B68" s="30">
        <f>M53</f>
        <v>1.604329938320193</v>
      </c>
      <c r="C68" s="30">
        <f>N53</f>
        <v>0.40823697426815164</v>
      </c>
      <c r="D68" s="27"/>
      <c r="E68" s="28"/>
      <c r="F68" s="27"/>
      <c r="G68" s="30"/>
      <c r="H68" s="47"/>
    </row>
    <row r="69" spans="1:8" x14ac:dyDescent="0.2">
      <c r="A69" s="53"/>
      <c r="C69" s="27"/>
      <c r="D69" s="27"/>
      <c r="E69" s="28"/>
      <c r="F69" s="27"/>
      <c r="G69" s="30"/>
      <c r="H69" s="47"/>
    </row>
    <row r="70" spans="1:8" x14ac:dyDescent="0.2">
      <c r="A70" s="53"/>
      <c r="C70" s="27"/>
      <c r="D70" s="27"/>
      <c r="E70" s="28"/>
      <c r="F70" s="27"/>
      <c r="G70" s="30"/>
      <c r="H70" s="47"/>
    </row>
    <row r="71" spans="1:8" x14ac:dyDescent="0.2">
      <c r="A71" s="53"/>
      <c r="B71" s="48"/>
      <c r="C71" s="27"/>
      <c r="D71" s="27"/>
      <c r="E71" s="28"/>
      <c r="F71" s="27"/>
      <c r="G71" s="30"/>
      <c r="H71" s="47"/>
    </row>
    <row r="72" spans="1:8" x14ac:dyDescent="0.2">
      <c r="A72" s="53"/>
      <c r="B72" s="48"/>
      <c r="C72" s="27"/>
      <c r="D72" s="27"/>
      <c r="E72" s="28"/>
      <c r="F72" s="27"/>
      <c r="G72" s="30"/>
      <c r="H72" s="47"/>
    </row>
    <row r="73" spans="1:8" x14ac:dyDescent="0.2">
      <c r="C73" s="27"/>
      <c r="D73" s="27"/>
      <c r="E73" s="28"/>
      <c r="F73" s="27"/>
      <c r="G73" s="30"/>
      <c r="H73" s="47"/>
    </row>
    <row r="74" spans="1:8" x14ac:dyDescent="0.2">
      <c r="C74" s="27"/>
      <c r="D74" s="28"/>
      <c r="H74" s="47"/>
    </row>
    <row r="75" spans="1:8" x14ac:dyDescent="0.2">
      <c r="A75" s="54"/>
      <c r="C75" s="27"/>
      <c r="D75" s="28"/>
      <c r="H75" s="38"/>
    </row>
    <row r="76" spans="1:8" x14ac:dyDescent="0.2">
      <c r="A76" s="54"/>
      <c r="C76" s="27"/>
      <c r="D76" s="28"/>
      <c r="H76" s="38"/>
    </row>
    <row r="77" spans="1:8" x14ac:dyDescent="0.2">
      <c r="A77" s="55"/>
      <c r="B77" s="38"/>
      <c r="C77" s="56"/>
      <c r="D77" s="57"/>
      <c r="E77" s="38"/>
    </row>
    <row r="78" spans="1:8" x14ac:dyDescent="0.2">
      <c r="A78" s="52"/>
      <c r="B78" s="58"/>
      <c r="C78" s="59"/>
      <c r="D78" s="38"/>
      <c r="E78" s="38"/>
    </row>
    <row r="79" spans="1:8" x14ac:dyDescent="0.2">
      <c r="A79" s="52"/>
      <c r="B79" s="42"/>
      <c r="C79" s="56"/>
      <c r="D79" s="38"/>
      <c r="E79" s="38"/>
    </row>
    <row r="80" spans="1:8" x14ac:dyDescent="0.2">
      <c r="A80" s="52"/>
      <c r="B80" s="42"/>
      <c r="C80" s="56"/>
      <c r="D80" s="38"/>
      <c r="E80" s="38"/>
    </row>
    <row r="81" spans="1:7" x14ac:dyDescent="0.2">
      <c r="A81" s="52"/>
      <c r="B81" s="42"/>
      <c r="C81" s="56"/>
      <c r="D81" s="38"/>
      <c r="E81" s="38"/>
    </row>
    <row r="82" spans="1:7" x14ac:dyDescent="0.2">
      <c r="A82" s="52"/>
      <c r="B82" s="42"/>
      <c r="C82" s="56"/>
      <c r="D82" s="38"/>
      <c r="E82" s="38"/>
    </row>
    <row r="83" spans="1:7" x14ac:dyDescent="0.2">
      <c r="A83" s="52"/>
      <c r="B83" s="38"/>
      <c r="C83" s="38"/>
      <c r="D83" s="60"/>
      <c r="E83" s="58"/>
    </row>
    <row r="84" spans="1:7" x14ac:dyDescent="0.2">
      <c r="A84" s="52"/>
      <c r="B84" s="42"/>
      <c r="C84" s="56"/>
      <c r="D84" s="47"/>
      <c r="E84" s="47"/>
    </row>
    <row r="85" spans="1:7" x14ac:dyDescent="0.2">
      <c r="A85" s="52"/>
      <c r="B85" s="42"/>
      <c r="C85" s="56"/>
      <c r="D85" s="47"/>
      <c r="E85" s="47"/>
    </row>
    <row r="86" spans="1:7" x14ac:dyDescent="0.2">
      <c r="A86" s="52"/>
      <c r="B86" s="42"/>
      <c r="C86" s="56"/>
      <c r="D86" s="47"/>
      <c r="E86" s="47"/>
      <c r="F86" s="47"/>
      <c r="G86" s="38"/>
    </row>
    <row r="87" spans="1:7" x14ac:dyDescent="0.2">
      <c r="A87" s="52"/>
      <c r="B87" s="42"/>
      <c r="C87" s="56"/>
      <c r="D87" s="47"/>
      <c r="E87" s="47"/>
      <c r="F87" s="47"/>
      <c r="G87" s="38"/>
    </row>
    <row r="88" spans="1:7" x14ac:dyDescent="0.2">
      <c r="A88" s="52"/>
      <c r="B88" s="38"/>
      <c r="C88" s="47"/>
      <c r="D88" s="47"/>
      <c r="E88" s="47"/>
      <c r="F88" s="47"/>
      <c r="G88" s="38"/>
    </row>
    <row r="89" spans="1:7" x14ac:dyDescent="0.2">
      <c r="A89" s="52"/>
      <c r="B89" s="38"/>
      <c r="C89" s="47"/>
      <c r="D89" s="47"/>
      <c r="E89" s="47"/>
      <c r="F89" s="47"/>
      <c r="G89" s="38"/>
    </row>
    <row r="90" spans="1:7" x14ac:dyDescent="0.2">
      <c r="C90" s="47"/>
      <c r="D90" s="47"/>
      <c r="E90" s="61"/>
      <c r="F90" s="61"/>
    </row>
    <row r="91" spans="1:7" x14ac:dyDescent="0.2">
      <c r="C91" s="47"/>
      <c r="D91" s="47"/>
      <c r="E91" s="61"/>
      <c r="F91" s="61"/>
    </row>
    <row r="92" spans="1:7" x14ac:dyDescent="0.2">
      <c r="C92" s="47"/>
      <c r="D92" s="47"/>
      <c r="E92" s="61"/>
      <c r="F92" s="61"/>
    </row>
    <row r="93" spans="1:7" x14ac:dyDescent="0.2">
      <c r="C93" s="47"/>
      <c r="D93" s="47"/>
      <c r="E93" s="61"/>
      <c r="F93" s="61"/>
    </row>
    <row r="94" spans="1:7" x14ac:dyDescent="0.2">
      <c r="C94" s="47"/>
      <c r="E94" s="61"/>
      <c r="F94" s="61"/>
    </row>
    <row r="95" spans="1:7" x14ac:dyDescent="0.2">
      <c r="C95" s="47"/>
      <c r="E95" s="61"/>
      <c r="F95" s="61"/>
    </row>
    <row r="96" spans="1:7" x14ac:dyDescent="0.2">
      <c r="C96" s="47"/>
      <c r="D96" s="47"/>
      <c r="E96" s="61"/>
      <c r="F96" s="61"/>
    </row>
    <row r="97" spans="2:6" x14ac:dyDescent="0.2">
      <c r="C97" s="47"/>
      <c r="D97" s="47"/>
      <c r="E97" s="61"/>
      <c r="F97" s="61"/>
    </row>
    <row r="98" spans="2:6" x14ac:dyDescent="0.2">
      <c r="C98" s="47"/>
      <c r="D98" s="47"/>
      <c r="E98" s="61"/>
      <c r="F98" s="61"/>
    </row>
    <row r="99" spans="2:6" x14ac:dyDescent="0.2">
      <c r="C99" s="47"/>
      <c r="D99" s="47"/>
      <c r="E99" s="61"/>
      <c r="F99" s="61"/>
    </row>
    <row r="100" spans="2:6" x14ac:dyDescent="0.2">
      <c r="C100" s="47"/>
      <c r="D100" s="47"/>
      <c r="E100" s="61"/>
      <c r="F100" s="61"/>
    </row>
    <row r="101" spans="2:6" x14ac:dyDescent="0.2">
      <c r="C101" s="47"/>
      <c r="D101" s="47"/>
      <c r="E101" s="61"/>
      <c r="F101" s="61"/>
    </row>
    <row r="102" spans="2:6" x14ac:dyDescent="0.2">
      <c r="C102" s="47"/>
      <c r="D102" s="47"/>
      <c r="E102" s="61"/>
      <c r="F102" s="61"/>
    </row>
    <row r="103" spans="2:6" x14ac:dyDescent="0.2">
      <c r="C103" s="47"/>
      <c r="D103" s="47"/>
      <c r="E103" s="61"/>
      <c r="F103" s="61"/>
    </row>
    <row r="104" spans="2:6" x14ac:dyDescent="0.2">
      <c r="C104" s="47"/>
      <c r="D104" s="47"/>
      <c r="E104" s="61"/>
      <c r="F104" s="61"/>
    </row>
    <row r="105" spans="2:6" x14ac:dyDescent="0.2">
      <c r="C105" s="47"/>
      <c r="D105" s="47"/>
      <c r="E105" s="61"/>
      <c r="F105" s="61"/>
    </row>
    <row r="106" spans="2:6" x14ac:dyDescent="0.2">
      <c r="C106" s="47"/>
    </row>
    <row r="107" spans="2:6" x14ac:dyDescent="0.2">
      <c r="C107" s="47"/>
    </row>
    <row r="108" spans="2:6" ht="13.5" thickBot="1" x14ac:dyDescent="0.25">
      <c r="B108" s="62"/>
      <c r="C108" s="62"/>
      <c r="D108" s="62"/>
      <c r="E108" s="62"/>
    </row>
    <row r="109" spans="2:6" x14ac:dyDescent="0.2">
      <c r="B109" s="61"/>
      <c r="C109" s="61"/>
      <c r="D109" s="61"/>
      <c r="E109" s="61"/>
    </row>
    <row r="110" spans="2:6" x14ac:dyDescent="0.2">
      <c r="B110" s="61"/>
      <c r="C110" s="61"/>
      <c r="D110" s="61"/>
      <c r="E110" s="61"/>
    </row>
    <row r="111" spans="2:6" x14ac:dyDescent="0.2">
      <c r="B111" s="61"/>
      <c r="C111" s="61"/>
      <c r="D111" s="61"/>
      <c r="E111" s="61"/>
    </row>
    <row r="112" spans="2:6" x14ac:dyDescent="0.2">
      <c r="B112" s="61"/>
      <c r="C112" s="61"/>
      <c r="D112" s="61"/>
      <c r="E112" s="61"/>
    </row>
    <row r="113" spans="2:5" x14ac:dyDescent="0.2">
      <c r="B113" s="61"/>
      <c r="C113" s="61"/>
      <c r="D113" s="61"/>
      <c r="E113" s="61"/>
    </row>
    <row r="114" spans="2:5" x14ac:dyDescent="0.2">
      <c r="B114" s="61"/>
      <c r="C114" s="61"/>
      <c r="D114" s="61"/>
      <c r="E114" s="61"/>
    </row>
    <row r="115" spans="2:5" x14ac:dyDescent="0.2">
      <c r="B115" s="61"/>
      <c r="C115" s="61"/>
      <c r="D115" s="61"/>
      <c r="E115" s="61"/>
    </row>
    <row r="116" spans="2:5" x14ac:dyDescent="0.2">
      <c r="B116" s="61"/>
      <c r="C116" s="61"/>
      <c r="D116" s="61"/>
      <c r="E116" s="61"/>
    </row>
    <row r="117" spans="2:5" x14ac:dyDescent="0.2">
      <c r="B117" s="61"/>
      <c r="C117" s="61"/>
      <c r="D117" s="61"/>
      <c r="E117" s="61"/>
    </row>
    <row r="118" spans="2:5" x14ac:dyDescent="0.2">
      <c r="B118" s="61"/>
      <c r="C118" s="61"/>
      <c r="D118" s="61"/>
      <c r="E118" s="61"/>
    </row>
  </sheetData>
  <pageMargins left="0.7" right="0.7" top="0.75" bottom="0.75" header="0.3" footer="0.3"/>
  <pageSetup paperSize="9" scale="3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8"/>
  <sheetViews>
    <sheetView topLeftCell="H19" zoomScale="80" zoomScaleNormal="80" workbookViewId="0">
      <selection activeCell="A37" sqref="A37"/>
    </sheetView>
  </sheetViews>
  <sheetFormatPr baseColWidth="10" defaultColWidth="8.75" defaultRowHeight="12.75" x14ac:dyDescent="0.2"/>
  <cols>
    <col min="1" max="1" width="28.125" style="1" customWidth="1"/>
    <col min="2" max="2" width="9.5" style="2" bestFit="1" customWidth="1"/>
    <col min="3" max="3" width="11.875" style="2" bestFit="1" customWidth="1"/>
    <col min="4" max="4" width="7.625" style="2" customWidth="1"/>
    <col min="5" max="5" width="6" style="2" bestFit="1" customWidth="1"/>
    <col min="6" max="8" width="11" style="2" bestFit="1" customWidth="1"/>
    <col min="9" max="9" width="12.125" style="2" bestFit="1" customWidth="1"/>
    <col min="10" max="10" width="12" style="2" bestFit="1" customWidth="1"/>
    <col min="11" max="11" width="12.125" style="2" bestFit="1" customWidth="1"/>
    <col min="12" max="12" width="13" style="2" bestFit="1" customWidth="1"/>
    <col min="13" max="13" width="14.875" style="2" bestFit="1" customWidth="1"/>
    <col min="14" max="14" width="13.75" style="2" bestFit="1" customWidth="1"/>
    <col min="15" max="15" width="14" style="2" customWidth="1"/>
    <col min="16" max="16" width="11.375" style="2" customWidth="1"/>
    <col min="17" max="17" width="10.375" style="2" bestFit="1" customWidth="1"/>
    <col min="18" max="16384" width="8.75" style="2"/>
  </cols>
  <sheetData>
    <row r="1" spans="1:20" x14ac:dyDescent="0.2">
      <c r="A1" s="1" t="s">
        <v>0</v>
      </c>
      <c r="B1" s="63">
        <v>42507</v>
      </c>
    </row>
    <row r="2" spans="1:20" x14ac:dyDescent="0.2">
      <c r="A2" s="1" t="s">
        <v>1</v>
      </c>
      <c r="B2" s="2">
        <v>82</v>
      </c>
      <c r="C2" s="3"/>
      <c r="E2" s="4" t="s">
        <v>40</v>
      </c>
    </row>
    <row r="3" spans="1:20" x14ac:dyDescent="0.2">
      <c r="A3" s="1" t="s">
        <v>2</v>
      </c>
      <c r="B3" s="2" t="s">
        <v>43</v>
      </c>
      <c r="D3" s="10" t="s">
        <v>41</v>
      </c>
      <c r="E3" s="10">
        <v>1</v>
      </c>
      <c r="F3" s="10">
        <v>2</v>
      </c>
    </row>
    <row r="4" spans="1:20" x14ac:dyDescent="0.2">
      <c r="D4" s="10" t="s">
        <v>42</v>
      </c>
      <c r="E4" s="10">
        <v>3</v>
      </c>
      <c r="F4" s="10">
        <v>4</v>
      </c>
    </row>
    <row r="5" spans="1:20" x14ac:dyDescent="0.2">
      <c r="A5" s="2"/>
    </row>
    <row r="6" spans="1:20" ht="15" x14ac:dyDescent="0.3">
      <c r="N6"/>
      <c r="O6"/>
      <c r="P6"/>
    </row>
    <row r="7" spans="1:20" ht="15" x14ac:dyDescent="0.3">
      <c r="A7" s="10" t="s">
        <v>3</v>
      </c>
      <c r="B7" s="6" t="s">
        <v>4</v>
      </c>
      <c r="C7" s="7" t="s">
        <v>5</v>
      </c>
      <c r="D7" s="7"/>
      <c r="E7" s="8" t="s">
        <v>6</v>
      </c>
      <c r="F7" s="9" t="s">
        <v>7</v>
      </c>
      <c r="G7" s="10" t="s">
        <v>8</v>
      </c>
      <c r="H7" s="10" t="s">
        <v>9</v>
      </c>
      <c r="N7"/>
      <c r="O7"/>
      <c r="P7"/>
    </row>
    <row r="8" spans="1:20" ht="15" x14ac:dyDescent="0.3">
      <c r="A8" s="10">
        <v>0</v>
      </c>
      <c r="B8" s="10">
        <f>A8/23</f>
        <v>0</v>
      </c>
      <c r="C8" s="65">
        <v>4.7E-2</v>
      </c>
      <c r="D8" s="65">
        <v>4.7E-2</v>
      </c>
      <c r="E8" s="11">
        <f t="shared" ref="E8:E13" si="0">AVERAGE(C8:D8)</f>
        <v>4.7E-2</v>
      </c>
      <c r="F8" s="12"/>
      <c r="G8" s="10"/>
      <c r="H8" s="10"/>
      <c r="N8"/>
      <c r="O8"/>
      <c r="P8"/>
    </row>
    <row r="9" spans="1:20" ht="15" x14ac:dyDescent="0.3">
      <c r="A9" s="10">
        <v>3.15</v>
      </c>
      <c r="B9" s="10">
        <f>A9/23</f>
        <v>0.13695652173913042</v>
      </c>
      <c r="C9" s="65">
        <v>7.5999999999999998E-2</v>
      </c>
      <c r="D9" s="65">
        <v>7.6999999999999999E-2</v>
      </c>
      <c r="E9" s="11">
        <f t="shared" si="0"/>
        <v>7.6499999999999999E-2</v>
      </c>
      <c r="F9" s="12">
        <f>(E9-$E$8)</f>
        <v>2.9499999999999998E-2</v>
      </c>
      <c r="G9" s="12">
        <f>LOG(B9)</f>
        <v>-0.86341728222799241</v>
      </c>
      <c r="H9" s="12">
        <f>LOG(F9)</f>
        <v>-1.530177984021837</v>
      </c>
      <c r="N9"/>
      <c r="O9"/>
      <c r="P9"/>
    </row>
    <row r="10" spans="1:20" ht="15" x14ac:dyDescent="0.3">
      <c r="A10" s="10">
        <v>10.4</v>
      </c>
      <c r="B10" s="10">
        <f t="shared" ref="B10:B12" si="1">A10/23</f>
        <v>0.45217391304347826</v>
      </c>
      <c r="C10" s="65">
        <v>0.14699999999999999</v>
      </c>
      <c r="D10" s="65">
        <v>0.15</v>
      </c>
      <c r="E10" s="11">
        <f t="shared" si="0"/>
        <v>0.14849999999999999</v>
      </c>
      <c r="F10" s="12">
        <f>(E10-$E$8)</f>
        <v>0.10149999999999999</v>
      </c>
      <c r="G10" s="12">
        <f>LOG(B10)</f>
        <v>-0.34469449671881253</v>
      </c>
      <c r="H10" s="12">
        <f>LOG(F10)</f>
        <v>-0.99353395775076836</v>
      </c>
      <c r="N10"/>
      <c r="O10"/>
      <c r="P10"/>
    </row>
    <row r="11" spans="1:20" ht="15" x14ac:dyDescent="0.3">
      <c r="A11" s="10">
        <v>31.5</v>
      </c>
      <c r="B11" s="10">
        <f t="shared" si="1"/>
        <v>1.3695652173913044</v>
      </c>
      <c r="C11" s="65">
        <v>0.378</v>
      </c>
      <c r="D11" s="65">
        <v>0.36599999999999999</v>
      </c>
      <c r="E11" s="11">
        <f t="shared" si="0"/>
        <v>0.372</v>
      </c>
      <c r="F11" s="12">
        <f>(E11-$E$8)</f>
        <v>0.32500000000000001</v>
      </c>
      <c r="G11" s="12">
        <f>LOG(B11)</f>
        <v>0.13658271777200767</v>
      </c>
      <c r="H11" s="12">
        <f>LOG(F11)</f>
        <v>-0.48811663902112562</v>
      </c>
      <c r="N11"/>
      <c r="O11"/>
      <c r="P11"/>
      <c r="Q11"/>
      <c r="R11"/>
      <c r="S11"/>
      <c r="T11"/>
    </row>
    <row r="12" spans="1:20" ht="15" x14ac:dyDescent="0.3">
      <c r="A12" s="10">
        <v>106</v>
      </c>
      <c r="B12" s="10">
        <f t="shared" si="1"/>
        <v>4.6086956521739131</v>
      </c>
      <c r="C12" s="65">
        <v>1.258</v>
      </c>
      <c r="D12" s="65">
        <v>1.3029999999999999</v>
      </c>
      <c r="E12" s="11">
        <f t="shared" si="0"/>
        <v>1.2805</v>
      </c>
      <c r="F12" s="12">
        <f>(E12-$E$8)</f>
        <v>1.2335</v>
      </c>
      <c r="G12" s="12">
        <f>LOG(B12)</f>
        <v>0.66357802924717735</v>
      </c>
      <c r="H12" s="12">
        <f>LOG(F12)</f>
        <v>9.1139153825754854E-2</v>
      </c>
      <c r="N12"/>
      <c r="O12"/>
      <c r="P12"/>
      <c r="Q12"/>
      <c r="R12"/>
      <c r="S12"/>
      <c r="T12"/>
    </row>
    <row r="13" spans="1:20" ht="15" x14ac:dyDescent="0.3">
      <c r="A13" s="10">
        <v>210</v>
      </c>
      <c r="B13" s="10">
        <f>A13/23</f>
        <v>9.1304347826086953</v>
      </c>
      <c r="C13" s="65">
        <v>1.821</v>
      </c>
      <c r="D13" s="65">
        <v>1.831</v>
      </c>
      <c r="E13" s="11">
        <f t="shared" si="0"/>
        <v>1.8260000000000001</v>
      </c>
      <c r="F13" s="12">
        <f>(E13-$E$8)</f>
        <v>1.7790000000000001</v>
      </c>
      <c r="G13" s="12">
        <f>LOG(B13)</f>
        <v>0.96049145871632635</v>
      </c>
      <c r="H13" s="12">
        <f>LOG(F13)</f>
        <v>0.25017594808392507</v>
      </c>
      <c r="N13"/>
      <c r="O13"/>
      <c r="P13"/>
    </row>
    <row r="14" spans="1:20" ht="15" x14ac:dyDescent="0.3">
      <c r="N14"/>
    </row>
    <row r="15" spans="1:20" ht="15" x14ac:dyDescent="0.3">
      <c r="A15" s="5" t="s">
        <v>10</v>
      </c>
      <c r="B15" s="11">
        <f>SLOPE(H9:H13,G9:G13)</f>
        <v>1.003700441385871</v>
      </c>
      <c r="N15"/>
    </row>
    <row r="16" spans="1:20" ht="15" x14ac:dyDescent="0.25">
      <c r="A16" s="5" t="s">
        <v>11</v>
      </c>
      <c r="B16" s="11">
        <f>INTERCEPT(H9:H13,G9:G13)</f>
        <v>-0.64501970982708257</v>
      </c>
      <c r="C16" s="13"/>
      <c r="G16" s="13"/>
      <c r="H16" s="13"/>
    </row>
    <row r="17" spans="1:17" ht="15" x14ac:dyDescent="0.3">
      <c r="B17"/>
      <c r="C17"/>
      <c r="D17"/>
      <c r="E17"/>
      <c r="F17"/>
      <c r="G17"/>
    </row>
    <row r="18" spans="1:17" ht="15" x14ac:dyDescent="0.3">
      <c r="B18"/>
      <c r="C18"/>
      <c r="D18"/>
      <c r="E18"/>
      <c r="F18"/>
      <c r="G18"/>
    </row>
    <row r="19" spans="1:17" ht="23.25" x14ac:dyDescent="0.35">
      <c r="A19" s="14" t="s">
        <v>12</v>
      </c>
      <c r="B19" s="15"/>
      <c r="C19" s="15"/>
      <c r="K19" s="16"/>
      <c r="L19" s="17" t="s">
        <v>13</v>
      </c>
      <c r="M19" s="18"/>
    </row>
    <row r="20" spans="1:17" s="17" customFormat="1" x14ac:dyDescent="0.2">
      <c r="A20" s="19" t="s">
        <v>14</v>
      </c>
      <c r="B20" s="9" t="s">
        <v>15</v>
      </c>
      <c r="C20" s="9" t="s">
        <v>15</v>
      </c>
      <c r="D20" s="9" t="s">
        <v>16</v>
      </c>
      <c r="E20" s="20" t="s">
        <v>17</v>
      </c>
      <c r="F20" s="21" t="s">
        <v>9</v>
      </c>
      <c r="G20" s="21" t="s">
        <v>18</v>
      </c>
      <c r="H20" s="21" t="s">
        <v>19</v>
      </c>
      <c r="I20" s="9" t="s">
        <v>20</v>
      </c>
      <c r="J20" s="21" t="s">
        <v>21</v>
      </c>
      <c r="K20" s="21" t="s">
        <v>22</v>
      </c>
      <c r="L20" s="21" t="s">
        <v>23</v>
      </c>
      <c r="M20" s="22" t="s">
        <v>24</v>
      </c>
    </row>
    <row r="21" spans="1:17" s="24" customFormat="1" x14ac:dyDescent="0.2">
      <c r="A21" s="23"/>
      <c r="L21" s="25"/>
      <c r="M21" s="26"/>
    </row>
    <row r="22" spans="1:17" ht="15" x14ac:dyDescent="0.3">
      <c r="A22" s="1" t="s">
        <v>25</v>
      </c>
      <c r="B22">
        <v>0.42599999999999999</v>
      </c>
      <c r="C22">
        <v>0.44</v>
      </c>
      <c r="D22" s="27">
        <f>AVERAGE(B22:C22)</f>
        <v>0.433</v>
      </c>
      <c r="E22" s="27">
        <f t="shared" ref="E22:E27" si="2">D22-E$8</f>
        <v>0.38600000000000001</v>
      </c>
      <c r="F22" s="27">
        <f>LOG(E22)</f>
        <v>-0.41341269532824504</v>
      </c>
      <c r="G22" s="28">
        <f>(F22-$B$16)/$B$15</f>
        <v>0.23075312608116766</v>
      </c>
      <c r="H22" s="28">
        <f>10^G22</f>
        <v>1.7011911944056264</v>
      </c>
      <c r="I22" s="29">
        <v>500</v>
      </c>
      <c r="J22" s="30">
        <f>(H22*I22)</f>
        <v>850.59559720281322</v>
      </c>
      <c r="K22" s="31">
        <f>(0.05*J22/1000)*1000</f>
        <v>42.529779860140664</v>
      </c>
      <c r="L22" s="32">
        <f>K22+K40+K50</f>
        <v>42.932045830522142</v>
      </c>
      <c r="M22" s="33">
        <f>(L22*1000000/50000)/1000</f>
        <v>0.85864091661044295</v>
      </c>
      <c r="N22" s="34"/>
    </row>
    <row r="23" spans="1:17" ht="15" x14ac:dyDescent="0.3">
      <c r="B23">
        <v>0.41899999999999998</v>
      </c>
      <c r="C23">
        <v>0.42199999999999999</v>
      </c>
      <c r="D23" s="27">
        <f t="shared" ref="D23:D27" si="3">AVERAGE(B23:C23)</f>
        <v>0.42049999999999998</v>
      </c>
      <c r="E23" s="27">
        <f t="shared" si="2"/>
        <v>0.3735</v>
      </c>
      <c r="F23" s="27">
        <f t="shared" ref="F23:F27" si="4">LOG(E23)</f>
        <v>-0.42770939384858242</v>
      </c>
      <c r="G23" s="28">
        <f t="shared" ref="G23:G27" si="5">(F23-$B$16)/$B$15</f>
        <v>0.21650913660897311</v>
      </c>
      <c r="H23" s="28">
        <f t="shared" ref="H23:H27" si="6">10^G23</f>
        <v>1.6463006005390597</v>
      </c>
      <c r="I23" s="29">
        <v>500</v>
      </c>
      <c r="J23" s="30">
        <f t="shared" ref="J23:J27" si="7">(H23*I23)</f>
        <v>823.15030026952979</v>
      </c>
      <c r="K23" s="31">
        <f t="shared" ref="K23:K27" si="8">(0.05*J23/1000)*1000</f>
        <v>41.157515013476491</v>
      </c>
      <c r="L23" s="32">
        <f>K23+K41+K51</f>
        <v>41.619986125412119</v>
      </c>
      <c r="M23" s="33">
        <f t="shared" ref="M23:M27" si="9">(L23*1000000/50000)/1000</f>
        <v>0.83239972250824246</v>
      </c>
      <c r="N23" s="34"/>
    </row>
    <row r="24" spans="1:17" ht="15" x14ac:dyDescent="0.3">
      <c r="B24">
        <v>0.40600000000000003</v>
      </c>
      <c r="C24">
        <v>0.41299999999999998</v>
      </c>
      <c r="D24" s="27">
        <f t="shared" si="3"/>
        <v>0.40949999999999998</v>
      </c>
      <c r="E24" s="27">
        <f t="shared" si="2"/>
        <v>0.36249999999999999</v>
      </c>
      <c r="F24" s="27">
        <f t="shared" si="4"/>
        <v>-0.44069198909298751</v>
      </c>
      <c r="G24" s="28">
        <f t="shared" si="5"/>
        <v>0.20357440557858797</v>
      </c>
      <c r="H24" s="28">
        <f t="shared" si="6"/>
        <v>1.5979912817453459</v>
      </c>
      <c r="I24" s="29">
        <v>500</v>
      </c>
      <c r="J24" s="30">
        <f t="shared" si="7"/>
        <v>798.99564087267299</v>
      </c>
      <c r="K24" s="31">
        <f t="shared" si="8"/>
        <v>39.949782043633654</v>
      </c>
      <c r="L24" s="32">
        <f t="shared" ref="L24:L27" si="10">K24+K42+K52</f>
        <v>40.369730216519791</v>
      </c>
      <c r="M24" s="33">
        <f t="shared" si="9"/>
        <v>0.80739460433039578</v>
      </c>
      <c r="N24" s="34"/>
    </row>
    <row r="25" spans="1:17" ht="15" x14ac:dyDescent="0.3">
      <c r="A25" s="1" t="s">
        <v>26</v>
      </c>
      <c r="B25">
        <v>0.42199999999999999</v>
      </c>
      <c r="C25">
        <v>0.42099999999999999</v>
      </c>
      <c r="D25" s="27">
        <f t="shared" si="3"/>
        <v>0.42149999999999999</v>
      </c>
      <c r="E25" s="27">
        <f t="shared" si="2"/>
        <v>0.3745</v>
      </c>
      <c r="F25" s="27">
        <f t="shared" si="4"/>
        <v>-0.42654817796451472</v>
      </c>
      <c r="G25" s="28">
        <f t="shared" si="5"/>
        <v>0.21766607132394078</v>
      </c>
      <c r="H25" s="28">
        <f t="shared" si="6"/>
        <v>1.650692094337477</v>
      </c>
      <c r="I25" s="29">
        <v>500</v>
      </c>
      <c r="J25" s="30">
        <f t="shared" si="7"/>
        <v>825.34604716873855</v>
      </c>
      <c r="K25" s="31">
        <f t="shared" si="8"/>
        <v>41.267302358436929</v>
      </c>
      <c r="L25" s="32">
        <f t="shared" si="10"/>
        <v>42.292361413618181</v>
      </c>
      <c r="M25" s="33">
        <f t="shared" si="9"/>
        <v>0.84584722827236369</v>
      </c>
      <c r="N25" s="34"/>
    </row>
    <row r="26" spans="1:17" ht="15" x14ac:dyDescent="0.3">
      <c r="B26">
        <v>0.40500000000000003</v>
      </c>
      <c r="C26">
        <v>0.40500000000000003</v>
      </c>
      <c r="D26" s="27">
        <f t="shared" si="3"/>
        <v>0.40500000000000003</v>
      </c>
      <c r="E26" s="27">
        <f t="shared" si="2"/>
        <v>0.35800000000000004</v>
      </c>
      <c r="F26" s="27">
        <f t="shared" si="4"/>
        <v>-0.4461169733561256</v>
      </c>
      <c r="G26" s="28">
        <f t="shared" si="5"/>
        <v>0.1981694221398565</v>
      </c>
      <c r="H26" s="28">
        <f t="shared" si="6"/>
        <v>1.5782268299463484</v>
      </c>
      <c r="I26" s="29">
        <v>500</v>
      </c>
      <c r="J26" s="30">
        <f t="shared" si="7"/>
        <v>789.11341497317426</v>
      </c>
      <c r="K26" s="31">
        <f t="shared" si="8"/>
        <v>39.455670748658719</v>
      </c>
      <c r="L26" s="32">
        <f t="shared" si="10"/>
        <v>40.342796206317011</v>
      </c>
      <c r="M26" s="33">
        <f t="shared" si="9"/>
        <v>0.80685592412634022</v>
      </c>
      <c r="N26" s="34"/>
    </row>
    <row r="27" spans="1:17" ht="15" x14ac:dyDescent="0.3">
      <c r="B27">
        <v>0.39800000000000002</v>
      </c>
      <c r="C27">
        <v>0.40699999999999997</v>
      </c>
      <c r="D27" s="27">
        <f t="shared" si="3"/>
        <v>0.40249999999999997</v>
      </c>
      <c r="E27" s="27">
        <f t="shared" si="2"/>
        <v>0.35549999999999998</v>
      </c>
      <c r="F27" s="27">
        <f t="shared" si="4"/>
        <v>-0.44916039493421489</v>
      </c>
      <c r="G27" s="28">
        <f t="shared" si="5"/>
        <v>0.1951372210441919</v>
      </c>
      <c r="H27" s="28">
        <f t="shared" si="6"/>
        <v>1.5672461838961791</v>
      </c>
      <c r="I27" s="29">
        <v>500</v>
      </c>
      <c r="J27" s="30">
        <f t="shared" si="7"/>
        <v>783.6230919480895</v>
      </c>
      <c r="K27" s="31">
        <f t="shared" si="8"/>
        <v>39.181154597404479</v>
      </c>
      <c r="L27" s="32">
        <f t="shared" si="10"/>
        <v>40.16046704280928</v>
      </c>
      <c r="M27" s="33">
        <f t="shared" si="9"/>
        <v>0.80320934085618556</v>
      </c>
      <c r="N27" s="34"/>
    </row>
    <row r="28" spans="1:17" ht="23.25" x14ac:dyDescent="0.35">
      <c r="A28" s="14" t="s">
        <v>12</v>
      </c>
      <c r="B28" s="15"/>
      <c r="C28" s="15"/>
      <c r="K28" s="16"/>
      <c r="L28" s="17" t="s">
        <v>13</v>
      </c>
      <c r="M28" s="18"/>
    </row>
    <row r="29" spans="1:17" s="17" customFormat="1" x14ac:dyDescent="0.2">
      <c r="A29" s="19" t="s">
        <v>14</v>
      </c>
      <c r="B29" s="9" t="s">
        <v>15</v>
      </c>
      <c r="C29" s="9" t="s">
        <v>15</v>
      </c>
      <c r="D29" s="9" t="s">
        <v>16</v>
      </c>
      <c r="E29" s="20" t="s">
        <v>17</v>
      </c>
      <c r="F29" s="21" t="s">
        <v>9</v>
      </c>
      <c r="G29" s="21" t="s">
        <v>18</v>
      </c>
      <c r="H29" s="21" t="s">
        <v>19</v>
      </c>
      <c r="I29" s="9" t="s">
        <v>20</v>
      </c>
      <c r="J29" s="21" t="s">
        <v>21</v>
      </c>
      <c r="K29" s="21" t="s">
        <v>22</v>
      </c>
      <c r="L29" s="21" t="s">
        <v>23</v>
      </c>
      <c r="M29" s="22" t="s">
        <v>24</v>
      </c>
    </row>
    <row r="30" spans="1:17" s="24" customFormat="1" x14ac:dyDescent="0.2">
      <c r="A30" s="23"/>
      <c r="L30" s="25"/>
      <c r="M30" s="26"/>
    </row>
    <row r="31" spans="1:17" ht="15" x14ac:dyDescent="0.3">
      <c r="A31" s="1" t="s">
        <v>25</v>
      </c>
      <c r="B31">
        <v>0.42599999999999999</v>
      </c>
      <c r="C31">
        <v>0.44</v>
      </c>
      <c r="D31" s="27">
        <f t="shared" ref="D31:D36" si="11">AVERAGE(B31:C31)</f>
        <v>0.433</v>
      </c>
      <c r="E31" s="27">
        <f t="shared" ref="E31:E36" si="12">D31-E$8</f>
        <v>0.38600000000000001</v>
      </c>
      <c r="F31" s="27">
        <f>LOG(E31)</f>
        <v>-0.41341269532824504</v>
      </c>
      <c r="G31" s="28">
        <f>(F31-$B$16)/$B$15</f>
        <v>0.23075312608116766</v>
      </c>
      <c r="H31" s="28">
        <f>10^G31</f>
        <v>1.7011911944056264</v>
      </c>
      <c r="I31" s="29">
        <v>500</v>
      </c>
      <c r="J31" s="30">
        <f>(H31*I31)</f>
        <v>850.59559720281322</v>
      </c>
      <c r="K31" s="31">
        <f>(0.05*J31/1000)*1000</f>
        <v>42.529779860140664</v>
      </c>
      <c r="L31" s="32">
        <f>K31+K50</f>
        <v>42.750420431851978</v>
      </c>
      <c r="M31" s="33">
        <f>(L31*1000000/50000)/1000</f>
        <v>0.85500840863703953</v>
      </c>
      <c r="N31" s="35"/>
      <c r="Q31"/>
    </row>
    <row r="32" spans="1:17" ht="15" x14ac:dyDescent="0.3">
      <c r="B32">
        <v>0.41899999999999998</v>
      </c>
      <c r="C32">
        <v>0.42199999999999999</v>
      </c>
      <c r="D32" s="27">
        <f t="shared" si="11"/>
        <v>0.42049999999999998</v>
      </c>
      <c r="E32" s="27">
        <f t="shared" si="12"/>
        <v>0.3735</v>
      </c>
      <c r="F32" s="27">
        <f t="shared" ref="F32:F36" si="13">LOG(E32)</f>
        <v>-0.42770939384858242</v>
      </c>
      <c r="G32" s="28">
        <f t="shared" ref="G32:G36" si="14">(F32-$B$16)/$B$15</f>
        <v>0.21650913660897311</v>
      </c>
      <c r="H32" s="28">
        <f t="shared" ref="H32:H36" si="15">10^G32</f>
        <v>1.6463006005390597</v>
      </c>
      <c r="I32" s="29">
        <v>500</v>
      </c>
      <c r="J32" s="30">
        <f t="shared" ref="J32:J36" si="16">(H32*I32)</f>
        <v>823.15030026952979</v>
      </c>
      <c r="K32" s="31">
        <f t="shared" ref="K32:K36" si="17">(0.05*J32/1000)*1000</f>
        <v>41.157515013476491</v>
      </c>
      <c r="L32" s="32">
        <f>K32+K51</f>
        <v>41.459654452511828</v>
      </c>
      <c r="M32" s="33">
        <f t="shared" ref="M32:M36" si="18">(L32*1000000/50000)/1000</f>
        <v>0.82919308905023648</v>
      </c>
      <c r="N32" s="36"/>
      <c r="Q32"/>
    </row>
    <row r="33" spans="1:21" ht="15" x14ac:dyDescent="0.3">
      <c r="B33">
        <v>0.40600000000000003</v>
      </c>
      <c r="C33">
        <v>0.41299999999999998</v>
      </c>
      <c r="D33" s="27">
        <f t="shared" si="11"/>
        <v>0.40949999999999998</v>
      </c>
      <c r="E33" s="27">
        <f t="shared" si="12"/>
        <v>0.36249999999999999</v>
      </c>
      <c r="F33" s="27">
        <f t="shared" si="13"/>
        <v>-0.44069198909298751</v>
      </c>
      <c r="G33" s="28">
        <f t="shared" si="14"/>
        <v>0.20357440557858797</v>
      </c>
      <c r="H33" s="28">
        <f t="shared" si="15"/>
        <v>1.5979912817453459</v>
      </c>
      <c r="I33" s="29">
        <v>500</v>
      </c>
      <c r="J33" s="30">
        <f t="shared" si="16"/>
        <v>798.99564087267299</v>
      </c>
      <c r="K33" s="31">
        <f t="shared" si="17"/>
        <v>39.949782043633654</v>
      </c>
      <c r="L33" s="32">
        <f t="shared" ref="L33:L36" si="19">K33+K52</f>
        <v>40.21649871467406</v>
      </c>
      <c r="M33" s="33">
        <f t="shared" si="18"/>
        <v>0.8043299742934813</v>
      </c>
      <c r="N33" s="36"/>
      <c r="Q33"/>
      <c r="R33"/>
      <c r="S33"/>
    </row>
    <row r="34" spans="1:21" ht="15" x14ac:dyDescent="0.3">
      <c r="A34" s="1" t="s">
        <v>26</v>
      </c>
      <c r="B34">
        <v>0.42199999999999999</v>
      </c>
      <c r="C34">
        <v>0.42099999999999999</v>
      </c>
      <c r="D34" s="27">
        <f t="shared" si="11"/>
        <v>0.42149999999999999</v>
      </c>
      <c r="E34" s="27">
        <f t="shared" si="12"/>
        <v>0.3745</v>
      </c>
      <c r="F34" s="27">
        <f t="shared" si="13"/>
        <v>-0.42654817796451472</v>
      </c>
      <c r="G34" s="28">
        <f t="shared" si="14"/>
        <v>0.21766607132394078</v>
      </c>
      <c r="H34" s="28">
        <f t="shared" si="15"/>
        <v>1.650692094337477</v>
      </c>
      <c r="I34" s="29">
        <v>500</v>
      </c>
      <c r="J34" s="30">
        <f t="shared" si="16"/>
        <v>825.34604716873855</v>
      </c>
      <c r="K34" s="31">
        <f t="shared" si="17"/>
        <v>41.267302358436929</v>
      </c>
      <c r="L34" s="32">
        <f t="shared" si="19"/>
        <v>41.947734826772844</v>
      </c>
      <c r="M34" s="33">
        <f t="shared" si="18"/>
        <v>0.83895469653545696</v>
      </c>
      <c r="N34" s="36"/>
      <c r="Q34"/>
      <c r="R34"/>
      <c r="S34"/>
    </row>
    <row r="35" spans="1:21" ht="15" x14ac:dyDescent="0.3">
      <c r="B35">
        <v>0.40500000000000003</v>
      </c>
      <c r="C35">
        <v>0.40500000000000003</v>
      </c>
      <c r="D35" s="27">
        <f t="shared" si="11"/>
        <v>0.40500000000000003</v>
      </c>
      <c r="E35" s="27">
        <f t="shared" si="12"/>
        <v>0.35800000000000004</v>
      </c>
      <c r="F35" s="27">
        <f t="shared" si="13"/>
        <v>-0.4461169733561256</v>
      </c>
      <c r="G35" s="28">
        <f t="shared" si="14"/>
        <v>0.1981694221398565</v>
      </c>
      <c r="H35" s="28">
        <f t="shared" si="15"/>
        <v>1.5782268299463484</v>
      </c>
      <c r="I35" s="29">
        <v>500</v>
      </c>
      <c r="J35" s="30">
        <f t="shared" si="16"/>
        <v>789.11341497317426</v>
      </c>
      <c r="K35" s="31">
        <f t="shared" si="17"/>
        <v>39.455670748658719</v>
      </c>
      <c r="L35" s="32">
        <f t="shared" si="19"/>
        <v>40.072536510770426</v>
      </c>
      <c r="M35" s="33">
        <f t="shared" si="18"/>
        <v>0.80145073021540847</v>
      </c>
      <c r="N35" s="36"/>
      <c r="Q35"/>
      <c r="R35"/>
      <c r="S35"/>
    </row>
    <row r="36" spans="1:21" ht="15" x14ac:dyDescent="0.3">
      <c r="B36">
        <v>0.39800000000000002</v>
      </c>
      <c r="C36">
        <v>0.40699999999999997</v>
      </c>
      <c r="D36" s="27">
        <f t="shared" si="11"/>
        <v>0.40249999999999997</v>
      </c>
      <c r="E36" s="27">
        <f t="shared" si="12"/>
        <v>0.35549999999999998</v>
      </c>
      <c r="F36" s="27">
        <f t="shared" si="13"/>
        <v>-0.44916039493421489</v>
      </c>
      <c r="G36" s="28">
        <f t="shared" si="14"/>
        <v>0.1951372210441919</v>
      </c>
      <c r="H36" s="28">
        <f t="shared" si="15"/>
        <v>1.5672461838961791</v>
      </c>
      <c r="I36" s="29">
        <v>500</v>
      </c>
      <c r="J36" s="30">
        <f t="shared" si="16"/>
        <v>783.6230919480895</v>
      </c>
      <c r="K36" s="31">
        <f t="shared" si="17"/>
        <v>39.181154597404479</v>
      </c>
      <c r="L36" s="32">
        <f t="shared" si="19"/>
        <v>39.68141628803086</v>
      </c>
      <c r="M36" s="33">
        <f t="shared" si="18"/>
        <v>0.79362832576061726</v>
      </c>
      <c r="N36" s="37"/>
      <c r="Q36"/>
      <c r="R36"/>
      <c r="S36"/>
    </row>
    <row r="37" spans="1:21" ht="15" x14ac:dyDescent="0.3">
      <c r="R37"/>
      <c r="S37"/>
    </row>
    <row r="38" spans="1:21" ht="23.25" x14ac:dyDescent="0.35">
      <c r="A38" s="14" t="s">
        <v>27</v>
      </c>
      <c r="E38" s="28"/>
      <c r="F38" s="27"/>
      <c r="H38" s="38"/>
      <c r="M38" s="39" t="s">
        <v>28</v>
      </c>
      <c r="R38"/>
      <c r="S38"/>
      <c r="T38"/>
    </row>
    <row r="39" spans="1:21" ht="15" x14ac:dyDescent="0.3">
      <c r="A39" s="19" t="s">
        <v>14</v>
      </c>
      <c r="B39" s="21" t="s">
        <v>15</v>
      </c>
      <c r="C39" s="21" t="s">
        <v>15</v>
      </c>
      <c r="D39" s="9" t="s">
        <v>16</v>
      </c>
      <c r="E39" s="20" t="s">
        <v>17</v>
      </c>
      <c r="F39" s="21" t="s">
        <v>9</v>
      </c>
      <c r="G39" s="21" t="s">
        <v>18</v>
      </c>
      <c r="H39" s="21" t="s">
        <v>19</v>
      </c>
      <c r="I39" s="9" t="s">
        <v>20</v>
      </c>
      <c r="J39" s="21" t="s">
        <v>21</v>
      </c>
      <c r="K39" s="21" t="s">
        <v>29</v>
      </c>
      <c r="L39" s="21" t="s">
        <v>30</v>
      </c>
      <c r="M39" s="17" t="s">
        <v>31</v>
      </c>
      <c r="N39" s="40" t="s">
        <v>32</v>
      </c>
      <c r="R39"/>
      <c r="S39"/>
      <c r="T39"/>
    </row>
    <row r="40" spans="1:21" ht="15" x14ac:dyDescent="0.3">
      <c r="A40" s="1" t="s">
        <v>33</v>
      </c>
      <c r="B40">
        <v>7.2999999999999995E-2</v>
      </c>
      <c r="C40">
        <v>7.1999999999999995E-2</v>
      </c>
      <c r="D40" s="27">
        <f>AVERAGE(B40:C40)</f>
        <v>7.2499999999999995E-2</v>
      </c>
      <c r="E40" s="27">
        <f t="shared" ref="E40:E45" si="20">D40-E$8</f>
        <v>2.5499999999999995E-2</v>
      </c>
      <c r="F40" s="27">
        <f t="shared" ref="F40:F45" si="21">LOG(E40)</f>
        <v>-1.593459819566045</v>
      </c>
      <c r="G40" s="28">
        <f t="shared" ref="G40:G45" si="22">(F40-$B$16)/$B$15</f>
        <v>-0.94494340206664929</v>
      </c>
      <c r="H40" s="27">
        <f t="shared" ref="H40:H45" si="23">10^G40</f>
        <v>0.11351587416885024</v>
      </c>
      <c r="I40" s="41">
        <v>16</v>
      </c>
      <c r="J40" s="42">
        <f t="shared" ref="J40:J45" si="24">H40*I40</f>
        <v>1.8162539867016039</v>
      </c>
      <c r="K40" s="30">
        <f>(0.1*J40/1000)*1000</f>
        <v>0.18162539867016039</v>
      </c>
      <c r="L40" s="43">
        <f>K40*100/L22</f>
        <v>0.42305321155004333</v>
      </c>
      <c r="M40" s="30">
        <f>AVERAGE(L40:L42)</f>
        <v>0.39595036639303988</v>
      </c>
      <c r="N40" s="44">
        <f>STDEV(L40:L42)</f>
        <v>2.3641583006207306E-2</v>
      </c>
      <c r="R40"/>
      <c r="S40"/>
      <c r="T40"/>
      <c r="U40"/>
    </row>
    <row r="41" spans="1:21" ht="15" x14ac:dyDescent="0.3">
      <c r="B41">
        <v>7.1999999999999995E-2</v>
      </c>
      <c r="C41">
        <v>6.7000000000000004E-2</v>
      </c>
      <c r="D41" s="27">
        <f>AVERAGE(B41:C41)</f>
        <v>6.9500000000000006E-2</v>
      </c>
      <c r="E41" s="27">
        <f t="shared" si="20"/>
        <v>2.2500000000000006E-2</v>
      </c>
      <c r="F41" s="27">
        <f t="shared" si="21"/>
        <v>-1.6478174818886373</v>
      </c>
      <c r="G41" s="28">
        <f t="shared" si="22"/>
        <v>-0.99910065863568842</v>
      </c>
      <c r="H41" s="27">
        <f t="shared" si="23"/>
        <v>0.10020729556268369</v>
      </c>
      <c r="I41" s="41">
        <v>16</v>
      </c>
      <c r="J41" s="42">
        <f t="shared" si="24"/>
        <v>1.6033167290029391</v>
      </c>
      <c r="K41" s="30">
        <f t="shared" ref="K41:K45" si="25">(0.1*J41/1000)*1000</f>
        <v>0.16033167290029393</v>
      </c>
      <c r="L41" s="43">
        <f t="shared" ref="L41:L45" si="26">K41*100/L23</f>
        <v>0.38522759814761071</v>
      </c>
      <c r="M41" s="30"/>
      <c r="N41" s="44"/>
      <c r="R41"/>
      <c r="S41"/>
      <c r="T41"/>
      <c r="U41"/>
    </row>
    <row r="42" spans="1:21" s="17" customFormat="1" ht="15" x14ac:dyDescent="0.3">
      <c r="A42" s="1"/>
      <c r="B42">
        <v>6.9000000000000006E-2</v>
      </c>
      <c r="C42">
        <v>6.8000000000000005E-2</v>
      </c>
      <c r="D42" s="27">
        <f>AVERAGE(B42:C42)</f>
        <v>6.8500000000000005E-2</v>
      </c>
      <c r="E42" s="27">
        <f t="shared" si="20"/>
        <v>2.1500000000000005E-2</v>
      </c>
      <c r="F42" s="27">
        <f t="shared" si="21"/>
        <v>-1.6675615400843946</v>
      </c>
      <c r="G42" s="28">
        <f t="shared" si="22"/>
        <v>-1.0187719244652576</v>
      </c>
      <c r="H42" s="27">
        <f t="shared" si="23"/>
        <v>9.5769688653581764E-2</v>
      </c>
      <c r="I42" s="41">
        <v>16</v>
      </c>
      <c r="J42" s="42">
        <f t="shared" si="24"/>
        <v>1.5323150184573082</v>
      </c>
      <c r="K42" s="30">
        <f t="shared" si="25"/>
        <v>0.15323150184573084</v>
      </c>
      <c r="L42" s="43">
        <f t="shared" si="26"/>
        <v>0.37957028948146554</v>
      </c>
      <c r="M42" s="30"/>
      <c r="N42" s="44"/>
      <c r="R42"/>
      <c r="S42"/>
      <c r="T42"/>
      <c r="U42"/>
    </row>
    <row r="43" spans="1:21" ht="15" x14ac:dyDescent="0.3">
      <c r="A43" s="1" t="s">
        <v>34</v>
      </c>
      <c r="B43">
        <v>9.9000000000000005E-2</v>
      </c>
      <c r="C43">
        <v>9.1999999999999998E-2</v>
      </c>
      <c r="D43" s="27">
        <f t="shared" ref="D43:D45" si="27">AVERAGE(B43:C43)</f>
        <v>9.5500000000000002E-2</v>
      </c>
      <c r="E43" s="27">
        <f t="shared" si="20"/>
        <v>4.8500000000000001E-2</v>
      </c>
      <c r="F43" s="27">
        <f t="shared" si="21"/>
        <v>-1.3142582613977363</v>
      </c>
      <c r="G43" s="28">
        <f t="shared" si="22"/>
        <v>-0.66677120381315647</v>
      </c>
      <c r="H43" s="27">
        <f t="shared" si="23"/>
        <v>0.21539161677833335</v>
      </c>
      <c r="I43" s="41">
        <v>16</v>
      </c>
      <c r="J43" s="42">
        <f t="shared" si="24"/>
        <v>3.4462658684533336</v>
      </c>
      <c r="K43" s="30">
        <f t="shared" si="25"/>
        <v>0.34462658684533337</v>
      </c>
      <c r="L43" s="43">
        <f t="shared" si="26"/>
        <v>0.8148672131945871</v>
      </c>
      <c r="M43" s="30">
        <f>AVERAGE(L43:L45)</f>
        <v>0.89253899842908879</v>
      </c>
      <c r="N43" s="44">
        <f>STDEV(L43:L45)</f>
        <v>0.26998058417209414</v>
      </c>
      <c r="R43"/>
      <c r="S43"/>
      <c r="T43"/>
      <c r="U43"/>
    </row>
    <row r="44" spans="1:21" ht="15" x14ac:dyDescent="0.3">
      <c r="A44" s="45"/>
      <c r="B44">
        <v>8.3000000000000004E-2</v>
      </c>
      <c r="C44">
        <v>8.6999999999999994E-2</v>
      </c>
      <c r="D44" s="27">
        <f t="shared" si="27"/>
        <v>8.4999999999999992E-2</v>
      </c>
      <c r="E44" s="27">
        <f t="shared" si="20"/>
        <v>3.7999999999999992E-2</v>
      </c>
      <c r="F44" s="27">
        <f t="shared" si="21"/>
        <v>-1.4202164033831899</v>
      </c>
      <c r="G44" s="28">
        <f t="shared" si="22"/>
        <v>-0.77233869946868361</v>
      </c>
      <c r="H44" s="27">
        <f t="shared" si="23"/>
        <v>0.16891230971661753</v>
      </c>
      <c r="I44" s="41">
        <v>16</v>
      </c>
      <c r="J44" s="42">
        <f t="shared" si="24"/>
        <v>2.7025969554658804</v>
      </c>
      <c r="K44" s="30">
        <f t="shared" si="25"/>
        <v>0.27025969554658807</v>
      </c>
      <c r="L44" s="43">
        <f t="shared" si="26"/>
        <v>0.66990818922033446</v>
      </c>
      <c r="M44" s="30"/>
      <c r="N44" s="44"/>
      <c r="R44"/>
      <c r="S44"/>
      <c r="T44"/>
      <c r="U44"/>
    </row>
    <row r="45" spans="1:21" ht="15" x14ac:dyDescent="0.3">
      <c r="A45" s="46"/>
      <c r="B45">
        <v>0.112</v>
      </c>
      <c r="C45">
        <v>0.11700000000000001</v>
      </c>
      <c r="D45" s="27">
        <f t="shared" si="27"/>
        <v>0.1145</v>
      </c>
      <c r="E45" s="27">
        <f t="shared" si="20"/>
        <v>6.7500000000000004E-2</v>
      </c>
      <c r="F45" s="27">
        <f t="shared" si="21"/>
        <v>-1.1706962271689751</v>
      </c>
      <c r="G45" s="28">
        <f t="shared" si="22"/>
        <v>-0.52373845389173945</v>
      </c>
      <c r="H45" s="27">
        <f t="shared" si="23"/>
        <v>0.29940672173651212</v>
      </c>
      <c r="I45" s="41">
        <v>16</v>
      </c>
      <c r="J45" s="42">
        <f t="shared" si="24"/>
        <v>4.7905075477841939</v>
      </c>
      <c r="K45" s="30">
        <f t="shared" si="25"/>
        <v>0.47905075477841941</v>
      </c>
      <c r="L45" s="43">
        <f t="shared" si="26"/>
        <v>1.192841592872345</v>
      </c>
      <c r="M45" s="30"/>
      <c r="N45" s="44"/>
      <c r="R45"/>
      <c r="S45"/>
      <c r="T45"/>
      <c r="U45"/>
    </row>
    <row r="46" spans="1:21" ht="15" x14ac:dyDescent="0.3">
      <c r="E46" s="28"/>
      <c r="F46" s="27"/>
      <c r="G46" s="30"/>
      <c r="H46" s="47"/>
      <c r="R46"/>
      <c r="S46"/>
      <c r="T46"/>
    </row>
    <row r="47" spans="1:21" x14ac:dyDescent="0.2">
      <c r="E47" s="28"/>
      <c r="F47" s="27"/>
      <c r="G47" s="30"/>
      <c r="H47" s="47"/>
    </row>
    <row r="48" spans="1:21" ht="23.25" x14ac:dyDescent="0.35">
      <c r="A48" s="14" t="s">
        <v>35</v>
      </c>
      <c r="E48" s="28"/>
      <c r="F48" s="27"/>
      <c r="H48" s="38"/>
      <c r="M48" s="39" t="s">
        <v>28</v>
      </c>
    </row>
    <row r="49" spans="1:25" x14ac:dyDescent="0.2">
      <c r="A49" s="19" t="s">
        <v>14</v>
      </c>
      <c r="B49" s="21" t="s">
        <v>15</v>
      </c>
      <c r="C49" s="21" t="s">
        <v>15</v>
      </c>
      <c r="D49" s="9" t="s">
        <v>16</v>
      </c>
      <c r="E49" s="20" t="s">
        <v>17</v>
      </c>
      <c r="F49" s="21" t="s">
        <v>9</v>
      </c>
      <c r="G49" s="21" t="s">
        <v>18</v>
      </c>
      <c r="H49" s="21" t="s">
        <v>19</v>
      </c>
      <c r="I49" s="9" t="s">
        <v>20</v>
      </c>
      <c r="J49" s="21" t="s">
        <v>21</v>
      </c>
      <c r="K49" s="21" t="s">
        <v>29</v>
      </c>
      <c r="L49" s="21" t="s">
        <v>30</v>
      </c>
      <c r="M49" s="17" t="s">
        <v>31</v>
      </c>
      <c r="N49" s="40" t="s">
        <v>32</v>
      </c>
      <c r="O49" s="2" t="s">
        <v>36</v>
      </c>
      <c r="P49" s="17" t="s">
        <v>31</v>
      </c>
      <c r="Q49" s="40" t="s">
        <v>32</v>
      </c>
    </row>
    <row r="50" spans="1:25" ht="15" x14ac:dyDescent="0.3">
      <c r="A50" s="1" t="s">
        <v>25</v>
      </c>
      <c r="B50">
        <v>7.8E-2</v>
      </c>
      <c r="C50">
        <v>7.8E-2</v>
      </c>
      <c r="D50" s="27">
        <f>AVERAGE(B50:C50)</f>
        <v>7.8E-2</v>
      </c>
      <c r="E50" s="27">
        <f t="shared" ref="E50:E55" si="28">D50-E$8</f>
        <v>3.1E-2</v>
      </c>
      <c r="F50" s="27">
        <f t="shared" ref="F50:F55" si="29">LOG(E50)</f>
        <v>-1.5086383061657274</v>
      </c>
      <c r="G50" s="28">
        <f t="shared" ref="G50:G55" si="30">(F50-$B$16)/$B$15</f>
        <v>-0.86043460850350273</v>
      </c>
      <c r="H50" s="27">
        <f t="shared" ref="H50:H55" si="31">10^G50</f>
        <v>0.13790035731957184</v>
      </c>
      <c r="I50" s="41">
        <v>16</v>
      </c>
      <c r="J50" s="42">
        <f t="shared" ref="J50:J55" si="32">H50*I50</f>
        <v>2.2064057171131495</v>
      </c>
      <c r="K50" s="30">
        <f>(0.1*J50/1000)*1000</f>
        <v>0.22064057171131496</v>
      </c>
      <c r="L50" s="43">
        <f t="shared" ref="L50:L55" si="33">K50*100/L31</f>
        <v>0.51611322060103693</v>
      </c>
      <c r="M50" s="30">
        <f>AVERAGE(L50:L52)</f>
        <v>0.63602355393750065</v>
      </c>
      <c r="N50" s="44">
        <f>STDEV(L50:L52)</f>
        <v>0.10889523288465706</v>
      </c>
      <c r="O50" s="48">
        <f>L50/L40</f>
        <v>1.2199723498375699</v>
      </c>
      <c r="P50" s="30">
        <f>AVERAGE(O50:O52)</f>
        <v>1.6196565095963882</v>
      </c>
      <c r="Q50" s="44">
        <f>STDEV(O50:O52)</f>
        <v>0.35359753636712932</v>
      </c>
      <c r="S50"/>
      <c r="T50"/>
    </row>
    <row r="51" spans="1:25" ht="15" x14ac:dyDescent="0.3">
      <c r="B51">
        <v>8.6999999999999994E-2</v>
      </c>
      <c r="C51">
        <v>9.1999999999999998E-2</v>
      </c>
      <c r="D51" s="27">
        <f>AVERAGE(B51:C51)</f>
        <v>8.9499999999999996E-2</v>
      </c>
      <c r="E51" s="27">
        <f t="shared" si="28"/>
        <v>4.2499999999999996E-2</v>
      </c>
      <c r="F51" s="27">
        <f t="shared" si="29"/>
        <v>-1.3716110699496884</v>
      </c>
      <c r="G51" s="28">
        <f t="shared" si="30"/>
        <v>-0.72391256411061888</v>
      </c>
      <c r="H51" s="27">
        <f t="shared" si="31"/>
        <v>0.18883714939708574</v>
      </c>
      <c r="I51" s="41">
        <v>16</v>
      </c>
      <c r="J51" s="42">
        <f t="shared" si="32"/>
        <v>3.0213943903533718</v>
      </c>
      <c r="K51" s="30">
        <f t="shared" ref="K51:K55" si="34">(0.1*J51/1000)*1000</f>
        <v>0.30213943903533719</v>
      </c>
      <c r="L51" s="43">
        <f t="shared" si="33"/>
        <v>0.72875532376037955</v>
      </c>
      <c r="M51" s="30"/>
      <c r="N51" s="44"/>
      <c r="O51" s="2">
        <f t="shared" ref="O51:O55" si="35">L51/L41</f>
        <v>1.8917526347142362</v>
      </c>
      <c r="P51" s="30"/>
      <c r="Q51" s="44"/>
      <c r="S51"/>
      <c r="T51"/>
    </row>
    <row r="52" spans="1:25" ht="15" x14ac:dyDescent="0.3">
      <c r="B52">
        <v>8.5999999999999993E-2</v>
      </c>
      <c r="C52">
        <v>8.3000000000000004E-2</v>
      </c>
      <c r="D52" s="27">
        <f>AVERAGE(B52:C52)</f>
        <v>8.4499999999999992E-2</v>
      </c>
      <c r="E52" s="27">
        <f t="shared" si="28"/>
        <v>3.7499999999999992E-2</v>
      </c>
      <c r="F52" s="27">
        <f t="shared" si="29"/>
        <v>-1.4259687322722812</v>
      </c>
      <c r="G52" s="28">
        <f t="shared" si="30"/>
        <v>-0.77806982067965835</v>
      </c>
      <c r="H52" s="27">
        <f t="shared" si="31"/>
        <v>0.16669791940025436</v>
      </c>
      <c r="I52" s="41">
        <v>16</v>
      </c>
      <c r="J52" s="42">
        <f t="shared" si="32"/>
        <v>2.6671667104040697</v>
      </c>
      <c r="K52" s="30">
        <f t="shared" si="34"/>
        <v>0.26671667104040697</v>
      </c>
      <c r="L52" s="43">
        <f t="shared" si="33"/>
        <v>0.66320211745108559</v>
      </c>
      <c r="M52" s="30"/>
      <c r="N52" s="44"/>
      <c r="O52" s="2">
        <f t="shared" si="35"/>
        <v>1.7472445442373588</v>
      </c>
      <c r="P52" s="30"/>
      <c r="Q52" s="44"/>
      <c r="S52"/>
      <c r="T52"/>
    </row>
    <row r="53" spans="1:25" ht="15" x14ac:dyDescent="0.3">
      <c r="A53" s="1" t="s">
        <v>26</v>
      </c>
      <c r="B53">
        <v>0.14299999999999999</v>
      </c>
      <c r="C53">
        <v>0.14299999999999999</v>
      </c>
      <c r="D53" s="27">
        <f t="shared" ref="D53:D55" si="36">AVERAGE(B53:C53)</f>
        <v>0.14299999999999999</v>
      </c>
      <c r="E53" s="27">
        <f t="shared" si="28"/>
        <v>9.5999999999999988E-2</v>
      </c>
      <c r="F53" s="27">
        <f t="shared" si="29"/>
        <v>-1.0177287669604316</v>
      </c>
      <c r="G53" s="28">
        <f t="shared" si="30"/>
        <v>-0.3713349539019099</v>
      </c>
      <c r="H53" s="27">
        <f t="shared" si="31"/>
        <v>0.42527029270994815</v>
      </c>
      <c r="I53" s="41">
        <v>16</v>
      </c>
      <c r="J53" s="42">
        <f t="shared" si="32"/>
        <v>6.8043246833591704</v>
      </c>
      <c r="K53" s="30">
        <f t="shared" si="34"/>
        <v>0.68043246833591708</v>
      </c>
      <c r="L53" s="43">
        <f t="shared" si="33"/>
        <v>1.6220958560595169</v>
      </c>
      <c r="M53" s="30">
        <f>AVERAGE(L53:L55)</f>
        <v>1.4740546309898239</v>
      </c>
      <c r="N53" s="44">
        <f>STDEV(L53:L55)</f>
        <v>0.18934749398931836</v>
      </c>
      <c r="O53" s="2">
        <f t="shared" si="35"/>
        <v>1.9906259937742357</v>
      </c>
      <c r="P53" s="30">
        <f>AVERAGE(O53:O55)</f>
        <v>1.7817987704995024</v>
      </c>
      <c r="Q53" s="44">
        <f>STDEV(O53:O55)</f>
        <v>0.6463190704061218</v>
      </c>
      <c r="S53"/>
      <c r="T53"/>
    </row>
    <row r="54" spans="1:25" ht="15" x14ac:dyDescent="0.3">
      <c r="A54" s="45"/>
      <c r="B54">
        <v>0.13800000000000001</v>
      </c>
      <c r="C54">
        <v>0.13</v>
      </c>
      <c r="D54" s="27">
        <f t="shared" si="36"/>
        <v>0.13400000000000001</v>
      </c>
      <c r="E54" s="27">
        <f t="shared" si="28"/>
        <v>8.7000000000000008E-2</v>
      </c>
      <c r="F54" s="27">
        <f t="shared" si="29"/>
        <v>-1.0604807473813815</v>
      </c>
      <c r="G54" s="28">
        <f t="shared" si="30"/>
        <v>-0.41392931638113695</v>
      </c>
      <c r="H54" s="27">
        <f t="shared" si="31"/>
        <v>0.38554110131981933</v>
      </c>
      <c r="I54" s="41">
        <v>16</v>
      </c>
      <c r="J54" s="42">
        <f t="shared" si="32"/>
        <v>6.1686576211171094</v>
      </c>
      <c r="K54" s="30">
        <f t="shared" si="34"/>
        <v>0.61686576211171096</v>
      </c>
      <c r="L54" s="43">
        <f t="shared" si="33"/>
        <v>1.5393728868296468</v>
      </c>
      <c r="M54" s="30"/>
      <c r="N54" s="44"/>
      <c r="O54" s="2">
        <f t="shared" si="35"/>
        <v>2.2978863545782739</v>
      </c>
      <c r="P54" s="30"/>
      <c r="Q54" s="44"/>
      <c r="S54"/>
      <c r="T54"/>
    </row>
    <row r="55" spans="1:25" ht="15" x14ac:dyDescent="0.3">
      <c r="A55" s="46"/>
      <c r="B55">
        <v>0.11600000000000001</v>
      </c>
      <c r="C55">
        <v>0.11899999999999999</v>
      </c>
      <c r="D55" s="27">
        <f t="shared" si="36"/>
        <v>0.11749999999999999</v>
      </c>
      <c r="E55" s="27">
        <f t="shared" si="28"/>
        <v>7.0499999999999993E-2</v>
      </c>
      <c r="F55" s="27">
        <f t="shared" si="29"/>
        <v>-1.1518108830086013</v>
      </c>
      <c r="G55" s="28">
        <f t="shared" si="30"/>
        <v>-0.50492273619184724</v>
      </c>
      <c r="H55" s="27">
        <f t="shared" si="31"/>
        <v>0.31266355664148909</v>
      </c>
      <c r="I55" s="41">
        <v>16</v>
      </c>
      <c r="J55" s="42">
        <f t="shared" si="32"/>
        <v>5.0026169062638255</v>
      </c>
      <c r="K55" s="30">
        <f t="shared" si="34"/>
        <v>0.50026169062638259</v>
      </c>
      <c r="L55" s="43">
        <f t="shared" si="33"/>
        <v>1.2606951500803085</v>
      </c>
      <c r="M55" s="30"/>
      <c r="N55" s="44"/>
      <c r="O55" s="2">
        <f t="shared" si="35"/>
        <v>1.0568839631459976</v>
      </c>
      <c r="P55" s="30"/>
      <c r="Q55" s="44"/>
      <c r="S55"/>
      <c r="T55"/>
      <c r="Y55" s="1"/>
    </row>
    <row r="56" spans="1:25" x14ac:dyDescent="0.2">
      <c r="D56" s="27"/>
      <c r="E56" s="28"/>
      <c r="F56" s="27"/>
      <c r="G56" s="30"/>
      <c r="H56" s="47"/>
    </row>
    <row r="57" spans="1:25" x14ac:dyDescent="0.2">
      <c r="B57" s="30"/>
      <c r="C57" s="30"/>
      <c r="D57" s="27"/>
      <c r="E57" s="28"/>
      <c r="F57" s="27"/>
      <c r="G57" s="30"/>
      <c r="H57" s="47"/>
      <c r="M57" s="2" t="s">
        <v>37</v>
      </c>
      <c r="N57" s="2" t="s">
        <v>38</v>
      </c>
      <c r="O57" s="40" t="s">
        <v>32</v>
      </c>
    </row>
    <row r="58" spans="1:25" ht="15" x14ac:dyDescent="0.3">
      <c r="C58"/>
      <c r="D58"/>
      <c r="E58"/>
      <c r="F58"/>
      <c r="G58"/>
      <c r="H58" s="47"/>
      <c r="M58" s="2" t="s">
        <v>25</v>
      </c>
      <c r="N58" s="30">
        <f>P50</f>
        <v>1.6196565095963882</v>
      </c>
      <c r="O58" s="30">
        <f>Q50</f>
        <v>0.35359753636712932</v>
      </c>
    </row>
    <row r="59" spans="1:25" ht="15" x14ac:dyDescent="0.3">
      <c r="D59"/>
      <c r="E59"/>
      <c r="G59"/>
      <c r="M59" s="2" t="s">
        <v>26</v>
      </c>
      <c r="N59" s="30">
        <f>P53</f>
        <v>1.7817987704995024</v>
      </c>
      <c r="O59" s="30">
        <f>Q53</f>
        <v>0.6463190704061218</v>
      </c>
    </row>
    <row r="60" spans="1:25" x14ac:dyDescent="0.2">
      <c r="G60" s="30"/>
      <c r="H60" s="47"/>
    </row>
    <row r="61" spans="1:25" ht="15" x14ac:dyDescent="0.3">
      <c r="A61" s="49"/>
      <c r="D61"/>
      <c r="E61"/>
      <c r="F61"/>
      <c r="G61" s="30"/>
      <c r="H61" s="47"/>
    </row>
    <row r="62" spans="1:25" ht="15" x14ac:dyDescent="0.3">
      <c r="C62" s="27"/>
      <c r="D62"/>
      <c r="E62"/>
      <c r="F62"/>
      <c r="G62" s="30"/>
      <c r="H62" s="47"/>
    </row>
    <row r="63" spans="1:25" ht="15" x14ac:dyDescent="0.3">
      <c r="C63" s="27"/>
      <c r="D63"/>
      <c r="E63"/>
      <c r="F63"/>
      <c r="G63" s="30"/>
      <c r="H63" s="47"/>
    </row>
    <row r="64" spans="1:25" ht="13.5" thickBot="1" x14ac:dyDescent="0.25">
      <c r="B64" s="50" t="s">
        <v>16</v>
      </c>
      <c r="C64" s="51" t="s">
        <v>39</v>
      </c>
      <c r="D64" s="27"/>
      <c r="E64" s="28"/>
      <c r="F64" s="27"/>
      <c r="G64" s="30"/>
      <c r="H64" s="47"/>
    </row>
    <row r="65" spans="1:8" x14ac:dyDescent="0.2">
      <c r="A65" s="1" t="s">
        <v>33</v>
      </c>
      <c r="B65" s="30">
        <f>M40</f>
        <v>0.39595036639303988</v>
      </c>
      <c r="C65" s="30">
        <f>N40</f>
        <v>2.3641583006207306E-2</v>
      </c>
      <c r="D65" s="27"/>
      <c r="E65" s="28"/>
      <c r="F65" s="27"/>
      <c r="G65" s="30"/>
      <c r="H65" s="47"/>
    </row>
    <row r="66" spans="1:8" x14ac:dyDescent="0.2">
      <c r="A66" s="1" t="s">
        <v>25</v>
      </c>
      <c r="B66" s="30">
        <f>M50</f>
        <v>0.63602355393750065</v>
      </c>
      <c r="C66" s="30">
        <f>N50</f>
        <v>0.10889523288465706</v>
      </c>
      <c r="D66" s="27"/>
      <c r="E66" s="28"/>
      <c r="F66" s="27"/>
      <c r="G66" s="30"/>
      <c r="H66" s="47"/>
    </row>
    <row r="67" spans="1:8" x14ac:dyDescent="0.2">
      <c r="A67" s="52" t="s">
        <v>34</v>
      </c>
      <c r="B67" s="30">
        <f>M43</f>
        <v>0.89253899842908879</v>
      </c>
      <c r="C67" s="30">
        <f>N43</f>
        <v>0.26998058417209414</v>
      </c>
      <c r="D67" s="27"/>
      <c r="E67" s="28"/>
      <c r="F67" s="27"/>
      <c r="G67" s="30"/>
      <c r="H67" s="47"/>
    </row>
    <row r="68" spans="1:8" x14ac:dyDescent="0.2">
      <c r="A68" s="45" t="s">
        <v>26</v>
      </c>
      <c r="B68" s="30">
        <f>M53</f>
        <v>1.4740546309898239</v>
      </c>
      <c r="C68" s="30">
        <f>N53</f>
        <v>0.18934749398931836</v>
      </c>
      <c r="D68" s="27"/>
      <c r="E68" s="28"/>
      <c r="F68" s="27"/>
      <c r="G68" s="30"/>
      <c r="H68" s="47"/>
    </row>
    <row r="69" spans="1:8" x14ac:dyDescent="0.2">
      <c r="A69" s="53"/>
      <c r="C69" s="27"/>
      <c r="D69" s="27"/>
      <c r="E69" s="28"/>
      <c r="F69" s="27"/>
      <c r="G69" s="30"/>
      <c r="H69" s="47"/>
    </row>
    <row r="70" spans="1:8" x14ac:dyDescent="0.2">
      <c r="A70" s="53"/>
      <c r="C70" s="27"/>
      <c r="D70" s="27"/>
      <c r="E70" s="28"/>
      <c r="F70" s="27"/>
      <c r="G70" s="30"/>
      <c r="H70" s="47"/>
    </row>
    <row r="71" spans="1:8" x14ac:dyDescent="0.2">
      <c r="A71" s="53"/>
      <c r="B71" s="48"/>
      <c r="C71" s="27"/>
      <c r="D71" s="27"/>
      <c r="E71" s="28"/>
      <c r="F71" s="27"/>
      <c r="G71" s="30"/>
      <c r="H71" s="47"/>
    </row>
    <row r="72" spans="1:8" x14ac:dyDescent="0.2">
      <c r="A72" s="53"/>
      <c r="B72" s="48"/>
      <c r="C72" s="27"/>
      <c r="D72" s="27"/>
      <c r="E72" s="28"/>
      <c r="F72" s="27"/>
      <c r="G72" s="30"/>
      <c r="H72" s="47"/>
    </row>
    <row r="73" spans="1:8" x14ac:dyDescent="0.2">
      <c r="C73" s="27"/>
      <c r="D73" s="27"/>
      <c r="E73" s="28"/>
      <c r="F73" s="27"/>
      <c r="G73" s="30"/>
      <c r="H73" s="47"/>
    </row>
    <row r="74" spans="1:8" x14ac:dyDescent="0.2">
      <c r="C74" s="27"/>
      <c r="D74" s="28"/>
      <c r="H74" s="47"/>
    </row>
    <row r="75" spans="1:8" x14ac:dyDescent="0.2">
      <c r="A75" s="54"/>
      <c r="C75" s="27"/>
      <c r="D75" s="28"/>
      <c r="H75" s="38"/>
    </row>
    <row r="76" spans="1:8" x14ac:dyDescent="0.2">
      <c r="A76" s="54"/>
      <c r="C76" s="27"/>
      <c r="D76" s="28"/>
    </row>
    <row r="77" spans="1:8" x14ac:dyDescent="0.2">
      <c r="A77" s="55"/>
      <c r="B77" s="38"/>
      <c r="C77" s="56"/>
      <c r="D77" s="57"/>
      <c r="E77" s="38"/>
    </row>
    <row r="78" spans="1:8" x14ac:dyDescent="0.2">
      <c r="A78" s="52"/>
      <c r="B78" s="58"/>
      <c r="C78" s="59"/>
      <c r="D78" s="38"/>
      <c r="E78" s="38"/>
    </row>
    <row r="79" spans="1:8" x14ac:dyDescent="0.2">
      <c r="A79" s="52"/>
      <c r="B79" s="42"/>
      <c r="C79" s="56"/>
      <c r="D79" s="38"/>
      <c r="E79" s="38"/>
    </row>
    <row r="80" spans="1:8" x14ac:dyDescent="0.2">
      <c r="A80" s="52"/>
      <c r="B80" s="42"/>
      <c r="C80" s="56"/>
      <c r="D80" s="38"/>
      <c r="E80" s="38"/>
    </row>
    <row r="81" spans="1:7" x14ac:dyDescent="0.2">
      <c r="A81" s="52"/>
      <c r="B81" s="42"/>
      <c r="C81" s="56"/>
      <c r="D81" s="38"/>
      <c r="E81" s="38"/>
    </row>
    <row r="82" spans="1:7" x14ac:dyDescent="0.2">
      <c r="A82" s="52"/>
      <c r="B82" s="42"/>
      <c r="C82" s="56"/>
      <c r="D82" s="38"/>
      <c r="E82" s="38"/>
    </row>
    <row r="83" spans="1:7" x14ac:dyDescent="0.2">
      <c r="A83" s="52"/>
      <c r="B83" s="38"/>
      <c r="C83" s="38"/>
      <c r="D83" s="60"/>
      <c r="E83" s="58"/>
    </row>
    <row r="84" spans="1:7" x14ac:dyDescent="0.2">
      <c r="A84" s="52"/>
      <c r="B84" s="42"/>
      <c r="C84" s="56"/>
      <c r="D84" s="47"/>
      <c r="E84" s="47"/>
    </row>
    <row r="85" spans="1:7" x14ac:dyDescent="0.2">
      <c r="A85" s="52"/>
      <c r="B85" s="42"/>
      <c r="C85" s="56"/>
      <c r="D85" s="47"/>
      <c r="E85" s="47"/>
    </row>
    <row r="86" spans="1:7" x14ac:dyDescent="0.2">
      <c r="A86" s="52"/>
      <c r="B86" s="42"/>
      <c r="C86" s="56"/>
      <c r="D86" s="47"/>
      <c r="E86" s="47"/>
      <c r="F86" s="47"/>
      <c r="G86" s="38"/>
    </row>
    <row r="87" spans="1:7" x14ac:dyDescent="0.2">
      <c r="A87" s="52"/>
      <c r="B87" s="42"/>
      <c r="C87" s="56"/>
      <c r="D87" s="47"/>
      <c r="E87" s="47"/>
      <c r="F87" s="47"/>
      <c r="G87" s="38"/>
    </row>
    <row r="88" spans="1:7" x14ac:dyDescent="0.2">
      <c r="A88" s="52"/>
      <c r="B88" s="38"/>
      <c r="C88" s="47"/>
      <c r="D88" s="47"/>
      <c r="E88" s="47"/>
      <c r="F88" s="47"/>
      <c r="G88" s="38"/>
    </row>
    <row r="89" spans="1:7" x14ac:dyDescent="0.2">
      <c r="A89" s="52"/>
      <c r="B89" s="38"/>
      <c r="C89" s="47"/>
      <c r="D89" s="47"/>
      <c r="E89" s="47"/>
      <c r="F89" s="47"/>
      <c r="G89" s="38"/>
    </row>
    <row r="90" spans="1:7" x14ac:dyDescent="0.2">
      <c r="C90" s="47"/>
      <c r="D90" s="47"/>
      <c r="E90" s="61"/>
      <c r="F90" s="61"/>
    </row>
    <row r="91" spans="1:7" x14ac:dyDescent="0.2">
      <c r="C91" s="47"/>
      <c r="D91" s="47"/>
      <c r="E91" s="61"/>
      <c r="F91" s="61"/>
    </row>
    <row r="92" spans="1:7" x14ac:dyDescent="0.2">
      <c r="C92" s="47"/>
      <c r="D92" s="47"/>
      <c r="E92" s="61"/>
      <c r="F92" s="61"/>
    </row>
    <row r="93" spans="1:7" x14ac:dyDescent="0.2">
      <c r="C93" s="47"/>
      <c r="D93" s="47"/>
      <c r="E93" s="61"/>
      <c r="F93" s="61"/>
    </row>
    <row r="94" spans="1:7" x14ac:dyDescent="0.2">
      <c r="C94" s="47"/>
      <c r="E94" s="61"/>
      <c r="F94" s="61"/>
    </row>
    <row r="95" spans="1:7" x14ac:dyDescent="0.2">
      <c r="C95" s="47"/>
      <c r="E95" s="61"/>
      <c r="F95" s="61"/>
    </row>
    <row r="96" spans="1:7" x14ac:dyDescent="0.2">
      <c r="C96" s="47"/>
      <c r="D96" s="47"/>
      <c r="E96" s="61"/>
      <c r="F96" s="61"/>
    </row>
    <row r="97" spans="2:6" x14ac:dyDescent="0.2">
      <c r="C97" s="47"/>
      <c r="D97" s="47"/>
      <c r="E97" s="61"/>
      <c r="F97" s="61"/>
    </row>
    <row r="98" spans="2:6" x14ac:dyDescent="0.2">
      <c r="C98" s="47"/>
      <c r="D98" s="47"/>
      <c r="E98" s="61"/>
      <c r="F98" s="61"/>
    </row>
    <row r="99" spans="2:6" x14ac:dyDescent="0.2">
      <c r="C99" s="47"/>
      <c r="D99" s="47"/>
      <c r="E99" s="61"/>
      <c r="F99" s="61"/>
    </row>
    <row r="100" spans="2:6" x14ac:dyDescent="0.2">
      <c r="C100" s="47"/>
      <c r="D100" s="47"/>
      <c r="E100" s="61"/>
      <c r="F100" s="61"/>
    </row>
    <row r="101" spans="2:6" x14ac:dyDescent="0.2">
      <c r="C101" s="47"/>
      <c r="D101" s="47"/>
      <c r="E101" s="61"/>
      <c r="F101" s="61"/>
    </row>
    <row r="102" spans="2:6" x14ac:dyDescent="0.2">
      <c r="C102" s="47"/>
      <c r="D102" s="47"/>
      <c r="E102" s="61"/>
      <c r="F102" s="61"/>
    </row>
    <row r="103" spans="2:6" x14ac:dyDescent="0.2">
      <c r="C103" s="47"/>
      <c r="D103" s="47"/>
      <c r="E103" s="61"/>
      <c r="F103" s="61"/>
    </row>
    <row r="104" spans="2:6" x14ac:dyDescent="0.2">
      <c r="C104" s="47"/>
      <c r="D104" s="47"/>
      <c r="E104" s="61"/>
      <c r="F104" s="61"/>
    </row>
    <row r="105" spans="2:6" x14ac:dyDescent="0.2">
      <c r="C105" s="47"/>
      <c r="D105" s="47"/>
      <c r="E105" s="61"/>
      <c r="F105" s="61"/>
    </row>
    <row r="106" spans="2:6" x14ac:dyDescent="0.2">
      <c r="C106" s="47"/>
    </row>
    <row r="107" spans="2:6" x14ac:dyDescent="0.2">
      <c r="C107" s="47"/>
    </row>
    <row r="108" spans="2:6" ht="13.5" thickBot="1" x14ac:dyDescent="0.25">
      <c r="B108" s="62"/>
      <c r="C108" s="62"/>
      <c r="D108" s="62"/>
      <c r="E108" s="62"/>
    </row>
    <row r="109" spans="2:6" x14ac:dyDescent="0.2">
      <c r="B109" s="61"/>
      <c r="C109" s="61"/>
      <c r="D109" s="61"/>
      <c r="E109" s="61"/>
    </row>
    <row r="110" spans="2:6" x14ac:dyDescent="0.2">
      <c r="B110" s="61"/>
      <c r="C110" s="61"/>
      <c r="D110" s="61"/>
      <c r="E110" s="61"/>
    </row>
    <row r="111" spans="2:6" x14ac:dyDescent="0.2">
      <c r="B111" s="61"/>
      <c r="C111" s="61"/>
      <c r="D111" s="61"/>
      <c r="E111" s="61"/>
    </row>
    <row r="112" spans="2:6" x14ac:dyDescent="0.2">
      <c r="B112" s="61"/>
      <c r="C112" s="61"/>
      <c r="D112" s="61"/>
      <c r="E112" s="61"/>
    </row>
    <row r="113" spans="2:5" x14ac:dyDescent="0.2">
      <c r="B113" s="61"/>
      <c r="C113" s="61"/>
      <c r="D113" s="61"/>
      <c r="E113" s="61"/>
    </row>
    <row r="114" spans="2:5" x14ac:dyDescent="0.2">
      <c r="B114" s="61"/>
      <c r="C114" s="61"/>
      <c r="D114" s="61"/>
      <c r="E114" s="61"/>
    </row>
    <row r="115" spans="2:5" x14ac:dyDescent="0.2">
      <c r="B115" s="61"/>
      <c r="C115" s="61"/>
      <c r="D115" s="61"/>
      <c r="E115" s="61"/>
    </row>
    <row r="116" spans="2:5" x14ac:dyDescent="0.2">
      <c r="B116" s="61"/>
      <c r="C116" s="61"/>
      <c r="D116" s="61"/>
      <c r="E116" s="61"/>
    </row>
    <row r="117" spans="2:5" x14ac:dyDescent="0.2">
      <c r="B117" s="61"/>
      <c r="C117" s="61"/>
      <c r="D117" s="61"/>
      <c r="E117" s="61"/>
    </row>
    <row r="118" spans="2:5" x14ac:dyDescent="0.2">
      <c r="B118" s="61"/>
      <c r="C118" s="61"/>
      <c r="D118" s="61"/>
      <c r="E118" s="61"/>
    </row>
  </sheetData>
  <pageMargins left="0.7" right="0.7" top="0.75" bottom="0.75" header="0.3" footer="0.3"/>
  <pageSetup paperSize="9" scale="3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8"/>
  <sheetViews>
    <sheetView topLeftCell="G29" zoomScale="80" zoomScaleNormal="80" workbookViewId="0">
      <selection activeCell="J59" sqref="J59"/>
    </sheetView>
  </sheetViews>
  <sheetFormatPr baseColWidth="10" defaultColWidth="8.75" defaultRowHeight="12.75" x14ac:dyDescent="0.2"/>
  <cols>
    <col min="1" max="1" width="28.125" style="1" customWidth="1"/>
    <col min="2" max="2" width="9.5" style="2" bestFit="1" customWidth="1"/>
    <col min="3" max="3" width="11.875" style="2" bestFit="1" customWidth="1"/>
    <col min="4" max="4" width="7.625" style="2" customWidth="1"/>
    <col min="5" max="5" width="6" style="2" bestFit="1" customWidth="1"/>
    <col min="6" max="8" width="11" style="2" bestFit="1" customWidth="1"/>
    <col min="9" max="9" width="12.125" style="2" bestFit="1" customWidth="1"/>
    <col min="10" max="10" width="12" style="2" bestFit="1" customWidth="1"/>
    <col min="11" max="11" width="12.125" style="2" bestFit="1" customWidth="1"/>
    <col min="12" max="12" width="13" style="2" bestFit="1" customWidth="1"/>
    <col min="13" max="13" width="14.875" style="2" bestFit="1" customWidth="1"/>
    <col min="14" max="14" width="13.75" style="2" bestFit="1" customWidth="1"/>
    <col min="15" max="15" width="14" style="2" customWidth="1"/>
    <col min="16" max="16" width="11.375" style="2" customWidth="1"/>
    <col min="17" max="17" width="10.375" style="2" bestFit="1" customWidth="1"/>
    <col min="18" max="16384" width="8.75" style="2"/>
  </cols>
  <sheetData>
    <row r="1" spans="1:20" x14ac:dyDescent="0.2">
      <c r="A1" s="1" t="s">
        <v>0</v>
      </c>
      <c r="B1" s="63">
        <v>42507</v>
      </c>
    </row>
    <row r="2" spans="1:20" x14ac:dyDescent="0.2">
      <c r="A2" s="1" t="s">
        <v>1</v>
      </c>
      <c r="B2" s="2">
        <v>82</v>
      </c>
      <c r="C2" s="3"/>
      <c r="E2" s="4" t="s">
        <v>40</v>
      </c>
    </row>
    <row r="3" spans="1:20" x14ac:dyDescent="0.2">
      <c r="A3" s="1" t="s">
        <v>2</v>
      </c>
      <c r="B3" s="2" t="s">
        <v>43</v>
      </c>
      <c r="D3" s="10" t="s">
        <v>41</v>
      </c>
      <c r="E3" s="10">
        <v>1</v>
      </c>
      <c r="F3" s="10">
        <v>2</v>
      </c>
    </row>
    <row r="4" spans="1:20" x14ac:dyDescent="0.2">
      <c r="D4" s="10" t="s">
        <v>42</v>
      </c>
      <c r="E4" s="10">
        <v>3</v>
      </c>
      <c r="F4" s="10">
        <v>4</v>
      </c>
    </row>
    <row r="5" spans="1:20" x14ac:dyDescent="0.2">
      <c r="A5" s="2"/>
    </row>
    <row r="6" spans="1:20" ht="15" x14ac:dyDescent="0.3">
      <c r="N6"/>
      <c r="O6"/>
      <c r="P6"/>
    </row>
    <row r="7" spans="1:20" ht="15" x14ac:dyDescent="0.3">
      <c r="A7" s="10" t="s">
        <v>3</v>
      </c>
      <c r="B7" s="6" t="s">
        <v>4</v>
      </c>
      <c r="C7" s="7" t="s">
        <v>5</v>
      </c>
      <c r="D7" s="7"/>
      <c r="E7" s="8" t="s">
        <v>6</v>
      </c>
      <c r="F7" s="9" t="s">
        <v>7</v>
      </c>
      <c r="G7" s="10" t="s">
        <v>8</v>
      </c>
      <c r="H7" s="10" t="s">
        <v>9</v>
      </c>
      <c r="N7"/>
      <c r="O7"/>
      <c r="P7"/>
    </row>
    <row r="8" spans="1:20" ht="15" x14ac:dyDescent="0.3">
      <c r="A8" s="10">
        <v>0</v>
      </c>
      <c r="B8" s="10">
        <f>A8/23</f>
        <v>0</v>
      </c>
      <c r="C8" s="65">
        <v>4.7E-2</v>
      </c>
      <c r="D8" s="65">
        <v>4.7E-2</v>
      </c>
      <c r="E8" s="11">
        <f t="shared" ref="E8:E13" si="0">AVERAGE(C8:D8)</f>
        <v>4.7E-2</v>
      </c>
      <c r="F8" s="12"/>
      <c r="G8" s="10"/>
      <c r="H8" s="10"/>
      <c r="N8"/>
      <c r="O8"/>
      <c r="P8"/>
    </row>
    <row r="9" spans="1:20" ht="15" x14ac:dyDescent="0.3">
      <c r="A9" s="10">
        <v>3.15</v>
      </c>
      <c r="B9" s="10">
        <f>A9/23</f>
        <v>0.13695652173913042</v>
      </c>
      <c r="C9" s="65">
        <v>7.5999999999999998E-2</v>
      </c>
      <c r="D9" s="65">
        <v>7.6999999999999999E-2</v>
      </c>
      <c r="E9" s="11">
        <f t="shared" si="0"/>
        <v>7.6499999999999999E-2</v>
      </c>
      <c r="F9" s="12">
        <f>(E9-$E$8)</f>
        <v>2.9499999999999998E-2</v>
      </c>
      <c r="G9" s="12">
        <f>LOG(B9)</f>
        <v>-0.86341728222799241</v>
      </c>
      <c r="H9" s="12">
        <f>LOG(F9)</f>
        <v>-1.530177984021837</v>
      </c>
      <c r="N9"/>
      <c r="O9"/>
      <c r="P9"/>
    </row>
    <row r="10" spans="1:20" ht="15" x14ac:dyDescent="0.3">
      <c r="A10" s="10">
        <v>10.4</v>
      </c>
      <c r="B10" s="10">
        <f t="shared" ref="B10:B11" si="1">A10/23</f>
        <v>0.45217391304347826</v>
      </c>
      <c r="C10" s="65">
        <v>0.14699999999999999</v>
      </c>
      <c r="D10" s="65">
        <v>0.15</v>
      </c>
      <c r="E10" s="11">
        <f t="shared" si="0"/>
        <v>0.14849999999999999</v>
      </c>
      <c r="F10" s="12">
        <f>(E10-$E$8)</f>
        <v>0.10149999999999999</v>
      </c>
      <c r="G10" s="12">
        <f>LOG(B10)</f>
        <v>-0.34469449671881253</v>
      </c>
      <c r="H10" s="12">
        <f>LOG(F10)</f>
        <v>-0.99353395775076836</v>
      </c>
      <c r="N10"/>
      <c r="O10"/>
      <c r="P10"/>
    </row>
    <row r="11" spans="1:20" ht="15" x14ac:dyDescent="0.3">
      <c r="A11" s="10">
        <v>31.5</v>
      </c>
      <c r="B11" s="10">
        <f t="shared" si="1"/>
        <v>1.3695652173913044</v>
      </c>
      <c r="C11" s="65">
        <v>0.378</v>
      </c>
      <c r="D11" s="65">
        <v>0.36599999999999999</v>
      </c>
      <c r="E11" s="11">
        <f t="shared" si="0"/>
        <v>0.372</v>
      </c>
      <c r="F11" s="12">
        <f>(E11-$E$8)</f>
        <v>0.32500000000000001</v>
      </c>
      <c r="G11" s="12">
        <f>LOG(B11)</f>
        <v>0.13658271777200767</v>
      </c>
      <c r="H11" s="12">
        <f>LOG(F11)</f>
        <v>-0.48811663902112562</v>
      </c>
      <c r="N11"/>
      <c r="O11"/>
      <c r="P11"/>
      <c r="Q11"/>
      <c r="R11"/>
      <c r="S11"/>
      <c r="T11"/>
    </row>
    <row r="12" spans="1:20" ht="15" x14ac:dyDescent="0.3">
      <c r="A12" s="10">
        <v>106</v>
      </c>
      <c r="B12" s="10">
        <f>A12/23</f>
        <v>4.6086956521739131</v>
      </c>
      <c r="C12" s="65">
        <v>1.258</v>
      </c>
      <c r="D12" s="65">
        <v>1.3029999999999999</v>
      </c>
      <c r="E12" s="11">
        <f t="shared" si="0"/>
        <v>1.2805</v>
      </c>
      <c r="F12" s="12">
        <f>(E12-$E$8)</f>
        <v>1.2335</v>
      </c>
      <c r="G12" s="12">
        <f>LOG(B12)</f>
        <v>0.66357802924717735</v>
      </c>
      <c r="H12" s="12">
        <f>LOG(F12)</f>
        <v>9.1139153825754854E-2</v>
      </c>
      <c r="N12"/>
      <c r="O12"/>
      <c r="P12"/>
      <c r="Q12"/>
      <c r="R12"/>
      <c r="S12"/>
      <c r="T12"/>
    </row>
    <row r="13" spans="1:20" ht="15" x14ac:dyDescent="0.3">
      <c r="A13" s="10">
        <v>210</v>
      </c>
      <c r="B13" s="10">
        <f>A13/23</f>
        <v>9.1304347826086953</v>
      </c>
      <c r="C13" s="65">
        <v>1.821</v>
      </c>
      <c r="D13" s="65">
        <v>1.831</v>
      </c>
      <c r="E13" s="11">
        <f t="shared" si="0"/>
        <v>1.8260000000000001</v>
      </c>
      <c r="F13" s="12">
        <f>(E13-$E$8)</f>
        <v>1.7790000000000001</v>
      </c>
      <c r="G13" s="12">
        <f>LOG(B13)</f>
        <v>0.96049145871632635</v>
      </c>
      <c r="H13" s="12">
        <f>LOG(F13)</f>
        <v>0.25017594808392507</v>
      </c>
      <c r="N13"/>
      <c r="O13"/>
      <c r="P13"/>
    </row>
    <row r="14" spans="1:20" ht="15" x14ac:dyDescent="0.3">
      <c r="N14"/>
    </row>
    <row r="15" spans="1:20" ht="15" x14ac:dyDescent="0.3">
      <c r="A15" s="5" t="s">
        <v>10</v>
      </c>
      <c r="B15" s="11">
        <f>SLOPE(H9:H13,G9:G13)</f>
        <v>1.003700441385871</v>
      </c>
      <c r="N15"/>
    </row>
    <row r="16" spans="1:20" ht="15" x14ac:dyDescent="0.25">
      <c r="A16" s="5" t="s">
        <v>11</v>
      </c>
      <c r="B16" s="11">
        <f>INTERCEPT(H9:H13,G9:G13)</f>
        <v>-0.64501970982708257</v>
      </c>
      <c r="C16" s="13"/>
      <c r="G16" s="13"/>
      <c r="H16" s="13"/>
    </row>
    <row r="17" spans="1:17" ht="15" x14ac:dyDescent="0.3">
      <c r="B17"/>
      <c r="C17"/>
      <c r="D17"/>
      <c r="E17"/>
      <c r="F17"/>
      <c r="G17"/>
    </row>
    <row r="18" spans="1:17" ht="15" x14ac:dyDescent="0.3">
      <c r="B18"/>
      <c r="C18"/>
      <c r="D18"/>
      <c r="E18"/>
      <c r="F18"/>
      <c r="G18"/>
    </row>
    <row r="19" spans="1:17" ht="23.25" x14ac:dyDescent="0.35">
      <c r="A19" s="14" t="s">
        <v>12</v>
      </c>
      <c r="B19" s="15"/>
      <c r="C19" s="15"/>
      <c r="K19" s="16"/>
      <c r="L19" s="17" t="s">
        <v>13</v>
      </c>
      <c r="M19" s="18"/>
    </row>
    <row r="20" spans="1:17" s="17" customFormat="1" x14ac:dyDescent="0.2">
      <c r="A20" s="19" t="s">
        <v>14</v>
      </c>
      <c r="B20" s="9" t="s">
        <v>15</v>
      </c>
      <c r="C20" s="9" t="s">
        <v>15</v>
      </c>
      <c r="D20" s="9" t="s">
        <v>16</v>
      </c>
      <c r="E20" s="20" t="s">
        <v>17</v>
      </c>
      <c r="F20" s="21" t="s">
        <v>9</v>
      </c>
      <c r="G20" s="21" t="s">
        <v>18</v>
      </c>
      <c r="H20" s="21" t="s">
        <v>19</v>
      </c>
      <c r="I20" s="9" t="s">
        <v>20</v>
      </c>
      <c r="J20" s="21" t="s">
        <v>21</v>
      </c>
      <c r="K20" s="21" t="s">
        <v>22</v>
      </c>
      <c r="L20" s="21" t="s">
        <v>23</v>
      </c>
      <c r="M20" s="22" t="s">
        <v>24</v>
      </c>
    </row>
    <row r="21" spans="1:17" s="24" customFormat="1" x14ac:dyDescent="0.2">
      <c r="A21" s="23"/>
      <c r="L21" s="25"/>
      <c r="M21" s="26"/>
    </row>
    <row r="22" spans="1:17" ht="15" x14ac:dyDescent="0.3">
      <c r="A22" s="1" t="s">
        <v>25</v>
      </c>
      <c r="B22">
        <v>0.248</v>
      </c>
      <c r="C22">
        <v>0.247</v>
      </c>
      <c r="D22" s="27">
        <f>AVERAGE(B22:C22)</f>
        <v>0.2475</v>
      </c>
      <c r="E22" s="27">
        <f t="shared" ref="E22:E27" si="2">D22-E$8</f>
        <v>0.20050000000000001</v>
      </c>
      <c r="F22" s="27">
        <f>LOG(E22)</f>
        <v>-0.69788562304379886</v>
      </c>
      <c r="G22" s="28">
        <f>(F22-$B$16)/$B$15</f>
        <v>-5.2671007241683658E-2</v>
      </c>
      <c r="H22" s="28">
        <f>10^G22</f>
        <v>0.88578636887003159</v>
      </c>
      <c r="I22" s="29">
        <v>500</v>
      </c>
      <c r="J22" s="30">
        <f>(H22*I22)</f>
        <v>442.89318443501577</v>
      </c>
      <c r="K22" s="31">
        <f>(0.05*J22/1000)*1000</f>
        <v>22.144659221750789</v>
      </c>
      <c r="L22" s="32">
        <f>K22+K40+K50</f>
        <v>22.745171483456566</v>
      </c>
      <c r="M22" s="33">
        <f>(L22*1000000/50000)/1000</f>
        <v>0.45490342966913133</v>
      </c>
      <c r="N22" s="34"/>
    </row>
    <row r="23" spans="1:17" ht="15" x14ac:dyDescent="0.3">
      <c r="B23">
        <v>0.24299999999999999</v>
      </c>
      <c r="C23">
        <v>0.252</v>
      </c>
      <c r="D23" s="27">
        <f t="shared" ref="D23:D27" si="3">AVERAGE(B23:C23)</f>
        <v>0.2475</v>
      </c>
      <c r="E23" s="27">
        <f t="shared" si="2"/>
        <v>0.20050000000000001</v>
      </c>
      <c r="F23" s="27">
        <f t="shared" ref="F23:F27" si="4">LOG(E23)</f>
        <v>-0.69788562304379886</v>
      </c>
      <c r="G23" s="28">
        <f t="shared" ref="G23:G27" si="5">(F23-$B$16)/$B$15</f>
        <v>-5.2671007241683658E-2</v>
      </c>
      <c r="H23" s="28">
        <f t="shared" ref="H23:H27" si="6">10^G23</f>
        <v>0.88578636887003159</v>
      </c>
      <c r="I23" s="29">
        <v>500</v>
      </c>
      <c r="J23" s="30">
        <f t="shared" ref="J23:J27" si="7">(H23*I23)</f>
        <v>442.89318443501577</v>
      </c>
      <c r="K23" s="31">
        <f t="shared" ref="K23:K27" si="8">(0.05*J23/1000)*1000</f>
        <v>22.144659221750789</v>
      </c>
      <c r="L23" s="32">
        <f>K23+K41+K51</f>
        <v>22.529176960126794</v>
      </c>
      <c r="M23" s="33">
        <f t="shared" ref="M23:M27" si="9">(L23*1000000/50000)/1000</f>
        <v>0.45058353920253591</v>
      </c>
      <c r="N23" s="34"/>
    </row>
    <row r="24" spans="1:17" ht="15" x14ac:dyDescent="0.3">
      <c r="B24">
        <v>0.28399999999999997</v>
      </c>
      <c r="C24">
        <v>0.28399999999999997</v>
      </c>
      <c r="D24" s="27">
        <f t="shared" si="3"/>
        <v>0.28399999999999997</v>
      </c>
      <c r="E24" s="27">
        <f t="shared" si="2"/>
        <v>0.23699999999999999</v>
      </c>
      <c r="F24" s="27">
        <f t="shared" si="4"/>
        <v>-0.62525165398989613</v>
      </c>
      <c r="G24" s="28">
        <f t="shared" si="5"/>
        <v>1.9695174996527315E-2</v>
      </c>
      <c r="H24" s="28">
        <f t="shared" si="6"/>
        <v>1.0463938415670753</v>
      </c>
      <c r="I24" s="29">
        <v>500</v>
      </c>
      <c r="J24" s="30">
        <f t="shared" si="7"/>
        <v>523.19692078353762</v>
      </c>
      <c r="K24" s="31">
        <f t="shared" si="8"/>
        <v>26.159846039176884</v>
      </c>
      <c r="L24" s="32">
        <f t="shared" ref="L24:L27" si="10">K24+K42+K52</f>
        <v>26.622325243322862</v>
      </c>
      <c r="M24" s="33">
        <f t="shared" si="9"/>
        <v>0.53244650486645728</v>
      </c>
      <c r="N24" s="34"/>
    </row>
    <row r="25" spans="1:17" ht="15" x14ac:dyDescent="0.3">
      <c r="A25" s="1" t="s">
        <v>26</v>
      </c>
      <c r="B25">
        <v>0.249</v>
      </c>
      <c r="C25">
        <v>0.24099999999999999</v>
      </c>
      <c r="D25" s="27">
        <f t="shared" si="3"/>
        <v>0.245</v>
      </c>
      <c r="E25" s="27">
        <f t="shared" si="2"/>
        <v>0.19800000000000001</v>
      </c>
      <c r="F25" s="27">
        <f t="shared" si="4"/>
        <v>-0.70333480973846885</v>
      </c>
      <c r="G25" s="28">
        <f t="shared" si="5"/>
        <v>-5.8100103882456233E-2</v>
      </c>
      <c r="H25" s="28">
        <f t="shared" si="6"/>
        <v>0.87478211671495643</v>
      </c>
      <c r="I25" s="29">
        <v>500</v>
      </c>
      <c r="J25" s="30">
        <f t="shared" si="7"/>
        <v>437.39105835747819</v>
      </c>
      <c r="K25" s="31">
        <f t="shared" si="8"/>
        <v>21.869552917873911</v>
      </c>
      <c r="L25" s="32">
        <f t="shared" si="10"/>
        <v>22.742569737790422</v>
      </c>
      <c r="M25" s="33">
        <f t="shared" si="9"/>
        <v>0.45485139475580844</v>
      </c>
      <c r="N25" s="34"/>
    </row>
    <row r="26" spans="1:17" ht="15" x14ac:dyDescent="0.3">
      <c r="B26">
        <v>0.218</v>
      </c>
      <c r="C26">
        <v>0.23499999999999999</v>
      </c>
      <c r="D26" s="27">
        <f t="shared" si="3"/>
        <v>0.22649999999999998</v>
      </c>
      <c r="E26" s="27">
        <f t="shared" si="2"/>
        <v>0.17949999999999999</v>
      </c>
      <c r="F26" s="27">
        <f t="shared" si="4"/>
        <v>-0.74593554708566201</v>
      </c>
      <c r="G26" s="28">
        <f t="shared" si="5"/>
        <v>-0.10054378089067963</v>
      </c>
      <c r="H26" s="28">
        <f t="shared" si="6"/>
        <v>0.79333427733121464</v>
      </c>
      <c r="I26" s="29">
        <v>500</v>
      </c>
      <c r="J26" s="30">
        <f t="shared" si="7"/>
        <v>396.6671386656073</v>
      </c>
      <c r="K26" s="31">
        <f t="shared" si="8"/>
        <v>19.833356933280367</v>
      </c>
      <c r="L26" s="32">
        <f t="shared" si="10"/>
        <v>20.593137365434917</v>
      </c>
      <c r="M26" s="33">
        <f t="shared" si="9"/>
        <v>0.41186274730869832</v>
      </c>
      <c r="N26" s="34"/>
    </row>
    <row r="27" spans="1:17" ht="15" x14ac:dyDescent="0.3">
      <c r="B27">
        <v>0.24399999999999999</v>
      </c>
      <c r="C27">
        <v>0.23100000000000001</v>
      </c>
      <c r="D27" s="27">
        <f t="shared" si="3"/>
        <v>0.23749999999999999</v>
      </c>
      <c r="E27" s="27">
        <f t="shared" si="2"/>
        <v>0.1905</v>
      </c>
      <c r="F27" s="27">
        <f t="shared" si="4"/>
        <v>-0.72010501998836185</v>
      </c>
      <c r="G27" s="28">
        <f t="shared" si="5"/>
        <v>-7.4808485744615572E-2</v>
      </c>
      <c r="H27" s="28">
        <f t="shared" si="6"/>
        <v>0.84176626010370204</v>
      </c>
      <c r="I27" s="29">
        <v>500</v>
      </c>
      <c r="J27" s="30">
        <f t="shared" si="7"/>
        <v>420.88313005185103</v>
      </c>
      <c r="K27" s="31">
        <f t="shared" si="8"/>
        <v>21.044156502592553</v>
      </c>
      <c r="L27" s="32">
        <f t="shared" si="10"/>
        <v>22.002138366913428</v>
      </c>
      <c r="M27" s="33">
        <f t="shared" si="9"/>
        <v>0.44004276733826858</v>
      </c>
      <c r="N27" s="34"/>
    </row>
    <row r="28" spans="1:17" ht="23.25" x14ac:dyDescent="0.35">
      <c r="A28" s="14" t="s">
        <v>12</v>
      </c>
      <c r="B28" s="15"/>
      <c r="C28" s="15"/>
      <c r="K28" s="16"/>
      <c r="L28" s="17" t="s">
        <v>13</v>
      </c>
      <c r="M28" s="18"/>
    </row>
    <row r="29" spans="1:17" s="17" customFormat="1" x14ac:dyDescent="0.2">
      <c r="A29" s="19" t="s">
        <v>14</v>
      </c>
      <c r="B29" s="9" t="s">
        <v>15</v>
      </c>
      <c r="C29" s="9" t="s">
        <v>15</v>
      </c>
      <c r="D29" s="9" t="s">
        <v>16</v>
      </c>
      <c r="E29" s="20" t="s">
        <v>17</v>
      </c>
      <c r="F29" s="21" t="s">
        <v>9</v>
      </c>
      <c r="G29" s="21" t="s">
        <v>18</v>
      </c>
      <c r="H29" s="21" t="s">
        <v>19</v>
      </c>
      <c r="I29" s="9" t="s">
        <v>20</v>
      </c>
      <c r="J29" s="21" t="s">
        <v>21</v>
      </c>
      <c r="K29" s="21" t="s">
        <v>22</v>
      </c>
      <c r="L29" s="21" t="s">
        <v>23</v>
      </c>
      <c r="M29" s="22" t="s">
        <v>24</v>
      </c>
    </row>
    <row r="30" spans="1:17" s="24" customFormat="1" x14ac:dyDescent="0.2">
      <c r="A30" s="23"/>
      <c r="L30" s="25"/>
      <c r="M30" s="26"/>
    </row>
    <row r="31" spans="1:17" ht="15" x14ac:dyDescent="0.3">
      <c r="A31" s="1" t="s">
        <v>25</v>
      </c>
      <c r="B31">
        <v>0.248</v>
      </c>
      <c r="C31">
        <v>0.247</v>
      </c>
      <c r="D31" s="27">
        <f t="shared" ref="D31:D36" si="11">AVERAGE(B31:C31)</f>
        <v>0.2475</v>
      </c>
      <c r="E31" s="27">
        <f t="shared" ref="E31:E36" si="12">D31-E$8</f>
        <v>0.20050000000000001</v>
      </c>
      <c r="F31" s="27">
        <f>LOG(E31)</f>
        <v>-0.69788562304379886</v>
      </c>
      <c r="G31" s="28">
        <f>(F31-$B$16)/$B$15</f>
        <v>-5.2671007241683658E-2</v>
      </c>
      <c r="H31" s="28">
        <f>10^G31</f>
        <v>0.88578636887003159</v>
      </c>
      <c r="I31" s="29">
        <v>500</v>
      </c>
      <c r="J31" s="30">
        <f>(H31*I31)</f>
        <v>442.89318443501577</v>
      </c>
      <c r="K31" s="31">
        <f>(0.05*J31/1000)*1000</f>
        <v>22.144659221750789</v>
      </c>
      <c r="L31" s="32">
        <f>K31+K50</f>
        <v>22.577740803208172</v>
      </c>
      <c r="M31" s="33">
        <f>(L31*1000000/50000)/1000</f>
        <v>0.45155481606416342</v>
      </c>
      <c r="N31" s="35"/>
      <c r="Q31"/>
    </row>
    <row r="32" spans="1:17" ht="15" x14ac:dyDescent="0.3">
      <c r="B32">
        <v>0.24299999999999999</v>
      </c>
      <c r="C32">
        <v>0.252</v>
      </c>
      <c r="D32" s="27">
        <f t="shared" si="11"/>
        <v>0.2475</v>
      </c>
      <c r="E32" s="27">
        <f t="shared" si="12"/>
        <v>0.20050000000000001</v>
      </c>
      <c r="F32" s="27">
        <f t="shared" ref="F32:F36" si="13">LOG(E32)</f>
        <v>-0.69788562304379886</v>
      </c>
      <c r="G32" s="28">
        <f t="shared" ref="G32:G36" si="14">(F32-$B$16)/$B$15</f>
        <v>-5.2671007241683658E-2</v>
      </c>
      <c r="H32" s="28">
        <f t="shared" ref="H32:H36" si="15">10^G32</f>
        <v>0.88578636887003159</v>
      </c>
      <c r="I32" s="29">
        <v>500</v>
      </c>
      <c r="J32" s="30">
        <f t="shared" ref="J32:J36" si="16">(H32*I32)</f>
        <v>442.89318443501577</v>
      </c>
      <c r="K32" s="31">
        <f t="shared" ref="K32:K36" si="17">(0.05*J32/1000)*1000</f>
        <v>22.144659221750789</v>
      </c>
      <c r="L32" s="32">
        <f>K32+K51</f>
        <v>22.368845287226499</v>
      </c>
      <c r="M32" s="33">
        <f t="shared" ref="M32:M36" si="18">(L32*1000000/50000)/1000</f>
        <v>0.44737690574452993</v>
      </c>
      <c r="N32" s="36"/>
      <c r="Q32"/>
    </row>
    <row r="33" spans="1:21" ht="15" x14ac:dyDescent="0.3">
      <c r="B33">
        <v>0.28399999999999997</v>
      </c>
      <c r="C33">
        <v>0.28399999999999997</v>
      </c>
      <c r="D33" s="27">
        <f t="shared" si="11"/>
        <v>0.28399999999999997</v>
      </c>
      <c r="E33" s="27">
        <f t="shared" si="12"/>
        <v>0.23699999999999999</v>
      </c>
      <c r="F33" s="27">
        <f t="shared" si="13"/>
        <v>-0.62525165398989613</v>
      </c>
      <c r="G33" s="28">
        <f t="shared" si="14"/>
        <v>1.9695174996527315E-2</v>
      </c>
      <c r="H33" s="28">
        <f t="shared" si="15"/>
        <v>1.0463938415670753</v>
      </c>
      <c r="I33" s="29">
        <v>500</v>
      </c>
      <c r="J33" s="30">
        <f t="shared" si="16"/>
        <v>523.19692078353762</v>
      </c>
      <c r="K33" s="31">
        <f t="shared" si="17"/>
        <v>26.159846039176884</v>
      </c>
      <c r="L33" s="32">
        <f t="shared" ref="L33:L36" si="19">K33+K52</f>
        <v>26.458443924494844</v>
      </c>
      <c r="M33" s="33">
        <f t="shared" si="18"/>
        <v>0.52916887848989691</v>
      </c>
      <c r="N33" s="36"/>
      <c r="Q33"/>
      <c r="R33"/>
      <c r="S33"/>
    </row>
    <row r="34" spans="1:21" ht="15" x14ac:dyDescent="0.3">
      <c r="A34" s="1" t="s">
        <v>26</v>
      </c>
      <c r="B34">
        <v>0.249</v>
      </c>
      <c r="C34">
        <v>0.24099999999999999</v>
      </c>
      <c r="D34" s="27">
        <f t="shared" si="11"/>
        <v>0.245</v>
      </c>
      <c r="E34" s="27">
        <f t="shared" si="12"/>
        <v>0.19800000000000001</v>
      </c>
      <c r="F34" s="27">
        <f t="shared" si="13"/>
        <v>-0.70333480973846885</v>
      </c>
      <c r="G34" s="28">
        <f t="shared" si="14"/>
        <v>-5.8100103882456233E-2</v>
      </c>
      <c r="H34" s="28">
        <f t="shared" si="15"/>
        <v>0.87478211671495643</v>
      </c>
      <c r="I34" s="29">
        <v>500</v>
      </c>
      <c r="J34" s="30">
        <f t="shared" si="16"/>
        <v>437.39105835747819</v>
      </c>
      <c r="K34" s="31">
        <f t="shared" si="17"/>
        <v>21.869552917873911</v>
      </c>
      <c r="L34" s="32">
        <f t="shared" si="19"/>
        <v>22.465224506615186</v>
      </c>
      <c r="M34" s="33">
        <f t="shared" si="18"/>
        <v>0.44930449013230378</v>
      </c>
      <c r="N34" s="36"/>
      <c r="Q34"/>
      <c r="R34"/>
      <c r="S34"/>
    </row>
    <row r="35" spans="1:21" ht="15" x14ac:dyDescent="0.3">
      <c r="B35">
        <v>0.218</v>
      </c>
      <c r="C35">
        <v>0.23499999999999999</v>
      </c>
      <c r="D35" s="27">
        <f t="shared" si="11"/>
        <v>0.22649999999999998</v>
      </c>
      <c r="E35" s="27">
        <f t="shared" si="12"/>
        <v>0.17949999999999999</v>
      </c>
      <c r="F35" s="27">
        <f t="shared" si="13"/>
        <v>-0.74593554708566201</v>
      </c>
      <c r="G35" s="28">
        <f t="shared" si="14"/>
        <v>-0.10054378089067963</v>
      </c>
      <c r="H35" s="28">
        <f t="shared" si="15"/>
        <v>0.79333427733121464</v>
      </c>
      <c r="I35" s="29">
        <v>500</v>
      </c>
      <c r="J35" s="30">
        <f t="shared" si="16"/>
        <v>396.6671386656073</v>
      </c>
      <c r="K35" s="31">
        <f t="shared" si="17"/>
        <v>19.833356933280367</v>
      </c>
      <c r="L35" s="32">
        <f t="shared" si="19"/>
        <v>20.372496793723602</v>
      </c>
      <c r="M35" s="33">
        <f t="shared" si="18"/>
        <v>0.40744993587447204</v>
      </c>
      <c r="N35" s="36"/>
      <c r="Q35"/>
      <c r="R35"/>
      <c r="S35"/>
    </row>
    <row r="36" spans="1:21" ht="15" x14ac:dyDescent="0.3">
      <c r="B36">
        <v>0.24399999999999999</v>
      </c>
      <c r="C36">
        <v>0.23100000000000001</v>
      </c>
      <c r="D36" s="27">
        <f t="shared" si="11"/>
        <v>0.23749999999999999</v>
      </c>
      <c r="E36" s="27">
        <f t="shared" si="12"/>
        <v>0.1905</v>
      </c>
      <c r="F36" s="27">
        <f t="shared" si="13"/>
        <v>-0.72010501998836185</v>
      </c>
      <c r="G36" s="28">
        <f t="shared" si="14"/>
        <v>-7.4808485744615572E-2</v>
      </c>
      <c r="H36" s="28">
        <f t="shared" si="15"/>
        <v>0.84176626010370204</v>
      </c>
      <c r="I36" s="29">
        <v>500</v>
      </c>
      <c r="J36" s="30">
        <f t="shared" si="16"/>
        <v>420.88313005185103</v>
      </c>
      <c r="K36" s="31">
        <f t="shared" si="17"/>
        <v>21.044156502592553</v>
      </c>
      <c r="L36" s="32">
        <f t="shared" si="19"/>
        <v>21.646893121038232</v>
      </c>
      <c r="M36" s="33">
        <f t="shared" si="18"/>
        <v>0.43293786242076465</v>
      </c>
      <c r="N36" s="37"/>
      <c r="Q36"/>
      <c r="R36"/>
      <c r="S36"/>
    </row>
    <row r="37" spans="1:21" ht="15" x14ac:dyDescent="0.3">
      <c r="R37"/>
      <c r="S37"/>
    </row>
    <row r="38" spans="1:21" ht="23.25" x14ac:dyDescent="0.35">
      <c r="A38" s="14" t="s">
        <v>27</v>
      </c>
      <c r="E38" s="28"/>
      <c r="F38" s="27"/>
      <c r="H38" s="38"/>
      <c r="M38" s="39" t="s">
        <v>28</v>
      </c>
      <c r="R38"/>
      <c r="S38"/>
      <c r="T38"/>
    </row>
    <row r="39" spans="1:21" ht="15" x14ac:dyDescent="0.3">
      <c r="A39" s="19" t="s">
        <v>14</v>
      </c>
      <c r="B39" s="21" t="s">
        <v>15</v>
      </c>
      <c r="C39" s="21" t="s">
        <v>15</v>
      </c>
      <c r="D39" s="9" t="s">
        <v>16</v>
      </c>
      <c r="E39" s="20" t="s">
        <v>17</v>
      </c>
      <c r="F39" s="21" t="s">
        <v>9</v>
      </c>
      <c r="G39" s="21" t="s">
        <v>18</v>
      </c>
      <c r="H39" s="21" t="s">
        <v>19</v>
      </c>
      <c r="I39" s="9" t="s">
        <v>20</v>
      </c>
      <c r="J39" s="21" t="s">
        <v>21</v>
      </c>
      <c r="K39" s="21" t="s">
        <v>29</v>
      </c>
      <c r="L39" s="21" t="s">
        <v>30</v>
      </c>
      <c r="M39" s="17" t="s">
        <v>31</v>
      </c>
      <c r="N39" s="40" t="s">
        <v>32</v>
      </c>
      <c r="R39"/>
      <c r="S39"/>
      <c r="T39"/>
    </row>
    <row r="40" spans="1:21" ht="15" x14ac:dyDescent="0.3">
      <c r="A40" s="1" t="s">
        <v>33</v>
      </c>
      <c r="B40">
        <v>7.0000000000000007E-2</v>
      </c>
      <c r="C40">
        <v>7.0999999999999994E-2</v>
      </c>
      <c r="D40" s="27">
        <f>AVERAGE(B40:C40)</f>
        <v>7.0500000000000007E-2</v>
      </c>
      <c r="E40" s="27">
        <f t="shared" ref="E40:E45" si="20">D40-E$8</f>
        <v>2.3500000000000007E-2</v>
      </c>
      <c r="F40" s="27">
        <f t="shared" ref="F40:F45" si="21">LOG(E40)</f>
        <v>-1.6289321377282635</v>
      </c>
      <c r="G40" s="28">
        <f t="shared" ref="G40:G45" si="22">(F40-$B$16)/$B$15</f>
        <v>-0.98028494093579599</v>
      </c>
      <c r="H40" s="27">
        <f t="shared" ref="H40:H45" si="23">10^G40</f>
        <v>0.1046441751552461</v>
      </c>
      <c r="I40" s="41">
        <v>16</v>
      </c>
      <c r="J40" s="42">
        <f t="shared" ref="J40:J45" si="24">H40*I40</f>
        <v>1.6743068024839376</v>
      </c>
      <c r="K40" s="30">
        <f>(0.1*J40/1000)*1000</f>
        <v>0.16743068024839378</v>
      </c>
      <c r="L40" s="43">
        <f>K40*100/L22</f>
        <v>0.73611526899312463</v>
      </c>
      <c r="M40" s="30">
        <f>AVERAGE(L40:L42)</f>
        <v>0.68778538756272845</v>
      </c>
      <c r="N40" s="44">
        <f>STDEV(L40:L42)</f>
        <v>6.3717020439439012E-2</v>
      </c>
      <c r="R40"/>
      <c r="S40"/>
      <c r="T40"/>
      <c r="U40"/>
    </row>
    <row r="41" spans="1:21" ht="15" x14ac:dyDescent="0.3">
      <c r="B41">
        <v>7.0000000000000007E-2</v>
      </c>
      <c r="C41">
        <v>6.9000000000000006E-2</v>
      </c>
      <c r="D41" s="27">
        <f t="shared" ref="D41:D45" si="25">AVERAGE(B41:C41)</f>
        <v>6.9500000000000006E-2</v>
      </c>
      <c r="E41" s="27">
        <f t="shared" si="20"/>
        <v>2.2500000000000006E-2</v>
      </c>
      <c r="F41" s="27">
        <f t="shared" si="21"/>
        <v>-1.6478174818886373</v>
      </c>
      <c r="G41" s="28">
        <f t="shared" si="22"/>
        <v>-0.99910065863568842</v>
      </c>
      <c r="H41" s="27">
        <f t="shared" si="23"/>
        <v>0.10020729556268369</v>
      </c>
      <c r="I41" s="41">
        <v>16</v>
      </c>
      <c r="J41" s="42">
        <f t="shared" si="24"/>
        <v>1.6033167290029391</v>
      </c>
      <c r="K41" s="30">
        <f t="shared" ref="K41:K45" si="26">(0.1*J41/1000)*1000</f>
        <v>0.16033167290029393</v>
      </c>
      <c r="L41" s="43">
        <f t="shared" ref="L41:L45" si="27">K41*100/L23</f>
        <v>0.71166236202972055</v>
      </c>
      <c r="M41" s="30"/>
      <c r="N41" s="44"/>
      <c r="R41"/>
      <c r="S41"/>
      <c r="T41"/>
      <c r="U41"/>
    </row>
    <row r="42" spans="1:21" s="17" customFormat="1" ht="15" x14ac:dyDescent="0.3">
      <c r="A42" s="1"/>
      <c r="B42">
        <v>7.2999999999999995E-2</v>
      </c>
      <c r="C42">
        <v>6.7000000000000004E-2</v>
      </c>
      <c r="D42" s="27">
        <f t="shared" si="25"/>
        <v>7.0000000000000007E-2</v>
      </c>
      <c r="E42" s="27">
        <f t="shared" si="20"/>
        <v>2.3000000000000007E-2</v>
      </c>
      <c r="F42" s="27">
        <f t="shared" si="21"/>
        <v>-1.6382721639824069</v>
      </c>
      <c r="G42" s="28">
        <f t="shared" si="22"/>
        <v>-0.98959053239418682</v>
      </c>
      <c r="H42" s="27">
        <f t="shared" si="23"/>
        <v>0.10242582426751125</v>
      </c>
      <c r="I42" s="41">
        <v>16</v>
      </c>
      <c r="J42" s="42">
        <f t="shared" si="24"/>
        <v>1.63881318828018</v>
      </c>
      <c r="K42" s="30">
        <f t="shared" si="26"/>
        <v>0.16388131882801801</v>
      </c>
      <c r="L42" s="43">
        <f t="shared" si="27"/>
        <v>0.61557853166533993</v>
      </c>
      <c r="M42" s="30"/>
      <c r="N42" s="44"/>
      <c r="R42"/>
      <c r="S42"/>
      <c r="T42"/>
      <c r="U42"/>
    </row>
    <row r="43" spans="1:21" ht="15" x14ac:dyDescent="0.3">
      <c r="A43" s="1" t="s">
        <v>34</v>
      </c>
      <c r="B43">
        <v>8.5000000000000006E-2</v>
      </c>
      <c r="C43">
        <v>8.6999999999999994E-2</v>
      </c>
      <c r="D43" s="27">
        <f t="shared" si="25"/>
        <v>8.5999999999999993E-2</v>
      </c>
      <c r="E43" s="27">
        <f t="shared" si="20"/>
        <v>3.8999999999999993E-2</v>
      </c>
      <c r="F43" s="27">
        <f t="shared" si="21"/>
        <v>-1.4089353929735009</v>
      </c>
      <c r="G43" s="28">
        <f t="shared" si="22"/>
        <v>-0.76109927987242176</v>
      </c>
      <c r="H43" s="27">
        <f t="shared" si="23"/>
        <v>0.17334076948452301</v>
      </c>
      <c r="I43" s="41">
        <v>16</v>
      </c>
      <c r="J43" s="42">
        <f t="shared" si="24"/>
        <v>2.7734523117523682</v>
      </c>
      <c r="K43" s="30">
        <f t="shared" si="26"/>
        <v>0.27734523117523685</v>
      </c>
      <c r="L43" s="43">
        <f t="shared" si="27"/>
        <v>1.2194982113845443</v>
      </c>
      <c r="M43" s="30">
        <f>AVERAGE(L43:L45)</f>
        <v>1.3018400207260532</v>
      </c>
      <c r="N43" s="44">
        <f>STDEV(L43:L45)</f>
        <v>0.28078923619593893</v>
      </c>
      <c r="R43"/>
      <c r="S43"/>
      <c r="T43"/>
      <c r="U43"/>
    </row>
    <row r="44" spans="1:21" ht="15" x14ac:dyDescent="0.3">
      <c r="A44" s="45"/>
      <c r="B44">
        <v>7.9000000000000001E-2</v>
      </c>
      <c r="C44">
        <v>7.6999999999999999E-2</v>
      </c>
      <c r="D44" s="27">
        <f t="shared" si="25"/>
        <v>7.8E-2</v>
      </c>
      <c r="E44" s="27">
        <f t="shared" si="20"/>
        <v>3.1E-2</v>
      </c>
      <c r="F44" s="27">
        <f t="shared" si="21"/>
        <v>-1.5086383061657274</v>
      </c>
      <c r="G44" s="28">
        <f t="shared" si="22"/>
        <v>-0.86043460850350273</v>
      </c>
      <c r="H44" s="27">
        <f t="shared" si="23"/>
        <v>0.13790035731957184</v>
      </c>
      <c r="I44" s="41">
        <v>16</v>
      </c>
      <c r="J44" s="42">
        <f t="shared" si="24"/>
        <v>2.2064057171131495</v>
      </c>
      <c r="K44" s="30">
        <f t="shared" si="26"/>
        <v>0.22064057171131496</v>
      </c>
      <c r="L44" s="43">
        <f t="shared" si="27"/>
        <v>1.0714276693052842</v>
      </c>
      <c r="M44" s="30"/>
      <c r="N44" s="44"/>
      <c r="R44"/>
      <c r="S44"/>
      <c r="T44"/>
      <c r="U44"/>
    </row>
    <row r="45" spans="1:21" ht="15" x14ac:dyDescent="0.3">
      <c r="A45" s="46"/>
      <c r="B45">
        <v>9.5000000000000001E-2</v>
      </c>
      <c r="C45">
        <v>9.9000000000000005E-2</v>
      </c>
      <c r="D45" s="27">
        <f t="shared" si="25"/>
        <v>9.7000000000000003E-2</v>
      </c>
      <c r="E45" s="27">
        <f t="shared" si="20"/>
        <v>0.05</v>
      </c>
      <c r="F45" s="27">
        <f t="shared" si="21"/>
        <v>-1.3010299956639813</v>
      </c>
      <c r="G45" s="28">
        <f t="shared" si="22"/>
        <v>-0.6535917080310385</v>
      </c>
      <c r="H45" s="27">
        <f t="shared" si="23"/>
        <v>0.22202827867199743</v>
      </c>
      <c r="I45" s="41">
        <v>16</v>
      </c>
      <c r="J45" s="42">
        <f t="shared" si="24"/>
        <v>3.5524524587519588</v>
      </c>
      <c r="K45" s="30">
        <f t="shared" si="26"/>
        <v>0.3552452458751959</v>
      </c>
      <c r="L45" s="43">
        <f t="shared" si="27"/>
        <v>1.6145941814883311</v>
      </c>
      <c r="M45" s="30"/>
      <c r="N45" s="44"/>
      <c r="R45"/>
      <c r="S45"/>
      <c r="T45"/>
      <c r="U45"/>
    </row>
    <row r="46" spans="1:21" ht="15" x14ac:dyDescent="0.3">
      <c r="E46" s="28"/>
      <c r="F46" s="27"/>
      <c r="G46" s="30"/>
      <c r="H46" s="47"/>
      <c r="R46"/>
      <c r="S46"/>
      <c r="T46"/>
    </row>
    <row r="47" spans="1:21" x14ac:dyDescent="0.2">
      <c r="E47" s="28"/>
      <c r="F47" s="27"/>
      <c r="G47" s="30"/>
      <c r="H47" s="47"/>
    </row>
    <row r="48" spans="1:21" ht="23.25" x14ac:dyDescent="0.35">
      <c r="A48" s="14" t="s">
        <v>35</v>
      </c>
      <c r="E48" s="28"/>
      <c r="F48" s="27"/>
      <c r="H48" s="38"/>
      <c r="M48" s="39" t="s">
        <v>28</v>
      </c>
    </row>
    <row r="49" spans="1:25" x14ac:dyDescent="0.2">
      <c r="A49" s="19" t="s">
        <v>14</v>
      </c>
      <c r="B49" s="21" t="s">
        <v>15</v>
      </c>
      <c r="C49" s="21" t="s">
        <v>15</v>
      </c>
      <c r="D49" s="9" t="s">
        <v>16</v>
      </c>
      <c r="E49" s="20" t="s">
        <v>17</v>
      </c>
      <c r="F49" s="21" t="s">
        <v>9</v>
      </c>
      <c r="G49" s="21" t="s">
        <v>18</v>
      </c>
      <c r="H49" s="21" t="s">
        <v>19</v>
      </c>
      <c r="I49" s="9" t="s">
        <v>20</v>
      </c>
      <c r="J49" s="21" t="s">
        <v>21</v>
      </c>
      <c r="K49" s="21" t="s">
        <v>29</v>
      </c>
      <c r="L49" s="21" t="s">
        <v>30</v>
      </c>
      <c r="M49" s="17" t="s">
        <v>31</v>
      </c>
      <c r="N49" s="40" t="s">
        <v>32</v>
      </c>
      <c r="O49" s="2" t="s">
        <v>36</v>
      </c>
      <c r="P49" s="17" t="s">
        <v>31</v>
      </c>
      <c r="Q49" s="40" t="s">
        <v>32</v>
      </c>
    </row>
    <row r="50" spans="1:25" ht="15" x14ac:dyDescent="0.3">
      <c r="A50" s="1" t="s">
        <v>25</v>
      </c>
      <c r="B50">
        <v>0.107</v>
      </c>
      <c r="C50">
        <v>0.109</v>
      </c>
      <c r="D50" s="27">
        <f>AVERAGE(B50:C50)</f>
        <v>0.108</v>
      </c>
      <c r="E50" s="27">
        <f t="shared" ref="E50:E55" si="28">D50-E$8</f>
        <v>6.0999999999999999E-2</v>
      </c>
      <c r="F50" s="27">
        <f t="shared" ref="F50:F55" si="29">LOG(E50)</f>
        <v>-1.2146701649892331</v>
      </c>
      <c r="G50" s="28">
        <f t="shared" ref="G50:G55" si="30">(F50-$B$16)/$B$15</f>
        <v>-0.56755026865944092</v>
      </c>
      <c r="H50" s="27">
        <f t="shared" ref="H50:H55" si="31">10^G50</f>
        <v>0.27067598841086388</v>
      </c>
      <c r="I50" s="41">
        <v>16</v>
      </c>
      <c r="J50" s="42">
        <f t="shared" ref="J50:J55" si="32">H50*I50</f>
        <v>4.330815814573822</v>
      </c>
      <c r="K50" s="30">
        <f>(0.1*J50/1000)*1000</f>
        <v>0.43308158145738224</v>
      </c>
      <c r="L50" s="43">
        <f t="shared" ref="L50:L55" si="33">K50*100/L31</f>
        <v>1.9181794371376775</v>
      </c>
      <c r="M50" s="30">
        <f>AVERAGE(L50:L52)</f>
        <v>1.3496527451583102</v>
      </c>
      <c r="N50" s="44">
        <f>STDEV(L50:L52)</f>
        <v>0.49639373902618494</v>
      </c>
      <c r="O50" s="48">
        <f>L50/L40</f>
        <v>2.6058139505262639</v>
      </c>
      <c r="P50" s="30">
        <f>AVERAGE(O50:O52)</f>
        <v>1.9491411555215299</v>
      </c>
      <c r="Q50" s="44">
        <f>STDEV(O50:O52)</f>
        <v>0.6071065235017683</v>
      </c>
      <c r="S50"/>
      <c r="T50"/>
    </row>
    <row r="51" spans="1:25" ht="15" x14ac:dyDescent="0.3">
      <c r="B51">
        <v>0.08</v>
      </c>
      <c r="C51">
        <v>7.6999999999999999E-2</v>
      </c>
      <c r="D51" s="27">
        <f t="shared" ref="D51:D55" si="34">AVERAGE(B51:C51)</f>
        <v>7.85E-2</v>
      </c>
      <c r="E51" s="27">
        <f t="shared" si="28"/>
        <v>3.15E-2</v>
      </c>
      <c r="F51" s="27">
        <f t="shared" si="29"/>
        <v>-1.5016894462103996</v>
      </c>
      <c r="G51" s="28">
        <f t="shared" si="30"/>
        <v>-0.85351136759535584</v>
      </c>
      <c r="H51" s="27">
        <f t="shared" si="31"/>
        <v>0.14011629092231834</v>
      </c>
      <c r="I51" s="41">
        <v>16</v>
      </c>
      <c r="J51" s="42">
        <f t="shared" si="32"/>
        <v>2.2418606547570934</v>
      </c>
      <c r="K51" s="30">
        <f t="shared" ref="K51:K55" si="35">(0.1*J51/1000)*1000</f>
        <v>0.22418606547570935</v>
      </c>
      <c r="L51" s="43">
        <f t="shared" si="33"/>
        <v>1.002224578859815</v>
      </c>
      <c r="M51" s="30"/>
      <c r="N51" s="44"/>
      <c r="O51" s="2">
        <f t="shared" ref="O51:O55" si="36">L51/L41</f>
        <v>1.4082866150197781</v>
      </c>
      <c r="P51" s="30"/>
      <c r="Q51" s="44"/>
      <c r="S51"/>
      <c r="T51"/>
    </row>
    <row r="52" spans="1:25" ht="15" x14ac:dyDescent="0.3">
      <c r="B52">
        <v>8.7999999999999995E-2</v>
      </c>
      <c r="C52">
        <v>0.09</v>
      </c>
      <c r="D52" s="27">
        <f t="shared" si="34"/>
        <v>8.8999999999999996E-2</v>
      </c>
      <c r="E52" s="27">
        <f t="shared" si="28"/>
        <v>4.1999999999999996E-2</v>
      </c>
      <c r="F52" s="27">
        <f t="shared" si="29"/>
        <v>-1.3767507096020997</v>
      </c>
      <c r="G52" s="28">
        <f t="shared" si="30"/>
        <v>-0.72903325494673599</v>
      </c>
      <c r="H52" s="27">
        <f t="shared" si="31"/>
        <v>0.18662367832372412</v>
      </c>
      <c r="I52" s="41">
        <v>16</v>
      </c>
      <c r="J52" s="42">
        <f t="shared" si="32"/>
        <v>2.9859788531795859</v>
      </c>
      <c r="K52" s="30">
        <f t="shared" si="35"/>
        <v>0.29859788531795861</v>
      </c>
      <c r="L52" s="43">
        <f t="shared" si="33"/>
        <v>1.1285542194774387</v>
      </c>
      <c r="M52" s="30"/>
      <c r="N52" s="44"/>
      <c r="O52" s="2">
        <f t="shared" si="36"/>
        <v>1.8333229010185474</v>
      </c>
      <c r="P52" s="30"/>
      <c r="Q52" s="44"/>
      <c r="S52"/>
      <c r="T52"/>
    </row>
    <row r="53" spans="1:25" ht="15" x14ac:dyDescent="0.3">
      <c r="A53" s="1" t="s">
        <v>26</v>
      </c>
      <c r="B53">
        <v>0.13100000000000001</v>
      </c>
      <c r="C53">
        <v>0.13100000000000001</v>
      </c>
      <c r="D53" s="27">
        <f t="shared" si="34"/>
        <v>0.13100000000000001</v>
      </c>
      <c r="E53" s="27">
        <f t="shared" si="28"/>
        <v>8.4000000000000005E-2</v>
      </c>
      <c r="F53" s="27">
        <f t="shared" si="29"/>
        <v>-1.0757207139381184</v>
      </c>
      <c r="G53" s="28">
        <f t="shared" si="30"/>
        <v>-0.42911309625045141</v>
      </c>
      <c r="H53" s="27">
        <f t="shared" si="31"/>
        <v>0.37229474296329729</v>
      </c>
      <c r="I53" s="41">
        <v>16</v>
      </c>
      <c r="J53" s="42">
        <f t="shared" si="32"/>
        <v>5.9567158874127566</v>
      </c>
      <c r="K53" s="30">
        <f t="shared" si="35"/>
        <v>0.59567158874127568</v>
      </c>
      <c r="L53" s="43">
        <f t="shared" si="33"/>
        <v>2.6515274243792768</v>
      </c>
      <c r="M53" s="30">
        <f>AVERAGE(L53:L55)</f>
        <v>2.6941133966874347</v>
      </c>
      <c r="N53" s="44">
        <f>STDEV(L53:L55)</f>
        <v>7.8234445953174275E-2</v>
      </c>
      <c r="O53" s="2">
        <f t="shared" si="36"/>
        <v>2.1742774197010863</v>
      </c>
      <c r="P53" s="30">
        <f>AVERAGE(O53:O55)</f>
        <v>2.1229280033158955</v>
      </c>
      <c r="Q53" s="44">
        <f>STDEV(O53:O55)</f>
        <v>0.37537519769149574</v>
      </c>
      <c r="S53"/>
      <c r="T53"/>
    </row>
    <row r="54" spans="1:25" ht="15" x14ac:dyDescent="0.3">
      <c r="A54" s="45"/>
      <c r="B54">
        <v>0.123</v>
      </c>
      <c r="C54">
        <v>0.123</v>
      </c>
      <c r="D54" s="27">
        <f t="shared" si="34"/>
        <v>0.123</v>
      </c>
      <c r="E54" s="27">
        <f t="shared" si="28"/>
        <v>7.5999999999999998E-2</v>
      </c>
      <c r="F54" s="27">
        <f t="shared" si="29"/>
        <v>-1.1191864077192086</v>
      </c>
      <c r="G54" s="28">
        <f t="shared" si="30"/>
        <v>-0.47241854077239909</v>
      </c>
      <c r="H54" s="27">
        <f t="shared" si="31"/>
        <v>0.33696241277702232</v>
      </c>
      <c r="I54" s="41">
        <v>16</v>
      </c>
      <c r="J54" s="42">
        <f t="shared" si="32"/>
        <v>5.3913986044323572</v>
      </c>
      <c r="K54" s="30">
        <f t="shared" si="35"/>
        <v>0.5391398604432357</v>
      </c>
      <c r="L54" s="43">
        <f t="shared" si="33"/>
        <v>2.6464103340015495</v>
      </c>
      <c r="M54" s="30"/>
      <c r="N54" s="44"/>
      <c r="O54" s="2">
        <f t="shared" si="36"/>
        <v>2.4699850580837501</v>
      </c>
      <c r="P54" s="30"/>
      <c r="Q54" s="44"/>
      <c r="S54"/>
      <c r="T54"/>
    </row>
    <row r="55" spans="1:25" ht="15" x14ac:dyDescent="0.3">
      <c r="A55" s="46"/>
      <c r="B55">
        <v>0.13400000000000001</v>
      </c>
      <c r="C55">
        <v>0.13</v>
      </c>
      <c r="D55" s="27">
        <f t="shared" si="34"/>
        <v>0.13200000000000001</v>
      </c>
      <c r="E55" s="27">
        <f t="shared" si="28"/>
        <v>8.5000000000000006E-2</v>
      </c>
      <c r="F55" s="27">
        <f t="shared" si="29"/>
        <v>-1.0705810742857071</v>
      </c>
      <c r="G55" s="28">
        <f t="shared" si="30"/>
        <v>-0.42399240541433436</v>
      </c>
      <c r="H55" s="27">
        <f t="shared" si="31"/>
        <v>0.37671038652854943</v>
      </c>
      <c r="I55" s="41">
        <v>16</v>
      </c>
      <c r="J55" s="42">
        <f t="shared" si="32"/>
        <v>6.027366184456791</v>
      </c>
      <c r="K55" s="30">
        <f t="shared" si="35"/>
        <v>0.60273661844567916</v>
      </c>
      <c r="L55" s="43">
        <f t="shared" si="33"/>
        <v>2.7844024316814782</v>
      </c>
      <c r="M55" s="30"/>
      <c r="N55" s="44"/>
      <c r="O55" s="2">
        <f t="shared" si="36"/>
        <v>1.7245215321628491</v>
      </c>
      <c r="P55" s="30"/>
      <c r="Q55" s="44"/>
      <c r="S55"/>
      <c r="T55"/>
      <c r="Y55" s="1"/>
    </row>
    <row r="56" spans="1:25" x14ac:dyDescent="0.2">
      <c r="D56" s="27"/>
      <c r="E56" s="28"/>
      <c r="F56" s="27"/>
      <c r="G56" s="30"/>
      <c r="H56" s="47"/>
    </row>
    <row r="57" spans="1:25" x14ac:dyDescent="0.2">
      <c r="B57" s="30"/>
      <c r="C57" s="30"/>
      <c r="D57" s="27"/>
      <c r="E57" s="28"/>
      <c r="F57" s="27"/>
      <c r="G57" s="30"/>
      <c r="H57" s="47"/>
      <c r="M57" s="2" t="s">
        <v>37</v>
      </c>
      <c r="N57" s="2" t="s">
        <v>38</v>
      </c>
      <c r="O57" s="40" t="s">
        <v>32</v>
      </c>
    </row>
    <row r="58" spans="1:25" ht="15" x14ac:dyDescent="0.3">
      <c r="C58"/>
      <c r="D58"/>
      <c r="E58"/>
      <c r="F58"/>
      <c r="G58"/>
      <c r="H58" s="47"/>
      <c r="M58" s="2" t="s">
        <v>25</v>
      </c>
      <c r="N58" s="30">
        <f>P50</f>
        <v>1.9491411555215299</v>
      </c>
      <c r="O58" s="30">
        <f>Q50</f>
        <v>0.6071065235017683</v>
      </c>
    </row>
    <row r="59" spans="1:25" ht="15" x14ac:dyDescent="0.3">
      <c r="D59"/>
      <c r="E59"/>
      <c r="G59"/>
      <c r="M59" s="2" t="s">
        <v>26</v>
      </c>
      <c r="N59" s="30">
        <f>P53</f>
        <v>2.1229280033158955</v>
      </c>
      <c r="O59" s="30">
        <f>Q53</f>
        <v>0.37537519769149574</v>
      </c>
    </row>
    <row r="60" spans="1:25" x14ac:dyDescent="0.2">
      <c r="G60" s="30"/>
      <c r="H60" s="47"/>
    </row>
    <row r="61" spans="1:25" ht="15" x14ac:dyDescent="0.3">
      <c r="A61" s="49"/>
      <c r="D61"/>
      <c r="E61"/>
      <c r="F61"/>
      <c r="G61" s="30"/>
      <c r="H61" s="47"/>
    </row>
    <row r="62" spans="1:25" ht="15" x14ac:dyDescent="0.3">
      <c r="C62" s="27"/>
      <c r="D62"/>
      <c r="E62"/>
      <c r="F62"/>
      <c r="G62" s="30"/>
      <c r="H62" s="47"/>
    </row>
    <row r="63" spans="1:25" ht="15" x14ac:dyDescent="0.3">
      <c r="C63" s="27"/>
      <c r="D63"/>
      <c r="E63"/>
      <c r="F63"/>
      <c r="G63" s="30"/>
      <c r="H63" s="47"/>
    </row>
    <row r="64" spans="1:25" ht="13.5" thickBot="1" x14ac:dyDescent="0.25">
      <c r="B64" s="50" t="s">
        <v>16</v>
      </c>
      <c r="C64" s="51" t="s">
        <v>39</v>
      </c>
      <c r="D64" s="27"/>
      <c r="E64" s="28"/>
      <c r="F64" s="27"/>
      <c r="G64" s="30"/>
      <c r="H64" s="47"/>
    </row>
    <row r="65" spans="1:8" x14ac:dyDescent="0.2">
      <c r="A65" s="1" t="s">
        <v>33</v>
      </c>
      <c r="B65" s="30">
        <f>M40</f>
        <v>0.68778538756272845</v>
      </c>
      <c r="C65" s="30">
        <f>N40</f>
        <v>6.3717020439439012E-2</v>
      </c>
      <c r="D65" s="27"/>
      <c r="E65" s="28"/>
      <c r="F65" s="27"/>
      <c r="G65" s="30"/>
      <c r="H65" s="47"/>
    </row>
    <row r="66" spans="1:8" x14ac:dyDescent="0.2">
      <c r="A66" s="1" t="s">
        <v>25</v>
      </c>
      <c r="B66" s="30">
        <f>M50</f>
        <v>1.3496527451583102</v>
      </c>
      <c r="C66" s="30">
        <f>N50</f>
        <v>0.49639373902618494</v>
      </c>
      <c r="D66" s="27"/>
      <c r="E66" s="28"/>
      <c r="F66" s="27"/>
      <c r="G66" s="30"/>
      <c r="H66" s="47"/>
    </row>
    <row r="67" spans="1:8" x14ac:dyDescent="0.2">
      <c r="A67" s="52" t="s">
        <v>34</v>
      </c>
      <c r="B67" s="30">
        <f>M43</f>
        <v>1.3018400207260532</v>
      </c>
      <c r="C67" s="30">
        <f>N43</f>
        <v>0.28078923619593893</v>
      </c>
      <c r="D67" s="27"/>
      <c r="E67" s="28"/>
      <c r="F67" s="27"/>
      <c r="G67" s="30"/>
      <c r="H67" s="47"/>
    </row>
    <row r="68" spans="1:8" x14ac:dyDescent="0.2">
      <c r="A68" s="45" t="s">
        <v>26</v>
      </c>
      <c r="B68" s="30">
        <f>M53</f>
        <v>2.6941133966874347</v>
      </c>
      <c r="C68" s="30">
        <f>N53</f>
        <v>7.8234445953174275E-2</v>
      </c>
      <c r="D68" s="27"/>
      <c r="E68" s="28"/>
      <c r="F68" s="27"/>
      <c r="G68" s="30"/>
      <c r="H68" s="47"/>
    </row>
    <row r="69" spans="1:8" x14ac:dyDescent="0.2">
      <c r="A69" s="53"/>
      <c r="C69" s="27"/>
      <c r="D69" s="27"/>
      <c r="E69" s="28"/>
      <c r="F69" s="27"/>
      <c r="G69" s="30"/>
      <c r="H69" s="47"/>
    </row>
    <row r="70" spans="1:8" x14ac:dyDescent="0.2">
      <c r="A70" s="53"/>
      <c r="C70" s="27"/>
      <c r="D70" s="27"/>
      <c r="E70" s="28"/>
      <c r="F70" s="27"/>
      <c r="G70" s="30"/>
      <c r="H70" s="47"/>
    </row>
    <row r="71" spans="1:8" x14ac:dyDescent="0.2">
      <c r="A71" s="53"/>
      <c r="B71" s="48"/>
      <c r="C71" s="27"/>
      <c r="D71" s="27"/>
      <c r="E71" s="28"/>
      <c r="F71" s="27"/>
      <c r="G71" s="30"/>
      <c r="H71" s="47"/>
    </row>
    <row r="72" spans="1:8" x14ac:dyDescent="0.2">
      <c r="A72" s="53"/>
      <c r="B72" s="48"/>
      <c r="C72" s="27"/>
      <c r="D72" s="27"/>
      <c r="E72" s="28"/>
      <c r="F72" s="27"/>
      <c r="G72" s="30"/>
      <c r="H72" s="47"/>
    </row>
    <row r="73" spans="1:8" x14ac:dyDescent="0.2">
      <c r="C73" s="27"/>
      <c r="D73" s="27"/>
      <c r="E73" s="28"/>
      <c r="F73" s="27"/>
      <c r="G73" s="30"/>
      <c r="H73" s="47"/>
    </row>
    <row r="74" spans="1:8" x14ac:dyDescent="0.2">
      <c r="C74" s="27"/>
      <c r="D74" s="28"/>
      <c r="H74" s="47"/>
    </row>
    <row r="75" spans="1:8" x14ac:dyDescent="0.2">
      <c r="A75" s="54"/>
      <c r="C75" s="27"/>
      <c r="D75" s="28"/>
      <c r="H75" s="38"/>
    </row>
    <row r="76" spans="1:8" x14ac:dyDescent="0.2">
      <c r="A76" s="54"/>
      <c r="C76" s="27"/>
      <c r="D76" s="28"/>
    </row>
    <row r="77" spans="1:8" x14ac:dyDescent="0.2">
      <c r="A77" s="55"/>
      <c r="B77" s="38"/>
      <c r="C77" s="56"/>
      <c r="D77" s="57"/>
      <c r="E77" s="38"/>
    </row>
    <row r="78" spans="1:8" x14ac:dyDescent="0.2">
      <c r="A78" s="52"/>
      <c r="B78" s="58"/>
      <c r="C78" s="59"/>
      <c r="D78" s="38"/>
      <c r="E78" s="38"/>
    </row>
    <row r="79" spans="1:8" x14ac:dyDescent="0.2">
      <c r="A79" s="52"/>
      <c r="B79" s="42"/>
      <c r="C79" s="56"/>
      <c r="D79" s="38"/>
      <c r="E79" s="38"/>
    </row>
    <row r="80" spans="1:8" x14ac:dyDescent="0.2">
      <c r="A80" s="52"/>
      <c r="B80" s="42"/>
      <c r="C80" s="56"/>
      <c r="D80" s="38"/>
      <c r="E80" s="38"/>
    </row>
    <row r="81" spans="1:7" x14ac:dyDescent="0.2">
      <c r="A81" s="52"/>
      <c r="B81" s="42"/>
      <c r="C81" s="56"/>
      <c r="D81" s="38"/>
      <c r="E81" s="38"/>
    </row>
    <row r="82" spans="1:7" x14ac:dyDescent="0.2">
      <c r="A82" s="52"/>
      <c r="B82" s="42"/>
      <c r="C82" s="56"/>
      <c r="D82" s="38"/>
      <c r="E82" s="38"/>
    </row>
    <row r="83" spans="1:7" x14ac:dyDescent="0.2">
      <c r="A83" s="52"/>
      <c r="B83" s="38"/>
      <c r="C83" s="38"/>
      <c r="D83" s="60"/>
      <c r="E83" s="58"/>
    </row>
    <row r="84" spans="1:7" x14ac:dyDescent="0.2">
      <c r="A84" s="52"/>
      <c r="B84" s="42"/>
      <c r="C84" s="56"/>
      <c r="D84" s="47"/>
      <c r="E84" s="47"/>
    </row>
    <row r="85" spans="1:7" x14ac:dyDescent="0.2">
      <c r="A85" s="52"/>
      <c r="B85" s="42"/>
      <c r="C85" s="56"/>
      <c r="D85" s="47"/>
      <c r="E85" s="47"/>
    </row>
    <row r="86" spans="1:7" x14ac:dyDescent="0.2">
      <c r="A86" s="52"/>
      <c r="B86" s="42"/>
      <c r="C86" s="56"/>
      <c r="D86" s="47"/>
      <c r="E86" s="47"/>
      <c r="F86" s="47"/>
      <c r="G86" s="38"/>
    </row>
    <row r="87" spans="1:7" x14ac:dyDescent="0.2">
      <c r="A87" s="52"/>
      <c r="B87" s="42"/>
      <c r="C87" s="56"/>
      <c r="D87" s="47"/>
      <c r="E87" s="47"/>
      <c r="F87" s="47"/>
      <c r="G87" s="38"/>
    </row>
    <row r="88" spans="1:7" x14ac:dyDescent="0.2">
      <c r="A88" s="52"/>
      <c r="B88" s="38"/>
      <c r="C88" s="47"/>
      <c r="D88" s="47"/>
      <c r="E88" s="47"/>
      <c r="F88" s="47"/>
      <c r="G88" s="38"/>
    </row>
    <row r="89" spans="1:7" x14ac:dyDescent="0.2">
      <c r="A89" s="52"/>
      <c r="B89" s="38"/>
      <c r="C89" s="47"/>
      <c r="D89" s="47"/>
      <c r="E89" s="47"/>
      <c r="F89" s="47"/>
      <c r="G89" s="38"/>
    </row>
    <row r="90" spans="1:7" x14ac:dyDescent="0.2">
      <c r="C90" s="47"/>
      <c r="D90" s="47"/>
      <c r="E90" s="61"/>
      <c r="F90" s="61"/>
    </row>
    <row r="91" spans="1:7" x14ac:dyDescent="0.2">
      <c r="C91" s="47"/>
      <c r="D91" s="47"/>
      <c r="E91" s="61"/>
      <c r="F91" s="61"/>
    </row>
    <row r="92" spans="1:7" x14ac:dyDescent="0.2">
      <c r="C92" s="47"/>
      <c r="D92" s="47"/>
      <c r="E92" s="61"/>
      <c r="F92" s="61"/>
    </row>
    <row r="93" spans="1:7" x14ac:dyDescent="0.2">
      <c r="C93" s="47"/>
      <c r="D93" s="47"/>
      <c r="E93" s="61"/>
      <c r="F93" s="61"/>
    </row>
    <row r="94" spans="1:7" x14ac:dyDescent="0.2">
      <c r="C94" s="47"/>
      <c r="E94" s="61"/>
      <c r="F94" s="61"/>
    </row>
    <row r="95" spans="1:7" x14ac:dyDescent="0.2">
      <c r="C95" s="47"/>
      <c r="E95" s="61"/>
      <c r="F95" s="61"/>
    </row>
    <row r="96" spans="1:7" x14ac:dyDescent="0.2">
      <c r="C96" s="47"/>
      <c r="D96" s="47"/>
      <c r="E96" s="61"/>
      <c r="F96" s="61"/>
    </row>
    <row r="97" spans="2:6" x14ac:dyDescent="0.2">
      <c r="C97" s="47"/>
      <c r="D97" s="47"/>
      <c r="E97" s="61"/>
      <c r="F97" s="61"/>
    </row>
    <row r="98" spans="2:6" x14ac:dyDescent="0.2">
      <c r="C98" s="47"/>
      <c r="D98" s="47"/>
      <c r="E98" s="61"/>
      <c r="F98" s="61"/>
    </row>
    <row r="99" spans="2:6" x14ac:dyDescent="0.2">
      <c r="C99" s="47"/>
      <c r="D99" s="47"/>
      <c r="E99" s="61"/>
      <c r="F99" s="61"/>
    </row>
    <row r="100" spans="2:6" x14ac:dyDescent="0.2">
      <c r="C100" s="47"/>
      <c r="D100" s="47"/>
      <c r="E100" s="61"/>
      <c r="F100" s="61"/>
    </row>
    <row r="101" spans="2:6" x14ac:dyDescent="0.2">
      <c r="C101" s="47"/>
      <c r="D101" s="47"/>
      <c r="E101" s="61"/>
      <c r="F101" s="61"/>
    </row>
    <row r="102" spans="2:6" x14ac:dyDescent="0.2">
      <c r="C102" s="47"/>
      <c r="D102" s="47"/>
      <c r="E102" s="61"/>
      <c r="F102" s="61"/>
    </row>
    <row r="103" spans="2:6" x14ac:dyDescent="0.2">
      <c r="C103" s="47"/>
      <c r="D103" s="47"/>
      <c r="E103" s="61"/>
      <c r="F103" s="61"/>
    </row>
    <row r="104" spans="2:6" x14ac:dyDescent="0.2">
      <c r="C104" s="47"/>
      <c r="D104" s="47"/>
      <c r="E104" s="61"/>
      <c r="F104" s="61"/>
    </row>
    <row r="105" spans="2:6" x14ac:dyDescent="0.2">
      <c r="C105" s="47"/>
      <c r="D105" s="47"/>
      <c r="E105" s="61"/>
      <c r="F105" s="61"/>
    </row>
    <row r="106" spans="2:6" x14ac:dyDescent="0.2">
      <c r="C106" s="47"/>
    </row>
    <row r="107" spans="2:6" x14ac:dyDescent="0.2">
      <c r="C107" s="47"/>
    </row>
    <row r="108" spans="2:6" ht="13.5" thickBot="1" x14ac:dyDescent="0.25">
      <c r="B108" s="62"/>
      <c r="C108" s="62"/>
      <c r="D108" s="62"/>
      <c r="E108" s="62"/>
    </row>
    <row r="109" spans="2:6" x14ac:dyDescent="0.2">
      <c r="B109" s="61"/>
      <c r="C109" s="61"/>
      <c r="D109" s="61"/>
      <c r="E109" s="61"/>
    </row>
    <row r="110" spans="2:6" x14ac:dyDescent="0.2">
      <c r="B110" s="61"/>
      <c r="C110" s="61"/>
      <c r="D110" s="61"/>
      <c r="E110" s="61"/>
    </row>
    <row r="111" spans="2:6" x14ac:dyDescent="0.2">
      <c r="B111" s="61"/>
      <c r="C111" s="61"/>
      <c r="D111" s="61"/>
      <c r="E111" s="61"/>
    </row>
    <row r="112" spans="2:6" x14ac:dyDescent="0.2">
      <c r="B112" s="61"/>
      <c r="C112" s="61"/>
      <c r="D112" s="61"/>
      <c r="E112" s="61"/>
    </row>
    <row r="113" spans="2:5" x14ac:dyDescent="0.2">
      <c r="B113" s="61"/>
      <c r="C113" s="61"/>
      <c r="D113" s="61"/>
      <c r="E113" s="61"/>
    </row>
    <row r="114" spans="2:5" x14ac:dyDescent="0.2">
      <c r="B114" s="61"/>
      <c r="C114" s="61"/>
      <c r="D114" s="61"/>
      <c r="E114" s="61"/>
    </row>
    <row r="115" spans="2:5" x14ac:dyDescent="0.2">
      <c r="B115" s="61"/>
      <c r="C115" s="61"/>
      <c r="D115" s="61"/>
      <c r="E115" s="61"/>
    </row>
    <row r="116" spans="2:5" x14ac:dyDescent="0.2">
      <c r="B116" s="61"/>
      <c r="C116" s="61"/>
      <c r="D116" s="61"/>
      <c r="E116" s="61"/>
    </row>
    <row r="117" spans="2:5" x14ac:dyDescent="0.2">
      <c r="B117" s="61"/>
      <c r="C117" s="61"/>
      <c r="D117" s="61"/>
      <c r="E117" s="61"/>
    </row>
    <row r="118" spans="2:5" x14ac:dyDescent="0.2">
      <c r="B118" s="61"/>
      <c r="C118" s="61"/>
      <c r="D118" s="61"/>
      <c r="E118" s="61"/>
    </row>
  </sheetData>
  <pageMargins left="0.7" right="0.7" top="0.75" bottom="0.75" header="0.3" footer="0.3"/>
  <pageSetup paperSize="9" scale="35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8"/>
  <sheetViews>
    <sheetView topLeftCell="A20" zoomScale="80" zoomScaleNormal="80" workbookViewId="0">
      <selection activeCell="C60" sqref="C60"/>
    </sheetView>
  </sheetViews>
  <sheetFormatPr baseColWidth="10" defaultColWidth="8.75" defaultRowHeight="12.75" x14ac:dyDescent="0.2"/>
  <cols>
    <col min="1" max="1" width="28.125" style="1" customWidth="1"/>
    <col min="2" max="2" width="9.5" style="2" bestFit="1" customWidth="1"/>
    <col min="3" max="3" width="11.875" style="2" bestFit="1" customWidth="1"/>
    <col min="4" max="4" width="7.625" style="2" customWidth="1"/>
    <col min="5" max="5" width="6" style="2" bestFit="1" customWidth="1"/>
    <col min="6" max="8" width="11" style="2" bestFit="1" customWidth="1"/>
    <col min="9" max="9" width="12.125" style="2" bestFit="1" customWidth="1"/>
    <col min="10" max="10" width="12" style="2" bestFit="1" customWidth="1"/>
    <col min="11" max="11" width="12.125" style="2" bestFit="1" customWidth="1"/>
    <col min="12" max="12" width="13" style="2" bestFit="1" customWidth="1"/>
    <col min="13" max="13" width="14.875" style="2" bestFit="1" customWidth="1"/>
    <col min="14" max="14" width="13.75" style="2" bestFit="1" customWidth="1"/>
    <col min="15" max="15" width="14" style="2" customWidth="1"/>
    <col min="16" max="16" width="11.375" style="2" customWidth="1"/>
    <col min="17" max="17" width="10.375" style="2" bestFit="1" customWidth="1"/>
    <col min="18" max="16384" width="8.75" style="2"/>
  </cols>
  <sheetData>
    <row r="1" spans="1:20" x14ac:dyDescent="0.2">
      <c r="A1" s="1" t="s">
        <v>0</v>
      </c>
      <c r="B1" s="63">
        <v>42507</v>
      </c>
    </row>
    <row r="2" spans="1:20" x14ac:dyDescent="0.2">
      <c r="A2" s="1" t="s">
        <v>1</v>
      </c>
      <c r="B2" s="2">
        <v>82</v>
      </c>
      <c r="C2" s="3"/>
      <c r="E2" s="4" t="s">
        <v>40</v>
      </c>
    </row>
    <row r="3" spans="1:20" x14ac:dyDescent="0.2">
      <c r="A3" s="1" t="s">
        <v>2</v>
      </c>
      <c r="B3" s="2" t="s">
        <v>43</v>
      </c>
      <c r="D3" s="10" t="s">
        <v>41</v>
      </c>
      <c r="E3" s="10">
        <v>1</v>
      </c>
      <c r="F3" s="10">
        <v>2</v>
      </c>
    </row>
    <row r="4" spans="1:20" x14ac:dyDescent="0.2">
      <c r="D4" s="10" t="s">
        <v>42</v>
      </c>
      <c r="E4" s="10">
        <v>3</v>
      </c>
      <c r="F4" s="10">
        <v>4</v>
      </c>
    </row>
    <row r="5" spans="1:20" x14ac:dyDescent="0.2">
      <c r="A5" s="2"/>
    </row>
    <row r="6" spans="1:20" ht="15" x14ac:dyDescent="0.3">
      <c r="N6"/>
      <c r="O6"/>
      <c r="P6"/>
    </row>
    <row r="7" spans="1:20" ht="15" x14ac:dyDescent="0.3">
      <c r="A7" s="10" t="s">
        <v>3</v>
      </c>
      <c r="B7" s="6" t="s">
        <v>4</v>
      </c>
      <c r="C7" s="7" t="s">
        <v>5</v>
      </c>
      <c r="D7" s="7"/>
      <c r="E7" s="8" t="s">
        <v>6</v>
      </c>
      <c r="F7" s="9" t="s">
        <v>7</v>
      </c>
      <c r="G7" s="10" t="s">
        <v>8</v>
      </c>
      <c r="H7" s="10" t="s">
        <v>9</v>
      </c>
      <c r="N7"/>
      <c r="O7"/>
      <c r="P7"/>
    </row>
    <row r="8" spans="1:20" ht="15" x14ac:dyDescent="0.3">
      <c r="A8" s="10">
        <v>0</v>
      </c>
      <c r="B8" s="10">
        <f t="shared" ref="B8:B13" si="0">A8/23</f>
        <v>0</v>
      </c>
      <c r="C8" s="65">
        <v>4.7E-2</v>
      </c>
      <c r="D8" s="65">
        <v>4.7E-2</v>
      </c>
      <c r="E8" s="11">
        <f t="shared" ref="E8:E13" si="1">AVERAGE(C8:D8)</f>
        <v>4.7E-2</v>
      </c>
      <c r="F8" s="12"/>
      <c r="G8" s="10"/>
      <c r="H8" s="10"/>
      <c r="N8"/>
      <c r="O8"/>
      <c r="P8"/>
    </row>
    <row r="9" spans="1:20" ht="15" x14ac:dyDescent="0.3">
      <c r="A9" s="10">
        <v>3.15</v>
      </c>
      <c r="B9" s="10">
        <f>A9/23</f>
        <v>0.13695652173913042</v>
      </c>
      <c r="C9" s="65">
        <v>7.5999999999999998E-2</v>
      </c>
      <c r="D9" s="65">
        <v>7.6999999999999999E-2</v>
      </c>
      <c r="E9" s="11">
        <f t="shared" si="1"/>
        <v>7.6499999999999999E-2</v>
      </c>
      <c r="F9" s="12">
        <f>(E9-$E$8)</f>
        <v>2.9499999999999998E-2</v>
      </c>
      <c r="G9" s="12">
        <f>LOG(B9)</f>
        <v>-0.86341728222799241</v>
      </c>
      <c r="H9" s="12">
        <f>LOG(F9)</f>
        <v>-1.530177984021837</v>
      </c>
      <c r="N9"/>
      <c r="O9"/>
      <c r="P9"/>
    </row>
    <row r="10" spans="1:20" ht="15" x14ac:dyDescent="0.3">
      <c r="A10" s="10">
        <v>10.4</v>
      </c>
      <c r="B10" s="10">
        <f t="shared" si="0"/>
        <v>0.45217391304347826</v>
      </c>
      <c r="C10" s="65">
        <v>0.14699999999999999</v>
      </c>
      <c r="D10" s="65">
        <v>0.15</v>
      </c>
      <c r="E10" s="11">
        <f t="shared" si="1"/>
        <v>0.14849999999999999</v>
      </c>
      <c r="F10" s="12">
        <f>(E10-$E$8)</f>
        <v>0.10149999999999999</v>
      </c>
      <c r="G10" s="12">
        <f>LOG(B10)</f>
        <v>-0.34469449671881253</v>
      </c>
      <c r="H10" s="12">
        <f>LOG(F10)</f>
        <v>-0.99353395775076836</v>
      </c>
      <c r="N10"/>
      <c r="O10"/>
      <c r="P10"/>
    </row>
    <row r="11" spans="1:20" ht="15" x14ac:dyDescent="0.3">
      <c r="A11" s="10">
        <v>31.5</v>
      </c>
      <c r="B11" s="10">
        <f t="shared" si="0"/>
        <v>1.3695652173913044</v>
      </c>
      <c r="C11" s="65">
        <v>0.378</v>
      </c>
      <c r="D11" s="65">
        <v>0.36599999999999999</v>
      </c>
      <c r="E11" s="11">
        <f t="shared" si="1"/>
        <v>0.372</v>
      </c>
      <c r="F11" s="12">
        <f>(E11-$E$8)</f>
        <v>0.32500000000000001</v>
      </c>
      <c r="G11" s="12">
        <f>LOG(B11)</f>
        <v>0.13658271777200767</v>
      </c>
      <c r="H11" s="12">
        <f>LOG(F11)</f>
        <v>-0.48811663902112562</v>
      </c>
      <c r="N11"/>
      <c r="O11"/>
      <c r="P11"/>
      <c r="Q11"/>
      <c r="R11"/>
      <c r="S11"/>
      <c r="T11"/>
    </row>
    <row r="12" spans="1:20" ht="15" x14ac:dyDescent="0.3">
      <c r="A12" s="10">
        <v>106</v>
      </c>
      <c r="B12" s="10">
        <f t="shared" si="0"/>
        <v>4.6086956521739131</v>
      </c>
      <c r="C12" s="65">
        <v>1.258</v>
      </c>
      <c r="D12" s="65">
        <v>1.3029999999999999</v>
      </c>
      <c r="E12" s="11">
        <f t="shared" si="1"/>
        <v>1.2805</v>
      </c>
      <c r="F12" s="12">
        <f>(E12-$E$8)</f>
        <v>1.2335</v>
      </c>
      <c r="G12" s="12">
        <f>LOG(B12)</f>
        <v>0.66357802924717735</v>
      </c>
      <c r="H12" s="12">
        <f>LOG(F12)</f>
        <v>9.1139153825754854E-2</v>
      </c>
      <c r="N12"/>
      <c r="O12"/>
      <c r="P12"/>
      <c r="Q12"/>
      <c r="R12"/>
      <c r="S12"/>
      <c r="T12"/>
    </row>
    <row r="13" spans="1:20" ht="15" x14ac:dyDescent="0.3">
      <c r="A13" s="10">
        <v>210</v>
      </c>
      <c r="B13" s="10">
        <f t="shared" si="0"/>
        <v>9.1304347826086953</v>
      </c>
      <c r="C13" s="65">
        <v>1.821</v>
      </c>
      <c r="D13" s="65">
        <v>1.831</v>
      </c>
      <c r="E13" s="11">
        <f t="shared" si="1"/>
        <v>1.8260000000000001</v>
      </c>
      <c r="F13" s="12">
        <f>(E13-$E$8)</f>
        <v>1.7790000000000001</v>
      </c>
      <c r="G13" s="12">
        <f>LOG(B13)</f>
        <v>0.96049145871632635</v>
      </c>
      <c r="H13" s="12">
        <f>LOG(F13)</f>
        <v>0.25017594808392507</v>
      </c>
      <c r="N13"/>
      <c r="O13"/>
      <c r="P13"/>
    </row>
    <row r="14" spans="1:20" ht="15" x14ac:dyDescent="0.3">
      <c r="N14"/>
    </row>
    <row r="15" spans="1:20" ht="15" x14ac:dyDescent="0.3">
      <c r="A15" s="5" t="s">
        <v>10</v>
      </c>
      <c r="B15" s="11">
        <f>SLOPE(H9:H13,G9:G13)</f>
        <v>1.003700441385871</v>
      </c>
      <c r="N15"/>
    </row>
    <row r="16" spans="1:20" ht="15" x14ac:dyDescent="0.25">
      <c r="A16" s="5" t="s">
        <v>11</v>
      </c>
      <c r="B16" s="11">
        <f>INTERCEPT(H9:H13,G9:G13)</f>
        <v>-0.64501970982708257</v>
      </c>
      <c r="C16" s="13"/>
      <c r="G16" s="13"/>
      <c r="H16" s="13"/>
    </row>
    <row r="17" spans="1:17" ht="15" x14ac:dyDescent="0.3">
      <c r="B17"/>
      <c r="C17"/>
      <c r="D17"/>
      <c r="E17"/>
      <c r="F17"/>
      <c r="G17"/>
    </row>
    <row r="18" spans="1:17" ht="15" x14ac:dyDescent="0.3">
      <c r="B18"/>
      <c r="C18"/>
      <c r="D18"/>
      <c r="E18"/>
      <c r="F18"/>
      <c r="G18"/>
    </row>
    <row r="19" spans="1:17" ht="23.25" x14ac:dyDescent="0.35">
      <c r="A19" s="14" t="s">
        <v>12</v>
      </c>
      <c r="B19" s="15"/>
      <c r="C19" s="15"/>
      <c r="K19" s="16"/>
      <c r="L19" s="17" t="s">
        <v>13</v>
      </c>
      <c r="M19" s="18"/>
    </row>
    <row r="20" spans="1:17" s="17" customFormat="1" x14ac:dyDescent="0.2">
      <c r="A20" s="19" t="s">
        <v>14</v>
      </c>
      <c r="B20" s="9" t="s">
        <v>15</v>
      </c>
      <c r="C20" s="9" t="s">
        <v>15</v>
      </c>
      <c r="D20" s="9" t="s">
        <v>16</v>
      </c>
      <c r="E20" s="20" t="s">
        <v>17</v>
      </c>
      <c r="F20" s="21" t="s">
        <v>9</v>
      </c>
      <c r="G20" s="21" t="s">
        <v>18</v>
      </c>
      <c r="H20" s="21" t="s">
        <v>19</v>
      </c>
      <c r="I20" s="9" t="s">
        <v>20</v>
      </c>
      <c r="J20" s="21" t="s">
        <v>21</v>
      </c>
      <c r="K20" s="21" t="s">
        <v>22</v>
      </c>
      <c r="L20" s="21" t="s">
        <v>23</v>
      </c>
      <c r="M20" s="22" t="s">
        <v>24</v>
      </c>
    </row>
    <row r="21" spans="1:17" s="24" customFormat="1" x14ac:dyDescent="0.2">
      <c r="A21" s="23"/>
      <c r="L21" s="25"/>
      <c r="M21" s="26"/>
    </row>
    <row r="22" spans="1:17" ht="15" x14ac:dyDescent="0.3">
      <c r="A22" s="1" t="s">
        <v>25</v>
      </c>
      <c r="B22">
        <v>0.41199999999999998</v>
      </c>
      <c r="C22">
        <v>0.47899999999999998</v>
      </c>
      <c r="D22" s="27">
        <f>AVERAGE(B22:C22)</f>
        <v>0.44550000000000001</v>
      </c>
      <c r="E22" s="27">
        <f t="shared" ref="E22:E27" si="2">D22-E$8</f>
        <v>0.39850000000000002</v>
      </c>
      <c r="F22" s="27">
        <f>LOG(E22)</f>
        <v>-0.39957167426786883</v>
      </c>
      <c r="G22" s="28">
        <f>(F22-$B$16)/$B$15</f>
        <v>0.24454311808442419</v>
      </c>
      <c r="H22" s="28">
        <f>10^G22</f>
        <v>1.7560752340645809</v>
      </c>
      <c r="I22" s="29">
        <v>500</v>
      </c>
      <c r="J22" s="30">
        <f>(H22*I22)</f>
        <v>878.03761703229043</v>
      </c>
      <c r="K22" s="31">
        <f>(0.05*J22/1000)*1000</f>
        <v>43.901880851614521</v>
      </c>
      <c r="L22" s="32">
        <f>K22+K40+K50</f>
        <v>44.548640407150486</v>
      </c>
      <c r="M22" s="33">
        <f>(L22*1000000/50000)/1000</f>
        <v>0.89097280814300972</v>
      </c>
      <c r="N22" s="34"/>
    </row>
    <row r="23" spans="1:17" ht="15" x14ac:dyDescent="0.3">
      <c r="B23">
        <v>0.39100000000000001</v>
      </c>
      <c r="C23">
        <v>0.42099999999999999</v>
      </c>
      <c r="D23" s="27">
        <f t="shared" ref="D23:D27" si="3">AVERAGE(B23:C23)</f>
        <v>0.40600000000000003</v>
      </c>
      <c r="E23" s="27">
        <f t="shared" si="2"/>
        <v>0.35900000000000004</v>
      </c>
      <c r="F23" s="27">
        <f t="shared" ref="F23:F27" si="4">LOG(E23)</f>
        <v>-0.44490555142168081</v>
      </c>
      <c r="G23" s="28">
        <f t="shared" ref="G23:G27" si="5">(F23-$B$16)/$B$15</f>
        <v>0.19937637780560485</v>
      </c>
      <c r="H23" s="28">
        <f t="shared" ref="H23:H27" si="6">10^G23</f>
        <v>1.5826190090984367</v>
      </c>
      <c r="I23" s="29">
        <v>500</v>
      </c>
      <c r="J23" s="30">
        <f t="shared" ref="J23:J27" si="7">(H23*I23)</f>
        <v>791.30950454921833</v>
      </c>
      <c r="K23" s="31">
        <f t="shared" ref="K23:K27" si="8">(0.05*J23/1000)*1000</f>
        <v>39.565475227460922</v>
      </c>
      <c r="L23" s="32">
        <f>K23+K41+K51</f>
        <v>40.329026710644946</v>
      </c>
      <c r="M23" s="33">
        <f t="shared" ref="M23:M27" si="9">(L23*1000000/50000)/1000</f>
        <v>0.80658053421289888</v>
      </c>
      <c r="N23" s="34"/>
    </row>
    <row r="24" spans="1:17" ht="15" x14ac:dyDescent="0.3">
      <c r="B24">
        <v>0.44900000000000001</v>
      </c>
      <c r="C24">
        <v>0.47399999999999998</v>
      </c>
      <c r="D24" s="27">
        <f t="shared" si="3"/>
        <v>0.46150000000000002</v>
      </c>
      <c r="E24" s="27">
        <f t="shared" si="2"/>
        <v>0.41450000000000004</v>
      </c>
      <c r="F24" s="27">
        <f t="shared" si="4"/>
        <v>-0.38247546511370761</v>
      </c>
      <c r="G24" s="28">
        <f t="shared" si="5"/>
        <v>0.26157629695854667</v>
      </c>
      <c r="H24" s="28">
        <f t="shared" si="6"/>
        <v>1.8263175688009889</v>
      </c>
      <c r="I24" s="29">
        <v>500</v>
      </c>
      <c r="J24" s="30">
        <f t="shared" si="7"/>
        <v>913.15878440049448</v>
      </c>
      <c r="K24" s="31">
        <f t="shared" si="8"/>
        <v>45.65793922002473</v>
      </c>
      <c r="L24" s="32">
        <f t="shared" ref="L24:L27" si="10">K24+K42+K52</f>
        <v>46.414389088899036</v>
      </c>
      <c r="M24" s="33">
        <f t="shared" si="9"/>
        <v>0.92828778177798077</v>
      </c>
      <c r="N24" s="34"/>
    </row>
    <row r="25" spans="1:17" ht="15" x14ac:dyDescent="0.3">
      <c r="A25" s="1" t="s">
        <v>26</v>
      </c>
      <c r="B25">
        <v>0.39400000000000002</v>
      </c>
      <c r="C25">
        <v>0.377</v>
      </c>
      <c r="D25" s="27">
        <f t="shared" si="3"/>
        <v>0.38550000000000001</v>
      </c>
      <c r="E25" s="27">
        <f t="shared" si="2"/>
        <v>0.33850000000000002</v>
      </c>
      <c r="F25" s="27">
        <f t="shared" si="4"/>
        <v>-0.47044132697883684</v>
      </c>
      <c r="G25" s="28">
        <f t="shared" si="5"/>
        <v>0.17393474751011825</v>
      </c>
      <c r="H25" s="28">
        <f t="shared" si="6"/>
        <v>1.492570134947973</v>
      </c>
      <c r="I25" s="29">
        <v>500</v>
      </c>
      <c r="J25" s="30">
        <f t="shared" si="7"/>
        <v>746.28506747398649</v>
      </c>
      <c r="K25" s="31">
        <f t="shared" si="8"/>
        <v>37.314253373699323</v>
      </c>
      <c r="L25" s="32">
        <f t="shared" si="10"/>
        <v>38.491250079037322</v>
      </c>
      <c r="M25" s="33">
        <f t="shared" si="9"/>
        <v>0.76982500158074652</v>
      </c>
      <c r="N25" s="34"/>
    </row>
    <row r="26" spans="1:17" ht="15" x14ac:dyDescent="0.3">
      <c r="B26">
        <v>0.318</v>
      </c>
      <c r="C26">
        <v>0.32800000000000001</v>
      </c>
      <c r="D26" s="27">
        <f t="shared" si="3"/>
        <v>0.32300000000000001</v>
      </c>
      <c r="E26" s="27">
        <f t="shared" si="2"/>
        <v>0.27600000000000002</v>
      </c>
      <c r="F26" s="27">
        <f t="shared" si="4"/>
        <v>-0.55909091793478227</v>
      </c>
      <c r="G26" s="28">
        <f t="shared" si="5"/>
        <v>8.5611989742331002E-2</v>
      </c>
      <c r="H26" s="28">
        <f t="shared" si="6"/>
        <v>1.2179010075098027</v>
      </c>
      <c r="I26" s="29">
        <v>500</v>
      </c>
      <c r="J26" s="30">
        <f t="shared" si="7"/>
        <v>608.95050375490132</v>
      </c>
      <c r="K26" s="31">
        <f t="shared" si="8"/>
        <v>30.447525187745068</v>
      </c>
      <c r="L26" s="32">
        <f t="shared" si="10"/>
        <v>31.681255514412239</v>
      </c>
      <c r="M26" s="33">
        <f t="shared" si="9"/>
        <v>0.63362511028824475</v>
      </c>
      <c r="N26" s="34"/>
    </row>
    <row r="27" spans="1:17" ht="15" x14ac:dyDescent="0.3">
      <c r="B27">
        <v>0.312</v>
      </c>
      <c r="C27">
        <v>0.32400000000000001</v>
      </c>
      <c r="D27" s="27">
        <f t="shared" si="3"/>
        <v>0.318</v>
      </c>
      <c r="E27" s="27">
        <f t="shared" si="2"/>
        <v>0.27100000000000002</v>
      </c>
      <c r="F27" s="27">
        <f t="shared" si="4"/>
        <v>-0.56703070912559428</v>
      </c>
      <c r="G27" s="28">
        <f t="shared" si="5"/>
        <v>7.7701470962595248E-2</v>
      </c>
      <c r="H27" s="28">
        <f t="shared" si="6"/>
        <v>1.1959181882819052</v>
      </c>
      <c r="I27" s="29">
        <v>500</v>
      </c>
      <c r="J27" s="30">
        <f t="shared" si="7"/>
        <v>597.95909414095263</v>
      </c>
      <c r="K27" s="31">
        <f t="shared" si="8"/>
        <v>29.897954707047631</v>
      </c>
      <c r="L27" s="32">
        <f t="shared" si="10"/>
        <v>31.029232217487895</v>
      </c>
      <c r="M27" s="33">
        <f t="shared" si="9"/>
        <v>0.62058464434975791</v>
      </c>
      <c r="N27" s="34"/>
    </row>
    <row r="28" spans="1:17" ht="23.25" x14ac:dyDescent="0.35">
      <c r="A28" s="14" t="s">
        <v>12</v>
      </c>
      <c r="B28" s="15"/>
      <c r="C28" s="15"/>
      <c r="K28" s="16"/>
      <c r="L28" s="17" t="s">
        <v>13</v>
      </c>
      <c r="M28" s="18"/>
    </row>
    <row r="29" spans="1:17" s="17" customFormat="1" x14ac:dyDescent="0.2">
      <c r="A29" s="19" t="s">
        <v>14</v>
      </c>
      <c r="B29" s="9" t="s">
        <v>15</v>
      </c>
      <c r="C29" s="9" t="s">
        <v>15</v>
      </c>
      <c r="D29" s="9" t="s">
        <v>16</v>
      </c>
      <c r="E29" s="20" t="s">
        <v>17</v>
      </c>
      <c r="F29" s="21" t="s">
        <v>9</v>
      </c>
      <c r="G29" s="21" t="s">
        <v>18</v>
      </c>
      <c r="H29" s="21" t="s">
        <v>19</v>
      </c>
      <c r="I29" s="9" t="s">
        <v>20</v>
      </c>
      <c r="J29" s="21" t="s">
        <v>21</v>
      </c>
      <c r="K29" s="21" t="s">
        <v>22</v>
      </c>
      <c r="L29" s="21" t="s">
        <v>23</v>
      </c>
      <c r="M29" s="22" t="s">
        <v>24</v>
      </c>
    </row>
    <row r="30" spans="1:17" s="24" customFormat="1" x14ac:dyDescent="0.2">
      <c r="A30" s="23"/>
      <c r="L30" s="25"/>
      <c r="M30" s="26"/>
    </row>
    <row r="31" spans="1:17" ht="15" x14ac:dyDescent="0.3">
      <c r="A31" s="1" t="s">
        <v>25</v>
      </c>
      <c r="B31">
        <v>0.41199999999999998</v>
      </c>
      <c r="C31">
        <v>0.47899999999999998</v>
      </c>
      <c r="D31" s="27">
        <f t="shared" ref="D31:D36" si="11">AVERAGE(B31:C31)</f>
        <v>0.44550000000000001</v>
      </c>
      <c r="E31" s="27">
        <f t="shared" ref="E31:E36" si="12">D31-E$8</f>
        <v>0.39850000000000002</v>
      </c>
      <c r="F31" s="27">
        <f>LOG(E31)</f>
        <v>-0.39957167426786883</v>
      </c>
      <c r="G31" s="28">
        <f>(F31-$B$16)/$B$15</f>
        <v>0.24454311808442419</v>
      </c>
      <c r="H31" s="28">
        <f>10^G31</f>
        <v>1.7560752340645809</v>
      </c>
      <c r="I31" s="29">
        <v>500</v>
      </c>
      <c r="J31" s="30">
        <f>(H31*I31)</f>
        <v>878.03761703229043</v>
      </c>
      <c r="K31" s="31">
        <f>(0.05*J31/1000)*1000</f>
        <v>43.901880851614521</v>
      </c>
      <c r="L31" s="32">
        <f>K31+K50</f>
        <v>44.257126097489717</v>
      </c>
      <c r="M31" s="33">
        <f>(L31*1000000/50000)/1000</f>
        <v>0.88514252194979426</v>
      </c>
      <c r="N31" s="35"/>
      <c r="Q31"/>
    </row>
    <row r="32" spans="1:17" ht="15" x14ac:dyDescent="0.3">
      <c r="B32">
        <v>0.39100000000000001</v>
      </c>
      <c r="C32">
        <v>0.42099999999999999</v>
      </c>
      <c r="D32" s="27">
        <f t="shared" si="11"/>
        <v>0.40600000000000003</v>
      </c>
      <c r="E32" s="27">
        <f t="shared" si="12"/>
        <v>0.35900000000000004</v>
      </c>
      <c r="F32" s="27">
        <f t="shared" ref="F32:F36" si="13">LOG(E32)</f>
        <v>-0.44490555142168081</v>
      </c>
      <c r="G32" s="28">
        <f t="shared" ref="G32:G36" si="14">(F32-$B$16)/$B$15</f>
        <v>0.19937637780560485</v>
      </c>
      <c r="H32" s="28">
        <f t="shared" ref="H32:H36" si="15">10^G32</f>
        <v>1.5826190090984367</v>
      </c>
      <c r="I32" s="29">
        <v>500</v>
      </c>
      <c r="J32" s="30">
        <f t="shared" ref="J32:J36" si="16">(H32*I32)</f>
        <v>791.30950454921833</v>
      </c>
      <c r="K32" s="31">
        <f t="shared" ref="K32:K36" si="17">(0.05*J32/1000)*1000</f>
        <v>39.565475227460922</v>
      </c>
      <c r="L32" s="32">
        <f>K32+K51</f>
        <v>39.899481944224483</v>
      </c>
      <c r="M32" s="33">
        <f t="shared" ref="M32:M36" si="18">(L32*1000000/50000)/1000</f>
        <v>0.79798963888448959</v>
      </c>
      <c r="N32" s="36"/>
      <c r="Q32"/>
    </row>
    <row r="33" spans="1:21" ht="15" x14ac:dyDescent="0.3">
      <c r="B33">
        <v>0.44900000000000001</v>
      </c>
      <c r="C33">
        <v>0.47399999999999998</v>
      </c>
      <c r="D33" s="27">
        <f t="shared" si="11"/>
        <v>0.46150000000000002</v>
      </c>
      <c r="E33" s="27">
        <f t="shared" si="12"/>
        <v>0.41450000000000004</v>
      </c>
      <c r="F33" s="27">
        <f t="shared" si="13"/>
        <v>-0.38247546511370761</v>
      </c>
      <c r="G33" s="28">
        <f t="shared" si="14"/>
        <v>0.26157629695854667</v>
      </c>
      <c r="H33" s="28">
        <f t="shared" si="15"/>
        <v>1.8263175688009889</v>
      </c>
      <c r="I33" s="29">
        <v>500</v>
      </c>
      <c r="J33" s="30">
        <f t="shared" si="16"/>
        <v>913.15878440049448</v>
      </c>
      <c r="K33" s="31">
        <f t="shared" si="17"/>
        <v>45.65793922002473</v>
      </c>
      <c r="L33" s="32">
        <f t="shared" ref="L33:L36" si="19">K33+K52</f>
        <v>45.967161307451853</v>
      </c>
      <c r="M33" s="33">
        <f t="shared" si="18"/>
        <v>0.91934322614903707</v>
      </c>
      <c r="N33" s="36"/>
      <c r="Q33"/>
      <c r="R33"/>
      <c r="S33"/>
    </row>
    <row r="34" spans="1:21" ht="15" x14ac:dyDescent="0.3">
      <c r="A34" s="1" t="s">
        <v>26</v>
      </c>
      <c r="B34">
        <v>0.39400000000000002</v>
      </c>
      <c r="C34">
        <v>0.377</v>
      </c>
      <c r="D34" s="27">
        <f t="shared" si="11"/>
        <v>0.38550000000000001</v>
      </c>
      <c r="E34" s="27">
        <f t="shared" si="12"/>
        <v>0.33850000000000002</v>
      </c>
      <c r="F34" s="27">
        <f t="shared" si="13"/>
        <v>-0.47044132697883684</v>
      </c>
      <c r="G34" s="28">
        <f t="shared" si="14"/>
        <v>0.17393474751011825</v>
      </c>
      <c r="H34" s="28">
        <f t="shared" si="15"/>
        <v>1.492570134947973</v>
      </c>
      <c r="I34" s="29">
        <v>500</v>
      </c>
      <c r="J34" s="30">
        <f t="shared" si="16"/>
        <v>746.28506747398649</v>
      </c>
      <c r="K34" s="31">
        <f t="shared" si="17"/>
        <v>37.314253373699323</v>
      </c>
      <c r="L34" s="32">
        <f t="shared" si="19"/>
        <v>38.086466086929718</v>
      </c>
      <c r="M34" s="33">
        <f t="shared" si="18"/>
        <v>0.76172932173859431</v>
      </c>
      <c r="N34" s="36"/>
      <c r="Q34"/>
      <c r="R34"/>
      <c r="S34"/>
    </row>
    <row r="35" spans="1:21" ht="15" x14ac:dyDescent="0.3">
      <c r="B35">
        <v>0.318</v>
      </c>
      <c r="C35">
        <v>0.32800000000000001</v>
      </c>
      <c r="D35" s="27">
        <f t="shared" si="11"/>
        <v>0.32300000000000001</v>
      </c>
      <c r="E35" s="27">
        <f t="shared" si="12"/>
        <v>0.27600000000000002</v>
      </c>
      <c r="F35" s="27">
        <f t="shared" si="13"/>
        <v>-0.55909091793478227</v>
      </c>
      <c r="G35" s="28">
        <f t="shared" si="14"/>
        <v>8.5611989742331002E-2</v>
      </c>
      <c r="H35" s="28">
        <f t="shared" si="15"/>
        <v>1.2179010075098027</v>
      </c>
      <c r="I35" s="29">
        <v>500</v>
      </c>
      <c r="J35" s="30">
        <f t="shared" si="16"/>
        <v>608.95050375490132</v>
      </c>
      <c r="K35" s="31">
        <f t="shared" si="17"/>
        <v>30.447525187745068</v>
      </c>
      <c r="L35" s="32">
        <f t="shared" si="19"/>
        <v>31.07851889596656</v>
      </c>
      <c r="M35" s="33">
        <f t="shared" si="18"/>
        <v>0.62157037791933123</v>
      </c>
      <c r="N35" s="36"/>
      <c r="Q35"/>
      <c r="R35"/>
      <c r="S35"/>
    </row>
    <row r="36" spans="1:21" ht="15" x14ac:dyDescent="0.3">
      <c r="B36">
        <v>0.312</v>
      </c>
      <c r="C36">
        <v>0.32400000000000001</v>
      </c>
      <c r="D36" s="27">
        <f t="shared" si="11"/>
        <v>0.318</v>
      </c>
      <c r="E36" s="27">
        <f t="shared" si="12"/>
        <v>0.27100000000000002</v>
      </c>
      <c r="F36" s="27">
        <f t="shared" si="13"/>
        <v>-0.56703070912559428</v>
      </c>
      <c r="G36" s="28">
        <f t="shared" si="14"/>
        <v>7.7701470962595248E-2</v>
      </c>
      <c r="H36" s="28">
        <f t="shared" si="15"/>
        <v>1.1959181882819052</v>
      </c>
      <c r="I36" s="29">
        <v>500</v>
      </c>
      <c r="J36" s="30">
        <f t="shared" si="16"/>
        <v>597.95909414095263</v>
      </c>
      <c r="K36" s="31">
        <f t="shared" si="17"/>
        <v>29.897954707047631</v>
      </c>
      <c r="L36" s="32">
        <f t="shared" si="19"/>
        <v>30.433560628746619</v>
      </c>
      <c r="M36" s="33">
        <f t="shared" si="18"/>
        <v>0.6086712125749324</v>
      </c>
      <c r="N36" s="37"/>
      <c r="Q36"/>
      <c r="R36"/>
      <c r="S36"/>
    </row>
    <row r="37" spans="1:21" ht="15" x14ac:dyDescent="0.3">
      <c r="R37"/>
      <c r="S37"/>
    </row>
    <row r="38" spans="1:21" ht="23.25" x14ac:dyDescent="0.35">
      <c r="A38" s="14" t="s">
        <v>27</v>
      </c>
      <c r="E38" s="28"/>
      <c r="F38" s="27"/>
      <c r="H38" s="38"/>
      <c r="M38" s="39" t="s">
        <v>28</v>
      </c>
      <c r="R38"/>
      <c r="S38"/>
      <c r="T38"/>
    </row>
    <row r="39" spans="1:21" ht="15" x14ac:dyDescent="0.3">
      <c r="A39" s="19" t="s">
        <v>14</v>
      </c>
      <c r="B39" s="21" t="s">
        <v>15</v>
      </c>
      <c r="C39" s="21" t="s">
        <v>15</v>
      </c>
      <c r="D39" s="9" t="s">
        <v>16</v>
      </c>
      <c r="E39" s="20" t="s">
        <v>17</v>
      </c>
      <c r="F39" s="21" t="s">
        <v>9</v>
      </c>
      <c r="G39" s="21" t="s">
        <v>18</v>
      </c>
      <c r="H39" s="21" t="s">
        <v>19</v>
      </c>
      <c r="I39" s="9" t="s">
        <v>20</v>
      </c>
      <c r="J39" s="21" t="s">
        <v>21</v>
      </c>
      <c r="K39" s="21" t="s">
        <v>29</v>
      </c>
      <c r="L39" s="21" t="s">
        <v>30</v>
      </c>
      <c r="M39" s="17" t="s">
        <v>31</v>
      </c>
      <c r="N39" s="40" t="s">
        <v>32</v>
      </c>
      <c r="R39"/>
      <c r="S39"/>
      <c r="T39"/>
    </row>
    <row r="40" spans="1:21" ht="15" x14ac:dyDescent="0.3">
      <c r="A40" s="1" t="s">
        <v>33</v>
      </c>
      <c r="B40">
        <v>8.4000000000000005E-2</v>
      </c>
      <c r="C40">
        <v>9.1999999999999998E-2</v>
      </c>
      <c r="D40" s="27">
        <f>AVERAGE(B40:C40)</f>
        <v>8.7999999999999995E-2</v>
      </c>
      <c r="E40" s="27">
        <f t="shared" ref="E40:E45" si="20">D40-E$8</f>
        <v>4.0999999999999995E-2</v>
      </c>
      <c r="F40" s="27">
        <f t="shared" ref="F40:F45" si="21">LOG(E40)</f>
        <v>-1.3872161432802645</v>
      </c>
      <c r="G40" s="28">
        <f t="shared" ref="G40:G45" si="22">(F40-$B$16)/$B$15</f>
        <v>-0.73946010467862866</v>
      </c>
      <c r="H40" s="27">
        <f t="shared" ref="H40:H45" si="23">10^G40</f>
        <v>0.18219644353798289</v>
      </c>
      <c r="I40" s="41">
        <v>16</v>
      </c>
      <c r="J40" s="42">
        <f t="shared" ref="J40:J45" si="24">H40*I40</f>
        <v>2.9151430966077263</v>
      </c>
      <c r="K40" s="30">
        <f>(0.1*J40/1000)*1000</f>
        <v>0.29151430966077263</v>
      </c>
      <c r="L40" s="43">
        <f>K40*100/L22</f>
        <v>0.65437307849687321</v>
      </c>
      <c r="M40" s="30">
        <f>AVERAGE(L40:L42)</f>
        <v>0.89434266647287097</v>
      </c>
      <c r="N40" s="44">
        <f>STDEV(L40:L42)</f>
        <v>0.21393218413996298</v>
      </c>
      <c r="R40"/>
      <c r="S40"/>
      <c r="T40"/>
      <c r="U40"/>
    </row>
    <row r="41" spans="1:21" ht="15" x14ac:dyDescent="0.3">
      <c r="B41">
        <v>0.107</v>
      </c>
      <c r="C41">
        <v>0.108</v>
      </c>
      <c r="D41" s="27">
        <f t="shared" ref="D41:D45" si="25">AVERAGE(B41:C41)</f>
        <v>0.1075</v>
      </c>
      <c r="E41" s="27">
        <f t="shared" si="20"/>
        <v>6.0499999999999998E-2</v>
      </c>
      <c r="F41" s="27">
        <f t="shared" si="21"/>
        <v>-1.2182446253475312</v>
      </c>
      <c r="G41" s="28">
        <f t="shared" si="22"/>
        <v>-0.57111155070228092</v>
      </c>
      <c r="H41" s="27">
        <f t="shared" si="23"/>
        <v>0.26846547901279078</v>
      </c>
      <c r="I41" s="41">
        <v>16</v>
      </c>
      <c r="J41" s="42">
        <f t="shared" si="24"/>
        <v>4.2954476642046524</v>
      </c>
      <c r="K41" s="30">
        <f t="shared" ref="K41:K45" si="26">(0.1*J41/1000)*1000</f>
        <v>0.42954476642046524</v>
      </c>
      <c r="L41" s="43">
        <f t="shared" ref="L41:L45" si="27">K41*100/L23</f>
        <v>1.0651007511348789</v>
      </c>
      <c r="M41" s="30"/>
      <c r="N41" s="44"/>
      <c r="R41"/>
      <c r="S41"/>
      <c r="T41"/>
      <c r="U41"/>
    </row>
    <row r="42" spans="1:21" s="17" customFormat="1" ht="15" x14ac:dyDescent="0.3">
      <c r="A42" s="1"/>
      <c r="B42">
        <v>0.113</v>
      </c>
      <c r="C42">
        <v>0.107</v>
      </c>
      <c r="D42" s="27">
        <f t="shared" si="25"/>
        <v>0.11</v>
      </c>
      <c r="E42" s="27">
        <f t="shared" si="20"/>
        <v>6.3E-2</v>
      </c>
      <c r="F42" s="27">
        <f t="shared" si="21"/>
        <v>-1.2006594505464183</v>
      </c>
      <c r="G42" s="28">
        <f t="shared" si="22"/>
        <v>-0.55359120889907132</v>
      </c>
      <c r="H42" s="27">
        <f t="shared" si="23"/>
        <v>0.27951736340449018</v>
      </c>
      <c r="I42" s="41">
        <v>16</v>
      </c>
      <c r="J42" s="42">
        <f t="shared" si="24"/>
        <v>4.4722778144718429</v>
      </c>
      <c r="K42" s="30">
        <f t="shared" si="26"/>
        <v>0.44722778144718434</v>
      </c>
      <c r="L42" s="43">
        <f t="shared" si="27"/>
        <v>0.96355416978686059</v>
      </c>
      <c r="M42" s="30"/>
      <c r="N42" s="44"/>
      <c r="R42"/>
      <c r="S42"/>
      <c r="T42"/>
      <c r="U42"/>
    </row>
    <row r="43" spans="1:21" ht="15" x14ac:dyDescent="0.3">
      <c r="A43" s="1" t="s">
        <v>34</v>
      </c>
      <c r="B43">
        <v>0.104</v>
      </c>
      <c r="C43">
        <v>0.104</v>
      </c>
      <c r="D43" s="27">
        <f t="shared" si="25"/>
        <v>0.104</v>
      </c>
      <c r="E43" s="27">
        <f t="shared" si="20"/>
        <v>5.6999999999999995E-2</v>
      </c>
      <c r="F43" s="27">
        <f t="shared" si="21"/>
        <v>-1.2441251443275085</v>
      </c>
      <c r="G43" s="28">
        <f t="shared" si="22"/>
        <v>-0.59689665342101894</v>
      </c>
      <c r="H43" s="27">
        <f t="shared" si="23"/>
        <v>0.252989995067253</v>
      </c>
      <c r="I43" s="41">
        <v>16</v>
      </c>
      <c r="J43" s="42">
        <f t="shared" si="24"/>
        <v>4.0478399210760481</v>
      </c>
      <c r="K43" s="30">
        <f t="shared" si="26"/>
        <v>0.40478399210760485</v>
      </c>
      <c r="L43" s="43">
        <f t="shared" si="27"/>
        <v>1.0516259962366197</v>
      </c>
      <c r="M43" s="30">
        <f>AVERAGE(L43:L45)</f>
        <v>1.624613107540821</v>
      </c>
      <c r="N43" s="44">
        <f>STDEV(L43:L45)</f>
        <v>0.49629598745117759</v>
      </c>
      <c r="R43"/>
      <c r="S43"/>
      <c r="T43"/>
      <c r="U43"/>
    </row>
    <row r="44" spans="1:21" ht="15" x14ac:dyDescent="0.3">
      <c r="A44" s="45"/>
      <c r="B44">
        <v>0.13400000000000001</v>
      </c>
      <c r="C44">
        <v>0.13</v>
      </c>
      <c r="D44" s="27">
        <f t="shared" si="25"/>
        <v>0.13200000000000001</v>
      </c>
      <c r="E44" s="27">
        <f t="shared" si="20"/>
        <v>8.5000000000000006E-2</v>
      </c>
      <c r="F44" s="27">
        <f t="shared" si="21"/>
        <v>-1.0705810742857071</v>
      </c>
      <c r="G44" s="28">
        <f t="shared" si="22"/>
        <v>-0.42399240541433436</v>
      </c>
      <c r="H44" s="27">
        <f t="shared" si="23"/>
        <v>0.37671038652854943</v>
      </c>
      <c r="I44" s="41">
        <v>16</v>
      </c>
      <c r="J44" s="42">
        <f t="shared" si="24"/>
        <v>6.027366184456791</v>
      </c>
      <c r="K44" s="30">
        <f t="shared" si="26"/>
        <v>0.60273661844567916</v>
      </c>
      <c r="L44" s="43">
        <f t="shared" si="27"/>
        <v>1.9025023114108783</v>
      </c>
      <c r="M44" s="30"/>
      <c r="N44" s="44"/>
      <c r="R44"/>
      <c r="S44"/>
      <c r="T44"/>
      <c r="U44"/>
    </row>
    <row r="45" spans="1:21" ht="15" x14ac:dyDescent="0.3">
      <c r="A45" s="46"/>
      <c r="B45">
        <v>0.14199999999999999</v>
      </c>
      <c r="C45">
        <v>0.12</v>
      </c>
      <c r="D45" s="27">
        <f t="shared" si="25"/>
        <v>0.13100000000000001</v>
      </c>
      <c r="E45" s="27">
        <f t="shared" si="20"/>
        <v>8.4000000000000005E-2</v>
      </c>
      <c r="F45" s="27">
        <f t="shared" si="21"/>
        <v>-1.0757207139381184</v>
      </c>
      <c r="G45" s="28">
        <f t="shared" si="22"/>
        <v>-0.42911309625045141</v>
      </c>
      <c r="H45" s="27">
        <f t="shared" si="23"/>
        <v>0.37229474296329729</v>
      </c>
      <c r="I45" s="41">
        <v>16</v>
      </c>
      <c r="J45" s="42">
        <f t="shared" si="24"/>
        <v>5.9567158874127566</v>
      </c>
      <c r="K45" s="30">
        <f t="shared" si="26"/>
        <v>0.59567158874127568</v>
      </c>
      <c r="L45" s="43">
        <f t="shared" si="27"/>
        <v>1.919711014974965</v>
      </c>
      <c r="M45" s="30"/>
      <c r="N45" s="44"/>
      <c r="R45"/>
      <c r="S45"/>
      <c r="T45"/>
      <c r="U45"/>
    </row>
    <row r="46" spans="1:21" ht="15" x14ac:dyDescent="0.3">
      <c r="E46" s="28"/>
      <c r="F46" s="27"/>
      <c r="G46" s="30"/>
      <c r="H46" s="47"/>
      <c r="R46"/>
      <c r="S46"/>
      <c r="T46"/>
    </row>
    <row r="47" spans="1:21" x14ac:dyDescent="0.2">
      <c r="E47" s="28"/>
      <c r="F47" s="27"/>
      <c r="G47" s="30"/>
      <c r="H47" s="47"/>
    </row>
    <row r="48" spans="1:21" ht="23.25" x14ac:dyDescent="0.35">
      <c r="A48" s="14" t="s">
        <v>35</v>
      </c>
      <c r="E48" s="28"/>
      <c r="F48" s="27"/>
      <c r="H48" s="38"/>
      <c r="M48" s="39" t="s">
        <v>28</v>
      </c>
    </row>
    <row r="49" spans="1:25" x14ac:dyDescent="0.2">
      <c r="A49" s="19" t="s">
        <v>14</v>
      </c>
      <c r="B49" s="21" t="s">
        <v>15</v>
      </c>
      <c r="C49" s="21" t="s">
        <v>15</v>
      </c>
      <c r="D49" s="9" t="s">
        <v>16</v>
      </c>
      <c r="E49" s="20" t="s">
        <v>17</v>
      </c>
      <c r="F49" s="21" t="s">
        <v>9</v>
      </c>
      <c r="G49" s="21" t="s">
        <v>18</v>
      </c>
      <c r="H49" s="21" t="s">
        <v>19</v>
      </c>
      <c r="I49" s="9" t="s">
        <v>20</v>
      </c>
      <c r="J49" s="21" t="s">
        <v>21</v>
      </c>
      <c r="K49" s="21" t="s">
        <v>29</v>
      </c>
      <c r="L49" s="21" t="s">
        <v>30</v>
      </c>
      <c r="M49" s="17" t="s">
        <v>31</v>
      </c>
      <c r="N49" s="40" t="s">
        <v>32</v>
      </c>
      <c r="O49" s="2" t="s">
        <v>36</v>
      </c>
      <c r="P49" s="17" t="s">
        <v>31</v>
      </c>
      <c r="Q49" s="40" t="s">
        <v>32</v>
      </c>
    </row>
    <row r="50" spans="1:25" ht="15" x14ac:dyDescent="0.3">
      <c r="A50" s="1" t="s">
        <v>25</v>
      </c>
      <c r="B50">
        <v>9.0999999999999998E-2</v>
      </c>
      <c r="C50">
        <v>0.10299999999999999</v>
      </c>
      <c r="D50" s="27">
        <f>AVERAGE(B50:C50)</f>
        <v>9.7000000000000003E-2</v>
      </c>
      <c r="E50" s="27">
        <f t="shared" ref="E50:E55" si="28">D50-E$8</f>
        <v>0.05</v>
      </c>
      <c r="F50" s="27">
        <f t="shared" ref="F50:F55" si="29">LOG(E50)</f>
        <v>-1.3010299956639813</v>
      </c>
      <c r="G50" s="28">
        <f t="shared" ref="G50:G55" si="30">(F50-$B$16)/$B$15</f>
        <v>-0.6535917080310385</v>
      </c>
      <c r="H50" s="27">
        <f t="shared" ref="H50:H55" si="31">10^G50</f>
        <v>0.22202827867199743</v>
      </c>
      <c r="I50" s="41">
        <v>16</v>
      </c>
      <c r="J50" s="42">
        <f t="shared" ref="J50:J55" si="32">H50*I50</f>
        <v>3.5524524587519588</v>
      </c>
      <c r="K50" s="30">
        <f>(0.1*J50/1000)*1000</f>
        <v>0.3552452458751959</v>
      </c>
      <c r="L50" s="43">
        <f t="shared" ref="L50:L55" si="33">K50*100/L31</f>
        <v>0.80268484919843364</v>
      </c>
      <c r="M50" s="30">
        <f>AVERAGE(L50:L52)</f>
        <v>0.7708358149959148</v>
      </c>
      <c r="N50" s="44">
        <f>STDEV(L50:L52)</f>
        <v>8.6712818760817295E-2</v>
      </c>
      <c r="O50" s="48">
        <f>L50/L40</f>
        <v>1.2266471154990664</v>
      </c>
      <c r="P50" s="30">
        <f>AVERAGE(O50:O52)</f>
        <v>0.90358267896489319</v>
      </c>
      <c r="Q50" s="44">
        <f>STDEV(O50:O52)</f>
        <v>0.28320577870320546</v>
      </c>
      <c r="S50"/>
      <c r="T50"/>
    </row>
    <row r="51" spans="1:25" ht="15" x14ac:dyDescent="0.3">
      <c r="B51">
        <v>9.6000000000000002E-2</v>
      </c>
      <c r="C51">
        <v>9.1999999999999998E-2</v>
      </c>
      <c r="D51" s="27">
        <f t="shared" ref="D51:D55" si="34">AVERAGE(B51:C51)</f>
        <v>9.4E-2</v>
      </c>
      <c r="E51" s="27">
        <f t="shared" si="28"/>
        <v>4.7E-2</v>
      </c>
      <c r="F51" s="27">
        <f t="shared" si="29"/>
        <v>-1.3279021420642825</v>
      </c>
      <c r="G51" s="28">
        <f t="shared" si="30"/>
        <v>-0.68036478223951169</v>
      </c>
      <c r="H51" s="27">
        <f t="shared" si="31"/>
        <v>0.20875419797722464</v>
      </c>
      <c r="I51" s="41">
        <v>16</v>
      </c>
      <c r="J51" s="42">
        <f t="shared" si="32"/>
        <v>3.3400671676355942</v>
      </c>
      <c r="K51" s="30">
        <f t="shared" ref="K51:K55" si="35">(0.1*J51/1000)*1000</f>
        <v>0.33400671676355942</v>
      </c>
      <c r="L51" s="43">
        <f t="shared" si="33"/>
        <v>0.83712043487298315</v>
      </c>
      <c r="M51" s="30"/>
      <c r="N51" s="44"/>
      <c r="O51" s="2">
        <f t="shared" ref="O51:O55" si="36">L51/L41</f>
        <v>0.78595422450037733</v>
      </c>
      <c r="P51" s="30"/>
      <c r="Q51" s="44"/>
      <c r="S51"/>
      <c r="T51"/>
    </row>
    <row r="52" spans="1:25" ht="15" x14ac:dyDescent="0.3">
      <c r="B52">
        <v>9.6000000000000002E-2</v>
      </c>
      <c r="C52">
        <v>8.5000000000000006E-2</v>
      </c>
      <c r="D52" s="27">
        <f t="shared" si="34"/>
        <v>9.0499999999999997E-2</v>
      </c>
      <c r="E52" s="27">
        <f t="shared" si="28"/>
        <v>4.3499999999999997E-2</v>
      </c>
      <c r="F52" s="27">
        <f t="shared" si="29"/>
        <v>-1.3615107430453628</v>
      </c>
      <c r="G52" s="28">
        <f t="shared" si="30"/>
        <v>-0.71384947507742147</v>
      </c>
      <c r="H52" s="27">
        <f t="shared" si="31"/>
        <v>0.1932638046419517</v>
      </c>
      <c r="I52" s="41">
        <v>16</v>
      </c>
      <c r="J52" s="42">
        <f t="shared" si="32"/>
        <v>3.0922208742712272</v>
      </c>
      <c r="K52" s="30">
        <f t="shared" si="35"/>
        <v>0.30922208742712276</v>
      </c>
      <c r="L52" s="43">
        <f t="shared" si="33"/>
        <v>0.67270216091632784</v>
      </c>
      <c r="M52" s="30"/>
      <c r="N52" s="44"/>
      <c r="O52" s="2">
        <f t="shared" si="36"/>
        <v>0.69814669689523567</v>
      </c>
      <c r="P52" s="30"/>
      <c r="Q52" s="44"/>
      <c r="S52"/>
      <c r="T52"/>
    </row>
    <row r="53" spans="1:25" ht="15" x14ac:dyDescent="0.3">
      <c r="A53" s="1" t="s">
        <v>26</v>
      </c>
      <c r="B53">
        <v>0.14899999999999999</v>
      </c>
      <c r="C53">
        <v>0.16300000000000001</v>
      </c>
      <c r="D53" s="27">
        <f t="shared" si="34"/>
        <v>0.156</v>
      </c>
      <c r="E53" s="27">
        <f t="shared" si="28"/>
        <v>0.109</v>
      </c>
      <c r="F53" s="27">
        <f t="shared" si="29"/>
        <v>-0.96257350205937642</v>
      </c>
      <c r="G53" s="28">
        <f t="shared" si="30"/>
        <v>-0.31638303535448065</v>
      </c>
      <c r="H53" s="27">
        <f t="shared" si="31"/>
        <v>0.48263294576899712</v>
      </c>
      <c r="I53" s="41">
        <v>16</v>
      </c>
      <c r="J53" s="42">
        <f t="shared" si="32"/>
        <v>7.722127132303954</v>
      </c>
      <c r="K53" s="30">
        <f t="shared" si="35"/>
        <v>0.77221271323039542</v>
      </c>
      <c r="L53" s="43">
        <f t="shared" si="33"/>
        <v>2.0275252407715474</v>
      </c>
      <c r="M53" s="30">
        <f>AVERAGE(L53:L55)</f>
        <v>1.9392549906013852</v>
      </c>
      <c r="N53" s="44">
        <f>STDEV(L53:L55)</f>
        <v>0.15531608260768037</v>
      </c>
      <c r="O53" s="2">
        <f t="shared" si="36"/>
        <v>1.9279907952326303</v>
      </c>
      <c r="P53" s="30">
        <f>AVERAGE(O53:O55)</f>
        <v>1.3039792102568881</v>
      </c>
      <c r="Q53" s="44">
        <f>STDEV(O53:O55)</f>
        <v>0.54561850726852923</v>
      </c>
      <c r="S53"/>
      <c r="T53"/>
    </row>
    <row r="54" spans="1:25" ht="15" x14ac:dyDescent="0.3">
      <c r="A54" s="45"/>
      <c r="B54">
        <v>0.13400000000000001</v>
      </c>
      <c r="C54">
        <v>0.13800000000000001</v>
      </c>
      <c r="D54" s="27">
        <f t="shared" si="34"/>
        <v>0.13600000000000001</v>
      </c>
      <c r="E54" s="27">
        <f t="shared" si="28"/>
        <v>8.900000000000001E-2</v>
      </c>
      <c r="F54" s="27">
        <f t="shared" si="29"/>
        <v>-1.0506099933550872</v>
      </c>
      <c r="G54" s="28">
        <f t="shared" si="30"/>
        <v>-0.40409495383700456</v>
      </c>
      <c r="H54" s="27">
        <f t="shared" si="31"/>
        <v>0.39437106763843299</v>
      </c>
      <c r="I54" s="41">
        <v>16</v>
      </c>
      <c r="J54" s="42">
        <f t="shared" si="32"/>
        <v>6.3099370822149279</v>
      </c>
      <c r="K54" s="30">
        <f t="shared" si="35"/>
        <v>0.63099370822149281</v>
      </c>
      <c r="L54" s="43">
        <f t="shared" si="33"/>
        <v>2.0303210405029457</v>
      </c>
      <c r="M54" s="30"/>
      <c r="N54" s="44"/>
      <c r="O54" s="2">
        <f t="shared" si="36"/>
        <v>1.0671845328783218</v>
      </c>
      <c r="P54" s="30"/>
      <c r="Q54" s="44"/>
      <c r="S54"/>
      <c r="T54"/>
    </row>
    <row r="55" spans="1:25" ht="15" x14ac:dyDescent="0.3">
      <c r="A55" s="46"/>
      <c r="B55">
        <v>0.121</v>
      </c>
      <c r="C55">
        <v>0.124</v>
      </c>
      <c r="D55" s="27">
        <f t="shared" si="34"/>
        <v>0.1225</v>
      </c>
      <c r="E55" s="27">
        <f t="shared" si="28"/>
        <v>7.5499999999999998E-2</v>
      </c>
      <c r="F55" s="27">
        <f t="shared" si="29"/>
        <v>-1.1220530483708118</v>
      </c>
      <c r="G55" s="28">
        <f t="shared" si="30"/>
        <v>-0.47527461269725046</v>
      </c>
      <c r="H55" s="27">
        <f t="shared" si="31"/>
        <v>0.33475370106186769</v>
      </c>
      <c r="I55" s="41">
        <v>16</v>
      </c>
      <c r="J55" s="42">
        <f t="shared" si="32"/>
        <v>5.3560592169898831</v>
      </c>
      <c r="K55" s="30">
        <f t="shared" si="35"/>
        <v>0.53560592169898835</v>
      </c>
      <c r="L55" s="43">
        <f t="shared" si="33"/>
        <v>1.7599186905296622</v>
      </c>
      <c r="M55" s="30"/>
      <c r="N55" s="44"/>
      <c r="O55" s="2">
        <f t="shared" si="36"/>
        <v>0.91676230265971226</v>
      </c>
      <c r="P55" s="30"/>
      <c r="Q55" s="44"/>
      <c r="S55"/>
      <c r="T55"/>
      <c r="Y55" s="1"/>
    </row>
    <row r="56" spans="1:25" x14ac:dyDescent="0.2">
      <c r="D56" s="27"/>
      <c r="E56" s="28"/>
      <c r="F56" s="27"/>
      <c r="G56" s="30"/>
      <c r="H56" s="47"/>
    </row>
    <row r="57" spans="1:25" x14ac:dyDescent="0.2">
      <c r="B57" s="30"/>
      <c r="C57" s="30"/>
      <c r="D57" s="27"/>
      <c r="E57" s="28"/>
      <c r="F57" s="27"/>
      <c r="G57" s="30"/>
      <c r="H57" s="47"/>
      <c r="M57" s="2" t="s">
        <v>37</v>
      </c>
      <c r="N57" s="2" t="s">
        <v>38</v>
      </c>
      <c r="O57" s="40" t="s">
        <v>32</v>
      </c>
    </row>
    <row r="58" spans="1:25" ht="15" x14ac:dyDescent="0.3">
      <c r="C58"/>
      <c r="D58"/>
      <c r="E58"/>
      <c r="F58"/>
      <c r="G58"/>
      <c r="H58" s="47"/>
      <c r="M58" s="2" t="s">
        <v>25</v>
      </c>
      <c r="N58" s="30">
        <f>P50</f>
        <v>0.90358267896489319</v>
      </c>
      <c r="O58" s="30">
        <f>Q50</f>
        <v>0.28320577870320546</v>
      </c>
    </row>
    <row r="59" spans="1:25" ht="15" x14ac:dyDescent="0.3">
      <c r="D59"/>
      <c r="E59"/>
      <c r="G59"/>
      <c r="M59" s="2" t="s">
        <v>26</v>
      </c>
      <c r="N59" s="30">
        <f>P53</f>
        <v>1.3039792102568881</v>
      </c>
      <c r="O59" s="30">
        <f>Q53</f>
        <v>0.54561850726852923</v>
      </c>
    </row>
    <row r="60" spans="1:25" x14ac:dyDescent="0.2">
      <c r="G60" s="30"/>
      <c r="H60" s="47"/>
    </row>
    <row r="61" spans="1:25" ht="15" x14ac:dyDescent="0.3">
      <c r="A61" s="49"/>
      <c r="D61"/>
      <c r="E61"/>
      <c r="F61"/>
      <c r="G61" s="30"/>
      <c r="H61" s="47"/>
    </row>
    <row r="62" spans="1:25" ht="15" x14ac:dyDescent="0.3">
      <c r="C62" s="27"/>
      <c r="D62"/>
      <c r="E62"/>
      <c r="F62"/>
      <c r="G62" s="30"/>
      <c r="H62" s="47"/>
    </row>
    <row r="63" spans="1:25" ht="15" x14ac:dyDescent="0.3">
      <c r="C63" s="27"/>
      <c r="D63"/>
      <c r="E63"/>
      <c r="F63"/>
      <c r="G63" s="30"/>
      <c r="H63" s="47"/>
    </row>
    <row r="64" spans="1:25" ht="13.5" thickBot="1" x14ac:dyDescent="0.25">
      <c r="B64" s="50" t="s">
        <v>16</v>
      </c>
      <c r="C64" s="51" t="s">
        <v>39</v>
      </c>
      <c r="D64" s="27"/>
      <c r="E64" s="28"/>
      <c r="F64" s="27"/>
      <c r="G64" s="30"/>
      <c r="H64" s="47"/>
    </row>
    <row r="65" spans="1:8" x14ac:dyDescent="0.2">
      <c r="A65" s="1" t="s">
        <v>33</v>
      </c>
      <c r="B65" s="30">
        <f>M40</f>
        <v>0.89434266647287097</v>
      </c>
      <c r="C65" s="30">
        <f>N40</f>
        <v>0.21393218413996298</v>
      </c>
      <c r="D65" s="27"/>
      <c r="E65" s="28"/>
      <c r="F65" s="27"/>
      <c r="G65" s="30"/>
      <c r="H65" s="47"/>
    </row>
    <row r="66" spans="1:8" x14ac:dyDescent="0.2">
      <c r="A66" s="1" t="s">
        <v>25</v>
      </c>
      <c r="B66" s="30">
        <f>M50</f>
        <v>0.7708358149959148</v>
      </c>
      <c r="C66" s="30">
        <f>N50</f>
        <v>8.6712818760817295E-2</v>
      </c>
      <c r="D66" s="27"/>
      <c r="E66" s="28"/>
      <c r="F66" s="27"/>
      <c r="G66" s="30"/>
      <c r="H66" s="47"/>
    </row>
    <row r="67" spans="1:8" x14ac:dyDescent="0.2">
      <c r="A67" s="52" t="s">
        <v>34</v>
      </c>
      <c r="B67" s="30">
        <f>M43</f>
        <v>1.624613107540821</v>
      </c>
      <c r="C67" s="30">
        <f>N43</f>
        <v>0.49629598745117759</v>
      </c>
      <c r="D67" s="27"/>
      <c r="E67" s="28"/>
      <c r="F67" s="27"/>
      <c r="G67" s="30"/>
      <c r="H67" s="47"/>
    </row>
    <row r="68" spans="1:8" x14ac:dyDescent="0.2">
      <c r="A68" s="45" t="s">
        <v>26</v>
      </c>
      <c r="B68" s="30">
        <f>M53</f>
        <v>1.9392549906013852</v>
      </c>
      <c r="C68" s="30">
        <f>N53</f>
        <v>0.15531608260768037</v>
      </c>
      <c r="D68" s="27"/>
      <c r="E68" s="28"/>
      <c r="F68" s="27"/>
      <c r="G68" s="30"/>
      <c r="H68" s="47"/>
    </row>
    <row r="69" spans="1:8" x14ac:dyDescent="0.2">
      <c r="A69" s="53"/>
      <c r="C69" s="27"/>
      <c r="D69" s="27"/>
      <c r="E69" s="28"/>
      <c r="F69" s="27"/>
      <c r="G69" s="30"/>
      <c r="H69" s="47"/>
    </row>
    <row r="70" spans="1:8" x14ac:dyDescent="0.2">
      <c r="A70" s="53"/>
      <c r="C70" s="27"/>
      <c r="D70" s="27"/>
      <c r="E70" s="28"/>
      <c r="F70" s="27"/>
      <c r="G70" s="30"/>
      <c r="H70" s="47"/>
    </row>
    <row r="71" spans="1:8" x14ac:dyDescent="0.2">
      <c r="A71" s="53"/>
      <c r="B71" s="48"/>
      <c r="C71" s="27"/>
      <c r="D71" s="27"/>
      <c r="E71" s="28"/>
      <c r="F71" s="27"/>
      <c r="G71" s="30"/>
      <c r="H71" s="47"/>
    </row>
    <row r="72" spans="1:8" x14ac:dyDescent="0.2">
      <c r="A72" s="53"/>
      <c r="B72" s="48"/>
      <c r="C72" s="27"/>
      <c r="D72" s="27"/>
      <c r="E72" s="28"/>
      <c r="F72" s="27"/>
      <c r="G72" s="30"/>
      <c r="H72" s="47"/>
    </row>
    <row r="73" spans="1:8" x14ac:dyDescent="0.2">
      <c r="C73" s="27"/>
      <c r="D73" s="27"/>
      <c r="E73" s="28"/>
      <c r="F73" s="27"/>
      <c r="G73" s="30"/>
      <c r="H73" s="47"/>
    </row>
    <row r="74" spans="1:8" x14ac:dyDescent="0.2">
      <c r="C74" s="27"/>
      <c r="D74" s="28"/>
      <c r="H74" s="47"/>
    </row>
    <row r="75" spans="1:8" x14ac:dyDescent="0.2">
      <c r="A75" s="54"/>
      <c r="C75" s="27"/>
      <c r="D75" s="28"/>
      <c r="H75" s="38"/>
    </row>
    <row r="76" spans="1:8" x14ac:dyDescent="0.2">
      <c r="A76" s="54"/>
      <c r="C76" s="27"/>
      <c r="D76" s="28"/>
    </row>
    <row r="77" spans="1:8" x14ac:dyDescent="0.2">
      <c r="A77" s="55"/>
      <c r="B77" s="38"/>
      <c r="C77" s="56"/>
      <c r="D77" s="57"/>
      <c r="E77" s="38"/>
    </row>
    <row r="78" spans="1:8" x14ac:dyDescent="0.2">
      <c r="A78" s="52"/>
      <c r="B78" s="58"/>
      <c r="C78" s="59"/>
      <c r="D78" s="38"/>
      <c r="E78" s="38"/>
    </row>
    <row r="79" spans="1:8" x14ac:dyDescent="0.2">
      <c r="A79" s="52"/>
      <c r="B79" s="42"/>
      <c r="C79" s="56"/>
      <c r="D79" s="38"/>
      <c r="E79" s="38"/>
    </row>
    <row r="80" spans="1:8" x14ac:dyDescent="0.2">
      <c r="A80" s="52"/>
      <c r="B80" s="42"/>
      <c r="C80" s="56"/>
      <c r="D80" s="38"/>
      <c r="E80" s="38"/>
    </row>
    <row r="81" spans="1:7" x14ac:dyDescent="0.2">
      <c r="A81" s="52"/>
      <c r="B81" s="42"/>
      <c r="C81" s="56"/>
      <c r="D81" s="38"/>
      <c r="E81" s="38"/>
    </row>
    <row r="82" spans="1:7" x14ac:dyDescent="0.2">
      <c r="A82" s="52"/>
      <c r="B82" s="42"/>
      <c r="C82" s="56"/>
      <c r="D82" s="38"/>
      <c r="E82" s="38"/>
    </row>
    <row r="83" spans="1:7" x14ac:dyDescent="0.2">
      <c r="A83" s="52"/>
      <c r="B83" s="38"/>
      <c r="C83" s="38"/>
      <c r="D83" s="60"/>
      <c r="E83" s="58"/>
    </row>
    <row r="84" spans="1:7" x14ac:dyDescent="0.2">
      <c r="A84" s="52"/>
      <c r="B84" s="42"/>
      <c r="C84" s="56"/>
      <c r="D84" s="47"/>
      <c r="E84" s="47"/>
    </row>
    <row r="85" spans="1:7" x14ac:dyDescent="0.2">
      <c r="A85" s="52"/>
      <c r="B85" s="42"/>
      <c r="C85" s="56"/>
      <c r="D85" s="47"/>
      <c r="E85" s="47"/>
    </row>
    <row r="86" spans="1:7" x14ac:dyDescent="0.2">
      <c r="A86" s="52"/>
      <c r="B86" s="42"/>
      <c r="C86" s="56"/>
      <c r="D86" s="47"/>
      <c r="E86" s="47"/>
      <c r="F86" s="47"/>
      <c r="G86" s="38"/>
    </row>
    <row r="87" spans="1:7" x14ac:dyDescent="0.2">
      <c r="A87" s="52"/>
      <c r="B87" s="42"/>
      <c r="C87" s="56"/>
      <c r="D87" s="47"/>
      <c r="E87" s="47"/>
      <c r="F87" s="47"/>
      <c r="G87" s="38"/>
    </row>
    <row r="88" spans="1:7" x14ac:dyDescent="0.2">
      <c r="A88" s="52"/>
      <c r="B88" s="38"/>
      <c r="C88" s="47"/>
      <c r="D88" s="47"/>
      <c r="E88" s="47"/>
      <c r="F88" s="47"/>
      <c r="G88" s="38"/>
    </row>
    <row r="89" spans="1:7" x14ac:dyDescent="0.2">
      <c r="A89" s="52"/>
      <c r="B89" s="38"/>
      <c r="C89" s="47"/>
      <c r="D89" s="47"/>
      <c r="E89" s="47"/>
      <c r="F89" s="47"/>
      <c r="G89" s="38"/>
    </row>
    <row r="90" spans="1:7" x14ac:dyDescent="0.2">
      <c r="C90" s="47"/>
      <c r="D90" s="47"/>
      <c r="E90" s="61"/>
      <c r="F90" s="61"/>
    </row>
    <row r="91" spans="1:7" x14ac:dyDescent="0.2">
      <c r="C91" s="47"/>
      <c r="D91" s="47"/>
      <c r="E91" s="61"/>
      <c r="F91" s="61"/>
    </row>
    <row r="92" spans="1:7" x14ac:dyDescent="0.2">
      <c r="C92" s="47"/>
      <c r="D92" s="47"/>
      <c r="E92" s="61"/>
      <c r="F92" s="61"/>
    </row>
    <row r="93" spans="1:7" x14ac:dyDescent="0.2">
      <c r="C93" s="47"/>
      <c r="D93" s="47"/>
      <c r="E93" s="61"/>
      <c r="F93" s="61"/>
    </row>
    <row r="94" spans="1:7" x14ac:dyDescent="0.2">
      <c r="C94" s="47"/>
      <c r="E94" s="61"/>
      <c r="F94" s="61"/>
    </row>
    <row r="95" spans="1:7" x14ac:dyDescent="0.2">
      <c r="C95" s="47"/>
      <c r="E95" s="61"/>
      <c r="F95" s="61"/>
    </row>
    <row r="96" spans="1:7" x14ac:dyDescent="0.2">
      <c r="C96" s="47"/>
      <c r="D96" s="47"/>
      <c r="E96" s="61"/>
      <c r="F96" s="61"/>
    </row>
    <row r="97" spans="2:6" x14ac:dyDescent="0.2">
      <c r="C97" s="47"/>
      <c r="D97" s="47"/>
      <c r="E97" s="61"/>
      <c r="F97" s="61"/>
    </row>
    <row r="98" spans="2:6" x14ac:dyDescent="0.2">
      <c r="C98" s="47"/>
      <c r="D98" s="47"/>
      <c r="E98" s="61"/>
      <c r="F98" s="61"/>
    </row>
    <row r="99" spans="2:6" x14ac:dyDescent="0.2">
      <c r="C99" s="47"/>
      <c r="D99" s="47"/>
      <c r="E99" s="61"/>
      <c r="F99" s="61"/>
    </row>
    <row r="100" spans="2:6" x14ac:dyDescent="0.2">
      <c r="C100" s="47"/>
      <c r="D100" s="47"/>
      <c r="E100" s="61"/>
      <c r="F100" s="61"/>
    </row>
    <row r="101" spans="2:6" x14ac:dyDescent="0.2">
      <c r="C101" s="47"/>
      <c r="D101" s="47"/>
      <c r="E101" s="61"/>
      <c r="F101" s="61"/>
    </row>
    <row r="102" spans="2:6" x14ac:dyDescent="0.2">
      <c r="C102" s="47"/>
      <c r="D102" s="47"/>
      <c r="E102" s="61"/>
      <c r="F102" s="61"/>
    </row>
    <row r="103" spans="2:6" x14ac:dyDescent="0.2">
      <c r="C103" s="47"/>
      <c r="D103" s="47"/>
      <c r="E103" s="61"/>
      <c r="F103" s="61"/>
    </row>
    <row r="104" spans="2:6" x14ac:dyDescent="0.2">
      <c r="C104" s="47"/>
      <c r="D104" s="47"/>
      <c r="E104" s="61"/>
      <c r="F104" s="61"/>
    </row>
    <row r="105" spans="2:6" x14ac:dyDescent="0.2">
      <c r="C105" s="47"/>
      <c r="D105" s="47"/>
      <c r="E105" s="61"/>
      <c r="F105" s="61"/>
    </row>
    <row r="106" spans="2:6" x14ac:dyDescent="0.2">
      <c r="C106" s="47"/>
    </row>
    <row r="107" spans="2:6" x14ac:dyDescent="0.2">
      <c r="C107" s="47"/>
    </row>
    <row r="108" spans="2:6" ht="13.5" thickBot="1" x14ac:dyDescent="0.25">
      <c r="B108" s="62"/>
      <c r="C108" s="62"/>
      <c r="D108" s="62"/>
      <c r="E108" s="62"/>
    </row>
    <row r="109" spans="2:6" x14ac:dyDescent="0.2">
      <c r="B109" s="61"/>
      <c r="C109" s="61"/>
      <c r="D109" s="61"/>
      <c r="E109" s="61"/>
    </row>
    <row r="110" spans="2:6" x14ac:dyDescent="0.2">
      <c r="B110" s="61"/>
      <c r="C110" s="61"/>
      <c r="D110" s="61"/>
      <c r="E110" s="61"/>
    </row>
    <row r="111" spans="2:6" x14ac:dyDescent="0.2">
      <c r="B111" s="61"/>
      <c r="C111" s="61"/>
      <c r="D111" s="61"/>
      <c r="E111" s="61"/>
    </row>
    <row r="112" spans="2:6" x14ac:dyDescent="0.2">
      <c r="B112" s="61"/>
      <c r="C112" s="61"/>
      <c r="D112" s="61"/>
      <c r="E112" s="61"/>
    </row>
    <row r="113" spans="2:5" x14ac:dyDescent="0.2">
      <c r="B113" s="61"/>
      <c r="C113" s="61"/>
      <c r="D113" s="61"/>
      <c r="E113" s="61"/>
    </row>
    <row r="114" spans="2:5" x14ac:dyDescent="0.2">
      <c r="B114" s="61"/>
      <c r="C114" s="61"/>
      <c r="D114" s="61"/>
      <c r="E114" s="61"/>
    </row>
    <row r="115" spans="2:5" x14ac:dyDescent="0.2">
      <c r="B115" s="61"/>
      <c r="C115" s="61"/>
      <c r="D115" s="61"/>
      <c r="E115" s="61"/>
    </row>
    <row r="116" spans="2:5" x14ac:dyDescent="0.2">
      <c r="B116" s="61"/>
      <c r="C116" s="61"/>
      <c r="D116" s="61"/>
      <c r="E116" s="61"/>
    </row>
    <row r="117" spans="2:5" x14ac:dyDescent="0.2">
      <c r="B117" s="61"/>
      <c r="C117" s="61"/>
      <c r="D117" s="61"/>
      <c r="E117" s="61"/>
    </row>
    <row r="118" spans="2:5" x14ac:dyDescent="0.2">
      <c r="B118" s="61"/>
      <c r="C118" s="61"/>
      <c r="D118" s="61"/>
      <c r="E118" s="61"/>
    </row>
  </sheetData>
  <pageMargins left="0.7" right="0.7" top="0.75" bottom="0.75" header="0.3" footer="0.3"/>
  <pageSetup paperSize="9" scale="3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4</vt:i4>
      </vt:variant>
      <vt:variant>
        <vt:lpstr>Plages nommées</vt:lpstr>
      </vt:variant>
      <vt:variant>
        <vt:i4>4</vt:i4>
      </vt:variant>
    </vt:vector>
  </HeadingPairs>
  <TitlesOfParts>
    <vt:vector size="8" baseType="lpstr">
      <vt:lpstr>siNTP</vt:lpstr>
      <vt:lpstr>siTBC1D4</vt:lpstr>
      <vt:lpstr>siKCNJ11</vt:lpstr>
      <vt:lpstr>siHNF4A</vt:lpstr>
      <vt:lpstr>siHNF4A!Zone_d_impression</vt:lpstr>
      <vt:lpstr>siKCNJ11!Zone_d_impression</vt:lpstr>
      <vt:lpstr>siNTP!Zone_d_impression</vt:lpstr>
      <vt:lpstr>siTBC1D4!Zone_d_impression</vt:lpstr>
    </vt:vector>
  </TitlesOfParts>
  <Company>CNRS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marlene</dc:creator>
  <cp:lastModifiedBy>Fatou Ndiaye</cp:lastModifiedBy>
  <dcterms:created xsi:type="dcterms:W3CDTF">2015-12-08T15:20:20Z</dcterms:created>
  <dcterms:modified xsi:type="dcterms:W3CDTF">2016-05-27T13:00:37Z</dcterms:modified>
</cp:coreProperties>
</file>