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-15" windowWidth="6090" windowHeight="9120" tabRatio="767" activeTab="2"/>
  </bookViews>
  <sheets>
    <sheet name="siNTP" sheetId="3" r:id="rId1"/>
    <sheet name="siTCF19" sheetId="4" r:id="rId2"/>
    <sheet name="siHNF4A" sheetId="5" r:id="rId3"/>
  </sheets>
  <externalReferences>
    <externalReference r:id="rId4"/>
  </externalReferences>
  <definedNames>
    <definedName name="_xlnm.Print_Area" localSheetId="2">siHNF4A!$A$1:$Q$83</definedName>
    <definedName name="_xlnm.Print_Area" localSheetId="0">siNTP!$A$1:$Q$83</definedName>
    <definedName name="_xlnm.Print_Area" localSheetId="1">siTCF19!$A$1:$Q$83</definedName>
  </definedNames>
  <calcPr calcId="125725"/>
</workbook>
</file>

<file path=xl/calcChain.xml><?xml version="1.0" encoding="utf-8"?>
<calcChain xmlns="http://schemas.openxmlformats.org/spreadsheetml/2006/main">
  <c r="B9" i="5"/>
  <c r="B10"/>
  <c r="B11"/>
  <c r="B12"/>
  <c r="B13"/>
  <c r="B8"/>
  <c r="B9" i="3"/>
  <c r="B10"/>
  <c r="B11"/>
  <c r="B12"/>
  <c r="B13"/>
  <c r="B8"/>
  <c r="B9" i="4"/>
  <c r="B10"/>
  <c r="B11"/>
  <c r="B12"/>
  <c r="B13"/>
  <c r="B8"/>
  <c r="E8" i="5" l="1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B15"/>
  <c r="B16"/>
  <c r="D22"/>
  <c r="E22"/>
  <c r="F22"/>
  <c r="G22"/>
  <c r="H22"/>
  <c r="J22"/>
  <c r="K22"/>
  <c r="D23"/>
  <c r="E23"/>
  <c r="F23"/>
  <c r="G23"/>
  <c r="H23"/>
  <c r="J23"/>
  <c r="K23"/>
  <c r="D24"/>
  <c r="E24"/>
  <c r="F24"/>
  <c r="G24"/>
  <c r="H24"/>
  <c r="J24"/>
  <c r="K24"/>
  <c r="D25"/>
  <c r="E25"/>
  <c r="F25"/>
  <c r="G25"/>
  <c r="H25"/>
  <c r="J25"/>
  <c r="K25"/>
  <c r="D26"/>
  <c r="E26"/>
  <c r="F26"/>
  <c r="G26"/>
  <c r="H26"/>
  <c r="J26"/>
  <c r="K26"/>
  <c r="D27"/>
  <c r="E27"/>
  <c r="F27"/>
  <c r="G27"/>
  <c r="H27"/>
  <c r="J27"/>
  <c r="K27"/>
  <c r="D31"/>
  <c r="E31"/>
  <c r="F31"/>
  <c r="G31"/>
  <c r="H31"/>
  <c r="J31"/>
  <c r="K31"/>
  <c r="D32"/>
  <c r="E32"/>
  <c r="F32"/>
  <c r="G32"/>
  <c r="H32"/>
  <c r="J32"/>
  <c r="K32"/>
  <c r="D33"/>
  <c r="E33"/>
  <c r="F33"/>
  <c r="G33"/>
  <c r="H33"/>
  <c r="J33"/>
  <c r="K33"/>
  <c r="D34"/>
  <c r="E34"/>
  <c r="F34"/>
  <c r="G34"/>
  <c r="H34"/>
  <c r="J34"/>
  <c r="K34"/>
  <c r="D35"/>
  <c r="E35"/>
  <c r="F35"/>
  <c r="G35"/>
  <c r="H35"/>
  <c r="J35"/>
  <c r="K35"/>
  <c r="D36"/>
  <c r="E36"/>
  <c r="F36"/>
  <c r="G36"/>
  <c r="H36"/>
  <c r="J36"/>
  <c r="K36"/>
  <c r="D40"/>
  <c r="E40"/>
  <c r="F40"/>
  <c r="G40"/>
  <c r="H40"/>
  <c r="J40"/>
  <c r="K40"/>
  <c r="D41"/>
  <c r="E41"/>
  <c r="F41"/>
  <c r="G41"/>
  <c r="H41"/>
  <c r="J41"/>
  <c r="K41"/>
  <c r="D42"/>
  <c r="E42"/>
  <c r="F42"/>
  <c r="G42"/>
  <c r="H42"/>
  <c r="J42"/>
  <c r="K42"/>
  <c r="D43"/>
  <c r="E43"/>
  <c r="F43"/>
  <c r="G43"/>
  <c r="H43"/>
  <c r="J43"/>
  <c r="K43"/>
  <c r="D44"/>
  <c r="E44"/>
  <c r="F44"/>
  <c r="G44"/>
  <c r="H44"/>
  <c r="J44"/>
  <c r="K44"/>
  <c r="D45"/>
  <c r="E45"/>
  <c r="F45"/>
  <c r="G45"/>
  <c r="H45"/>
  <c r="J45"/>
  <c r="K45"/>
  <c r="D50"/>
  <c r="E50"/>
  <c r="F50"/>
  <c r="G50"/>
  <c r="H50"/>
  <c r="J50"/>
  <c r="K50"/>
  <c r="L31" s="1"/>
  <c r="D51"/>
  <c r="E51"/>
  <c r="F51"/>
  <c r="G51"/>
  <c r="H51"/>
  <c r="J51"/>
  <c r="K51"/>
  <c r="L32" s="1"/>
  <c r="D52"/>
  <c r="E52"/>
  <c r="F52"/>
  <c r="G52"/>
  <c r="H52"/>
  <c r="J52"/>
  <c r="K52"/>
  <c r="L33" s="1"/>
  <c r="D53"/>
  <c r="E53"/>
  <c r="F53"/>
  <c r="G53"/>
  <c r="H53"/>
  <c r="J53"/>
  <c r="K53"/>
  <c r="L34" s="1"/>
  <c r="D54"/>
  <c r="E54"/>
  <c r="F54"/>
  <c r="G54"/>
  <c r="H54"/>
  <c r="J54"/>
  <c r="K54"/>
  <c r="L35" s="1"/>
  <c r="D55"/>
  <c r="E55"/>
  <c r="F55"/>
  <c r="G55"/>
  <c r="H55"/>
  <c r="J55"/>
  <c r="K55"/>
  <c r="L36" s="1"/>
  <c r="L27" l="1"/>
  <c r="L26"/>
  <c r="L25"/>
  <c r="L24"/>
  <c r="L23"/>
  <c r="L22"/>
  <c r="M36"/>
  <c r="L55"/>
  <c r="M35"/>
  <c r="L54"/>
  <c r="M34"/>
  <c r="L53"/>
  <c r="M33"/>
  <c r="L52"/>
  <c r="M32"/>
  <c r="L51"/>
  <c r="M31"/>
  <c r="L50"/>
  <c r="M27"/>
  <c r="L45"/>
  <c r="M26"/>
  <c r="L44"/>
  <c r="M25"/>
  <c r="L43"/>
  <c r="M24"/>
  <c r="L42"/>
  <c r="M23"/>
  <c r="L41"/>
  <c r="M22"/>
  <c r="L40"/>
  <c r="M40" l="1"/>
  <c r="B65" s="1"/>
  <c r="N40"/>
  <c r="C65" s="1"/>
  <c r="M43"/>
  <c r="B67" s="1"/>
  <c r="N43"/>
  <c r="C67" s="1"/>
  <c r="M50"/>
  <c r="B66" s="1"/>
  <c r="N50"/>
  <c r="C66" s="1"/>
  <c r="O50"/>
  <c r="M53"/>
  <c r="B68" s="1"/>
  <c r="N53"/>
  <c r="C68" s="1"/>
  <c r="O53"/>
  <c r="O51"/>
  <c r="O52"/>
  <c r="O54"/>
  <c r="O55"/>
  <c r="P53" l="1"/>
  <c r="N59" s="1"/>
  <c r="Q53"/>
  <c r="O59" s="1"/>
  <c r="P50"/>
  <c r="N58" s="1"/>
  <c r="Q50"/>
  <c r="O58" s="1"/>
  <c r="D55" i="4" l="1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G13"/>
  <c r="E13"/>
  <c r="G12"/>
  <c r="E12"/>
  <c r="G11"/>
  <c r="E11"/>
  <c r="G10"/>
  <c r="E10"/>
  <c r="G9"/>
  <c r="E9"/>
  <c r="E8"/>
  <c r="D55" i="3"/>
  <c r="D54"/>
  <c r="D53"/>
  <c r="D52"/>
  <c r="D51"/>
  <c r="D50"/>
  <c r="D45"/>
  <c r="D44"/>
  <c r="D43"/>
  <c r="D42"/>
  <c r="D41"/>
  <c r="D40"/>
  <c r="D36"/>
  <c r="D35"/>
  <c r="D34"/>
  <c r="D33"/>
  <c r="D32"/>
  <c r="D31"/>
  <c r="D27"/>
  <c r="D26"/>
  <c r="D25"/>
  <c r="D24"/>
  <c r="D23"/>
  <c r="D22"/>
  <c r="E13"/>
  <c r="G13"/>
  <c r="E12"/>
  <c r="G12"/>
  <c r="E11"/>
  <c r="G11"/>
  <c r="E10"/>
  <c r="G10"/>
  <c r="E9"/>
  <c r="G9"/>
  <c r="E8"/>
  <c r="F9" i="4" l="1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F9" i="3"/>
  <c r="H9" s="1"/>
  <c r="F10"/>
  <c r="H10" s="1"/>
  <c r="F11"/>
  <c r="H11" s="1"/>
  <c r="F12"/>
  <c r="H12" s="1"/>
  <c r="F13"/>
  <c r="H13" s="1"/>
  <c r="E22"/>
  <c r="F22" s="1"/>
  <c r="E23"/>
  <c r="F23" s="1"/>
  <c r="E24"/>
  <c r="F24" s="1"/>
  <c r="E25"/>
  <c r="F25" s="1"/>
  <c r="E26"/>
  <c r="F26" s="1"/>
  <c r="E27"/>
  <c r="F27" s="1"/>
  <c r="E31"/>
  <c r="F31" s="1"/>
  <c r="E32"/>
  <c r="F32" s="1"/>
  <c r="E33"/>
  <c r="F33" s="1"/>
  <c r="E34"/>
  <c r="F34" s="1"/>
  <c r="E35"/>
  <c r="F35" s="1"/>
  <c r="E36"/>
  <c r="F36" s="1"/>
  <c r="E40"/>
  <c r="F40" s="1"/>
  <c r="E41"/>
  <c r="F41" s="1"/>
  <c r="E42"/>
  <c r="F42" s="1"/>
  <c r="E43"/>
  <c r="F43" s="1"/>
  <c r="E44"/>
  <c r="F44" s="1"/>
  <c r="E45"/>
  <c r="F45" s="1"/>
  <c r="E50"/>
  <c r="F50" s="1"/>
  <c r="E51"/>
  <c r="F51" s="1"/>
  <c r="E52"/>
  <c r="F52" s="1"/>
  <c r="E53"/>
  <c r="F53" s="1"/>
  <c r="E54"/>
  <c r="F54" s="1"/>
  <c r="E55"/>
  <c r="F55" s="1"/>
  <c r="B16"/>
  <c r="B15"/>
  <c r="G22"/>
  <c r="H22" s="1"/>
  <c r="J22" s="1"/>
  <c r="K22" s="1"/>
  <c r="G23"/>
  <c r="H23" s="1"/>
  <c r="J23" s="1"/>
  <c r="K23" s="1"/>
  <c r="G24"/>
  <c r="H24" s="1"/>
  <c r="J24" s="1"/>
  <c r="K24" s="1"/>
  <c r="G25"/>
  <c r="H25" s="1"/>
  <c r="J25" s="1"/>
  <c r="K25" s="1"/>
  <c r="G26"/>
  <c r="H26" s="1"/>
  <c r="J26" s="1"/>
  <c r="K26" s="1"/>
  <c r="G27"/>
  <c r="H27" s="1"/>
  <c r="J27" s="1"/>
  <c r="K27" s="1"/>
  <c r="G31"/>
  <c r="H31" s="1"/>
  <c r="J31" s="1"/>
  <c r="K31" s="1"/>
  <c r="G32"/>
  <c r="H32" s="1"/>
  <c r="J32" s="1"/>
  <c r="K32" s="1"/>
  <c r="G33"/>
  <c r="H33" s="1"/>
  <c r="J33" s="1"/>
  <c r="K33" s="1"/>
  <c r="G34"/>
  <c r="H34" s="1"/>
  <c r="J34" s="1"/>
  <c r="K34" s="1"/>
  <c r="G35"/>
  <c r="H35" s="1"/>
  <c r="J35" s="1"/>
  <c r="K35" s="1"/>
  <c r="G36"/>
  <c r="H36" s="1"/>
  <c r="J36" s="1"/>
  <c r="K36" s="1"/>
  <c r="G40"/>
  <c r="H40" s="1"/>
  <c r="J40" s="1"/>
  <c r="K40" s="1"/>
  <c r="G41"/>
  <c r="H41" s="1"/>
  <c r="J41" s="1"/>
  <c r="K41" s="1"/>
  <c r="G42"/>
  <c r="H42" s="1"/>
  <c r="J42" s="1"/>
  <c r="K42" s="1"/>
  <c r="G43"/>
  <c r="H43" s="1"/>
  <c r="J43" s="1"/>
  <c r="K43" s="1"/>
  <c r="G44"/>
  <c r="H44" s="1"/>
  <c r="J44" s="1"/>
  <c r="K44" s="1"/>
  <c r="G45"/>
  <c r="H45" s="1"/>
  <c r="J45" s="1"/>
  <c r="K45" s="1"/>
  <c r="G50"/>
  <c r="H50" s="1"/>
  <c r="J50" s="1"/>
  <c r="K50" s="1"/>
  <c r="G51"/>
  <c r="H51" s="1"/>
  <c r="J51" s="1"/>
  <c r="K51" s="1"/>
  <c r="G52"/>
  <c r="H52" s="1"/>
  <c r="J52" s="1"/>
  <c r="K52" s="1"/>
  <c r="G53"/>
  <c r="H53" s="1"/>
  <c r="J53" s="1"/>
  <c r="K53" s="1"/>
  <c r="G54"/>
  <c r="H54" s="1"/>
  <c r="J54" s="1"/>
  <c r="K54" s="1"/>
  <c r="G55"/>
  <c r="H55" s="1"/>
  <c r="J55" s="1"/>
  <c r="K55" s="1"/>
  <c r="L36" i="4" l="1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36" i="3"/>
  <c r="M36" s="1"/>
  <c r="L35"/>
  <c r="M35" s="1"/>
  <c r="L34"/>
  <c r="M34" s="1"/>
  <c r="L33"/>
  <c r="M33" s="1"/>
  <c r="L32"/>
  <c r="M32" s="1"/>
  <c r="L31"/>
  <c r="M31" s="1"/>
  <c r="L27"/>
  <c r="M27" s="1"/>
  <c r="L26"/>
  <c r="M26" s="1"/>
  <c r="L25"/>
  <c r="M25" s="1"/>
  <c r="L24"/>
  <c r="M24" s="1"/>
  <c r="L23"/>
  <c r="M23" s="1"/>
  <c r="L22"/>
  <c r="M22" s="1"/>
  <c r="L40" i="4" l="1"/>
  <c r="L41"/>
  <c r="L42"/>
  <c r="L43"/>
  <c r="L44"/>
  <c r="L45"/>
  <c r="L50"/>
  <c r="L51"/>
  <c r="O51" s="1"/>
  <c r="L52"/>
  <c r="O52" s="1"/>
  <c r="L53"/>
  <c r="L54"/>
  <c r="O54" s="1"/>
  <c r="L55"/>
  <c r="O55" s="1"/>
  <c r="L40" i="3"/>
  <c r="L41"/>
  <c r="L42"/>
  <c r="L43"/>
  <c r="L44"/>
  <c r="L45"/>
  <c r="L50"/>
  <c r="L51"/>
  <c r="O51" s="1"/>
  <c r="L52"/>
  <c r="O52" s="1"/>
  <c r="L53"/>
  <c r="L54"/>
  <c r="O54" s="1"/>
  <c r="L55"/>
  <c r="O55" s="1"/>
  <c r="O53" i="4" l="1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O53" i="3"/>
  <c r="N53"/>
  <c r="C68" s="1"/>
  <c r="M53"/>
  <c r="B68" s="1"/>
  <c r="O50"/>
  <c r="N50"/>
  <c r="C66" s="1"/>
  <c r="M50"/>
  <c r="B66" s="1"/>
  <c r="N43"/>
  <c r="C67" s="1"/>
  <c r="M43"/>
  <c r="B67" s="1"/>
  <c r="N40"/>
  <c r="C65" s="1"/>
  <c r="M40"/>
  <c r="B65" s="1"/>
  <c r="Q50" i="4" l="1"/>
  <c r="O58" s="1"/>
  <c r="P50"/>
  <c r="N58" s="1"/>
  <c r="Q53"/>
  <c r="O59" s="1"/>
  <c r="P53"/>
  <c r="N59" s="1"/>
  <c r="Q50" i="3"/>
  <c r="O58" s="1"/>
  <c r="P50"/>
  <c r="N58" s="1"/>
  <c r="Q53"/>
  <c r="O59" s="1"/>
  <c r="P53"/>
  <c r="N59" s="1"/>
</calcChain>
</file>

<file path=xl/sharedStrings.xml><?xml version="1.0" encoding="utf-8"?>
<sst xmlns="http://schemas.openxmlformats.org/spreadsheetml/2006/main" count="297" uniqueCount="53">
  <si>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</si>
  <si>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</si>
  <si>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</si>
  <si>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</si>
  <si>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</si>
  <si>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</si>
  <si>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</si>
  <si>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</si>
  <si>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</si>
  <si>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</si>
  <si>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</si>
  <si>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</si>
  <si>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</si>
  <si>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</si>
  <si>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</si>
  <si>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</si>
  <si>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</si>
  <si>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</si>
  <si>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</si>
  <si>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</si>
  <si>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</si>
  <si>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</si>
  <si>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</si>
  <si>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</si>
  <si>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</si>
  <si>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</si>
  <si>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</si>
  <si>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</si>
  <si>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</si>
  <si>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</si>
  <si>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</si>
  <si>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</si>
  <si>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</si>
  <si>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</si>
  <si>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</si>
  <si>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</si>
  <si>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</si>
  <si>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</si>
  <si>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</si>
  <si>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</si>
  <si>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</si>
  <si>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</si>
  <si>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</si>
  <si>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Fatou</t>
  </si>
  <si>
    <t>mean</t>
    <phoneticPr fontId="0" type="noConversion"/>
  </si>
  <si>
    <t xml:space="preserve"> insulin secretion (% of content) </t>
    <phoneticPr fontId="0" type="noConversion"/>
  </si>
  <si>
    <t>Total ng (in 100 ul)</t>
    <phoneticPr fontId="0" type="noConversion"/>
  </si>
  <si>
    <t>dilutions to measure</t>
    <phoneticPr fontId="0" type="noConversion"/>
  </si>
  <si>
    <t>log conc</t>
    <phoneticPr fontId="0" type="noConversion"/>
  </si>
  <si>
    <t>log (Abs)</t>
    <phoneticPr fontId="0" type="noConversion"/>
  </si>
  <si>
    <t>mean-BK</t>
    <phoneticPr fontId="0" type="noConversion"/>
  </si>
  <si>
    <t>log (Conc)</t>
    <phoneticPr fontId="0" type="noConversion"/>
  </si>
  <si>
    <t>mU/L</t>
    <phoneticPr fontId="0" type="noConversion"/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</si>
</sst>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3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2" borderId="1" applyNumberFormat="0" applyFont="0" applyAlignment="0" applyProtection="0"/>
    <xf numFmtId="0" fontId="3" fillId="0" borderId="0"/>
    <xf numFmtId="0" fontId="2" fillId="0" borderId="0"/>
    <xf numFmtId="0" fontId="2" fillId="0" borderId="0"/>
    <xf numFmtId="0" fontId="1" fillId="0" borderId="0"/>
  </cellStyleXfs>
  <cellXfs count="69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 applyProtection="1">
      <alignment horizontal="center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2" fillId="0" borderId="0" xfId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" fontId="4" fillId="4" borderId="0" xfId="0" applyNumberFormat="1" applyFont="1" applyFill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11" xfId="0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" xfId="0" applyBorder="1"/>
    <xf numFmtId="1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6" applyFill="1"/>
    <xf numFmtId="0" fontId="0" fillId="0" borderId="0" xfId="0" applyAlignment="1">
      <alignment horizontal="center"/>
    </xf>
  </cellXfs>
  <cellStyles count="7">
    <cellStyle name="Commentaire 2" xfId="2"/>
    <cellStyle name="Normal" xfId="0" builtinId="0"/>
    <cellStyle name="Normal 2" xfId="1"/>
    <cellStyle name="Normal 2 2" xfId="6"/>
    <cellStyle name="Normal 3" xfId="3"/>
    <cellStyle name="Normal 4" xfId="4"/>
    <cellStyle name="Normal 5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-1.8239087409443184</c:v>
                </c:pt>
                <c:pt idx="1">
                  <c:v>-1.0433514207947967</c:v>
                </c:pt>
                <c:pt idx="2">
                  <c:v>-0.55361818777755789</c:v>
                </c:pt>
                <c:pt idx="3">
                  <c:v>-0.13164950035203174</c:v>
                </c:pt>
                <c:pt idx="4">
                  <c:v>0.20615098159625966</c:v>
                </c:pt>
              </c:numCache>
            </c:numRef>
          </c:yVal>
        </c:ser>
        <c:axId val="59613568"/>
        <c:axId val="59615104"/>
      </c:scatterChart>
      <c:valAx>
        <c:axId val="59613568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9615104"/>
        <c:crosses val="autoZero"/>
        <c:crossBetween val="midCat"/>
      </c:valAx>
      <c:valAx>
        <c:axId val="59615104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613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siNTP!$C$65:$C$68</c:f>
                <c:numCache>
                  <c:formatCode>General</c:formatCode>
                  <c:ptCount val="4"/>
                  <c:pt idx="0">
                    <c:v>0.25746323969004209</c:v>
                  </c:pt>
                  <c:pt idx="1">
                    <c:v>0.71181972141343175</c:v>
                  </c:pt>
                  <c:pt idx="2">
                    <c:v>0.25533407159237181</c:v>
                  </c:pt>
                  <c:pt idx="3">
                    <c:v>0.57896307390686264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0.25746323969004209</c:v>
                  </c:pt>
                  <c:pt idx="1">
                    <c:v>0.71181972141343175</c:v>
                  </c:pt>
                  <c:pt idx="2">
                    <c:v>0.25533407159237181</c:v>
                  </c:pt>
                  <c:pt idx="3">
                    <c:v>0.57896307390686264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0.56916296582657344</c:v>
                </c:pt>
                <c:pt idx="1">
                  <c:v>1.5640400647660329</c:v>
                </c:pt>
                <c:pt idx="2">
                  <c:v>1.4479632895594694</c:v>
                </c:pt>
                <c:pt idx="3">
                  <c:v>2.7587539995632429</c:v>
                </c:pt>
              </c:numCache>
            </c:numRef>
          </c:val>
        </c:ser>
        <c:axId val="59999360"/>
        <c:axId val="60000896"/>
      </c:barChart>
      <c:catAx>
        <c:axId val="599993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000896"/>
        <c:crosses val="autoZero"/>
        <c:auto val="1"/>
        <c:lblAlgn val="ctr"/>
        <c:lblOffset val="100"/>
      </c:catAx>
      <c:valAx>
        <c:axId val="6000089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599993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siNTP!$O$58:$O$59</c:f>
                <c:numCache>
                  <c:formatCode>General</c:formatCode>
                  <c:ptCount val="2"/>
                  <c:pt idx="0">
                    <c:v>3.8141603167877527E-2</c:v>
                  </c:pt>
                  <c:pt idx="1">
                    <c:v>0.40020058664400515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3.8141603167877527E-2</c:v>
                  </c:pt>
                  <c:pt idx="1">
                    <c:v>0.40020058664400515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2.7487824448055442</c:v>
                </c:pt>
                <c:pt idx="1">
                  <c:v>1.9208014221042642</c:v>
                </c:pt>
              </c:numCache>
            </c:numRef>
          </c:val>
        </c:ser>
        <c:axId val="60295808"/>
        <c:axId val="60297600"/>
      </c:barChart>
      <c:catAx>
        <c:axId val="602958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7600"/>
        <c:crosses val="autoZero"/>
        <c:auto val="1"/>
        <c:lblAlgn val="ctr"/>
        <c:lblOffset val="100"/>
      </c:catAx>
      <c:valAx>
        <c:axId val="60297600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2958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siTCF19!$G$9:$G$13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siTCF19!$H$9:$H$13</c:f>
              <c:numCache>
                <c:formatCode>0.00</c:formatCode>
                <c:ptCount val="5"/>
                <c:pt idx="0">
                  <c:v>-1.8239087409443184</c:v>
                </c:pt>
                <c:pt idx="1">
                  <c:v>-1.0433514207947967</c:v>
                </c:pt>
                <c:pt idx="2">
                  <c:v>-0.55361818777755789</c:v>
                </c:pt>
                <c:pt idx="3">
                  <c:v>-0.13164950035203174</c:v>
                </c:pt>
                <c:pt idx="4">
                  <c:v>0.20615098159625966</c:v>
                </c:pt>
              </c:numCache>
            </c:numRef>
          </c:yVal>
        </c:ser>
        <c:axId val="60470400"/>
        <c:axId val="60471936"/>
      </c:scatterChart>
      <c:valAx>
        <c:axId val="60470400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471936"/>
        <c:crosses val="autoZero"/>
        <c:crossBetween val="midCat"/>
      </c:valAx>
      <c:valAx>
        <c:axId val="60471936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470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siTCF19!$C$65:$C$68</c:f>
                <c:numCache>
                  <c:formatCode>General</c:formatCode>
                  <c:ptCount val="4"/>
                  <c:pt idx="0">
                    <c:v>1.9515347607810332E-2</c:v>
                  </c:pt>
                  <c:pt idx="1">
                    <c:v>0.22460772009550775</c:v>
                  </c:pt>
                  <c:pt idx="2">
                    <c:v>0.17741575166843496</c:v>
                  </c:pt>
                  <c:pt idx="3">
                    <c:v>0.51095049807091486</c:v>
                  </c:pt>
                </c:numCache>
              </c:numRef>
            </c:plus>
            <c:minus>
              <c:numRef>
                <c:f>siTCF19!$C$65:$C$68</c:f>
                <c:numCache>
                  <c:formatCode>General</c:formatCode>
                  <c:ptCount val="4"/>
                  <c:pt idx="0">
                    <c:v>1.9515347607810332E-2</c:v>
                  </c:pt>
                  <c:pt idx="1">
                    <c:v>0.22460772009550775</c:v>
                  </c:pt>
                  <c:pt idx="2">
                    <c:v>0.17741575166843496</c:v>
                  </c:pt>
                  <c:pt idx="3">
                    <c:v>0.51095049807091486</c:v>
                  </c:pt>
                </c:numCache>
              </c:numRef>
            </c:minus>
          </c:errBars>
          <c:cat>
            <c:strRef>
              <c:f>(siTCF19!$A$65,siTCF19!$A$66,siTCF19!$A$67,siTCF19!$A$68)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siTCF19!$B$65:$B$68</c:f>
              <c:numCache>
                <c:formatCode>0.0</c:formatCode>
                <c:ptCount val="4"/>
                <c:pt idx="0">
                  <c:v>0.3408205752072142</c:v>
                </c:pt>
                <c:pt idx="1">
                  <c:v>0.83734989613151178</c:v>
                </c:pt>
                <c:pt idx="2">
                  <c:v>0.95462490556328417</c:v>
                </c:pt>
                <c:pt idx="3">
                  <c:v>2.1347747587568526</c:v>
                </c:pt>
              </c:numCache>
            </c:numRef>
          </c:val>
        </c:ser>
        <c:axId val="60528512"/>
        <c:axId val="60530048"/>
      </c:barChart>
      <c:catAx>
        <c:axId val="60528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30048"/>
        <c:crosses val="autoZero"/>
        <c:auto val="1"/>
        <c:lblAlgn val="ctr"/>
        <c:lblOffset val="100"/>
      </c:catAx>
      <c:valAx>
        <c:axId val="6053004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siTCF19!$M$48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285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7"/>
          <c:y val="2.720080182307740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siTCF19!$O$58:$O$59</c:f>
                <c:numCache>
                  <c:formatCode>General</c:formatCode>
                  <c:ptCount val="2"/>
                  <c:pt idx="0">
                    <c:v>0.60689419501877773</c:v>
                  </c:pt>
                  <c:pt idx="1">
                    <c:v>0.57052346529129938</c:v>
                  </c:pt>
                </c:numCache>
              </c:numRef>
            </c:plus>
            <c:minus>
              <c:numRef>
                <c:f>siTCF19!$O$58:$O$59</c:f>
                <c:numCache>
                  <c:formatCode>General</c:formatCode>
                  <c:ptCount val="2"/>
                  <c:pt idx="0">
                    <c:v>0.60689419501877773</c:v>
                  </c:pt>
                  <c:pt idx="1">
                    <c:v>0.57052346529129938</c:v>
                  </c:pt>
                </c:numCache>
              </c:numRef>
            </c:minus>
          </c:errBars>
          <c:cat>
            <c:strRef>
              <c:f>siTCF19!$M$58:$M$59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siTCF19!$N$58:$N$59</c:f>
              <c:numCache>
                <c:formatCode>0.0</c:formatCode>
                <c:ptCount val="2"/>
                <c:pt idx="0">
                  <c:v>2.4489514706250195</c:v>
                </c:pt>
                <c:pt idx="1">
                  <c:v>2.2597448806190195</c:v>
                </c:pt>
              </c:numCache>
            </c:numRef>
          </c:val>
        </c:ser>
        <c:axId val="60554624"/>
        <c:axId val="60568704"/>
      </c:barChart>
      <c:catAx>
        <c:axId val="60554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68704"/>
        <c:crosses val="autoZero"/>
        <c:auto val="1"/>
        <c:lblAlgn val="ctr"/>
        <c:lblOffset val="100"/>
      </c:catAx>
      <c:valAx>
        <c:axId val="60568704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siTCF19!$M$57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554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siHNF4A!$G$9:$G$13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siHNF4A!$H$9:$H$13</c:f>
              <c:numCache>
                <c:formatCode>0.00</c:formatCode>
                <c:ptCount val="5"/>
                <c:pt idx="0">
                  <c:v>-1.5686362358410126</c:v>
                </c:pt>
                <c:pt idx="1">
                  <c:v>-1.0087739243075051</c:v>
                </c:pt>
                <c:pt idx="2">
                  <c:v>-0.50237935021871227</c:v>
                </c:pt>
                <c:pt idx="3">
                  <c:v>3.4828915655836734E-2</c:v>
                </c:pt>
                <c:pt idx="4">
                  <c:v>0.22634208716363069</c:v>
                </c:pt>
              </c:numCache>
            </c:numRef>
          </c:yVal>
        </c:ser>
        <c:axId val="60605952"/>
        <c:axId val="60607488"/>
      </c:scatterChart>
      <c:valAx>
        <c:axId val="60605952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60607488"/>
        <c:crosses val="autoZero"/>
        <c:crossBetween val="midCat"/>
      </c:valAx>
      <c:valAx>
        <c:axId val="60607488"/>
        <c:scaling>
          <c:orientation val="minMax"/>
        </c:scaling>
        <c:axPos val="l"/>
        <c:numFmt formatCode="0.0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05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errBars>
            <c:errBarType val="both"/>
            <c:errValType val="cust"/>
            <c:plus>
              <c:numRef>
                <c:f>siHNF4A!$C$65:$C$68</c:f>
                <c:numCache>
                  <c:formatCode>General</c:formatCode>
                  <c:ptCount val="4"/>
                  <c:pt idx="0">
                    <c:v>0.12883401012453458</c:v>
                  </c:pt>
                  <c:pt idx="1">
                    <c:v>0.32256853047869499</c:v>
                  </c:pt>
                  <c:pt idx="2">
                    <c:v>0.33621007992312935</c:v>
                  </c:pt>
                  <c:pt idx="3">
                    <c:v>0.29785889474925231</c:v>
                  </c:pt>
                </c:numCache>
              </c:numRef>
            </c:plus>
            <c:minus>
              <c:numRef>
                <c:f>siHNF4A!$C$65:$C$68</c:f>
                <c:numCache>
                  <c:formatCode>General</c:formatCode>
                  <c:ptCount val="4"/>
                  <c:pt idx="0">
                    <c:v>0.12883401012453458</c:v>
                  </c:pt>
                  <c:pt idx="1">
                    <c:v>0.32256853047869499</c:v>
                  </c:pt>
                  <c:pt idx="2">
                    <c:v>0.33621007992312935</c:v>
                  </c:pt>
                  <c:pt idx="3">
                    <c:v>0.29785889474925231</c:v>
                  </c:pt>
                </c:numCache>
              </c:numRef>
            </c:minus>
          </c:errBars>
          <c:cat>
            <c:strRef>
              <c:f>(siHNF4A!$A$65,siHNF4A!$A$66,siHNF4A!$A$67,siHNF4A!$A$68)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siHNF4A!$B$65:$B$68</c:f>
              <c:numCache>
                <c:formatCode>0.0</c:formatCode>
                <c:ptCount val="4"/>
                <c:pt idx="0">
                  <c:v>0.40180466288477912</c:v>
                </c:pt>
                <c:pt idx="1">
                  <c:v>1.1394635687516026</c:v>
                </c:pt>
                <c:pt idx="2">
                  <c:v>1.0703691521017649</c:v>
                </c:pt>
                <c:pt idx="3">
                  <c:v>2.5073925777763706</c:v>
                </c:pt>
              </c:numCache>
            </c:numRef>
          </c:val>
        </c:ser>
        <c:axId val="60647680"/>
        <c:axId val="60665856"/>
      </c:barChart>
      <c:catAx>
        <c:axId val="60647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65856"/>
        <c:crosses val="autoZero"/>
        <c:auto val="1"/>
        <c:lblAlgn val="ctr"/>
        <c:lblOffset val="100"/>
      </c:catAx>
      <c:valAx>
        <c:axId val="6066585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1052E-2"/>
              <c:y val="0.2049764779515062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647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style val="18"/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311"/>
          <c:y val="2.7200801823077388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NTP</c:v>
          </c:tx>
          <c:errBars>
            <c:errBarType val="both"/>
            <c:errValType val="cust"/>
            <c:plus>
              <c:numRef>
                <c:f>siHNF4A!$O$58:$O$59</c:f>
                <c:numCache>
                  <c:formatCode>General</c:formatCode>
                  <c:ptCount val="2"/>
                  <c:pt idx="0">
                    <c:v>1.7179266102681667</c:v>
                  </c:pt>
                  <c:pt idx="1">
                    <c:v>1.2739612341220423</c:v>
                  </c:pt>
                </c:numCache>
              </c:numRef>
            </c:plus>
            <c:minus>
              <c:numRef>
                <c:f>siHNF4A!$O$58:$O$59</c:f>
                <c:numCache>
                  <c:formatCode>General</c:formatCode>
                  <c:ptCount val="2"/>
                  <c:pt idx="0">
                    <c:v>1.7179266102681667</c:v>
                  </c:pt>
                  <c:pt idx="1">
                    <c:v>1.2739612341220423</c:v>
                  </c:pt>
                </c:numCache>
              </c:numRef>
            </c:minus>
          </c:errBars>
          <c:cat>
            <c:strRef>
              <c:f>siHNF4A!$M$58:$M$59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siHNF4A!$N$58:$N$59</c:f>
              <c:numCache>
                <c:formatCode>0.0</c:formatCode>
                <c:ptCount val="2"/>
                <c:pt idx="0">
                  <c:v>3.1237989257308776</c:v>
                </c:pt>
                <c:pt idx="1">
                  <c:v>2.6080454397680342</c:v>
                </c:pt>
              </c:numCache>
            </c:numRef>
          </c:val>
        </c:ser>
        <c:axId val="60772352"/>
        <c:axId val="60773888"/>
      </c:barChart>
      <c:catAx>
        <c:axId val="60772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3888"/>
        <c:crosses val="autoZero"/>
        <c:auto val="1"/>
        <c:lblAlgn val="ctr"/>
        <c:lblOffset val="100"/>
      </c:catAx>
      <c:valAx>
        <c:axId val="6077388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siHNF4A!$M$57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tickLblPos val="nextTo"/>
        <c:spPr>
          <a:ln w="3175">
            <a:solidFill>
              <a:srgbClr val="808080"/>
            </a:solidFill>
            <a:prstDash val="solid"/>
          </a:ln>
        </c:spPr>
        <c:crossAx val="607723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B8" sqref="B8:B13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87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42326</v>
      </c>
    </row>
    <row r="2" spans="1:20">
      <c r="A2" s="1" t="s">
        <v>1</v>
      </c>
      <c r="B2" s="2">
        <v>70</v>
      </c>
      <c r="C2" s="3"/>
      <c r="D2" s="38"/>
      <c r="E2" s="65"/>
      <c r="F2" s="38"/>
      <c r="G2" s="38"/>
    </row>
    <row r="3" spans="1:20">
      <c r="A3" s="1" t="s">
        <v>2</v>
      </c>
      <c r="B3" s="2" t="s">
        <v>43</v>
      </c>
      <c r="D3" s="38"/>
      <c r="E3" s="38"/>
      <c r="F3" s="38"/>
      <c r="G3" s="38"/>
    </row>
    <row r="4" spans="1:20">
      <c r="D4" s="38"/>
      <c r="E4" s="38"/>
      <c r="F4" s="38"/>
      <c r="G4" s="38"/>
    </row>
    <row r="5" spans="1:20">
      <c r="A5" s="2"/>
      <c r="D5" s="38"/>
      <c r="E5" s="38"/>
      <c r="F5" s="38"/>
      <c r="G5" s="38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6">
        <v>5.2999999999999999E-2</v>
      </c>
      <c r="D8" s="66">
        <v>0.06</v>
      </c>
      <c r="E8" s="11">
        <f t="shared" ref="E8:E13" si="0">AVERAGE(C8:D8)</f>
        <v>5.6499999999999995E-2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6">
        <v>6.8000000000000005E-2</v>
      </c>
      <c r="D9" s="66">
        <v>7.4999999999999997E-2</v>
      </c>
      <c r="E9" s="11">
        <f t="shared" si="0"/>
        <v>7.1500000000000008E-2</v>
      </c>
      <c r="F9" s="12">
        <f>(E9-$E$8)</f>
        <v>1.5000000000000013E-2</v>
      </c>
      <c r="G9" s="12">
        <f>LOG(B9)</f>
        <v>-0.86341728222799241</v>
      </c>
      <c r="H9" s="12">
        <f>LOG(F9)</f>
        <v>-1.8239087409443184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6">
        <v>0.14899999999999999</v>
      </c>
      <c r="D10" s="66">
        <v>0.14499999999999999</v>
      </c>
      <c r="E10" s="11">
        <f t="shared" si="0"/>
        <v>0.14699999999999999</v>
      </c>
      <c r="F10" s="12">
        <f>(E10-$E$8)</f>
        <v>9.0499999999999997E-2</v>
      </c>
      <c r="G10" s="12">
        <f>LOG(B10)</f>
        <v>-0.34469449671881253</v>
      </c>
      <c r="H10" s="12">
        <f>LOG(F10)</f>
        <v>-1.0433514207947967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6">
        <v>0.33</v>
      </c>
      <c r="D11" s="66">
        <v>0.34200000000000003</v>
      </c>
      <c r="E11" s="11">
        <f t="shared" si="0"/>
        <v>0.33600000000000002</v>
      </c>
      <c r="F11" s="12">
        <f>(E11-$E$8)</f>
        <v>0.27950000000000003</v>
      </c>
      <c r="G11" s="12">
        <f>LOG(B11)</f>
        <v>0.13658271777200767</v>
      </c>
      <c r="H11" s="12">
        <f>LOG(F11)</f>
        <v>-0.55361818777755789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6">
        <v>0.71499999999999997</v>
      </c>
      <c r="D12" s="66">
        <v>0.875</v>
      </c>
      <c r="E12" s="11">
        <f t="shared" si="0"/>
        <v>0.79499999999999993</v>
      </c>
      <c r="F12" s="12">
        <f>(E12-$E$8)</f>
        <v>0.73849999999999993</v>
      </c>
      <c r="G12" s="12">
        <f>LOG(B12)</f>
        <v>0.66357802924717735</v>
      </c>
      <c r="H12" s="12">
        <f>LOG(F12)</f>
        <v>-0.13164950035203174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6">
        <v>1.6539999999999999</v>
      </c>
      <c r="D13" s="66">
        <v>1.6739999999999999</v>
      </c>
      <c r="E13" s="11">
        <f t="shared" si="0"/>
        <v>1.6639999999999999</v>
      </c>
      <c r="F13" s="12">
        <f>(E13-$E$8)</f>
        <v>1.6074999999999999</v>
      </c>
      <c r="G13" s="12">
        <f>LOG(B13)</f>
        <v>0.96049145871632635</v>
      </c>
      <c r="H13" s="12">
        <f>LOG(F13)</f>
        <v>0.20615098159625966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1.0707107951352863</v>
      </c>
      <c r="N15"/>
    </row>
    <row r="16" spans="1:20" ht="15">
      <c r="A16" s="5" t="s">
        <v>11</v>
      </c>
      <c r="B16" s="11">
        <f>INTERCEPT(H9:H13,G9:G13)</f>
        <v>-0.78759757359675431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3">
        <v>0.60099999999999998</v>
      </c>
      <c r="C22" s="63">
        <v>0.64</v>
      </c>
      <c r="D22" s="27">
        <f>AVERAGE(B22:C22)</f>
        <v>0.62050000000000005</v>
      </c>
      <c r="E22" s="27">
        <f t="shared" ref="E22:E27" si="2">D22-E$8</f>
        <v>0.56400000000000006</v>
      </c>
      <c r="F22" s="27">
        <f>LOG(E22)</f>
        <v>-0.24872089601665767</v>
      </c>
      <c r="G22" s="28">
        <f>(F22-$B$16)/$B$15</f>
        <v>0.50328873121336981</v>
      </c>
      <c r="H22" s="28">
        <f>10^G22</f>
        <v>3.1863151698521346</v>
      </c>
      <c r="I22" s="29">
        <v>500</v>
      </c>
      <c r="J22" s="30">
        <f>(H22*I22)</f>
        <v>1593.1575849260673</v>
      </c>
      <c r="K22" s="31">
        <f>(0.05*J22/1000)*1000</f>
        <v>79.657879246303366</v>
      </c>
      <c r="L22" s="32">
        <f>K22+K40+K50</f>
        <v>81.504256708212253</v>
      </c>
      <c r="M22" s="33">
        <f>(L22*1000000/50000)/1000</f>
        <v>1.6300851341642451</v>
      </c>
      <c r="N22" s="34"/>
    </row>
    <row r="23" spans="1:17" ht="15">
      <c r="B23" s="63">
        <v>0.86</v>
      </c>
      <c r="C23" s="63">
        <v>0.78800000000000003</v>
      </c>
      <c r="D23" s="27">
        <f t="shared" ref="D23:D27" si="3">AVERAGE(B23:C23)</f>
        <v>0.82400000000000007</v>
      </c>
      <c r="E23" s="27">
        <f t="shared" si="2"/>
        <v>0.76750000000000007</v>
      </c>
      <c r="F23" s="27">
        <f t="shared" ref="F23:F27" si="4">LOG(E23)</f>
        <v>-0.11492161585077587</v>
      </c>
      <c r="G23" s="28">
        <f t="shared" ref="G23:G27" si="5">(F23-$B$16)/$B$15</f>
        <v>0.6282517751779878</v>
      </c>
      <c r="H23" s="28">
        <f t="shared" ref="H23:H27" si="6">10^G23</f>
        <v>4.2486580161687364</v>
      </c>
      <c r="I23" s="29">
        <v>500</v>
      </c>
      <c r="J23" s="30">
        <f t="shared" ref="J23:J27" si="7">(H23*I23)</f>
        <v>2124.3290080843681</v>
      </c>
      <c r="K23" s="31">
        <f t="shared" ref="K23:K27" si="8">(0.05*J23/1000)*1000</f>
        <v>106.21645040421841</v>
      </c>
      <c r="L23" s="32">
        <f>K23+K41+K51</f>
        <v>107.39603528227461</v>
      </c>
      <c r="M23" s="33">
        <f t="shared" ref="M23:M27" si="9">(L23*1000000/50000)/1000</f>
        <v>2.1479207056454919</v>
      </c>
      <c r="N23" s="34"/>
    </row>
    <row r="24" spans="1:17" ht="15">
      <c r="B24" s="63">
        <v>0.56299999999999994</v>
      </c>
      <c r="C24" s="63">
        <v>0.56200000000000006</v>
      </c>
      <c r="D24" s="27">
        <f t="shared" si="3"/>
        <v>0.5625</v>
      </c>
      <c r="E24" s="27">
        <f t="shared" si="2"/>
        <v>0.50600000000000001</v>
      </c>
      <c r="F24" s="27">
        <f t="shared" si="4"/>
        <v>-0.29584948316020088</v>
      </c>
      <c r="G24" s="28">
        <f t="shared" si="5"/>
        <v>0.45927256236771213</v>
      </c>
      <c r="H24" s="28">
        <f t="shared" si="6"/>
        <v>2.8792048311472942</v>
      </c>
      <c r="I24" s="29">
        <v>500</v>
      </c>
      <c r="J24" s="30">
        <f t="shared" si="7"/>
        <v>1439.602415573647</v>
      </c>
      <c r="K24" s="31">
        <f t="shared" si="8"/>
        <v>71.980120778682348</v>
      </c>
      <c r="L24" s="32">
        <f t="shared" ref="L24:L27" si="10">K24+K42+K52</f>
        <v>74.210528599741394</v>
      </c>
      <c r="M24" s="33">
        <f t="shared" si="9"/>
        <v>1.484210571994828</v>
      </c>
      <c r="N24" s="34"/>
    </row>
    <row r="25" spans="1:17" ht="15">
      <c r="A25" s="1" t="s">
        <v>26</v>
      </c>
      <c r="B25" s="63">
        <v>0.46200000000000002</v>
      </c>
      <c r="C25" s="63">
        <v>0.47799999999999998</v>
      </c>
      <c r="D25" s="27">
        <f t="shared" si="3"/>
        <v>0.47</v>
      </c>
      <c r="E25" s="27">
        <f t="shared" si="2"/>
        <v>0.41349999999999998</v>
      </c>
      <c r="F25" s="27">
        <f t="shared" si="4"/>
        <v>-0.38352448611143453</v>
      </c>
      <c r="G25" s="28">
        <f t="shared" si="5"/>
        <v>0.37738770293640722</v>
      </c>
      <c r="H25" s="28">
        <f t="shared" si="6"/>
        <v>2.3844471607915199</v>
      </c>
      <c r="I25" s="29">
        <v>500</v>
      </c>
      <c r="J25" s="30">
        <f t="shared" si="7"/>
        <v>1192.2235803957599</v>
      </c>
      <c r="K25" s="31">
        <f t="shared" si="8"/>
        <v>59.611179019787997</v>
      </c>
      <c r="L25" s="32">
        <f t="shared" si="10"/>
        <v>62.493925752891599</v>
      </c>
      <c r="M25" s="33">
        <f t="shared" si="9"/>
        <v>1.249878515057832</v>
      </c>
      <c r="N25" s="34"/>
    </row>
    <row r="26" spans="1:17" ht="15">
      <c r="B26" s="63">
        <v>0.56100000000000005</v>
      </c>
      <c r="C26" s="63">
        <v>0.495</v>
      </c>
      <c r="D26" s="27">
        <f t="shared" si="3"/>
        <v>0.52800000000000002</v>
      </c>
      <c r="E26" s="27">
        <f t="shared" si="2"/>
        <v>0.47150000000000003</v>
      </c>
      <c r="F26" s="27">
        <f t="shared" si="4"/>
        <v>-0.32651830292665279</v>
      </c>
      <c r="G26" s="28">
        <f t="shared" si="5"/>
        <v>0.43062914165523408</v>
      </c>
      <c r="H26" s="28">
        <f t="shared" si="6"/>
        <v>2.695436727315748</v>
      </c>
      <c r="I26" s="29">
        <v>500</v>
      </c>
      <c r="J26" s="30">
        <f t="shared" si="7"/>
        <v>1347.7183636578741</v>
      </c>
      <c r="K26" s="31">
        <f t="shared" si="8"/>
        <v>67.385918182893704</v>
      </c>
      <c r="L26" s="32">
        <f t="shared" si="10"/>
        <v>69.7175581362863</v>
      </c>
      <c r="M26" s="33">
        <f t="shared" si="9"/>
        <v>1.3943511627257259</v>
      </c>
      <c r="N26" s="34"/>
    </row>
    <row r="27" spans="1:17" ht="15">
      <c r="B27" s="63">
        <v>0.434</v>
      </c>
      <c r="C27" s="63">
        <v>0.52400000000000002</v>
      </c>
      <c r="D27" s="27">
        <f t="shared" si="3"/>
        <v>0.47899999999999998</v>
      </c>
      <c r="E27" s="27">
        <f t="shared" si="2"/>
        <v>0.42249999999999999</v>
      </c>
      <c r="F27" s="27">
        <f t="shared" si="4"/>
        <v>-0.37417328671428884</v>
      </c>
      <c r="G27" s="28">
        <f t="shared" si="5"/>
        <v>0.38612133991815084</v>
      </c>
      <c r="H27" s="28">
        <f t="shared" si="6"/>
        <v>2.4328836508367306</v>
      </c>
      <c r="I27" s="29">
        <v>500</v>
      </c>
      <c r="J27" s="30">
        <f t="shared" si="7"/>
        <v>1216.4418254183654</v>
      </c>
      <c r="K27" s="31">
        <f t="shared" si="8"/>
        <v>60.822091270918271</v>
      </c>
      <c r="L27" s="32">
        <f t="shared" si="10"/>
        <v>63.71595191916289</v>
      </c>
      <c r="M27" s="33">
        <f t="shared" si="9"/>
        <v>1.2743190383832577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3">
        <v>0.60099999999999998</v>
      </c>
      <c r="C31" s="63">
        <v>0.64</v>
      </c>
      <c r="D31" s="27">
        <f t="shared" ref="D31:D36" si="11">AVERAGE(B31:C31)</f>
        <v>0.62050000000000005</v>
      </c>
      <c r="E31" s="27">
        <f t="shared" ref="E31:E36" si="12">D31-E$8</f>
        <v>0.56400000000000006</v>
      </c>
      <c r="F31" s="27">
        <f>LOG(E31)</f>
        <v>-0.24872089601665767</v>
      </c>
      <c r="G31" s="28">
        <f>(F31-$B$16)/$B$15</f>
        <v>0.50328873121336981</v>
      </c>
      <c r="H31" s="28">
        <f>10^G31</f>
        <v>3.1863151698521346</v>
      </c>
      <c r="I31" s="29">
        <v>500</v>
      </c>
      <c r="J31" s="30">
        <f>(H31*I31)</f>
        <v>1593.1575849260673</v>
      </c>
      <c r="K31" s="31">
        <f>(0.05*J31/1000)*1000</f>
        <v>79.657879246303366</v>
      </c>
      <c r="L31" s="32">
        <f>K31+K50</f>
        <v>81.003648853134223</v>
      </c>
      <c r="M31" s="33">
        <f>(L31*1000000/50000)/1000</f>
        <v>1.6200729770626847</v>
      </c>
      <c r="N31" s="35"/>
      <c r="Q31"/>
    </row>
    <row r="32" spans="1:17" ht="15">
      <c r="B32" s="63">
        <v>0.86</v>
      </c>
      <c r="C32" s="63">
        <v>0.78800000000000003</v>
      </c>
      <c r="D32" s="27">
        <f t="shared" si="11"/>
        <v>0.82400000000000007</v>
      </c>
      <c r="E32" s="27">
        <f t="shared" si="12"/>
        <v>0.76750000000000007</v>
      </c>
      <c r="F32" s="27">
        <f t="shared" ref="F32:F36" si="13">LOG(E32)</f>
        <v>-0.11492161585077587</v>
      </c>
      <c r="G32" s="28">
        <f t="shared" ref="G32:G36" si="14">(F32-$B$16)/$B$15</f>
        <v>0.6282517751779878</v>
      </c>
      <c r="H32" s="28">
        <f t="shared" ref="H32:H36" si="15">10^G32</f>
        <v>4.2486580161687364</v>
      </c>
      <c r="I32" s="29">
        <v>500</v>
      </c>
      <c r="J32" s="30">
        <f t="shared" ref="J32:J36" si="16">(H32*I32)</f>
        <v>2124.3290080843681</v>
      </c>
      <c r="K32" s="31">
        <f t="shared" ref="K32:K36" si="17">(0.05*J32/1000)*1000</f>
        <v>106.21645040421841</v>
      </c>
      <c r="L32" s="32">
        <f>K32+K51</f>
        <v>107.08227912030407</v>
      </c>
      <c r="M32" s="33">
        <f t="shared" ref="M32:M36" si="18">(L32*1000000/50000)/1000</f>
        <v>2.1416455824060812</v>
      </c>
      <c r="N32" s="36"/>
      <c r="Q32"/>
    </row>
    <row r="33" spans="1:21" ht="15">
      <c r="B33" s="63">
        <v>0.56299999999999994</v>
      </c>
      <c r="C33" s="63">
        <v>0.56200000000000006</v>
      </c>
      <c r="D33" s="27">
        <f t="shared" si="11"/>
        <v>0.5625</v>
      </c>
      <c r="E33" s="27">
        <f t="shared" si="12"/>
        <v>0.50600000000000001</v>
      </c>
      <c r="F33" s="27">
        <f t="shared" si="13"/>
        <v>-0.29584948316020088</v>
      </c>
      <c r="G33" s="28">
        <f t="shared" si="14"/>
        <v>0.45927256236771213</v>
      </c>
      <c r="H33" s="28">
        <f t="shared" si="15"/>
        <v>2.8792048311472942</v>
      </c>
      <c r="I33" s="29">
        <v>500</v>
      </c>
      <c r="J33" s="30">
        <f t="shared" si="16"/>
        <v>1439.602415573647</v>
      </c>
      <c r="K33" s="31">
        <f t="shared" si="17"/>
        <v>71.980120778682348</v>
      </c>
      <c r="L33" s="32">
        <f t="shared" ref="L33:L36" si="19">K33+K52</f>
        <v>73.616006183620556</v>
      </c>
      <c r="M33" s="33">
        <f t="shared" si="18"/>
        <v>1.4723201236724113</v>
      </c>
      <c r="N33" s="36"/>
      <c r="Q33"/>
      <c r="R33"/>
      <c r="S33"/>
    </row>
    <row r="34" spans="1:21" ht="15">
      <c r="A34" s="1" t="s">
        <v>26</v>
      </c>
      <c r="B34" s="63">
        <v>0.46200000000000002</v>
      </c>
      <c r="C34" s="63">
        <v>0.47799999999999998</v>
      </c>
      <c r="D34" s="27">
        <f t="shared" si="11"/>
        <v>0.47</v>
      </c>
      <c r="E34" s="27">
        <f t="shared" si="12"/>
        <v>0.41349999999999998</v>
      </c>
      <c r="F34" s="27">
        <f t="shared" si="13"/>
        <v>-0.38352448611143453</v>
      </c>
      <c r="G34" s="28">
        <f t="shared" si="14"/>
        <v>0.37738770293640722</v>
      </c>
      <c r="H34" s="28">
        <f t="shared" si="15"/>
        <v>2.3844471607915199</v>
      </c>
      <c r="I34" s="29">
        <v>500</v>
      </c>
      <c r="J34" s="30">
        <f t="shared" si="16"/>
        <v>1192.2235803957599</v>
      </c>
      <c r="K34" s="31">
        <f t="shared" si="17"/>
        <v>59.611179019787997</v>
      </c>
      <c r="L34" s="32">
        <f t="shared" si="19"/>
        <v>61.632882876263054</v>
      </c>
      <c r="M34" s="33">
        <f t="shared" si="18"/>
        <v>1.232657657525261</v>
      </c>
      <c r="N34" s="36"/>
      <c r="Q34"/>
      <c r="R34"/>
      <c r="S34"/>
    </row>
    <row r="35" spans="1:21" ht="15">
      <c r="B35" s="63">
        <v>0.56100000000000005</v>
      </c>
      <c r="C35" s="63">
        <v>0.495</v>
      </c>
      <c r="D35" s="27">
        <f t="shared" si="11"/>
        <v>0.52800000000000002</v>
      </c>
      <c r="E35" s="27">
        <f t="shared" si="12"/>
        <v>0.47150000000000003</v>
      </c>
      <c r="F35" s="27">
        <f t="shared" si="13"/>
        <v>-0.32651830292665279</v>
      </c>
      <c r="G35" s="28">
        <f t="shared" si="14"/>
        <v>0.43062914165523408</v>
      </c>
      <c r="H35" s="28">
        <f t="shared" si="15"/>
        <v>2.695436727315748</v>
      </c>
      <c r="I35" s="29">
        <v>500</v>
      </c>
      <c r="J35" s="30">
        <f t="shared" si="16"/>
        <v>1347.7183636578741</v>
      </c>
      <c r="K35" s="31">
        <f t="shared" si="17"/>
        <v>67.385918182893704</v>
      </c>
      <c r="L35" s="32">
        <f t="shared" si="19"/>
        <v>68.856515259657755</v>
      </c>
      <c r="M35" s="33">
        <f t="shared" si="18"/>
        <v>1.3771303051931552</v>
      </c>
      <c r="N35" s="36"/>
      <c r="Q35"/>
      <c r="R35"/>
      <c r="S35"/>
    </row>
    <row r="36" spans="1:21" ht="15">
      <c r="B36" s="63">
        <v>0.434</v>
      </c>
      <c r="C36" s="63">
        <v>0.52400000000000002</v>
      </c>
      <c r="D36" s="27">
        <f t="shared" si="11"/>
        <v>0.47899999999999998</v>
      </c>
      <c r="E36" s="27">
        <f t="shared" si="12"/>
        <v>0.42249999999999999</v>
      </c>
      <c r="F36" s="27">
        <f t="shared" si="13"/>
        <v>-0.37417328671428884</v>
      </c>
      <c r="G36" s="28">
        <f t="shared" si="14"/>
        <v>0.38612133991815084</v>
      </c>
      <c r="H36" s="28">
        <f t="shared" si="15"/>
        <v>2.4328836508367306</v>
      </c>
      <c r="I36" s="29">
        <v>500</v>
      </c>
      <c r="J36" s="30">
        <f t="shared" si="16"/>
        <v>1216.4418254183654</v>
      </c>
      <c r="K36" s="31">
        <f t="shared" si="17"/>
        <v>60.822091270918271</v>
      </c>
      <c r="L36" s="32">
        <f t="shared" si="19"/>
        <v>62.61300149114421</v>
      </c>
      <c r="M36" s="33">
        <f t="shared" si="18"/>
        <v>1.2522600298228843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3">
        <v>0.10199999999999999</v>
      </c>
      <c r="C40" s="63">
        <v>0.105</v>
      </c>
      <c r="D40" s="27">
        <f>AVERAGE(B40:C40)</f>
        <v>0.10349999999999999</v>
      </c>
      <c r="E40" s="27">
        <f t="shared" ref="E40:E45" si="20">D40-E$8</f>
        <v>4.7E-2</v>
      </c>
      <c r="F40" s="27">
        <f t="shared" ref="F40:F45" si="21">LOG(E40)</f>
        <v>-1.3279021420642825</v>
      </c>
      <c r="G40" s="28">
        <f t="shared" ref="G40:G45" si="22">(F40-$B$16)/$B$15</f>
        <v>-0.50462232278069041</v>
      </c>
      <c r="H40" s="27">
        <f t="shared" ref="H40:H45" si="23">10^G40</f>
        <v>0.31287990942376581</v>
      </c>
      <c r="I40" s="41">
        <v>16</v>
      </c>
      <c r="J40" s="42">
        <f t="shared" ref="J40:J45" si="24">H40*I40</f>
        <v>5.006078550780253</v>
      </c>
      <c r="K40" s="30">
        <f>(0.1*J40/1000)*1000</f>
        <v>0.5006078550780253</v>
      </c>
      <c r="L40" s="43">
        <f>K40*100/L22</f>
        <v>0.61421068701996362</v>
      </c>
      <c r="M40" s="30">
        <f>AVERAGE(L40:L42)</f>
        <v>0.56916296582657344</v>
      </c>
      <c r="N40" s="44">
        <f>STDEV(L40:L42)</f>
        <v>0.25746323969004209</v>
      </c>
      <c r="R40"/>
      <c r="S40"/>
      <c r="T40"/>
      <c r="U40"/>
    </row>
    <row r="41" spans="1:21" ht="15">
      <c r="B41" s="63">
        <v>8.4000000000000005E-2</v>
      </c>
      <c r="C41" s="63">
        <v>8.5999999999999993E-2</v>
      </c>
      <c r="D41" s="27">
        <f t="shared" ref="D41:D45" si="25">AVERAGE(B41:C41)</f>
        <v>8.4999999999999992E-2</v>
      </c>
      <c r="E41" s="27">
        <f t="shared" si="20"/>
        <v>2.8499999999999998E-2</v>
      </c>
      <c r="F41" s="27">
        <f t="shared" si="21"/>
        <v>-1.5451551399914898</v>
      </c>
      <c r="G41" s="28">
        <f t="shared" si="22"/>
        <v>-0.70752771881693477</v>
      </c>
      <c r="H41" s="27">
        <f t="shared" si="23"/>
        <v>0.19609760123159503</v>
      </c>
      <c r="I41" s="41">
        <v>16</v>
      </c>
      <c r="J41" s="42">
        <f t="shared" si="24"/>
        <v>3.1375616197055205</v>
      </c>
      <c r="K41" s="30">
        <f t="shared" ref="K41:K45" si="26">(0.1*J41/1000)*1000</f>
        <v>0.31375616197055206</v>
      </c>
      <c r="L41" s="43">
        <f t="shared" ref="L41:L45" si="27">K41*100/L23</f>
        <v>0.29214873821541953</v>
      </c>
      <c r="M41" s="30"/>
      <c r="N41" s="44"/>
      <c r="R41"/>
      <c r="S41"/>
      <c r="T41"/>
      <c r="U41"/>
    </row>
    <row r="42" spans="1:21" s="17" customFormat="1" ht="15">
      <c r="A42" s="1"/>
      <c r="B42" s="63">
        <v>0.11700000000000001</v>
      </c>
      <c r="C42" s="63">
        <v>0.109</v>
      </c>
      <c r="D42" s="27">
        <f t="shared" si="25"/>
        <v>0.113</v>
      </c>
      <c r="E42" s="27">
        <f t="shared" si="20"/>
        <v>5.6500000000000009E-2</v>
      </c>
      <c r="F42" s="27">
        <f t="shared" si="21"/>
        <v>-1.2479515521805613</v>
      </c>
      <c r="G42" s="28">
        <f t="shared" si="22"/>
        <v>-0.42995174857244284</v>
      </c>
      <c r="H42" s="27">
        <f t="shared" si="23"/>
        <v>0.37157651007552567</v>
      </c>
      <c r="I42" s="41">
        <v>16</v>
      </c>
      <c r="J42" s="42">
        <f t="shared" si="24"/>
        <v>5.9452241612084107</v>
      </c>
      <c r="K42" s="30">
        <f t="shared" si="26"/>
        <v>0.59452241612084111</v>
      </c>
      <c r="L42" s="43">
        <f t="shared" si="27"/>
        <v>0.80112947224433706</v>
      </c>
      <c r="M42" s="30"/>
      <c r="N42" s="44"/>
      <c r="R42"/>
      <c r="S42"/>
      <c r="T42"/>
      <c r="U42"/>
    </row>
    <row r="43" spans="1:21" ht="15">
      <c r="A43" s="1" t="s">
        <v>34</v>
      </c>
      <c r="B43" s="63">
        <v>0.14599999999999999</v>
      </c>
      <c r="C43" s="63">
        <v>0.13500000000000001</v>
      </c>
      <c r="D43" s="27">
        <f t="shared" si="25"/>
        <v>0.14050000000000001</v>
      </c>
      <c r="E43" s="27">
        <f t="shared" si="20"/>
        <v>8.4000000000000019E-2</v>
      </c>
      <c r="F43" s="27">
        <f t="shared" si="21"/>
        <v>-1.0757207139381182</v>
      </c>
      <c r="G43" s="28">
        <f t="shared" si="22"/>
        <v>-0.26909520446644886</v>
      </c>
      <c r="H43" s="27">
        <f t="shared" si="23"/>
        <v>0.53815179789283951</v>
      </c>
      <c r="I43" s="41">
        <v>16</v>
      </c>
      <c r="J43" s="42">
        <f t="shared" si="24"/>
        <v>8.6104287662854322</v>
      </c>
      <c r="K43" s="30">
        <f t="shared" si="26"/>
        <v>0.86104287662854329</v>
      </c>
      <c r="L43" s="43">
        <f t="shared" si="27"/>
        <v>1.3778025084121119</v>
      </c>
      <c r="M43" s="30">
        <f>AVERAGE(L43:L45)</f>
        <v>1.4479632895594694</v>
      </c>
      <c r="N43" s="44">
        <f>STDEV(L43:L45)</f>
        <v>0.25533407159237181</v>
      </c>
      <c r="R43"/>
      <c r="S43"/>
      <c r="T43"/>
      <c r="U43"/>
    </row>
    <row r="44" spans="1:21" ht="15">
      <c r="A44" s="45"/>
      <c r="B44" s="63">
        <v>0.14099999999999999</v>
      </c>
      <c r="C44" s="63">
        <v>0.14000000000000001</v>
      </c>
      <c r="D44" s="27">
        <f t="shared" si="25"/>
        <v>0.14050000000000001</v>
      </c>
      <c r="E44" s="27">
        <f t="shared" si="20"/>
        <v>8.4000000000000019E-2</v>
      </c>
      <c r="F44" s="27">
        <f t="shared" si="21"/>
        <v>-1.0757207139381182</v>
      </c>
      <c r="G44" s="28">
        <f t="shared" si="22"/>
        <v>-0.26909520446644886</v>
      </c>
      <c r="H44" s="27">
        <f t="shared" si="23"/>
        <v>0.53815179789283951</v>
      </c>
      <c r="I44" s="41">
        <v>16</v>
      </c>
      <c r="J44" s="42">
        <f t="shared" si="24"/>
        <v>8.6104287662854322</v>
      </c>
      <c r="K44" s="30">
        <f t="shared" si="26"/>
        <v>0.86104287662854329</v>
      </c>
      <c r="L44" s="43">
        <f t="shared" si="27"/>
        <v>1.2350445133854902</v>
      </c>
      <c r="M44" s="30"/>
      <c r="N44" s="44"/>
      <c r="R44"/>
      <c r="S44"/>
      <c r="T44"/>
      <c r="U44"/>
    </row>
    <row r="45" spans="1:21" ht="15">
      <c r="A45" s="46"/>
      <c r="B45" s="63">
        <v>0.161</v>
      </c>
      <c r="C45" s="63">
        <v>0.17100000000000001</v>
      </c>
      <c r="D45" s="27">
        <f t="shared" si="25"/>
        <v>0.16600000000000001</v>
      </c>
      <c r="E45" s="27">
        <f t="shared" si="20"/>
        <v>0.10950000000000001</v>
      </c>
      <c r="F45" s="27">
        <f t="shared" si="21"/>
        <v>-0.96058588082386276</v>
      </c>
      <c r="G45" s="28">
        <f t="shared" si="22"/>
        <v>-0.16156398909310618</v>
      </c>
      <c r="H45" s="27">
        <f t="shared" si="23"/>
        <v>0.68934401751167684</v>
      </c>
      <c r="I45" s="41">
        <v>16</v>
      </c>
      <c r="J45" s="42">
        <f t="shared" si="24"/>
        <v>11.029504280186829</v>
      </c>
      <c r="K45" s="30">
        <f t="shared" si="26"/>
        <v>1.102950428018683</v>
      </c>
      <c r="L45" s="43">
        <f t="shared" si="27"/>
        <v>1.7310428468808063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3">
        <v>0.20200000000000001</v>
      </c>
      <c r="C50" s="63">
        <v>0.182</v>
      </c>
      <c r="D50" s="27">
        <f>AVERAGE(B50:C50)</f>
        <v>0.192</v>
      </c>
      <c r="E50" s="27">
        <f t="shared" ref="E50:E55" si="28">D50-E$8</f>
        <v>0.13550000000000001</v>
      </c>
      <c r="F50" s="27">
        <f t="shared" ref="F50:F55" si="29">LOG(E50)</f>
        <v>-0.86806070478957542</v>
      </c>
      <c r="G50" s="28">
        <f t="shared" ref="G50:G55" si="30">(F50-$B$16)/$B$15</f>
        <v>-7.5149266784645091E-2</v>
      </c>
      <c r="H50" s="27">
        <f t="shared" ref="H50:H55" si="31">10^G50</f>
        <v>0.84110600426928439</v>
      </c>
      <c r="I50" s="41">
        <v>16</v>
      </c>
      <c r="J50" s="42">
        <f t="shared" ref="J50:J55" si="32">H50*I50</f>
        <v>13.45769606830855</v>
      </c>
      <c r="K50" s="30">
        <f>(0.1*J50/1000)*1000</f>
        <v>1.3457696068308551</v>
      </c>
      <c r="L50" s="43">
        <f t="shared" ref="L50:L55" si="33">K50*100/L31</f>
        <v>1.6613691184095147</v>
      </c>
      <c r="M50" s="30">
        <f>AVERAGE(L50:L52)</f>
        <v>1.5640400647660329</v>
      </c>
      <c r="N50" s="44">
        <f>STDEV(L50:L52)</f>
        <v>0.71181972141343175</v>
      </c>
      <c r="O50" s="48">
        <f>L50/L40</f>
        <v>2.7048847464217363</v>
      </c>
      <c r="P50" s="30">
        <f>AVERAGE(O50:O52)</f>
        <v>2.7487824448055442</v>
      </c>
      <c r="Q50" s="44">
        <f>STDEV(O50:O52)</f>
        <v>3.8141603167877527E-2</v>
      </c>
      <c r="S50"/>
      <c r="T50"/>
    </row>
    <row r="51" spans="1:25" ht="15">
      <c r="B51" s="63">
        <v>0.13700000000000001</v>
      </c>
      <c r="C51" s="63">
        <v>0.14499999999999999</v>
      </c>
      <c r="D51" s="27">
        <f t="shared" ref="D51:D55" si="34">AVERAGE(B51:C51)</f>
        <v>0.14100000000000001</v>
      </c>
      <c r="E51" s="27">
        <f t="shared" si="28"/>
        <v>8.450000000000002E-2</v>
      </c>
      <c r="F51" s="27">
        <f t="shared" si="29"/>
        <v>-1.0731432910503076</v>
      </c>
      <c r="G51" s="28">
        <f t="shared" si="30"/>
        <v>-0.2666879971238863</v>
      </c>
      <c r="H51" s="27">
        <f t="shared" si="31"/>
        <v>0.5411429475535402</v>
      </c>
      <c r="I51" s="41">
        <v>16</v>
      </c>
      <c r="J51" s="42">
        <f t="shared" si="32"/>
        <v>8.6582871608566432</v>
      </c>
      <c r="K51" s="30">
        <f t="shared" ref="K51:K55" si="35">(0.1*J51/1000)*1000</f>
        <v>0.86582871608566436</v>
      </c>
      <c r="L51" s="43">
        <f t="shared" si="33"/>
        <v>0.80856395960056948</v>
      </c>
      <c r="M51" s="30"/>
      <c r="N51" s="44"/>
      <c r="O51" s="2">
        <f t="shared" ref="O51:O55" si="36">L51/L41</f>
        <v>2.767644880274529</v>
      </c>
      <c r="P51" s="30"/>
      <c r="Q51" s="44"/>
      <c r="S51"/>
      <c r="T51"/>
    </row>
    <row r="52" spans="1:25" ht="15">
      <c r="B52" s="63">
        <v>0.22800000000000001</v>
      </c>
      <c r="C52" s="63">
        <v>0.219</v>
      </c>
      <c r="D52" s="27">
        <f t="shared" si="34"/>
        <v>0.2235</v>
      </c>
      <c r="E52" s="27">
        <f t="shared" si="28"/>
        <v>0.16700000000000001</v>
      </c>
      <c r="F52" s="27">
        <f t="shared" si="29"/>
        <v>-0.77728352885241669</v>
      </c>
      <c r="G52" s="28">
        <f t="shared" si="30"/>
        <v>9.6328950741870634E-3</v>
      </c>
      <c r="H52" s="27">
        <f t="shared" si="31"/>
        <v>1.0224283780863774</v>
      </c>
      <c r="I52" s="41">
        <v>16</v>
      </c>
      <c r="J52" s="42">
        <f t="shared" si="32"/>
        <v>16.358854049382039</v>
      </c>
      <c r="K52" s="30">
        <f t="shared" si="35"/>
        <v>1.6358854049382039</v>
      </c>
      <c r="L52" s="43">
        <f t="shared" si="33"/>
        <v>2.2221871162880142</v>
      </c>
      <c r="M52" s="30"/>
      <c r="N52" s="44"/>
      <c r="O52" s="2">
        <f t="shared" si="36"/>
        <v>2.773817707720367</v>
      </c>
      <c r="P52" s="30"/>
      <c r="Q52" s="44"/>
      <c r="S52"/>
      <c r="T52"/>
    </row>
    <row r="53" spans="1:25" ht="15">
      <c r="A53" s="1" t="s">
        <v>26</v>
      </c>
      <c r="B53" s="63">
        <v>0.26600000000000001</v>
      </c>
      <c r="C53" s="63">
        <v>0.26600000000000001</v>
      </c>
      <c r="D53" s="27">
        <f t="shared" si="34"/>
        <v>0.26600000000000001</v>
      </c>
      <c r="E53" s="27">
        <f t="shared" si="28"/>
        <v>0.20950000000000002</v>
      </c>
      <c r="F53" s="27">
        <f t="shared" si="29"/>
        <v>-0.6788159726976859</v>
      </c>
      <c r="G53" s="28">
        <f t="shared" si="30"/>
        <v>0.10159755686905506</v>
      </c>
      <c r="H53" s="27">
        <f t="shared" si="31"/>
        <v>1.2635649102969109</v>
      </c>
      <c r="I53" s="41">
        <v>16</v>
      </c>
      <c r="J53" s="42">
        <f t="shared" si="32"/>
        <v>20.217038564750574</v>
      </c>
      <c r="K53" s="30">
        <f t="shared" si="35"/>
        <v>2.0217038564750576</v>
      </c>
      <c r="L53" s="43">
        <f t="shared" si="33"/>
        <v>3.2802357477483586</v>
      </c>
      <c r="M53" s="30">
        <f>AVERAGE(L53:L55)</f>
        <v>2.7587539995632429</v>
      </c>
      <c r="N53" s="44">
        <f>STDEV(L53:L55)</f>
        <v>0.57896307390686264</v>
      </c>
      <c r="O53" s="2">
        <f t="shared" si="36"/>
        <v>2.3807735344659524</v>
      </c>
      <c r="P53" s="30">
        <f>AVERAGE(O53:O55)</f>
        <v>1.9208014221042642</v>
      </c>
      <c r="Q53" s="44">
        <f>STDEV(O53:O55)</f>
        <v>0.40020058664400515</v>
      </c>
      <c r="S53"/>
      <c r="T53"/>
    </row>
    <row r="54" spans="1:25" ht="15">
      <c r="A54" s="45"/>
      <c r="B54" s="63">
        <v>0.20699999999999999</v>
      </c>
      <c r="C54" s="63">
        <v>0.20399999999999999</v>
      </c>
      <c r="D54" s="27">
        <f t="shared" si="34"/>
        <v>0.20549999999999999</v>
      </c>
      <c r="E54" s="27">
        <f t="shared" si="28"/>
        <v>0.14899999999999999</v>
      </c>
      <c r="F54" s="27">
        <f t="shared" si="29"/>
        <v>-0.82681373158772598</v>
      </c>
      <c r="G54" s="28">
        <f t="shared" si="30"/>
        <v>-3.6626284304919737E-2</v>
      </c>
      <c r="H54" s="27">
        <f t="shared" si="31"/>
        <v>0.91912317297753132</v>
      </c>
      <c r="I54" s="41">
        <v>16</v>
      </c>
      <c r="J54" s="42">
        <f t="shared" si="32"/>
        <v>14.705970767640501</v>
      </c>
      <c r="K54" s="30">
        <f t="shared" si="35"/>
        <v>1.4705970767640502</v>
      </c>
      <c r="L54" s="43">
        <f t="shared" si="33"/>
        <v>2.1357413619008052</v>
      </c>
      <c r="M54" s="30"/>
      <c r="N54" s="44"/>
      <c r="O54" s="2">
        <f t="shared" si="36"/>
        <v>1.7292829033719077</v>
      </c>
      <c r="P54" s="30"/>
      <c r="Q54" s="44"/>
      <c r="S54"/>
      <c r="T54"/>
    </row>
    <row r="55" spans="1:25" ht="15">
      <c r="A55" s="46"/>
      <c r="B55" s="63">
        <v>0.26300000000000001</v>
      </c>
      <c r="C55" s="63">
        <v>0.218</v>
      </c>
      <c r="D55" s="27">
        <f t="shared" si="34"/>
        <v>0.24049999999999999</v>
      </c>
      <c r="E55" s="27">
        <f t="shared" si="28"/>
        <v>0.184</v>
      </c>
      <c r="F55" s="27">
        <f t="shared" si="29"/>
        <v>-0.73518217699046351</v>
      </c>
      <c r="G55" s="28">
        <f t="shared" si="30"/>
        <v>4.8953832206079524E-2</v>
      </c>
      <c r="H55" s="27">
        <f t="shared" si="31"/>
        <v>1.119318887641213</v>
      </c>
      <c r="I55" s="41">
        <v>16</v>
      </c>
      <c r="J55" s="42">
        <f t="shared" si="32"/>
        <v>17.909102202259408</v>
      </c>
      <c r="K55" s="30">
        <f t="shared" si="35"/>
        <v>1.7909102202259408</v>
      </c>
      <c r="L55" s="43">
        <f t="shared" si="33"/>
        <v>2.8602848890405639</v>
      </c>
      <c r="M55" s="30"/>
      <c r="N55" s="44"/>
      <c r="O55" s="2">
        <f t="shared" si="36"/>
        <v>1.6523478284749316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2.7487824448055442</v>
      </c>
      <c r="O58" s="30">
        <f>Q50</f>
        <v>3.8141603167877527E-2</v>
      </c>
    </row>
    <row r="59" spans="1:25" ht="15">
      <c r="D59"/>
      <c r="E59"/>
      <c r="G59"/>
      <c r="M59" s="2" t="s">
        <v>26</v>
      </c>
      <c r="N59" s="30">
        <f>P53</f>
        <v>1.9208014221042642</v>
      </c>
      <c r="O59" s="30">
        <f>Q53</f>
        <v>0.40020058664400515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0.56916296582657344</v>
      </c>
      <c r="C65" s="30">
        <f>N40</f>
        <v>0.25746323969004209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1.5640400647660329</v>
      </c>
      <c r="C66" s="30">
        <f>N50</f>
        <v>0.71181972141343175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1.4479632895594694</v>
      </c>
      <c r="C67" s="30">
        <f>N43</f>
        <v>0.25533407159237181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2.7587539995632429</v>
      </c>
      <c r="C68" s="30">
        <f>N53</f>
        <v>0.57896307390686264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  <c r="H76" s="3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18"/>
  <sheetViews>
    <sheetView zoomScale="80" zoomScaleNormal="80" workbookViewId="0">
      <selection activeCell="B8" sqref="B8:B13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42326</v>
      </c>
    </row>
    <row r="2" spans="1:20">
      <c r="A2" s="1" t="s">
        <v>1</v>
      </c>
      <c r="B2" s="2">
        <v>70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>
      <c r="A8" s="10">
        <v>0</v>
      </c>
      <c r="B8" s="10">
        <f>A8/23</f>
        <v>0</v>
      </c>
      <c r="C8" s="66">
        <v>5.2999999999999999E-2</v>
      </c>
      <c r="D8" s="66">
        <v>0.06</v>
      </c>
      <c r="E8" s="11">
        <f t="shared" ref="E8:E13" si="0">AVERAGE(C8:D8)</f>
        <v>5.6499999999999995E-2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6">
        <v>6.8000000000000005E-2</v>
      </c>
      <c r="D9" s="66">
        <v>7.4999999999999997E-2</v>
      </c>
      <c r="E9" s="11">
        <f t="shared" si="0"/>
        <v>7.1500000000000008E-2</v>
      </c>
      <c r="F9" s="12">
        <f>(E9-$E$8)</f>
        <v>1.5000000000000013E-2</v>
      </c>
      <c r="G9" s="12">
        <f>LOG(B9)</f>
        <v>-0.86341728222799241</v>
      </c>
      <c r="H9" s="12">
        <f>LOG(F9)</f>
        <v>-1.8239087409443184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6">
        <v>0.14899999999999999</v>
      </c>
      <c r="D10" s="66">
        <v>0.14499999999999999</v>
      </c>
      <c r="E10" s="11">
        <f t="shared" si="0"/>
        <v>0.14699999999999999</v>
      </c>
      <c r="F10" s="12">
        <f>(E10-$E$8)</f>
        <v>9.0499999999999997E-2</v>
      </c>
      <c r="G10" s="12">
        <f>LOG(B10)</f>
        <v>-0.34469449671881253</v>
      </c>
      <c r="H10" s="12">
        <f>LOG(F10)</f>
        <v>-1.0433514207947967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6">
        <v>0.33</v>
      </c>
      <c r="D11" s="66">
        <v>0.34200000000000003</v>
      </c>
      <c r="E11" s="11">
        <f t="shared" si="0"/>
        <v>0.33600000000000002</v>
      </c>
      <c r="F11" s="12">
        <f>(E11-$E$8)</f>
        <v>0.27950000000000003</v>
      </c>
      <c r="G11" s="12">
        <f>LOG(B11)</f>
        <v>0.13658271777200767</v>
      </c>
      <c r="H11" s="12">
        <f>LOG(F11)</f>
        <v>-0.55361818777755789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6">
        <v>0.71499999999999997</v>
      </c>
      <c r="D12" s="66">
        <v>0.875</v>
      </c>
      <c r="E12" s="11">
        <f t="shared" si="0"/>
        <v>0.79499999999999993</v>
      </c>
      <c r="F12" s="12">
        <f>(E12-$E$8)</f>
        <v>0.73849999999999993</v>
      </c>
      <c r="G12" s="12">
        <f>LOG(B12)</f>
        <v>0.66357802924717735</v>
      </c>
      <c r="H12" s="12">
        <f>LOG(F12)</f>
        <v>-0.13164950035203174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6">
        <v>1.6539999999999999</v>
      </c>
      <c r="D13" s="66">
        <v>1.6739999999999999</v>
      </c>
      <c r="E13" s="11">
        <f t="shared" si="0"/>
        <v>1.6639999999999999</v>
      </c>
      <c r="F13" s="12">
        <f>(E13-$E$8)</f>
        <v>1.6074999999999999</v>
      </c>
      <c r="G13" s="12">
        <f>LOG(B13)</f>
        <v>0.96049145871632635</v>
      </c>
      <c r="H13" s="12">
        <f>LOG(F13)</f>
        <v>0.20615098159625966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1.0707107951352863</v>
      </c>
      <c r="N15"/>
    </row>
    <row r="16" spans="1:20" ht="15">
      <c r="A16" s="5" t="s">
        <v>11</v>
      </c>
      <c r="B16" s="11">
        <f>INTERCEPT(H9:H13,G9:G13)</f>
        <v>-0.78759757359675431</v>
      </c>
      <c r="C16" s="13"/>
      <c r="G16" s="13"/>
      <c r="H16" s="13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 s="66">
        <v>0.80900000000000005</v>
      </c>
      <c r="C22" s="66">
        <v>0.72099999999999997</v>
      </c>
      <c r="D22" s="27">
        <f>AVERAGE(B22:C22)</f>
        <v>0.76500000000000001</v>
      </c>
      <c r="E22" s="27">
        <f t="shared" ref="E22:E27" si="2">D22-E$8</f>
        <v>0.70850000000000002</v>
      </c>
      <c r="F22" s="27">
        <f>LOG(E22)</f>
        <v>-0.14966014541652078</v>
      </c>
      <c r="G22" s="28">
        <f>(F22-$B$16)/$B$15</f>
        <v>0.5958074123084085</v>
      </c>
      <c r="H22" s="28">
        <f>10^G22</f>
        <v>3.9428241894185447</v>
      </c>
      <c r="I22" s="29">
        <v>500</v>
      </c>
      <c r="J22" s="30">
        <f>(H22*I22)</f>
        <v>1971.4120947092724</v>
      </c>
      <c r="K22" s="31">
        <f>(0.05*J22/1000)*1000</f>
        <v>98.570604735463633</v>
      </c>
      <c r="L22" s="32">
        <f>K22+K40+K50</f>
        <v>99.474601438690513</v>
      </c>
      <c r="M22" s="33">
        <f>(L22*1000000/50000)/1000</f>
        <v>1.9894920287738103</v>
      </c>
      <c r="N22" s="34"/>
    </row>
    <row r="23" spans="1:17" ht="15">
      <c r="B23" s="66">
        <v>0.72199999999999998</v>
      </c>
      <c r="C23" s="66">
        <v>0.752</v>
      </c>
      <c r="D23" s="27">
        <f t="shared" ref="D23:D27" si="3">AVERAGE(B23:C23)</f>
        <v>0.73699999999999999</v>
      </c>
      <c r="E23" s="27">
        <f t="shared" si="2"/>
        <v>0.68049999999999999</v>
      </c>
      <c r="F23" s="27">
        <f t="shared" ref="F23:F27" si="4">LOG(E23)</f>
        <v>-0.16717187046064652</v>
      </c>
      <c r="G23" s="28">
        <f t="shared" ref="G23:G27" si="5">(F23-$B$16)/$B$15</f>
        <v>0.57945217882828559</v>
      </c>
      <c r="H23" s="28">
        <f t="shared" ref="H23:H27" si="6">10^G23</f>
        <v>3.7971012590751121</v>
      </c>
      <c r="I23" s="29">
        <v>500</v>
      </c>
      <c r="J23" s="30">
        <f t="shared" ref="J23:J27" si="7">(H23*I23)</f>
        <v>1898.550629537556</v>
      </c>
      <c r="K23" s="31">
        <f t="shared" ref="K23:K27" si="8">(0.05*J23/1000)*1000</f>
        <v>94.927531476877803</v>
      </c>
      <c r="L23" s="32">
        <f>K23+K41+K51</f>
        <v>96.228799426233337</v>
      </c>
      <c r="M23" s="33">
        <f t="shared" ref="M23:M27" si="9">(L23*1000000/50000)/1000</f>
        <v>1.9245759885246667</v>
      </c>
      <c r="N23" s="34"/>
    </row>
    <row r="24" spans="1:17" ht="15">
      <c r="B24" s="66">
        <v>0.70799999999999996</v>
      </c>
      <c r="C24" s="66">
        <v>0.71</v>
      </c>
      <c r="D24" s="27">
        <f t="shared" si="3"/>
        <v>0.70899999999999996</v>
      </c>
      <c r="E24" s="27">
        <f t="shared" si="2"/>
        <v>0.65249999999999997</v>
      </c>
      <c r="F24" s="27">
        <f t="shared" si="4"/>
        <v>-0.18541948398968144</v>
      </c>
      <c r="G24" s="28">
        <f t="shared" si="5"/>
        <v>0.56240965566335444</v>
      </c>
      <c r="H24" s="28">
        <f t="shared" si="6"/>
        <v>3.6509816961694139</v>
      </c>
      <c r="I24" s="29">
        <v>500</v>
      </c>
      <c r="J24" s="30">
        <f t="shared" si="7"/>
        <v>1825.4908480847071</v>
      </c>
      <c r="K24" s="31">
        <f t="shared" si="8"/>
        <v>91.274542404235362</v>
      </c>
      <c r="L24" s="32">
        <f t="shared" ref="L24:L27" si="10">K24+K42+K52</f>
        <v>92.44383327448314</v>
      </c>
      <c r="M24" s="33">
        <f t="shared" si="9"/>
        <v>1.8488766654896629</v>
      </c>
      <c r="N24" s="34"/>
    </row>
    <row r="25" spans="1:17" ht="15">
      <c r="A25" s="1" t="s">
        <v>26</v>
      </c>
      <c r="B25" s="66">
        <v>0.80500000000000005</v>
      </c>
      <c r="C25" s="66">
        <v>0.84899999999999998</v>
      </c>
      <c r="D25" s="27">
        <f t="shared" si="3"/>
        <v>0.82699999999999996</v>
      </c>
      <c r="E25" s="27">
        <f t="shared" si="2"/>
        <v>0.77049999999999996</v>
      </c>
      <c r="F25" s="27">
        <f t="shared" si="4"/>
        <v>-0.11322735694556191</v>
      </c>
      <c r="G25" s="28">
        <f t="shared" si="5"/>
        <v>0.6298341435569299</v>
      </c>
      <c r="H25" s="28">
        <f t="shared" si="6"/>
        <v>4.2641663979553455</v>
      </c>
      <c r="I25" s="29">
        <v>500</v>
      </c>
      <c r="J25" s="30">
        <f t="shared" si="7"/>
        <v>2132.0831989776725</v>
      </c>
      <c r="K25" s="31">
        <f t="shared" si="8"/>
        <v>106.60415994888363</v>
      </c>
      <c r="L25" s="32">
        <f t="shared" si="10"/>
        <v>109.24709517038504</v>
      </c>
      <c r="M25" s="33">
        <f t="shared" si="9"/>
        <v>2.1849419034077004</v>
      </c>
      <c r="N25" s="34"/>
    </row>
    <row r="26" spans="1:17" ht="15">
      <c r="B26" s="66">
        <v>0.755</v>
      </c>
      <c r="C26" s="66">
        <v>0.66900000000000004</v>
      </c>
      <c r="D26" s="27">
        <f t="shared" si="3"/>
        <v>0.71199999999999997</v>
      </c>
      <c r="E26" s="27">
        <f t="shared" si="2"/>
        <v>0.65549999999999997</v>
      </c>
      <c r="F26" s="27">
        <f t="shared" si="4"/>
        <v>-0.18342730397389695</v>
      </c>
      <c r="G26" s="28">
        <f t="shared" si="5"/>
        <v>0.56427027014939113</v>
      </c>
      <c r="H26" s="28">
        <f t="shared" si="6"/>
        <v>3.6666568705764035</v>
      </c>
      <c r="I26" s="29">
        <v>500</v>
      </c>
      <c r="J26" s="30">
        <f t="shared" si="7"/>
        <v>1833.3284352882017</v>
      </c>
      <c r="K26" s="31">
        <f t="shared" si="8"/>
        <v>91.666421764410089</v>
      </c>
      <c r="L26" s="32">
        <f t="shared" si="10"/>
        <v>94.66960664209671</v>
      </c>
      <c r="M26" s="33">
        <f t="shared" si="9"/>
        <v>1.8933921328419343</v>
      </c>
      <c r="N26" s="34"/>
    </row>
    <row r="27" spans="1:17" ht="15">
      <c r="B27" s="66">
        <v>0.76700000000000002</v>
      </c>
      <c r="C27" s="66">
        <v>0.68500000000000005</v>
      </c>
      <c r="D27" s="27">
        <f t="shared" si="3"/>
        <v>0.72599999999999998</v>
      </c>
      <c r="E27" s="27">
        <f t="shared" si="2"/>
        <v>0.66949999999999998</v>
      </c>
      <c r="F27" s="27">
        <f t="shared" si="4"/>
        <v>-0.17424941865197224</v>
      </c>
      <c r="G27" s="28">
        <f t="shared" si="5"/>
        <v>0.57284203888808694</v>
      </c>
      <c r="H27" s="28">
        <f t="shared" si="6"/>
        <v>3.7397454192263786</v>
      </c>
      <c r="I27" s="29">
        <v>500</v>
      </c>
      <c r="J27" s="30">
        <f t="shared" si="7"/>
        <v>1869.8727096131893</v>
      </c>
      <c r="K27" s="31">
        <f t="shared" si="8"/>
        <v>93.493635480659464</v>
      </c>
      <c r="L27" s="32">
        <f t="shared" si="10"/>
        <v>96.999928714686149</v>
      </c>
      <c r="M27" s="33">
        <f t="shared" si="9"/>
        <v>1.9399985742937231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 s="66">
        <v>0.80900000000000005</v>
      </c>
      <c r="C31" s="66">
        <v>0.72099999999999997</v>
      </c>
      <c r="D31" s="27">
        <f t="shared" ref="D31:D36" si="11">AVERAGE(B31:C31)</f>
        <v>0.76500000000000001</v>
      </c>
      <c r="E31" s="27">
        <f t="shared" ref="E31:E36" si="12">D31-E$8</f>
        <v>0.70850000000000002</v>
      </c>
      <c r="F31" s="27">
        <f>LOG(E31)</f>
        <v>-0.14966014541652078</v>
      </c>
      <c r="G31" s="28">
        <f>(F31-$B$16)/$B$15</f>
        <v>0.5958074123084085</v>
      </c>
      <c r="H31" s="28">
        <f>10^G31</f>
        <v>3.9428241894185447</v>
      </c>
      <c r="I31" s="29">
        <v>500</v>
      </c>
      <c r="J31" s="30">
        <f>(H31*I31)</f>
        <v>1971.4120947092724</v>
      </c>
      <c r="K31" s="31">
        <f>(0.05*J31/1000)*1000</f>
        <v>98.570604735463633</v>
      </c>
      <c r="L31" s="32">
        <f>K31+K50</f>
        <v>99.145448676844239</v>
      </c>
      <c r="M31" s="33">
        <f>(L31*1000000/50000)/1000</f>
        <v>1.9829089735368848</v>
      </c>
      <c r="N31" s="35"/>
      <c r="Q31"/>
    </row>
    <row r="32" spans="1:17" ht="15">
      <c r="B32" s="66">
        <v>0.72199999999999998</v>
      </c>
      <c r="C32" s="66">
        <v>0.752</v>
      </c>
      <c r="D32" s="27">
        <f t="shared" si="11"/>
        <v>0.73699999999999999</v>
      </c>
      <c r="E32" s="27">
        <f t="shared" si="12"/>
        <v>0.68049999999999999</v>
      </c>
      <c r="F32" s="27">
        <f t="shared" ref="F32:F36" si="13">LOG(E32)</f>
        <v>-0.16717187046064652</v>
      </c>
      <c r="G32" s="28">
        <f t="shared" ref="G32:G36" si="14">(F32-$B$16)/$B$15</f>
        <v>0.57945217882828559</v>
      </c>
      <c r="H32" s="28">
        <f t="shared" ref="H32:H36" si="15">10^G32</f>
        <v>3.7971012590751121</v>
      </c>
      <c r="I32" s="29">
        <v>500</v>
      </c>
      <c r="J32" s="30">
        <f t="shared" ref="J32:J36" si="16">(H32*I32)</f>
        <v>1898.550629537556</v>
      </c>
      <c r="K32" s="31">
        <f t="shared" ref="K32:K36" si="17">(0.05*J32/1000)*1000</f>
        <v>94.927531476877803</v>
      </c>
      <c r="L32" s="32">
        <f>K32+K51</f>
        <v>95.879196400572752</v>
      </c>
      <c r="M32" s="33">
        <f t="shared" ref="M32:M36" si="18">(L32*1000000/50000)/1000</f>
        <v>1.9175839280114548</v>
      </c>
      <c r="N32" s="36"/>
      <c r="Q32"/>
    </row>
    <row r="33" spans="1:21" ht="15">
      <c r="B33" s="66">
        <v>0.70799999999999996</v>
      </c>
      <c r="C33" s="66">
        <v>0.71</v>
      </c>
      <c r="D33" s="27">
        <f t="shared" si="11"/>
        <v>0.70899999999999996</v>
      </c>
      <c r="E33" s="27">
        <f t="shared" si="12"/>
        <v>0.65249999999999997</v>
      </c>
      <c r="F33" s="27">
        <f t="shared" si="13"/>
        <v>-0.18541948398968144</v>
      </c>
      <c r="G33" s="28">
        <f t="shared" si="14"/>
        <v>0.56240965566335444</v>
      </c>
      <c r="H33" s="28">
        <f t="shared" si="15"/>
        <v>3.6509816961694139</v>
      </c>
      <c r="I33" s="29">
        <v>500</v>
      </c>
      <c r="J33" s="30">
        <f t="shared" si="16"/>
        <v>1825.4908480847071</v>
      </c>
      <c r="K33" s="31">
        <f t="shared" si="17"/>
        <v>91.274542404235362</v>
      </c>
      <c r="L33" s="32">
        <f t="shared" ref="L33:L36" si="19">K33+K52</f>
        <v>92.140371120321021</v>
      </c>
      <c r="M33" s="33">
        <f t="shared" si="18"/>
        <v>1.8428074224064204</v>
      </c>
      <c r="N33" s="36"/>
      <c r="Q33"/>
      <c r="R33"/>
      <c r="S33"/>
    </row>
    <row r="34" spans="1:21" ht="15">
      <c r="A34" s="1" t="s">
        <v>26</v>
      </c>
      <c r="B34" s="66">
        <v>0.80500000000000005</v>
      </c>
      <c r="C34" s="66">
        <v>0.84899999999999998</v>
      </c>
      <c r="D34" s="27">
        <f t="shared" si="11"/>
        <v>0.82699999999999996</v>
      </c>
      <c r="E34" s="27">
        <f t="shared" si="12"/>
        <v>0.77049999999999996</v>
      </c>
      <c r="F34" s="27">
        <f t="shared" si="13"/>
        <v>-0.11322735694556191</v>
      </c>
      <c r="G34" s="28">
        <f t="shared" si="14"/>
        <v>0.6298341435569299</v>
      </c>
      <c r="H34" s="28">
        <f t="shared" si="15"/>
        <v>4.2641663979553455</v>
      </c>
      <c r="I34" s="29">
        <v>500</v>
      </c>
      <c r="J34" s="30">
        <f t="shared" si="16"/>
        <v>2132.0831989776725</v>
      </c>
      <c r="K34" s="31">
        <f t="shared" si="17"/>
        <v>106.60415994888363</v>
      </c>
      <c r="L34" s="32">
        <f t="shared" si="19"/>
        <v>108.28117867681762</v>
      </c>
      <c r="M34" s="33">
        <f t="shared" si="18"/>
        <v>2.1656235735363523</v>
      </c>
      <c r="N34" s="36"/>
      <c r="Q34"/>
      <c r="R34"/>
      <c r="S34"/>
    </row>
    <row r="35" spans="1:21" ht="15">
      <c r="B35" s="66">
        <v>0.755</v>
      </c>
      <c r="C35" s="66">
        <v>0.66900000000000004</v>
      </c>
      <c r="D35" s="27">
        <f t="shared" si="11"/>
        <v>0.71199999999999997</v>
      </c>
      <c r="E35" s="27">
        <f t="shared" si="12"/>
        <v>0.65549999999999997</v>
      </c>
      <c r="F35" s="27">
        <f t="shared" si="13"/>
        <v>-0.18342730397389695</v>
      </c>
      <c r="G35" s="28">
        <f t="shared" si="14"/>
        <v>0.56427027014939113</v>
      </c>
      <c r="H35" s="28">
        <f t="shared" si="15"/>
        <v>3.6666568705764035</v>
      </c>
      <c r="I35" s="29">
        <v>500</v>
      </c>
      <c r="J35" s="30">
        <f t="shared" si="16"/>
        <v>1833.3284352882017</v>
      </c>
      <c r="K35" s="31">
        <f t="shared" si="17"/>
        <v>91.666421764410089</v>
      </c>
      <c r="L35" s="32">
        <f t="shared" si="19"/>
        <v>93.890221222856809</v>
      </c>
      <c r="M35" s="33">
        <f t="shared" si="18"/>
        <v>1.8778044244571361</v>
      </c>
      <c r="N35" s="36"/>
      <c r="Q35"/>
      <c r="R35"/>
      <c r="S35"/>
    </row>
    <row r="36" spans="1:21" ht="15">
      <c r="B36" s="66">
        <v>0.76700000000000002</v>
      </c>
      <c r="C36" s="66">
        <v>0.68500000000000005</v>
      </c>
      <c r="D36" s="27">
        <f t="shared" si="11"/>
        <v>0.72599999999999998</v>
      </c>
      <c r="E36" s="27">
        <f t="shared" si="12"/>
        <v>0.66949999999999998</v>
      </c>
      <c r="F36" s="27">
        <f t="shared" si="13"/>
        <v>-0.17424941865197224</v>
      </c>
      <c r="G36" s="28">
        <f t="shared" si="14"/>
        <v>0.57284203888808694</v>
      </c>
      <c r="H36" s="28">
        <f t="shared" si="15"/>
        <v>3.7397454192263786</v>
      </c>
      <c r="I36" s="29">
        <v>500</v>
      </c>
      <c r="J36" s="30">
        <f t="shared" si="16"/>
        <v>1869.8727096131893</v>
      </c>
      <c r="K36" s="31">
        <f t="shared" si="17"/>
        <v>93.493635480659464</v>
      </c>
      <c r="L36" s="32">
        <f t="shared" si="19"/>
        <v>95.878174757601201</v>
      </c>
      <c r="M36" s="33">
        <f t="shared" si="18"/>
        <v>1.917563495152024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 s="66">
        <v>8.5999999999999993E-2</v>
      </c>
      <c r="C40" s="66">
        <v>8.6999999999999994E-2</v>
      </c>
      <c r="D40" s="27">
        <f>AVERAGE(B40:C40)</f>
        <v>8.6499999999999994E-2</v>
      </c>
      <c r="E40" s="27">
        <f t="shared" ref="E40:E45" si="20">D40-E$8</f>
        <v>0.03</v>
      </c>
      <c r="F40" s="27">
        <f t="shared" ref="F40:F45" si="21">LOG(E40)</f>
        <v>-1.5228787452803376</v>
      </c>
      <c r="G40" s="28">
        <f t="shared" ref="G40:G45" si="22">(F40-$B$16)/$B$15</f>
        <v>-0.68672247914590157</v>
      </c>
      <c r="H40" s="27">
        <f t="shared" ref="H40:H45" si="23">10^G40</f>
        <v>0.20572047615392314</v>
      </c>
      <c r="I40" s="41">
        <v>16</v>
      </c>
      <c r="J40" s="42">
        <f t="shared" ref="J40:J45" si="24">H40*I40</f>
        <v>3.2915276184627702</v>
      </c>
      <c r="K40" s="30">
        <f>(0.1*J40/1000)*1000</f>
        <v>0.32915276184627706</v>
      </c>
      <c r="L40" s="43">
        <f>K40*100/L22</f>
        <v>0.330891259764579</v>
      </c>
      <c r="M40" s="30">
        <f>AVERAGE(L40:L42)</f>
        <v>0.3408205752072142</v>
      </c>
      <c r="N40" s="44">
        <f>STDEV(L40:L42)</f>
        <v>1.9515347607810332E-2</v>
      </c>
      <c r="R40"/>
      <c r="S40"/>
      <c r="T40"/>
      <c r="U40"/>
    </row>
    <row r="41" spans="1:21" ht="15">
      <c r="B41" s="66">
        <v>8.5000000000000006E-2</v>
      </c>
      <c r="C41" s="66">
        <v>9.1999999999999998E-2</v>
      </c>
      <c r="D41" s="27">
        <f t="shared" ref="D41:D45" si="25">AVERAGE(B41:C41)</f>
        <v>8.8499999999999995E-2</v>
      </c>
      <c r="E41" s="27">
        <f t="shared" si="20"/>
        <v>3.2000000000000001E-2</v>
      </c>
      <c r="F41" s="27">
        <f t="shared" si="21"/>
        <v>-1.494850021680094</v>
      </c>
      <c r="G41" s="28">
        <f t="shared" si="22"/>
        <v>-0.66054480004937</v>
      </c>
      <c r="H41" s="27">
        <f t="shared" si="23"/>
        <v>0.21850189103786358</v>
      </c>
      <c r="I41" s="41">
        <v>16</v>
      </c>
      <c r="J41" s="42">
        <f t="shared" si="24"/>
        <v>3.4960302566058172</v>
      </c>
      <c r="K41" s="30">
        <f t="shared" ref="K41:K45" si="26">(0.1*J41/1000)*1000</f>
        <v>0.34960302566058177</v>
      </c>
      <c r="L41" s="43">
        <f t="shared" ref="L41:L45" si="27">K41*100/L23</f>
        <v>0.36330394616278983</v>
      </c>
      <c r="M41" s="30"/>
      <c r="N41" s="44"/>
      <c r="R41"/>
      <c r="S41"/>
      <c r="T41"/>
      <c r="U41"/>
    </row>
    <row r="42" spans="1:21" s="17" customFormat="1" ht="15">
      <c r="A42" s="1"/>
      <c r="B42" s="66">
        <v>8.6999999999999994E-2</v>
      </c>
      <c r="C42" s="66">
        <v>8.1000000000000003E-2</v>
      </c>
      <c r="D42" s="27">
        <f t="shared" si="25"/>
        <v>8.3999999999999991E-2</v>
      </c>
      <c r="E42" s="27">
        <f t="shared" si="20"/>
        <v>2.7499999999999997E-2</v>
      </c>
      <c r="F42" s="27">
        <f t="shared" si="21"/>
        <v>-1.5606673061697374</v>
      </c>
      <c r="G42" s="28">
        <f t="shared" si="22"/>
        <v>-0.72201544626745284</v>
      </c>
      <c r="H42" s="27">
        <f t="shared" si="23"/>
        <v>0.18966384635132674</v>
      </c>
      <c r="I42" s="41">
        <v>16</v>
      </c>
      <c r="J42" s="42">
        <f t="shared" si="24"/>
        <v>3.0346215416212279</v>
      </c>
      <c r="K42" s="30">
        <f t="shared" si="26"/>
        <v>0.3034621541621228</v>
      </c>
      <c r="L42" s="43">
        <f t="shared" si="27"/>
        <v>0.32826651969427378</v>
      </c>
      <c r="M42" s="30"/>
      <c r="N42" s="44"/>
      <c r="R42"/>
      <c r="S42"/>
      <c r="T42"/>
      <c r="U42"/>
    </row>
    <row r="43" spans="1:21" ht="15">
      <c r="A43" s="1" t="s">
        <v>34</v>
      </c>
      <c r="B43" s="66">
        <v>0.156</v>
      </c>
      <c r="C43" s="66">
        <v>0.14699999999999999</v>
      </c>
      <c r="D43" s="27">
        <f t="shared" si="25"/>
        <v>0.1515</v>
      </c>
      <c r="E43" s="27">
        <f t="shared" si="20"/>
        <v>9.5000000000000001E-2</v>
      </c>
      <c r="F43" s="27">
        <f t="shared" si="21"/>
        <v>-1.0222763947111522</v>
      </c>
      <c r="G43" s="28">
        <f t="shared" si="22"/>
        <v>-0.21918040070264327</v>
      </c>
      <c r="H43" s="27">
        <f t="shared" si="23"/>
        <v>0.60369780847963883</v>
      </c>
      <c r="I43" s="41">
        <v>16</v>
      </c>
      <c r="J43" s="42">
        <f t="shared" si="24"/>
        <v>9.6591649356742213</v>
      </c>
      <c r="K43" s="30">
        <f t="shared" si="26"/>
        <v>0.96591649356742215</v>
      </c>
      <c r="L43" s="43">
        <f t="shared" si="27"/>
        <v>0.88415759893748191</v>
      </c>
      <c r="M43" s="30">
        <f>AVERAGE(L43:L45)</f>
        <v>0.95462490556328417</v>
      </c>
      <c r="N43" s="44">
        <f>STDEV(L43:L45)</f>
        <v>0.17741575166843496</v>
      </c>
      <c r="R43"/>
      <c r="S43"/>
      <c r="T43"/>
      <c r="U43"/>
    </row>
    <row r="44" spans="1:21" ht="15">
      <c r="A44" s="45"/>
      <c r="B44" s="66">
        <v>0.13600000000000001</v>
      </c>
      <c r="C44" s="66">
        <v>0.128</v>
      </c>
      <c r="D44" s="27">
        <f t="shared" si="25"/>
        <v>0.13200000000000001</v>
      </c>
      <c r="E44" s="27">
        <f t="shared" si="20"/>
        <v>7.5500000000000012E-2</v>
      </c>
      <c r="F44" s="27">
        <f t="shared" si="21"/>
        <v>-1.1220530483708118</v>
      </c>
      <c r="G44" s="28">
        <f t="shared" si="22"/>
        <v>-0.31236770591427387</v>
      </c>
      <c r="H44" s="27">
        <f t="shared" si="23"/>
        <v>0.48711588702493569</v>
      </c>
      <c r="I44" s="41">
        <v>16</v>
      </c>
      <c r="J44" s="42">
        <f t="shared" si="24"/>
        <v>7.793854192398971</v>
      </c>
      <c r="K44" s="30">
        <f t="shared" si="26"/>
        <v>0.77938541923989713</v>
      </c>
      <c r="L44" s="43">
        <f t="shared" si="27"/>
        <v>0.82326888944030752</v>
      </c>
      <c r="M44" s="30"/>
      <c r="N44" s="44"/>
      <c r="R44"/>
      <c r="S44"/>
      <c r="T44"/>
      <c r="U44"/>
    </row>
    <row r="45" spans="1:21" ht="15">
      <c r="A45" s="46"/>
      <c r="B45" s="66">
        <v>0.16800000000000001</v>
      </c>
      <c r="C45" s="66">
        <v>0.16800000000000001</v>
      </c>
      <c r="D45" s="27">
        <f t="shared" si="25"/>
        <v>0.16800000000000001</v>
      </c>
      <c r="E45" s="27">
        <f t="shared" si="20"/>
        <v>0.11150000000000002</v>
      </c>
      <c r="F45" s="27">
        <f t="shared" si="21"/>
        <v>-0.95272513261582048</v>
      </c>
      <c r="G45" s="28">
        <f t="shared" si="22"/>
        <v>-0.15422237243643555</v>
      </c>
      <c r="H45" s="27">
        <f t="shared" si="23"/>
        <v>0.70109622317809484</v>
      </c>
      <c r="I45" s="41">
        <v>16</v>
      </c>
      <c r="J45" s="42">
        <f t="shared" si="24"/>
        <v>11.217539570849517</v>
      </c>
      <c r="K45" s="30">
        <f t="shared" si="26"/>
        <v>1.1217539570849517</v>
      </c>
      <c r="L45" s="43">
        <f t="shared" si="27"/>
        <v>1.1564482283120627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 s="66">
        <v>0.113</v>
      </c>
      <c r="C50" s="66">
        <v>0.109</v>
      </c>
      <c r="D50" s="27">
        <f>AVERAGE(B50:C50)</f>
        <v>0.111</v>
      </c>
      <c r="E50" s="27">
        <f t="shared" ref="E50:E55" si="28">D50-E$8</f>
        <v>5.4500000000000007E-2</v>
      </c>
      <c r="F50" s="27">
        <f t="shared" ref="F50:F55" si="29">LOG(E50)</f>
        <v>-1.2636034977233574</v>
      </c>
      <c r="G50" s="28">
        <f t="shared" ref="G50:G55" si="30">(F50-$B$16)/$B$15</f>
        <v>-0.44457002422064762</v>
      </c>
      <c r="H50" s="27">
        <f t="shared" ref="H50:H55" si="31">10^G50</f>
        <v>0.35927746336288202</v>
      </c>
      <c r="I50" s="41">
        <v>16</v>
      </c>
      <c r="J50" s="42">
        <f t="shared" ref="J50:J55" si="32">H50*I50</f>
        <v>5.7484394138061123</v>
      </c>
      <c r="K50" s="30">
        <f>(0.1*J50/1000)*1000</f>
        <v>0.57484394138061123</v>
      </c>
      <c r="L50" s="43">
        <f t="shared" ref="L50:L55" si="33">K50*100/L31</f>
        <v>0.57979861814359612</v>
      </c>
      <c r="M50" s="30">
        <f>AVERAGE(L50:L52)</f>
        <v>0.83734989613151178</v>
      </c>
      <c r="N50" s="44">
        <f>STDEV(L50:L52)</f>
        <v>0.22460772009550775</v>
      </c>
      <c r="O50" s="48">
        <f>L50/L40</f>
        <v>1.7522331008564824</v>
      </c>
      <c r="P50" s="30">
        <f>AVERAGE(O50:O52)</f>
        <v>2.4489514706250195</v>
      </c>
      <c r="Q50" s="44">
        <f>STDEV(O50:O52)</f>
        <v>0.60689419501877773</v>
      </c>
      <c r="S50"/>
      <c r="T50"/>
    </row>
    <row r="51" spans="1:25" ht="15">
      <c r="B51" s="66">
        <v>0.155</v>
      </c>
      <c r="C51" s="66">
        <v>0.14499999999999999</v>
      </c>
      <c r="D51" s="27">
        <f t="shared" ref="D51:D55" si="34">AVERAGE(B51:C51)</f>
        <v>0.15</v>
      </c>
      <c r="E51" s="27">
        <f t="shared" si="28"/>
        <v>9.35E-2</v>
      </c>
      <c r="F51" s="27">
        <f t="shared" si="29"/>
        <v>-1.0291883891274822</v>
      </c>
      <c r="G51" s="28">
        <f t="shared" si="30"/>
        <v>-0.22563592020215176</v>
      </c>
      <c r="H51" s="27">
        <f t="shared" si="31"/>
        <v>0.59479057730934559</v>
      </c>
      <c r="I51" s="41">
        <v>16</v>
      </c>
      <c r="J51" s="42">
        <f t="shared" si="32"/>
        <v>9.5166492369495295</v>
      </c>
      <c r="K51" s="30">
        <f t="shared" ref="K51:K55" si="35">(0.1*J51/1000)*1000</f>
        <v>0.95166492369495304</v>
      </c>
      <c r="L51" s="43">
        <f t="shared" si="33"/>
        <v>0.99256664576015163</v>
      </c>
      <c r="M51" s="30"/>
      <c r="N51" s="44"/>
      <c r="O51" s="2">
        <f t="shared" ref="O51:O55" si="36">L51/L41</f>
        <v>2.7320557793099245</v>
      </c>
      <c r="P51" s="30"/>
      <c r="Q51" s="44"/>
      <c r="S51"/>
      <c r="T51"/>
    </row>
    <row r="52" spans="1:25" ht="15">
      <c r="B52" s="66">
        <v>0.152</v>
      </c>
      <c r="C52" s="66">
        <v>0.13</v>
      </c>
      <c r="D52" s="27">
        <f t="shared" si="34"/>
        <v>0.14100000000000001</v>
      </c>
      <c r="E52" s="27">
        <f t="shared" si="28"/>
        <v>8.450000000000002E-2</v>
      </c>
      <c r="F52" s="27">
        <f t="shared" si="29"/>
        <v>-1.0731432910503076</v>
      </c>
      <c r="G52" s="28">
        <f t="shared" si="30"/>
        <v>-0.2666879971238863</v>
      </c>
      <c r="H52" s="27">
        <f t="shared" si="31"/>
        <v>0.5411429475535402</v>
      </c>
      <c r="I52" s="41">
        <v>16</v>
      </c>
      <c r="J52" s="42">
        <f t="shared" si="32"/>
        <v>8.6582871608566432</v>
      </c>
      <c r="K52" s="30">
        <f t="shared" si="35"/>
        <v>0.86582871608566436</v>
      </c>
      <c r="L52" s="43">
        <f t="shared" si="33"/>
        <v>0.93968442449078748</v>
      </c>
      <c r="M52" s="30"/>
      <c r="N52" s="44"/>
      <c r="O52" s="2">
        <f t="shared" si="36"/>
        <v>2.8625655317086518</v>
      </c>
      <c r="P52" s="30"/>
      <c r="Q52" s="44"/>
      <c r="S52"/>
      <c r="T52"/>
    </row>
    <row r="53" spans="1:25" ht="15">
      <c r="A53" s="1" t="s">
        <v>26</v>
      </c>
      <c r="B53" s="66">
        <v>0.23100000000000001</v>
      </c>
      <c r="C53" s="66">
        <v>0.22500000000000001</v>
      </c>
      <c r="D53" s="27">
        <f t="shared" si="34"/>
        <v>0.22800000000000001</v>
      </c>
      <c r="E53" s="27">
        <f t="shared" si="28"/>
        <v>0.17150000000000001</v>
      </c>
      <c r="F53" s="27">
        <f t="shared" si="29"/>
        <v>-0.7657358756212107</v>
      </c>
      <c r="G53" s="28">
        <f t="shared" si="30"/>
        <v>2.0417929916155684E-2</v>
      </c>
      <c r="H53" s="27">
        <f t="shared" si="31"/>
        <v>1.0481367049587418</v>
      </c>
      <c r="I53" s="41">
        <v>16</v>
      </c>
      <c r="J53" s="42">
        <f t="shared" si="32"/>
        <v>16.770187279339869</v>
      </c>
      <c r="K53" s="30">
        <f t="shared" si="35"/>
        <v>1.677018727933987</v>
      </c>
      <c r="L53" s="43">
        <f t="shared" si="33"/>
        <v>1.548762904529619</v>
      </c>
      <c r="M53" s="30">
        <f>AVERAGE(L53:L55)</f>
        <v>2.1347747587568526</v>
      </c>
      <c r="N53" s="44">
        <f>STDEV(L53:L55)</f>
        <v>0.51095049807091486</v>
      </c>
      <c r="O53" s="2">
        <f t="shared" si="36"/>
        <v>1.7516819471899723</v>
      </c>
      <c r="P53" s="30">
        <f>AVERAGE(O53:O55)</f>
        <v>2.2597448806190195</v>
      </c>
      <c r="Q53" s="44">
        <f>STDEV(O53:O55)</f>
        <v>0.57052346529129938</v>
      </c>
      <c r="S53"/>
      <c r="T53"/>
    </row>
    <row r="54" spans="1:25" ht="15">
      <c r="A54" s="45"/>
      <c r="B54" s="66">
        <v>0.28599999999999998</v>
      </c>
      <c r="C54" s="66">
        <v>0.29099999999999998</v>
      </c>
      <c r="D54" s="27">
        <f t="shared" si="34"/>
        <v>0.28849999999999998</v>
      </c>
      <c r="E54" s="27">
        <f t="shared" si="28"/>
        <v>0.23199999999999998</v>
      </c>
      <c r="F54" s="27">
        <f t="shared" si="29"/>
        <v>-0.63451201510910038</v>
      </c>
      <c r="G54" s="28">
        <f t="shared" si="30"/>
        <v>0.14297563747670189</v>
      </c>
      <c r="H54" s="27">
        <f t="shared" si="31"/>
        <v>1.3898746615292008</v>
      </c>
      <c r="I54" s="41">
        <v>16</v>
      </c>
      <c r="J54" s="42">
        <f t="shared" si="32"/>
        <v>22.237994584467213</v>
      </c>
      <c r="K54" s="30">
        <f t="shared" si="35"/>
        <v>2.2237994584467216</v>
      </c>
      <c r="L54" s="43">
        <f t="shared" si="33"/>
        <v>2.3685101914589546</v>
      </c>
      <c r="M54" s="30"/>
      <c r="N54" s="44"/>
      <c r="O54" s="2">
        <f t="shared" si="36"/>
        <v>2.8769582111491743</v>
      </c>
      <c r="P54" s="30"/>
      <c r="Q54" s="44"/>
      <c r="S54"/>
      <c r="T54"/>
    </row>
    <row r="55" spans="1:25" ht="15">
      <c r="A55" s="46"/>
      <c r="B55" s="66">
        <v>0.311</v>
      </c>
      <c r="C55" s="66">
        <v>0.30199999999999999</v>
      </c>
      <c r="D55" s="27">
        <f t="shared" si="34"/>
        <v>0.30649999999999999</v>
      </c>
      <c r="E55" s="27">
        <f t="shared" si="28"/>
        <v>0.25</v>
      </c>
      <c r="F55" s="27">
        <f t="shared" si="29"/>
        <v>-0.6020599913279624</v>
      </c>
      <c r="G55" s="28">
        <f t="shared" si="30"/>
        <v>0.17328449765498899</v>
      </c>
      <c r="H55" s="27">
        <f t="shared" si="31"/>
        <v>1.4903370480885896</v>
      </c>
      <c r="I55" s="41">
        <v>16</v>
      </c>
      <c r="J55" s="42">
        <f t="shared" si="32"/>
        <v>23.845392769417433</v>
      </c>
      <c r="K55" s="30">
        <f t="shared" si="35"/>
        <v>2.3845392769417435</v>
      </c>
      <c r="L55" s="43">
        <f t="shared" si="33"/>
        <v>2.4870511802819837</v>
      </c>
      <c r="M55" s="30"/>
      <c r="N55" s="44"/>
      <c r="O55" s="2">
        <f t="shared" si="36"/>
        <v>2.1505944835179109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2.4489514706250195</v>
      </c>
      <c r="O58" s="30">
        <f>Q50</f>
        <v>0.60689419501877773</v>
      </c>
    </row>
    <row r="59" spans="1:25" ht="15">
      <c r="D59"/>
      <c r="E59"/>
      <c r="G59"/>
      <c r="M59" s="2" t="s">
        <v>26</v>
      </c>
      <c r="N59" s="30">
        <f>P53</f>
        <v>2.2597448806190195</v>
      </c>
      <c r="O59" s="30">
        <f>Q53</f>
        <v>0.57052346529129938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0.3408205752072142</v>
      </c>
      <c r="C65" s="30">
        <f>N40</f>
        <v>1.9515347607810332E-2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0.83734989613151178</v>
      </c>
      <c r="C66" s="30">
        <f>N50</f>
        <v>0.22460772009550775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0.95462490556328417</v>
      </c>
      <c r="C67" s="30">
        <f>N43</f>
        <v>0.17741575166843496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2.1347747587568526</v>
      </c>
      <c r="C68" s="30">
        <f>N53</f>
        <v>0.51095049807091486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>
      <c r="C97" s="47"/>
      <c r="D97" s="47"/>
      <c r="E97" s="61"/>
      <c r="F97" s="61"/>
    </row>
    <row r="98" spans="2:6">
      <c r="C98" s="47"/>
      <c r="D98" s="47"/>
      <c r="E98" s="61"/>
      <c r="F98" s="61"/>
    </row>
    <row r="99" spans="2:6">
      <c r="C99" s="47"/>
      <c r="D99" s="47"/>
      <c r="E99" s="61"/>
      <c r="F99" s="61"/>
    </row>
    <row r="100" spans="2:6">
      <c r="C100" s="47"/>
      <c r="D100" s="47"/>
      <c r="E100" s="61"/>
      <c r="F100" s="61"/>
    </row>
    <row r="101" spans="2:6">
      <c r="C101" s="47"/>
      <c r="D101" s="47"/>
      <c r="E101" s="61"/>
      <c r="F101" s="61"/>
    </row>
    <row r="102" spans="2:6">
      <c r="C102" s="47"/>
      <c r="D102" s="47"/>
      <c r="E102" s="61"/>
      <c r="F102" s="61"/>
    </row>
    <row r="103" spans="2:6">
      <c r="C103" s="47"/>
      <c r="D103" s="47"/>
      <c r="E103" s="61"/>
      <c r="F103" s="61"/>
    </row>
    <row r="104" spans="2:6">
      <c r="C104" s="47"/>
      <c r="D104" s="47"/>
      <c r="E104" s="61"/>
      <c r="F104" s="61"/>
    </row>
    <row r="105" spans="2:6">
      <c r="C105" s="47"/>
      <c r="D105" s="47"/>
      <c r="E105" s="61"/>
      <c r="F105" s="61"/>
    </row>
    <row r="106" spans="2:6">
      <c r="C106" s="47"/>
    </row>
    <row r="107" spans="2:6">
      <c r="C107" s="47"/>
    </row>
    <row r="108" spans="2:6" ht="13.5" thickBot="1">
      <c r="B108" s="62"/>
      <c r="C108" s="62"/>
      <c r="D108" s="62"/>
      <c r="E108" s="62"/>
    </row>
    <row r="109" spans="2:6">
      <c r="B109" s="61"/>
      <c r="C109" s="61"/>
      <c r="D109" s="61"/>
      <c r="E109" s="61"/>
    </row>
    <row r="110" spans="2:6">
      <c r="B110" s="61"/>
      <c r="C110" s="61"/>
      <c r="D110" s="61"/>
      <c r="E110" s="61"/>
    </row>
    <row r="111" spans="2:6">
      <c r="B111" s="61"/>
      <c r="C111" s="61"/>
      <c r="D111" s="61"/>
      <c r="E111" s="61"/>
    </row>
    <row r="112" spans="2:6">
      <c r="B112" s="61"/>
      <c r="C112" s="61"/>
      <c r="D112" s="61"/>
      <c r="E112" s="61"/>
    </row>
    <row r="113" spans="2:5">
      <c r="B113" s="61"/>
      <c r="C113" s="61"/>
      <c r="D113" s="61"/>
      <c r="E113" s="61"/>
    </row>
    <row r="114" spans="2:5">
      <c r="B114" s="61"/>
      <c r="C114" s="61"/>
      <c r="D114" s="61"/>
      <c r="E114" s="61"/>
    </row>
    <row r="115" spans="2:5">
      <c r="B115" s="61"/>
      <c r="C115" s="61"/>
      <c r="D115" s="61"/>
      <c r="E115" s="61"/>
    </row>
    <row r="116" spans="2:5">
      <c r="B116" s="61"/>
      <c r="C116" s="61"/>
      <c r="D116" s="61"/>
      <c r="E116" s="61"/>
    </row>
    <row r="117" spans="2:5">
      <c r="B117" s="61"/>
      <c r="C117" s="61"/>
      <c r="D117" s="61"/>
      <c r="E117" s="61"/>
    </row>
    <row r="118" spans="2:5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18"/>
  <sheetViews>
    <sheetView tabSelected="1" zoomScale="80" zoomScaleNormal="80" workbookViewId="0">
      <selection activeCell="D17" sqref="D17"/>
    </sheetView>
  </sheetViews>
  <sheetFormatPr baseColWidth="10" defaultColWidth="8.75" defaultRowHeight="12.75"/>
  <cols>
    <col min="1" max="1" width="28.125" style="1" customWidth="1"/>
    <col min="2" max="2" width="9.5" style="2" bestFit="1" customWidth="1"/>
    <col min="3" max="3" width="11.875" style="2" bestFit="1" customWidth="1"/>
    <col min="4" max="4" width="7.625" style="2" customWidth="1"/>
    <col min="5" max="5" width="6" style="2" bestFit="1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>
      <c r="A1" s="1" t="s">
        <v>0</v>
      </c>
      <c r="B1" s="64">
        <v>42326</v>
      </c>
    </row>
    <row r="2" spans="1:20">
      <c r="A2" s="1" t="s">
        <v>1</v>
      </c>
      <c r="B2" s="2">
        <v>70</v>
      </c>
      <c r="C2" s="3"/>
      <c r="E2" s="4" t="s">
        <v>40</v>
      </c>
    </row>
    <row r="3" spans="1:20">
      <c r="A3" s="1" t="s">
        <v>2</v>
      </c>
      <c r="B3" s="2" t="s">
        <v>43</v>
      </c>
      <c r="D3" s="10" t="s">
        <v>41</v>
      </c>
      <c r="E3" s="10">
        <v>1</v>
      </c>
      <c r="F3" s="10">
        <v>2</v>
      </c>
    </row>
    <row r="4" spans="1:20">
      <c r="D4" s="10" t="s">
        <v>42</v>
      </c>
      <c r="E4" s="10">
        <v>3</v>
      </c>
      <c r="F4" s="10">
        <v>4</v>
      </c>
    </row>
    <row r="5" spans="1:20">
      <c r="A5" s="2"/>
    </row>
    <row r="6" spans="1:20" ht="15">
      <c r="N6"/>
      <c r="O6"/>
      <c r="P6"/>
    </row>
    <row r="7" spans="1:20" ht="15">
      <c r="A7" s="10" t="s">
        <v>52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51</v>
      </c>
      <c r="H7" s="10" t="s">
        <v>49</v>
      </c>
      <c r="N7"/>
      <c r="O7"/>
      <c r="P7"/>
    </row>
    <row r="8" spans="1:20" ht="15">
      <c r="A8" s="10">
        <v>0</v>
      </c>
      <c r="B8" s="10">
        <f>A8/23</f>
        <v>0</v>
      </c>
      <c r="C8" s="68">
        <v>6.4000000000000001E-2</v>
      </c>
      <c r="D8" s="68">
        <v>6.0999999999999999E-2</v>
      </c>
      <c r="E8" s="11">
        <f t="shared" ref="E8:E13" si="0">AVERAGE(C8:D8)</f>
        <v>6.25E-2</v>
      </c>
      <c r="F8" s="12"/>
      <c r="G8" s="10"/>
      <c r="H8" s="10"/>
      <c r="N8"/>
      <c r="O8"/>
      <c r="P8"/>
    </row>
    <row r="9" spans="1:20" ht="15">
      <c r="A9" s="10">
        <v>3.15</v>
      </c>
      <c r="B9" s="10">
        <f t="shared" ref="B9:B13" si="1">A9/23</f>
        <v>0.13695652173913042</v>
      </c>
      <c r="C9" s="68">
        <v>9.8000000000000004E-2</v>
      </c>
      <c r="D9" s="68">
        <v>8.1000000000000003E-2</v>
      </c>
      <c r="E9" s="11">
        <f t="shared" si="0"/>
        <v>8.9499999999999996E-2</v>
      </c>
      <c r="F9" s="12">
        <f>(E9-$E$8)</f>
        <v>2.6999999999999996E-2</v>
      </c>
      <c r="G9" s="12">
        <f>LOG(B9)</f>
        <v>-0.86341728222799241</v>
      </c>
      <c r="H9" s="12">
        <f>LOG(F9)</f>
        <v>-1.5686362358410126</v>
      </c>
      <c r="N9"/>
      <c r="O9"/>
      <c r="P9"/>
    </row>
    <row r="10" spans="1:20" ht="15">
      <c r="A10" s="10">
        <v>10.4</v>
      </c>
      <c r="B10" s="10">
        <f t="shared" si="1"/>
        <v>0.45217391304347826</v>
      </c>
      <c r="C10" s="68">
        <v>0.159</v>
      </c>
      <c r="D10" s="68">
        <v>0.16200000000000001</v>
      </c>
      <c r="E10" s="11">
        <f t="shared" si="0"/>
        <v>0.1605</v>
      </c>
      <c r="F10" s="12">
        <f>(E10-$E$8)</f>
        <v>9.8000000000000004E-2</v>
      </c>
      <c r="G10" s="12">
        <f>LOG(B10)</f>
        <v>-0.34469449671881253</v>
      </c>
      <c r="H10" s="12">
        <f>LOG(F10)</f>
        <v>-1.0087739243075051</v>
      </c>
      <c r="N10"/>
      <c r="O10"/>
      <c r="P10"/>
    </row>
    <row r="11" spans="1:20" ht="15">
      <c r="A11" s="10">
        <v>31.5</v>
      </c>
      <c r="B11" s="10">
        <f t="shared" si="1"/>
        <v>1.3695652173913044</v>
      </c>
      <c r="C11" s="68">
        <v>0.38500000000000001</v>
      </c>
      <c r="D11" s="68">
        <v>0.36899999999999999</v>
      </c>
      <c r="E11" s="11">
        <f t="shared" si="0"/>
        <v>0.377</v>
      </c>
      <c r="F11" s="12">
        <f>(E11-$E$8)</f>
        <v>0.3145</v>
      </c>
      <c r="G11" s="12">
        <f>LOG(B11)</f>
        <v>0.13658271777200767</v>
      </c>
      <c r="H11" s="12">
        <f>LOG(F11)</f>
        <v>-0.50237935021871227</v>
      </c>
      <c r="N11"/>
      <c r="O11"/>
      <c r="P11"/>
      <c r="Q11"/>
      <c r="R11"/>
      <c r="S11"/>
      <c r="T11"/>
    </row>
    <row r="12" spans="1:20" ht="15">
      <c r="A12" s="10">
        <v>106</v>
      </c>
      <c r="B12" s="10">
        <f t="shared" si="1"/>
        <v>4.6086956521739131</v>
      </c>
      <c r="C12" s="68">
        <v>1.226</v>
      </c>
      <c r="D12" s="68">
        <v>1.0660000000000001</v>
      </c>
      <c r="E12" s="11">
        <f t="shared" si="0"/>
        <v>1.1459999999999999</v>
      </c>
      <c r="F12" s="12">
        <f>(E12-$E$8)</f>
        <v>1.0834999999999999</v>
      </c>
      <c r="G12" s="12">
        <f>LOG(B12)</f>
        <v>0.66357802924717735</v>
      </c>
      <c r="H12" s="12">
        <f>LOG(F12)</f>
        <v>3.4828915655836734E-2</v>
      </c>
      <c r="N12"/>
      <c r="O12"/>
      <c r="P12"/>
      <c r="Q12"/>
      <c r="R12"/>
      <c r="S12"/>
      <c r="T12"/>
    </row>
    <row r="13" spans="1:20" ht="15">
      <c r="A13" s="10">
        <v>210</v>
      </c>
      <c r="B13" s="10">
        <f t="shared" si="1"/>
        <v>9.1304347826086953</v>
      </c>
      <c r="C13" s="68">
        <v>1.93</v>
      </c>
      <c r="D13" s="68">
        <v>1.5629999999999999</v>
      </c>
      <c r="E13" s="11">
        <f t="shared" si="0"/>
        <v>1.7464999999999999</v>
      </c>
      <c r="F13" s="12">
        <f>(E13-$E$8)</f>
        <v>1.6839999999999999</v>
      </c>
      <c r="G13" s="12">
        <f>LOG(B13)</f>
        <v>0.96049145871632635</v>
      </c>
      <c r="H13" s="12">
        <f>LOG(F13)</f>
        <v>0.22634208716363069</v>
      </c>
      <c r="N13"/>
      <c r="O13"/>
      <c r="P13"/>
    </row>
    <row r="14" spans="1:20" ht="15">
      <c r="N14"/>
    </row>
    <row r="15" spans="1:20" ht="15">
      <c r="A15" s="5" t="s">
        <v>10</v>
      </c>
      <c r="B15" s="11">
        <f>SLOPE(H9:H13,G9:G13)</f>
        <v>1.0003220470747629</v>
      </c>
      <c r="N15"/>
    </row>
    <row r="16" spans="1:20" ht="15">
      <c r="A16" s="5" t="s">
        <v>11</v>
      </c>
      <c r="B16" s="11">
        <f>INTERCEPT(H9:H13,G9:G13)</f>
        <v>-0.67426737567292094</v>
      </c>
      <c r="C16" s="67"/>
      <c r="G16" s="67"/>
      <c r="H16" s="67"/>
    </row>
    <row r="17" spans="1:17" ht="15">
      <c r="B17"/>
      <c r="C17"/>
      <c r="D17"/>
      <c r="E17"/>
      <c r="F17"/>
      <c r="G17"/>
    </row>
    <row r="18" spans="1:17" ht="15">
      <c r="B18"/>
      <c r="C18"/>
      <c r="D18"/>
      <c r="E18"/>
      <c r="F18"/>
      <c r="G18"/>
    </row>
    <row r="19" spans="1:17" ht="23.2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>
      <c r="A20" s="19" t="s">
        <v>14</v>
      </c>
      <c r="B20" s="9" t="s">
        <v>15</v>
      </c>
      <c r="C20" s="9" t="s">
        <v>15</v>
      </c>
      <c r="D20" s="9" t="s">
        <v>44</v>
      </c>
      <c r="E20" s="20" t="s">
        <v>50</v>
      </c>
      <c r="F20" s="21" t="s">
        <v>49</v>
      </c>
      <c r="G20" s="21" t="s">
        <v>48</v>
      </c>
      <c r="H20" s="21" t="s">
        <v>19</v>
      </c>
      <c r="I20" s="9" t="s">
        <v>47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>
      <c r="A21" s="23"/>
      <c r="L21" s="25"/>
      <c r="M21" s="26"/>
    </row>
    <row r="22" spans="1:17" ht="15">
      <c r="A22" s="1" t="s">
        <v>25</v>
      </c>
      <c r="B22">
        <v>1.006</v>
      </c>
      <c r="C22">
        <v>0.99399999999999999</v>
      </c>
      <c r="D22" s="27">
        <f t="shared" ref="D22:D27" si="2">AVERAGE(B22:C22)</f>
        <v>1</v>
      </c>
      <c r="E22" s="27">
        <f t="shared" ref="E22:E27" si="3">D22-E$8</f>
        <v>0.9375</v>
      </c>
      <c r="F22" s="27">
        <f t="shared" ref="F22:F27" si="4">LOG(E22)</f>
        <v>-2.8028723600243537E-2</v>
      </c>
      <c r="G22" s="28">
        <f t="shared" ref="G22:G27" si="5">(F22-$B$16)/$B$15</f>
        <v>0.64603059980780198</v>
      </c>
      <c r="H22" s="28">
        <f t="shared" ref="H22:H27" si="6">10^G22</f>
        <v>4.4261955764547105</v>
      </c>
      <c r="I22" s="29">
        <v>500</v>
      </c>
      <c r="J22" s="30">
        <f t="shared" ref="J22:J27" si="7">(H22*I22)</f>
        <v>2213.0977882273551</v>
      </c>
      <c r="K22" s="31">
        <f t="shared" ref="K22:K27" si="8">(0.05*J22/1000)*1000</f>
        <v>110.65488941136776</v>
      </c>
      <c r="L22" s="32">
        <f t="shared" ref="L22:L27" si="9">K22+K40+K50</f>
        <v>111.97782979006665</v>
      </c>
      <c r="M22" s="33">
        <f t="shared" ref="M22:M27" si="10">(L22*1000000/50000)/1000</f>
        <v>2.239556595801333</v>
      </c>
      <c r="N22" s="34"/>
    </row>
    <row r="23" spans="1:17" ht="15">
      <c r="B23">
        <v>0.79100000000000004</v>
      </c>
      <c r="C23">
        <v>0.79600000000000004</v>
      </c>
      <c r="D23" s="27">
        <f t="shared" si="2"/>
        <v>0.79350000000000009</v>
      </c>
      <c r="E23" s="27">
        <f t="shared" si="3"/>
        <v>0.73100000000000009</v>
      </c>
      <c r="F23" s="27">
        <f t="shared" si="4"/>
        <v>-0.1360826230421395</v>
      </c>
      <c r="G23" s="28">
        <f t="shared" si="5"/>
        <v>0.53801148760500939</v>
      </c>
      <c r="H23" s="28">
        <f t="shared" si="6"/>
        <v>3.4515286891855292</v>
      </c>
      <c r="I23" s="29">
        <v>500</v>
      </c>
      <c r="J23" s="30">
        <f t="shared" si="7"/>
        <v>1725.7643445927647</v>
      </c>
      <c r="K23" s="31">
        <f t="shared" si="8"/>
        <v>86.288217229638235</v>
      </c>
      <c r="L23" s="32">
        <f t="shared" si="9"/>
        <v>87.78874478637178</v>
      </c>
      <c r="M23" s="33">
        <f t="shared" si="10"/>
        <v>1.7557748957274357</v>
      </c>
      <c r="N23" s="34"/>
    </row>
    <row r="24" spans="1:17" ht="15">
      <c r="B24">
        <v>1.1160000000000001</v>
      </c>
      <c r="C24">
        <v>1.1279999999999999</v>
      </c>
      <c r="D24" s="27">
        <f t="shared" si="2"/>
        <v>1.1219999999999999</v>
      </c>
      <c r="E24" s="27">
        <f t="shared" si="3"/>
        <v>1.0594999999999999</v>
      </c>
      <c r="F24" s="27">
        <f t="shared" si="4"/>
        <v>2.5100961046813336E-2</v>
      </c>
      <c r="G24" s="28">
        <f t="shared" si="5"/>
        <v>0.69914317970387019</v>
      </c>
      <c r="H24" s="28">
        <f t="shared" si="6"/>
        <v>5.0019941526612239</v>
      </c>
      <c r="I24" s="29">
        <v>500</v>
      </c>
      <c r="J24" s="30">
        <f t="shared" si="7"/>
        <v>2500.9970763306119</v>
      </c>
      <c r="K24" s="31">
        <f t="shared" si="8"/>
        <v>125.04985381653061</v>
      </c>
      <c r="L24" s="32">
        <f t="shared" si="9"/>
        <v>127.23789044341386</v>
      </c>
      <c r="M24" s="33">
        <f t="shared" si="10"/>
        <v>2.544757808868277</v>
      </c>
      <c r="N24" s="34"/>
    </row>
    <row r="25" spans="1:17" ht="15">
      <c r="A25" s="1" t="s">
        <v>26</v>
      </c>
      <c r="B25">
        <v>0.88900000000000001</v>
      </c>
      <c r="C25">
        <v>0.89400000000000002</v>
      </c>
      <c r="D25" s="27">
        <f t="shared" si="2"/>
        <v>0.89149999999999996</v>
      </c>
      <c r="E25" s="27">
        <f t="shared" si="3"/>
        <v>0.82899999999999996</v>
      </c>
      <c r="F25" s="27">
        <f t="shared" si="4"/>
        <v>-8.1445469449726471E-2</v>
      </c>
      <c r="G25" s="28">
        <f t="shared" si="5"/>
        <v>0.59263105112676551</v>
      </c>
      <c r="H25" s="28">
        <f t="shared" si="6"/>
        <v>3.9140921953401628</v>
      </c>
      <c r="I25" s="29">
        <v>500</v>
      </c>
      <c r="J25" s="30">
        <f t="shared" si="7"/>
        <v>1957.0460976700815</v>
      </c>
      <c r="K25" s="31">
        <f t="shared" si="8"/>
        <v>97.852304883504075</v>
      </c>
      <c r="L25" s="32">
        <f t="shared" si="9"/>
        <v>101.50242564394462</v>
      </c>
      <c r="M25" s="33">
        <f t="shared" si="10"/>
        <v>2.0300485128788925</v>
      </c>
      <c r="N25" s="34"/>
    </row>
    <row r="26" spans="1:17" ht="15">
      <c r="B26">
        <v>1.077</v>
      </c>
      <c r="C26">
        <v>1.0349999999999999</v>
      </c>
      <c r="D26" s="27">
        <f t="shared" si="2"/>
        <v>1.056</v>
      </c>
      <c r="E26" s="27">
        <f t="shared" si="3"/>
        <v>0.99350000000000005</v>
      </c>
      <c r="F26" s="27">
        <f t="shared" si="4"/>
        <v>-2.8321285541660227E-3</v>
      </c>
      <c r="G26" s="28">
        <f t="shared" si="5"/>
        <v>0.6712190829765573</v>
      </c>
      <c r="H26" s="28">
        <f t="shared" si="6"/>
        <v>4.6904993809060382</v>
      </c>
      <c r="I26" s="29">
        <v>500</v>
      </c>
      <c r="J26" s="30">
        <f t="shared" si="7"/>
        <v>2345.249690453019</v>
      </c>
      <c r="K26" s="31">
        <f t="shared" si="8"/>
        <v>117.26248452265095</v>
      </c>
      <c r="L26" s="32">
        <f t="shared" si="9"/>
        <v>121.58500662177053</v>
      </c>
      <c r="M26" s="33">
        <f t="shared" si="10"/>
        <v>2.4317001324354104</v>
      </c>
      <c r="N26" s="34"/>
    </row>
    <row r="27" spans="1:17" ht="15">
      <c r="B27">
        <v>0.90500000000000003</v>
      </c>
      <c r="C27">
        <v>1.038</v>
      </c>
      <c r="D27" s="27">
        <f t="shared" si="2"/>
        <v>0.97150000000000003</v>
      </c>
      <c r="E27" s="27">
        <f t="shared" si="3"/>
        <v>0.90900000000000003</v>
      </c>
      <c r="F27" s="27">
        <f t="shared" si="4"/>
        <v>-4.1436116778032536E-2</v>
      </c>
      <c r="G27" s="28">
        <f t="shared" si="5"/>
        <v>0.63262752305167513</v>
      </c>
      <c r="H27" s="28">
        <f t="shared" si="6"/>
        <v>4.2916818854365228</v>
      </c>
      <c r="I27" s="29">
        <v>500</v>
      </c>
      <c r="J27" s="30">
        <f t="shared" si="7"/>
        <v>2145.8409427182614</v>
      </c>
      <c r="K27" s="31">
        <f t="shared" si="8"/>
        <v>107.29204713591308</v>
      </c>
      <c r="L27" s="32">
        <f t="shared" si="9"/>
        <v>111.18753041253484</v>
      </c>
      <c r="M27" s="33">
        <f t="shared" si="10"/>
        <v>2.2237506082506973</v>
      </c>
      <c r="N27" s="34"/>
    </row>
    <row r="28" spans="1:17" ht="23.2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>
      <c r="A29" s="19" t="s">
        <v>14</v>
      </c>
      <c r="B29" s="9" t="s">
        <v>15</v>
      </c>
      <c r="C29" s="9" t="s">
        <v>15</v>
      </c>
      <c r="D29" s="9" t="s">
        <v>44</v>
      </c>
      <c r="E29" s="20" t="s">
        <v>50</v>
      </c>
      <c r="F29" s="21" t="s">
        <v>49</v>
      </c>
      <c r="G29" s="21" t="s">
        <v>48</v>
      </c>
      <c r="H29" s="21" t="s">
        <v>19</v>
      </c>
      <c r="I29" s="9" t="s">
        <v>47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>
      <c r="A30" s="23"/>
      <c r="L30" s="25"/>
      <c r="M30" s="26"/>
    </row>
    <row r="31" spans="1:17" ht="15">
      <c r="A31" s="1" t="s">
        <v>25</v>
      </c>
      <c r="B31">
        <v>1.006</v>
      </c>
      <c r="C31">
        <v>0.99399999999999999</v>
      </c>
      <c r="D31" s="27">
        <f t="shared" ref="D31:D36" si="11">AVERAGE(B31:C31)</f>
        <v>1</v>
      </c>
      <c r="E31" s="27">
        <f t="shared" ref="E31:E36" si="12">D31-E$8</f>
        <v>0.9375</v>
      </c>
      <c r="F31" s="27">
        <f t="shared" ref="F31:F36" si="13">LOG(E31)</f>
        <v>-2.8028723600243537E-2</v>
      </c>
      <c r="G31" s="28">
        <f t="shared" ref="G31:G36" si="14">(F31-$B$16)/$B$15</f>
        <v>0.64603059980780198</v>
      </c>
      <c r="H31" s="28">
        <f t="shared" ref="H31:H36" si="15">10^G31</f>
        <v>4.4261955764547105</v>
      </c>
      <c r="I31" s="29">
        <v>500</v>
      </c>
      <c r="J31" s="30">
        <f t="shared" ref="J31:J36" si="16">(H31*I31)</f>
        <v>2213.0977882273551</v>
      </c>
      <c r="K31" s="31">
        <f t="shared" ref="K31:K36" si="17">(0.05*J31/1000)*1000</f>
        <v>110.65488941136776</v>
      </c>
      <c r="L31" s="32">
        <f t="shared" ref="L31:L36" si="18">K31+K50</f>
        <v>111.54686114347335</v>
      </c>
      <c r="M31" s="33">
        <f t="shared" ref="M31:M36" si="19">(L31*1000000/50000)/1000</f>
        <v>2.2309372228694668</v>
      </c>
      <c r="N31" s="35"/>
      <c r="Q31"/>
    </row>
    <row r="32" spans="1:17" ht="15">
      <c r="B32">
        <v>0.79100000000000004</v>
      </c>
      <c r="C32">
        <v>0.79600000000000004</v>
      </c>
      <c r="D32" s="27">
        <f t="shared" si="11"/>
        <v>0.79350000000000009</v>
      </c>
      <c r="E32" s="27">
        <f t="shared" si="12"/>
        <v>0.73100000000000009</v>
      </c>
      <c r="F32" s="27">
        <f t="shared" si="13"/>
        <v>-0.1360826230421395</v>
      </c>
      <c r="G32" s="28">
        <f t="shared" si="14"/>
        <v>0.53801148760500939</v>
      </c>
      <c r="H32" s="28">
        <f t="shared" si="15"/>
        <v>3.4515286891855292</v>
      </c>
      <c r="I32" s="29">
        <v>500</v>
      </c>
      <c r="J32" s="30">
        <f t="shared" si="16"/>
        <v>1725.7643445927647</v>
      </c>
      <c r="K32" s="31">
        <f t="shared" si="17"/>
        <v>86.288217229638235</v>
      </c>
      <c r="L32" s="32">
        <f t="shared" si="18"/>
        <v>87.316205459599885</v>
      </c>
      <c r="M32" s="33">
        <f t="shared" si="19"/>
        <v>1.7463241091919977</v>
      </c>
      <c r="N32" s="36"/>
      <c r="Q32"/>
    </row>
    <row r="33" spans="1:21" ht="15">
      <c r="B33">
        <v>1.1160000000000001</v>
      </c>
      <c r="C33">
        <v>1.1279999999999999</v>
      </c>
      <c r="D33" s="27">
        <f t="shared" si="11"/>
        <v>1.1219999999999999</v>
      </c>
      <c r="E33" s="27">
        <f t="shared" si="12"/>
        <v>1.0594999999999999</v>
      </c>
      <c r="F33" s="27">
        <f t="shared" si="13"/>
        <v>2.5100961046813336E-2</v>
      </c>
      <c r="G33" s="28">
        <f t="shared" si="14"/>
        <v>0.69914317970387019</v>
      </c>
      <c r="H33" s="28">
        <f t="shared" si="15"/>
        <v>5.0019941526612239</v>
      </c>
      <c r="I33" s="29">
        <v>500</v>
      </c>
      <c r="J33" s="30">
        <f t="shared" si="16"/>
        <v>2500.9970763306119</v>
      </c>
      <c r="K33" s="31">
        <f t="shared" si="17"/>
        <v>125.04985381653061</v>
      </c>
      <c r="L33" s="32">
        <f t="shared" si="18"/>
        <v>126.87872882341591</v>
      </c>
      <c r="M33" s="33">
        <f t="shared" si="19"/>
        <v>2.5375745764683177</v>
      </c>
      <c r="N33" s="36"/>
      <c r="Q33"/>
      <c r="R33"/>
      <c r="S33"/>
    </row>
    <row r="34" spans="1:21" ht="15">
      <c r="A34" s="1" t="s">
        <v>26</v>
      </c>
      <c r="B34">
        <v>0.88900000000000001</v>
      </c>
      <c r="C34">
        <v>0.89400000000000002</v>
      </c>
      <c r="D34" s="27">
        <f t="shared" si="11"/>
        <v>0.89149999999999996</v>
      </c>
      <c r="E34" s="27">
        <f t="shared" si="12"/>
        <v>0.82899999999999996</v>
      </c>
      <c r="F34" s="27">
        <f t="shared" si="13"/>
        <v>-8.1445469449726471E-2</v>
      </c>
      <c r="G34" s="28">
        <f t="shared" si="14"/>
        <v>0.59263105112676551</v>
      </c>
      <c r="H34" s="28">
        <f t="shared" si="15"/>
        <v>3.9140921953401628</v>
      </c>
      <c r="I34" s="29">
        <v>500</v>
      </c>
      <c r="J34" s="30">
        <f t="shared" si="16"/>
        <v>1957.0460976700815</v>
      </c>
      <c r="K34" s="31">
        <f t="shared" si="17"/>
        <v>97.852304883504075</v>
      </c>
      <c r="L34" s="32">
        <f t="shared" si="18"/>
        <v>100.31953677501207</v>
      </c>
      <c r="M34" s="33">
        <f t="shared" si="19"/>
        <v>2.0063907355002413</v>
      </c>
      <c r="N34" s="36"/>
      <c r="Q34"/>
      <c r="R34"/>
      <c r="S34"/>
    </row>
    <row r="35" spans="1:21" ht="15">
      <c r="B35">
        <v>1.077</v>
      </c>
      <c r="C35">
        <v>1.0349999999999999</v>
      </c>
      <c r="D35" s="27">
        <f t="shared" si="11"/>
        <v>1.056</v>
      </c>
      <c r="E35" s="27">
        <f t="shared" si="12"/>
        <v>0.99350000000000005</v>
      </c>
      <c r="F35" s="27">
        <f t="shared" si="13"/>
        <v>-2.8321285541660227E-3</v>
      </c>
      <c r="G35" s="28">
        <f t="shared" si="14"/>
        <v>0.6712190829765573</v>
      </c>
      <c r="H35" s="28">
        <f t="shared" si="15"/>
        <v>4.6904993809060382</v>
      </c>
      <c r="I35" s="29">
        <v>500</v>
      </c>
      <c r="J35" s="30">
        <f t="shared" si="16"/>
        <v>2345.249690453019</v>
      </c>
      <c r="K35" s="31">
        <f t="shared" si="17"/>
        <v>117.26248452265095</v>
      </c>
      <c r="L35" s="32">
        <f t="shared" si="18"/>
        <v>119.94500741248608</v>
      </c>
      <c r="M35" s="33">
        <f t="shared" si="19"/>
        <v>2.3989001482497216</v>
      </c>
      <c r="N35" s="36"/>
      <c r="Q35"/>
      <c r="R35"/>
      <c r="S35"/>
    </row>
    <row r="36" spans="1:21" ht="15">
      <c r="B36">
        <v>0.90500000000000003</v>
      </c>
      <c r="C36">
        <v>1.038</v>
      </c>
      <c r="D36" s="27">
        <f t="shared" si="11"/>
        <v>0.97150000000000003</v>
      </c>
      <c r="E36" s="27">
        <f t="shared" si="12"/>
        <v>0.90900000000000003</v>
      </c>
      <c r="F36" s="27">
        <f t="shared" si="13"/>
        <v>-4.1436116778032536E-2</v>
      </c>
      <c r="G36" s="28">
        <f t="shared" si="14"/>
        <v>0.63262752305167513</v>
      </c>
      <c r="H36" s="28">
        <f t="shared" si="15"/>
        <v>4.2916818854365228</v>
      </c>
      <c r="I36" s="29">
        <v>500</v>
      </c>
      <c r="J36" s="30">
        <f t="shared" si="16"/>
        <v>2145.8409427182614</v>
      </c>
      <c r="K36" s="31">
        <f t="shared" si="17"/>
        <v>107.29204713591308</v>
      </c>
      <c r="L36" s="32">
        <f t="shared" si="18"/>
        <v>110.41268933089135</v>
      </c>
      <c r="M36" s="33">
        <f t="shared" si="19"/>
        <v>2.2082537866178273</v>
      </c>
      <c r="N36" s="37"/>
      <c r="Q36"/>
      <c r="R36"/>
      <c r="S36"/>
    </row>
    <row r="37" spans="1:21" ht="15">
      <c r="R37"/>
      <c r="S37"/>
    </row>
    <row r="38" spans="1:21" ht="23.2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>
      <c r="A39" s="19" t="s">
        <v>14</v>
      </c>
      <c r="B39" s="21" t="s">
        <v>15</v>
      </c>
      <c r="C39" s="21" t="s">
        <v>15</v>
      </c>
      <c r="D39" s="9" t="s">
        <v>44</v>
      </c>
      <c r="E39" s="20" t="s">
        <v>50</v>
      </c>
      <c r="F39" s="21" t="s">
        <v>49</v>
      </c>
      <c r="G39" s="21" t="s">
        <v>48</v>
      </c>
      <c r="H39" s="21" t="s">
        <v>19</v>
      </c>
      <c r="I39" s="9" t="s">
        <v>47</v>
      </c>
      <c r="J39" s="21" t="s">
        <v>21</v>
      </c>
      <c r="K39" s="21" t="s">
        <v>46</v>
      </c>
      <c r="L39" s="21" t="s">
        <v>45</v>
      </c>
      <c r="M39" s="17" t="s">
        <v>31</v>
      </c>
      <c r="N39" s="40" t="s">
        <v>32</v>
      </c>
      <c r="R39"/>
      <c r="S39"/>
      <c r="T39"/>
    </row>
    <row r="40" spans="1:21" ht="15">
      <c r="A40" s="1" t="s">
        <v>33</v>
      </c>
      <c r="B40">
        <v>0.11899999999999999</v>
      </c>
      <c r="C40">
        <v>0.12</v>
      </c>
      <c r="D40" s="27">
        <f t="shared" ref="D40:D45" si="20">AVERAGE(B40:C40)</f>
        <v>0.1195</v>
      </c>
      <c r="E40" s="27">
        <f t="shared" ref="E40:E45" si="21">D40-E$8</f>
        <v>5.6999999999999995E-2</v>
      </c>
      <c r="F40" s="27">
        <f t="shared" ref="F40:F45" si="22">LOG(E40)</f>
        <v>-1.2441251443275085</v>
      </c>
      <c r="G40" s="28">
        <f t="shared" ref="G40:G45" si="23">(F40-$B$16)/$B$15</f>
        <v>-0.56967430671054387</v>
      </c>
      <c r="H40" s="27">
        <f t="shared" ref="H40:H45" si="24">10^G40</f>
        <v>0.26935540412081488</v>
      </c>
      <c r="I40" s="41">
        <v>16</v>
      </c>
      <c r="J40" s="42">
        <f t="shared" ref="J40:J45" si="25">H40*I40</f>
        <v>4.3096864659330381</v>
      </c>
      <c r="K40" s="30">
        <f t="shared" ref="K40:K45" si="26">(0.1*J40/1000)*1000</f>
        <v>0.43096864659330381</v>
      </c>
      <c r="L40" s="43">
        <f t="shared" ref="L40:L45" si="27">K40*100/L22</f>
        <v>0.3848696187462049</v>
      </c>
      <c r="M40" s="30">
        <f>AVERAGE(L40:L42)</f>
        <v>0.40180466288477912</v>
      </c>
      <c r="N40" s="44">
        <f>STDEV(L40:L42)</f>
        <v>0.12883401012453458</v>
      </c>
      <c r="R40"/>
      <c r="S40"/>
      <c r="T40"/>
      <c r="U40"/>
    </row>
    <row r="41" spans="1:21" ht="15">
      <c r="B41">
        <v>0.124</v>
      </c>
      <c r="C41">
        <v>0.126</v>
      </c>
      <c r="D41" s="27">
        <f t="shared" si="20"/>
        <v>0.125</v>
      </c>
      <c r="E41" s="27">
        <f t="shared" si="21"/>
        <v>6.25E-2</v>
      </c>
      <c r="F41" s="27">
        <f t="shared" si="22"/>
        <v>-1.2041199826559248</v>
      </c>
      <c r="G41" s="28">
        <f t="shared" si="23"/>
        <v>-0.5296820244364796</v>
      </c>
      <c r="H41" s="27">
        <f t="shared" si="24"/>
        <v>0.29533707923243108</v>
      </c>
      <c r="I41" s="41">
        <v>16</v>
      </c>
      <c r="J41" s="42">
        <f t="shared" si="25"/>
        <v>4.7253932677188972</v>
      </c>
      <c r="K41" s="30">
        <f t="shared" si="26"/>
        <v>0.47253932677188976</v>
      </c>
      <c r="L41" s="43">
        <f t="shared" si="27"/>
        <v>0.53826869027662216</v>
      </c>
      <c r="M41" s="30"/>
      <c r="N41" s="44"/>
      <c r="R41"/>
      <c r="S41"/>
      <c r="T41"/>
      <c r="U41"/>
    </row>
    <row r="42" spans="1:21" s="17" customFormat="1" ht="15">
      <c r="A42" s="1"/>
      <c r="B42">
        <v>0.11</v>
      </c>
      <c r="C42">
        <v>0.11</v>
      </c>
      <c r="D42" s="27">
        <f t="shared" si="20"/>
        <v>0.11</v>
      </c>
      <c r="E42" s="27">
        <f t="shared" si="21"/>
        <v>4.7500000000000001E-2</v>
      </c>
      <c r="F42" s="27">
        <f t="shared" si="22"/>
        <v>-1.3233063903751334</v>
      </c>
      <c r="G42" s="28">
        <f t="shared" si="23"/>
        <v>-0.64883006087908812</v>
      </c>
      <c r="H42" s="27">
        <f t="shared" si="24"/>
        <v>0.22447601249871424</v>
      </c>
      <c r="I42" s="41">
        <v>16</v>
      </c>
      <c r="J42" s="42">
        <f t="shared" si="25"/>
        <v>3.5916161999794278</v>
      </c>
      <c r="K42" s="30">
        <f t="shared" si="26"/>
        <v>0.35916161999794283</v>
      </c>
      <c r="L42" s="43">
        <f t="shared" si="27"/>
        <v>0.28227567963151018</v>
      </c>
      <c r="M42" s="30"/>
      <c r="N42" s="44"/>
      <c r="R42"/>
      <c r="S42"/>
      <c r="T42"/>
      <c r="U42"/>
    </row>
    <row r="43" spans="1:21" ht="15">
      <c r="A43" s="1" t="s">
        <v>34</v>
      </c>
      <c r="B43">
        <v>0.20200000000000001</v>
      </c>
      <c r="C43">
        <v>0.23599999999999999</v>
      </c>
      <c r="D43" s="27">
        <f t="shared" si="20"/>
        <v>0.219</v>
      </c>
      <c r="E43" s="27">
        <f t="shared" si="21"/>
        <v>0.1565</v>
      </c>
      <c r="F43" s="27">
        <f t="shared" si="22"/>
        <v>-0.8054856581175327</v>
      </c>
      <c r="G43" s="28">
        <f t="shared" si="23"/>
        <v>-0.13117603758542837</v>
      </c>
      <c r="H43" s="27">
        <f t="shared" si="24"/>
        <v>0.73930554308284635</v>
      </c>
      <c r="I43" s="41">
        <v>16</v>
      </c>
      <c r="J43" s="42">
        <f t="shared" si="25"/>
        <v>11.828888689325542</v>
      </c>
      <c r="K43" s="30">
        <f t="shared" si="26"/>
        <v>1.1828888689325543</v>
      </c>
      <c r="L43" s="43">
        <f t="shared" si="27"/>
        <v>1.165379902429083</v>
      </c>
      <c r="M43" s="30">
        <f>AVERAGE(L43:L45)</f>
        <v>1.0703691521017649</v>
      </c>
      <c r="N43" s="44">
        <f>STDEV(L43:L45)</f>
        <v>0.33621007992312935</v>
      </c>
      <c r="R43"/>
      <c r="S43"/>
      <c r="T43"/>
      <c r="U43"/>
    </row>
    <row r="44" spans="1:21" ht="15">
      <c r="A44" s="45"/>
      <c r="B44">
        <v>0.28799999999999998</v>
      </c>
      <c r="C44">
        <v>0.27100000000000002</v>
      </c>
      <c r="D44" s="27">
        <f t="shared" si="20"/>
        <v>0.27949999999999997</v>
      </c>
      <c r="E44" s="27">
        <f t="shared" si="21"/>
        <v>0.21699999999999997</v>
      </c>
      <c r="F44" s="27">
        <f t="shared" si="22"/>
        <v>-0.66354026615147055</v>
      </c>
      <c r="G44" s="28">
        <f t="shared" si="23"/>
        <v>1.0723655999405023E-2</v>
      </c>
      <c r="H44" s="27">
        <f t="shared" si="24"/>
        <v>1.0249995058027801</v>
      </c>
      <c r="I44" s="41">
        <v>16</v>
      </c>
      <c r="J44" s="42">
        <f t="shared" si="25"/>
        <v>16.399992092844482</v>
      </c>
      <c r="K44" s="30">
        <f t="shared" si="26"/>
        <v>1.6399992092844482</v>
      </c>
      <c r="L44" s="43">
        <f t="shared" si="27"/>
        <v>1.3488498745459594</v>
      </c>
      <c r="M44" s="30"/>
      <c r="N44" s="44"/>
      <c r="R44"/>
      <c r="S44"/>
      <c r="T44"/>
      <c r="U44"/>
    </row>
    <row r="45" spans="1:21" ht="15">
      <c r="A45" s="46"/>
      <c r="B45">
        <v>0.16600000000000001</v>
      </c>
      <c r="C45">
        <v>0.16400000000000001</v>
      </c>
      <c r="D45" s="27">
        <f t="shared" si="20"/>
        <v>0.16500000000000001</v>
      </c>
      <c r="E45" s="27">
        <f t="shared" si="21"/>
        <v>0.10250000000000001</v>
      </c>
      <c r="F45" s="27">
        <f t="shared" si="22"/>
        <v>-0.98927613460822683</v>
      </c>
      <c r="G45" s="28">
        <f t="shared" si="23"/>
        <v>-0.3149073439463666</v>
      </c>
      <c r="H45" s="27">
        <f t="shared" si="24"/>
        <v>0.48427567602718191</v>
      </c>
      <c r="I45" s="41">
        <v>16</v>
      </c>
      <c r="J45" s="42">
        <f t="shared" si="25"/>
        <v>7.7484108164349106</v>
      </c>
      <c r="K45" s="30">
        <f t="shared" si="26"/>
        <v>0.77484108164349108</v>
      </c>
      <c r="L45" s="43">
        <f t="shared" si="27"/>
        <v>0.69687767933025213</v>
      </c>
      <c r="M45" s="30"/>
      <c r="N45" s="44"/>
      <c r="R45"/>
      <c r="S45"/>
      <c r="T45"/>
      <c r="U45"/>
    </row>
    <row r="46" spans="1:21" ht="15">
      <c r="E46" s="28"/>
      <c r="F46" s="27"/>
      <c r="G46" s="30"/>
      <c r="H46" s="47"/>
      <c r="R46"/>
      <c r="S46"/>
      <c r="T46"/>
    </row>
    <row r="47" spans="1:21">
      <c r="E47" s="28"/>
      <c r="F47" s="27"/>
      <c r="G47" s="30"/>
      <c r="H47" s="47"/>
    </row>
    <row r="48" spans="1:21" ht="23.25">
      <c r="A48" s="14" t="s">
        <v>35</v>
      </c>
      <c r="E48" s="28"/>
      <c r="F48" s="27"/>
      <c r="H48" s="38"/>
      <c r="M48" s="39" t="s">
        <v>28</v>
      </c>
    </row>
    <row r="49" spans="1:25">
      <c r="A49" s="19" t="s">
        <v>14</v>
      </c>
      <c r="B49" s="21" t="s">
        <v>15</v>
      </c>
      <c r="C49" s="21" t="s">
        <v>15</v>
      </c>
      <c r="D49" s="9" t="s">
        <v>44</v>
      </c>
      <c r="E49" s="20" t="s">
        <v>50</v>
      </c>
      <c r="F49" s="21" t="s">
        <v>49</v>
      </c>
      <c r="G49" s="21" t="s">
        <v>48</v>
      </c>
      <c r="H49" s="21" t="s">
        <v>19</v>
      </c>
      <c r="I49" s="9" t="s">
        <v>47</v>
      </c>
      <c r="J49" s="21" t="s">
        <v>21</v>
      </c>
      <c r="K49" s="21" t="s">
        <v>46</v>
      </c>
      <c r="L49" s="21" t="s">
        <v>45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>
      <c r="A50" s="1" t="s">
        <v>25</v>
      </c>
      <c r="B50">
        <v>0.183</v>
      </c>
      <c r="C50">
        <v>0.17799999999999999</v>
      </c>
      <c r="D50" s="27">
        <f t="shared" ref="D50:D55" si="28">AVERAGE(B50:C50)</f>
        <v>0.18049999999999999</v>
      </c>
      <c r="E50" s="27">
        <f t="shared" ref="E50:E55" si="29">D50-E$8</f>
        <v>0.11799999999999999</v>
      </c>
      <c r="F50" s="27">
        <f t="shared" ref="F50:F55" si="30">LOG(E50)</f>
        <v>-0.92811799269387463</v>
      </c>
      <c r="G50" s="28">
        <f t="shared" ref="G50:G55" si="31">(F50-$B$16)/$B$15</f>
        <v>-0.25376889149178294</v>
      </c>
      <c r="H50" s="27">
        <f t="shared" ref="H50:H55" si="32">10^G50</f>
        <v>0.55748233256599311</v>
      </c>
      <c r="I50" s="41">
        <v>16</v>
      </c>
      <c r="J50" s="42">
        <f t="shared" ref="J50:J55" si="33">H50*I50</f>
        <v>8.9197173210558898</v>
      </c>
      <c r="K50" s="30">
        <f t="shared" ref="K50:K55" si="34">(0.1*J50/1000)*1000</f>
        <v>0.891971732105589</v>
      </c>
      <c r="L50" s="43">
        <f t="shared" ref="L50:L55" si="35">K50*100/L31</f>
        <v>0.79963857607639965</v>
      </c>
      <c r="M50" s="30">
        <f>AVERAGE(L50:L52)</f>
        <v>1.1394635687516026</v>
      </c>
      <c r="N50" s="44">
        <f>STDEV(L50:L52)</f>
        <v>0.32256853047869499</v>
      </c>
      <c r="O50" s="48">
        <f t="shared" ref="O50:O55" si="36">L50/L40</f>
        <v>2.0776869285795883</v>
      </c>
      <c r="P50" s="30">
        <f>AVERAGE(O50:O52)</f>
        <v>3.1237989257308776</v>
      </c>
      <c r="Q50" s="44">
        <f>STDEV(O50:O52)</f>
        <v>1.7179266102681667</v>
      </c>
      <c r="S50"/>
      <c r="T50"/>
    </row>
    <row r="51" spans="1:25" ht="15">
      <c r="B51">
        <v>0.21299999999999999</v>
      </c>
      <c r="C51">
        <v>0.184</v>
      </c>
      <c r="D51" s="27">
        <f t="shared" si="28"/>
        <v>0.19850000000000001</v>
      </c>
      <c r="E51" s="27">
        <f t="shared" si="29"/>
        <v>0.13600000000000001</v>
      </c>
      <c r="F51" s="27">
        <f t="shared" si="30"/>
        <v>-0.86646109162978246</v>
      </c>
      <c r="G51" s="28">
        <f t="shared" si="31"/>
        <v>-0.19213184045967266</v>
      </c>
      <c r="H51" s="27">
        <f t="shared" si="32"/>
        <v>0.6424926437260331</v>
      </c>
      <c r="I51" s="41">
        <v>16</v>
      </c>
      <c r="J51" s="42">
        <f t="shared" si="33"/>
        <v>10.27988229961653</v>
      </c>
      <c r="K51" s="30">
        <f t="shared" si="34"/>
        <v>1.027988229961653</v>
      </c>
      <c r="L51" s="43">
        <f t="shared" si="35"/>
        <v>1.1773166556548202</v>
      </c>
      <c r="M51" s="30"/>
      <c r="N51" s="44"/>
      <c r="O51" s="2">
        <f t="shared" si="36"/>
        <v>2.1872285661827822</v>
      </c>
      <c r="P51" s="30"/>
      <c r="Q51" s="44"/>
      <c r="S51"/>
      <c r="T51"/>
    </row>
    <row r="52" spans="1:25" ht="15">
      <c r="B52">
        <v>0.316</v>
      </c>
      <c r="C52">
        <v>0.29299999999999998</v>
      </c>
      <c r="D52" s="27">
        <f t="shared" si="28"/>
        <v>0.30449999999999999</v>
      </c>
      <c r="E52" s="27">
        <f t="shared" si="29"/>
        <v>0.24199999999999999</v>
      </c>
      <c r="F52" s="27">
        <f t="shared" si="30"/>
        <v>-0.61618463401956869</v>
      </c>
      <c r="G52" s="28">
        <f t="shared" si="31"/>
        <v>5.8064042298381149E-2</v>
      </c>
      <c r="H52" s="27">
        <f t="shared" si="32"/>
        <v>1.1430468793033137</v>
      </c>
      <c r="I52" s="41">
        <v>16</v>
      </c>
      <c r="J52" s="42">
        <f t="shared" si="33"/>
        <v>18.28875006885302</v>
      </c>
      <c r="K52" s="30">
        <f t="shared" si="34"/>
        <v>1.8288750068853021</v>
      </c>
      <c r="L52" s="43">
        <f t="shared" si="35"/>
        <v>1.4414354745235884</v>
      </c>
      <c r="M52" s="30"/>
      <c r="N52" s="44"/>
      <c r="O52" s="2">
        <f t="shared" si="36"/>
        <v>5.1064812824302637</v>
      </c>
      <c r="P52" s="30"/>
      <c r="Q52" s="44"/>
      <c r="S52"/>
      <c r="T52"/>
    </row>
    <row r="53" spans="1:25" ht="15">
      <c r="A53" s="1" t="s">
        <v>26</v>
      </c>
      <c r="B53">
        <v>0.40200000000000002</v>
      </c>
      <c r="C53">
        <v>0.376</v>
      </c>
      <c r="D53" s="27">
        <f t="shared" si="28"/>
        <v>0.38900000000000001</v>
      </c>
      <c r="E53" s="27">
        <f t="shared" si="29"/>
        <v>0.32650000000000001</v>
      </c>
      <c r="F53" s="27">
        <f t="shared" si="30"/>
        <v>-0.48611681438890725</v>
      </c>
      <c r="G53" s="28">
        <f t="shared" si="31"/>
        <v>0.18808998745376201</v>
      </c>
      <c r="H53" s="27">
        <f t="shared" si="32"/>
        <v>1.5420199321924961</v>
      </c>
      <c r="I53" s="41">
        <v>16</v>
      </c>
      <c r="J53" s="42">
        <f t="shared" si="33"/>
        <v>24.672318915079938</v>
      </c>
      <c r="K53" s="30">
        <f t="shared" si="34"/>
        <v>2.467231891507994</v>
      </c>
      <c r="L53" s="43">
        <f t="shared" si="35"/>
        <v>2.4593732894134939</v>
      </c>
      <c r="M53" s="30">
        <f>AVERAGE(L53:L55)</f>
        <v>2.5073925777763706</v>
      </c>
      <c r="N53" s="44">
        <f>STDEV(L53:L55)</f>
        <v>0.29785889474925231</v>
      </c>
      <c r="O53" s="2">
        <f t="shared" si="36"/>
        <v>2.1103618522056626</v>
      </c>
      <c r="P53" s="30">
        <f>AVERAGE(O53:O55)</f>
        <v>2.6080454397680342</v>
      </c>
      <c r="Q53" s="44">
        <f>STDEV(O53:O55)</f>
        <v>1.2739612341220423</v>
      </c>
      <c r="S53"/>
      <c r="T53"/>
    </row>
    <row r="54" spans="1:25" ht="15">
      <c r="A54" s="45"/>
      <c r="B54">
        <v>0.436</v>
      </c>
      <c r="C54">
        <v>0.39900000000000002</v>
      </c>
      <c r="D54" s="27">
        <f t="shared" si="28"/>
        <v>0.41749999999999998</v>
      </c>
      <c r="E54" s="27">
        <f t="shared" si="29"/>
        <v>0.35499999999999998</v>
      </c>
      <c r="F54" s="27">
        <f t="shared" si="30"/>
        <v>-0.44977164694490596</v>
      </c>
      <c r="G54" s="28">
        <f t="shared" si="31"/>
        <v>0.2244234538112069</v>
      </c>
      <c r="H54" s="27">
        <f t="shared" si="32"/>
        <v>1.6765768061469568</v>
      </c>
      <c r="I54" s="41">
        <v>16</v>
      </c>
      <c r="J54" s="42">
        <f t="shared" si="33"/>
        <v>26.825228898351309</v>
      </c>
      <c r="K54" s="30">
        <f t="shared" si="34"/>
        <v>2.682522889835131</v>
      </c>
      <c r="L54" s="43">
        <f t="shared" si="35"/>
        <v>2.2364606478450928</v>
      </c>
      <c r="M54" s="30"/>
      <c r="N54" s="44"/>
      <c r="O54" s="2">
        <f t="shared" si="36"/>
        <v>1.6580500840376435</v>
      </c>
      <c r="P54" s="30"/>
      <c r="Q54" s="44"/>
      <c r="S54"/>
      <c r="T54"/>
    </row>
    <row r="55" spans="1:25" ht="15">
      <c r="A55" s="46"/>
      <c r="B55">
        <v>0.46</v>
      </c>
      <c r="C55">
        <v>0.49099999999999999</v>
      </c>
      <c r="D55" s="27">
        <f t="shared" si="28"/>
        <v>0.47550000000000003</v>
      </c>
      <c r="E55" s="27">
        <f t="shared" si="29"/>
        <v>0.41300000000000003</v>
      </c>
      <c r="F55" s="27">
        <f t="shared" si="30"/>
        <v>-0.38404994834359896</v>
      </c>
      <c r="G55" s="28">
        <f t="shared" si="31"/>
        <v>0.2901239937458176</v>
      </c>
      <c r="H55" s="27">
        <f t="shared" si="32"/>
        <v>1.9504013718614195</v>
      </c>
      <c r="I55" s="41">
        <v>16</v>
      </c>
      <c r="J55" s="42">
        <f t="shared" si="33"/>
        <v>31.206421949782712</v>
      </c>
      <c r="K55" s="30">
        <f t="shared" si="34"/>
        <v>3.1206421949782714</v>
      </c>
      <c r="L55" s="43">
        <f t="shared" si="35"/>
        <v>2.826343796070526</v>
      </c>
      <c r="M55" s="30"/>
      <c r="N55" s="44"/>
      <c r="O55" s="2">
        <f t="shared" si="36"/>
        <v>4.0557243830607961</v>
      </c>
      <c r="P55" s="30"/>
      <c r="Q55" s="44"/>
      <c r="S55"/>
      <c r="T55"/>
      <c r="Y55" s="1"/>
    </row>
    <row r="56" spans="1:25">
      <c r="D56" s="27"/>
      <c r="E56" s="28"/>
      <c r="F56" s="27"/>
      <c r="G56" s="30"/>
      <c r="H56" s="47"/>
    </row>
    <row r="57" spans="1:25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>
      <c r="C58"/>
      <c r="D58"/>
      <c r="E58"/>
      <c r="F58"/>
      <c r="G58"/>
      <c r="H58" s="47"/>
      <c r="M58" s="2" t="s">
        <v>25</v>
      </c>
      <c r="N58" s="30">
        <f>P50</f>
        <v>3.1237989257308776</v>
      </c>
      <c r="O58" s="30">
        <f>Q50</f>
        <v>1.7179266102681667</v>
      </c>
    </row>
    <row r="59" spans="1:25" ht="15">
      <c r="D59"/>
      <c r="E59"/>
      <c r="G59"/>
      <c r="M59" s="2" t="s">
        <v>26</v>
      </c>
      <c r="N59" s="30">
        <f>P53</f>
        <v>2.6080454397680342</v>
      </c>
      <c r="O59" s="30">
        <f>Q53</f>
        <v>1.2739612341220423</v>
      </c>
    </row>
    <row r="60" spans="1:25">
      <c r="G60" s="30"/>
      <c r="H60" s="47"/>
    </row>
    <row r="61" spans="1:25" ht="15">
      <c r="A61" s="49"/>
      <c r="D61"/>
      <c r="E61"/>
      <c r="F61"/>
      <c r="G61" s="30"/>
      <c r="H61" s="47"/>
    </row>
    <row r="62" spans="1:25" ht="15">
      <c r="C62" s="27"/>
      <c r="D62"/>
      <c r="E62"/>
      <c r="F62"/>
      <c r="G62" s="30"/>
      <c r="H62" s="47"/>
    </row>
    <row r="63" spans="1:25" ht="15">
      <c r="C63" s="27"/>
      <c r="D63"/>
      <c r="E63"/>
      <c r="F63"/>
      <c r="G63" s="30"/>
      <c r="H63" s="47"/>
    </row>
    <row r="64" spans="1:25" ht="13.5" thickBot="1">
      <c r="B64" s="50" t="s">
        <v>44</v>
      </c>
      <c r="C64" s="51" t="s">
        <v>39</v>
      </c>
      <c r="D64" s="27"/>
      <c r="E64" s="28"/>
      <c r="F64" s="27"/>
      <c r="G64" s="30"/>
      <c r="H64" s="47"/>
    </row>
    <row r="65" spans="1:8">
      <c r="A65" s="1" t="s">
        <v>33</v>
      </c>
      <c r="B65" s="30">
        <f>M40</f>
        <v>0.40180466288477912</v>
      </c>
      <c r="C65" s="30">
        <f>N40</f>
        <v>0.12883401012453458</v>
      </c>
      <c r="D65" s="27"/>
      <c r="E65" s="28"/>
      <c r="F65" s="27"/>
      <c r="G65" s="30"/>
      <c r="H65" s="47"/>
    </row>
    <row r="66" spans="1:8">
      <c r="A66" s="1" t="s">
        <v>25</v>
      </c>
      <c r="B66" s="30">
        <f>M50</f>
        <v>1.1394635687516026</v>
      </c>
      <c r="C66" s="30">
        <f>N50</f>
        <v>0.32256853047869499</v>
      </c>
      <c r="D66" s="27"/>
      <c r="E66" s="28"/>
      <c r="F66" s="27"/>
      <c r="G66" s="30"/>
      <c r="H66" s="47"/>
    </row>
    <row r="67" spans="1:8">
      <c r="A67" s="52" t="s">
        <v>34</v>
      </c>
      <c r="B67" s="30">
        <f>M43</f>
        <v>1.0703691521017649</v>
      </c>
      <c r="C67" s="30">
        <f>N43</f>
        <v>0.33621007992312935</v>
      </c>
      <c r="D67" s="27"/>
      <c r="E67" s="28"/>
      <c r="F67" s="27"/>
      <c r="G67" s="30"/>
      <c r="H67" s="47"/>
    </row>
    <row r="68" spans="1:8">
      <c r="A68" s="45" t="s">
        <v>26</v>
      </c>
      <c r="B68" s="30">
        <f>M53</f>
        <v>2.5073925777763706</v>
      </c>
      <c r="C68" s="30">
        <f>N53</f>
        <v>0.29785889474925231</v>
      </c>
      <c r="D68" s="27"/>
      <c r="E68" s="28"/>
      <c r="F68" s="27"/>
      <c r="G68" s="30"/>
      <c r="H68" s="47"/>
    </row>
    <row r="69" spans="1:8">
      <c r="A69" s="53"/>
      <c r="C69" s="27"/>
      <c r="D69" s="27"/>
      <c r="E69" s="28"/>
      <c r="F69" s="27"/>
      <c r="G69" s="30"/>
      <c r="H69" s="47"/>
    </row>
    <row r="70" spans="1:8">
      <c r="A70" s="53"/>
      <c r="C70" s="27"/>
      <c r="D70" s="27"/>
      <c r="E70" s="28"/>
      <c r="F70" s="27"/>
      <c r="G70" s="30"/>
      <c r="H70" s="47"/>
    </row>
    <row r="71" spans="1:8">
      <c r="A71" s="53"/>
      <c r="B71" s="48"/>
      <c r="C71" s="27"/>
      <c r="D71" s="27"/>
      <c r="E71" s="28"/>
      <c r="F71" s="27"/>
      <c r="G71" s="30"/>
      <c r="H71" s="47"/>
    </row>
    <row r="72" spans="1:8">
      <c r="A72" s="53"/>
      <c r="B72" s="48"/>
      <c r="C72" s="27"/>
      <c r="D72" s="27"/>
      <c r="E72" s="28"/>
      <c r="F72" s="27"/>
      <c r="G72" s="30"/>
      <c r="H72" s="47"/>
    </row>
    <row r="73" spans="1:8">
      <c r="C73" s="27"/>
      <c r="D73" s="27"/>
      <c r="E73" s="28"/>
      <c r="F73" s="27"/>
      <c r="G73" s="30"/>
      <c r="H73" s="47"/>
    </row>
    <row r="74" spans="1:8">
      <c r="C74" s="27"/>
      <c r="D74" s="28"/>
      <c r="H74" s="47"/>
    </row>
    <row r="75" spans="1:8">
      <c r="A75" s="54"/>
      <c r="C75" s="27"/>
      <c r="D75" s="28"/>
      <c r="H75" s="38"/>
    </row>
    <row r="76" spans="1:8">
      <c r="A76" s="54"/>
      <c r="C76" s="27"/>
      <c r="D76" s="28"/>
    </row>
    <row r="77" spans="1:8">
      <c r="A77" s="55"/>
      <c r="B77" s="38"/>
      <c r="C77" s="56"/>
      <c r="D77" s="57"/>
      <c r="E77" s="38"/>
    </row>
    <row r="78" spans="1:8">
      <c r="A78" s="52"/>
      <c r="B78" s="58"/>
      <c r="C78" s="59"/>
      <c r="D78" s="38"/>
      <c r="E78" s="38"/>
    </row>
    <row r="79" spans="1:8">
      <c r="A79" s="52"/>
      <c r="B79" s="42"/>
      <c r="C79" s="56"/>
      <c r="D79" s="38"/>
      <c r="E79" s="38"/>
    </row>
    <row r="80" spans="1:8">
      <c r="A80" s="52"/>
      <c r="B80" s="42"/>
      <c r="C80" s="56"/>
      <c r="D80" s="38"/>
      <c r="E80" s="38"/>
    </row>
    <row r="81" spans="1:7">
      <c r="A81" s="52"/>
      <c r="B81" s="42"/>
      <c r="C81" s="56"/>
      <c r="D81" s="38"/>
      <c r="E81" s="38"/>
    </row>
    <row r="82" spans="1:7">
      <c r="A82" s="52"/>
      <c r="B82" s="42"/>
      <c r="C82" s="56"/>
      <c r="D82" s="38"/>
      <c r="E82" s="38"/>
    </row>
    <row r="83" spans="1:7">
      <c r="A83" s="52"/>
      <c r="B83" s="38"/>
      <c r="C83" s="38"/>
      <c r="D83" s="60"/>
      <c r="E83" s="58"/>
    </row>
    <row r="84" spans="1:7">
      <c r="A84" s="52"/>
      <c r="B84" s="42"/>
      <c r="C84" s="56"/>
      <c r="D84" s="47"/>
      <c r="E84" s="47"/>
    </row>
    <row r="85" spans="1:7">
      <c r="A85" s="52"/>
      <c r="B85" s="42"/>
      <c r="C85" s="56"/>
      <c r="D85" s="47"/>
      <c r="E85" s="47"/>
    </row>
    <row r="86" spans="1:7">
      <c r="A86" s="52"/>
      <c r="B86" s="42"/>
      <c r="C86" s="56"/>
      <c r="D86" s="47"/>
      <c r="E86" s="47"/>
      <c r="F86" s="47"/>
      <c r="G86" s="38"/>
    </row>
    <row r="87" spans="1:7">
      <c r="A87" s="52"/>
      <c r="B87" s="42"/>
      <c r="C87" s="56"/>
      <c r="D87" s="47"/>
      <c r="E87" s="47"/>
      <c r="F87" s="47"/>
      <c r="G87" s="38"/>
    </row>
    <row r="88" spans="1:7">
      <c r="A88" s="52"/>
      <c r="B88" s="38"/>
      <c r="C88" s="47"/>
      <c r="D88" s="47"/>
      <c r="E88" s="47"/>
      <c r="F88" s="47"/>
      <c r="G88" s="38"/>
    </row>
    <row r="89" spans="1:7">
      <c r="A89" s="52"/>
      <c r="B89" s="38"/>
      <c r="C89" s="47"/>
      <c r="D89" s="47"/>
      <c r="E89" s="47"/>
      <c r="F89" s="47"/>
      <c r="G89" s="38"/>
    </row>
    <row r="90" spans="1:7">
      <c r="C90" s="47"/>
      <c r="D90" s="47"/>
      <c r="E90" s="61"/>
      <c r="F90" s="61"/>
    </row>
    <row r="91" spans="1:7">
      <c r="C91" s="47"/>
      <c r="D91" s="47"/>
      <c r="E91" s="61"/>
      <c r="F91" s="61"/>
    </row>
    <row r="92" spans="1:7">
      <c r="C92" s="47"/>
      <c r="D92" s="47"/>
      <c r="E92" s="61"/>
      <c r="F92" s="61"/>
    </row>
    <row r="93" spans="1:7">
      <c r="C93" s="47"/>
      <c r="D93" s="47"/>
      <c r="E93" s="61"/>
      <c r="F93" s="61"/>
    </row>
    <row r="94" spans="1:7">
      <c r="C94" s="47"/>
      <c r="E94" s="61"/>
      <c r="F94" s="61"/>
    </row>
    <row r="95" spans="1:7">
      <c r="C95" s="47"/>
      <c r="E95" s="61"/>
      <c r="F95" s="61"/>
    </row>
    <row r="96" spans="1:7">
      <c r="C96" s="47"/>
      <c r="D96" s="47"/>
      <c r="E96" s="61"/>
      <c r="F96" s="61"/>
    </row>
    <row r="97" spans="2:6" s="2" customFormat="1">
      <c r="C97" s="47"/>
      <c r="D97" s="47"/>
      <c r="E97" s="61"/>
      <c r="F97" s="61"/>
    </row>
    <row r="98" spans="2:6" s="2" customFormat="1">
      <c r="C98" s="47"/>
      <c r="D98" s="47"/>
      <c r="E98" s="61"/>
      <c r="F98" s="61"/>
    </row>
    <row r="99" spans="2:6" s="2" customFormat="1">
      <c r="C99" s="47"/>
      <c r="D99" s="47"/>
      <c r="E99" s="61"/>
      <c r="F99" s="61"/>
    </row>
    <row r="100" spans="2:6" s="2" customFormat="1">
      <c r="C100" s="47"/>
      <c r="D100" s="47"/>
      <c r="E100" s="61"/>
      <c r="F100" s="61"/>
    </row>
    <row r="101" spans="2:6" s="2" customFormat="1">
      <c r="C101" s="47"/>
      <c r="D101" s="47"/>
      <c r="E101" s="61"/>
      <c r="F101" s="61"/>
    </row>
    <row r="102" spans="2:6" s="2" customFormat="1">
      <c r="C102" s="47"/>
      <c r="D102" s="47"/>
      <c r="E102" s="61"/>
      <c r="F102" s="61"/>
    </row>
    <row r="103" spans="2:6" s="2" customFormat="1">
      <c r="C103" s="47"/>
      <c r="D103" s="47"/>
      <c r="E103" s="61"/>
      <c r="F103" s="61"/>
    </row>
    <row r="104" spans="2:6" s="2" customFormat="1">
      <c r="C104" s="47"/>
      <c r="D104" s="47"/>
      <c r="E104" s="61"/>
      <c r="F104" s="61"/>
    </row>
    <row r="105" spans="2:6" s="2" customFormat="1">
      <c r="C105" s="47"/>
      <c r="D105" s="47"/>
      <c r="E105" s="61"/>
      <c r="F105" s="61"/>
    </row>
    <row r="106" spans="2:6" s="2" customFormat="1">
      <c r="C106" s="47"/>
    </row>
    <row r="107" spans="2:6" s="2" customFormat="1">
      <c r="C107" s="47"/>
    </row>
    <row r="108" spans="2:6" s="2" customFormat="1" ht="13.5" thickBot="1">
      <c r="B108" s="62"/>
      <c r="C108" s="62"/>
      <c r="D108" s="62"/>
      <c r="E108" s="62"/>
    </row>
    <row r="109" spans="2:6" s="2" customFormat="1">
      <c r="B109" s="61"/>
      <c r="C109" s="61"/>
      <c r="D109" s="61"/>
      <c r="E109" s="61"/>
    </row>
    <row r="110" spans="2:6" s="2" customFormat="1">
      <c r="B110" s="61"/>
      <c r="C110" s="61"/>
      <c r="D110" s="61"/>
      <c r="E110" s="61"/>
    </row>
    <row r="111" spans="2:6" s="2" customFormat="1">
      <c r="B111" s="61"/>
      <c r="C111" s="61"/>
      <c r="D111" s="61"/>
      <c r="E111" s="61"/>
    </row>
    <row r="112" spans="2:6" s="2" customFormat="1">
      <c r="B112" s="61"/>
      <c r="C112" s="61"/>
      <c r="D112" s="61"/>
      <c r="E112" s="61"/>
    </row>
    <row r="113" spans="2:5" s="2" customFormat="1">
      <c r="B113" s="61"/>
      <c r="C113" s="61"/>
      <c r="D113" s="61"/>
      <c r="E113" s="61"/>
    </row>
    <row r="114" spans="2:5" s="2" customFormat="1">
      <c r="B114" s="61"/>
      <c r="C114" s="61"/>
      <c r="D114" s="61"/>
      <c r="E114" s="61"/>
    </row>
    <row r="115" spans="2:5" s="2" customFormat="1">
      <c r="B115" s="61"/>
      <c r="C115" s="61"/>
      <c r="D115" s="61"/>
      <c r="E115" s="61"/>
    </row>
    <row r="116" spans="2:5" s="2" customFormat="1">
      <c r="B116" s="61"/>
      <c r="C116" s="61"/>
      <c r="D116" s="61"/>
      <c r="E116" s="61"/>
    </row>
    <row r="117" spans="2:5" s="2" customFormat="1">
      <c r="B117" s="61"/>
      <c r="C117" s="61"/>
      <c r="D117" s="61"/>
      <c r="E117" s="61"/>
    </row>
    <row r="118" spans="2:5" s="2" customFormat="1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siNTP</vt:lpstr>
      <vt:lpstr>siTCF19</vt:lpstr>
      <vt:lpstr>siHNF4A</vt:lpstr>
      <vt:lpstr>siHNF4A!Zone_d_impression</vt:lpstr>
      <vt:lpstr>siNTP!Zone_d_impression</vt:lpstr>
      <vt:lpstr>siTCF19!Zone_d_impression</vt:lpstr>
    </vt:vector>
  </TitlesOfParts>
  <Company>CNRS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fndiaye</cp:lastModifiedBy>
  <dcterms:created xsi:type="dcterms:W3CDTF">2015-12-08T15:20:20Z</dcterms:created>
  <dcterms:modified xsi:type="dcterms:W3CDTF">2016-05-12T08:54:27Z</dcterms:modified>
</cp:coreProperties>
</file>