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20" yWindow="495" windowWidth="9915" windowHeight="9795" activeTab="2"/>
  </bookViews>
  <sheets>
    <sheet name="siNTP" sheetId="3" r:id="rId1"/>
    <sheet name="siKCNJ11" sheetId="1" r:id="rId2"/>
    <sheet name="siHNF4A" sheetId="4" r:id="rId3"/>
  </sheets>
  <externalReferences>
    <externalReference r:id="rId4"/>
  </externalReferences>
  <definedNames>
    <definedName name="_xlnm.Print_Area" localSheetId="2">siHNF4A!$A$1:$Q$83</definedName>
    <definedName name="_xlnm.Print_Area" localSheetId="1">siKCNJ11!$A$1:$Q$83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B9" i="4"/>
  <c r="B10"/>
  <c r="B11"/>
  <c r="B12"/>
  <c r="B13"/>
  <c r="B8"/>
  <c r="B9" i="1"/>
  <c r="B10"/>
  <c r="B11"/>
  <c r="B12"/>
  <c r="B13"/>
  <c r="B8"/>
  <c r="B9" i="3"/>
  <c r="B10"/>
  <c r="B11"/>
  <c r="B12"/>
  <c r="B13"/>
  <c r="B8"/>
  <c r="E8" i="4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B15"/>
  <c r="B16"/>
  <c r="D22"/>
  <c r="E22"/>
  <c r="F22"/>
  <c r="G22"/>
  <c r="H22"/>
  <c r="J22"/>
  <c r="K22"/>
  <c r="D23"/>
  <c r="E23"/>
  <c r="F23"/>
  <c r="G23"/>
  <c r="H23"/>
  <c r="J23"/>
  <c r="K23"/>
  <c r="D24"/>
  <c r="E24"/>
  <c r="F24"/>
  <c r="G24"/>
  <c r="H24"/>
  <c r="J24"/>
  <c r="K24"/>
  <c r="D25"/>
  <c r="E25"/>
  <c r="F25"/>
  <c r="G25"/>
  <c r="H25"/>
  <c r="J25"/>
  <c r="K25"/>
  <c r="D26"/>
  <c r="E26"/>
  <c r="F26"/>
  <c r="G26"/>
  <c r="H26"/>
  <c r="J26"/>
  <c r="K26"/>
  <c r="D27"/>
  <c r="E27"/>
  <c r="F27"/>
  <c r="G27"/>
  <c r="H27"/>
  <c r="J27"/>
  <c r="K27"/>
  <c r="D31"/>
  <c r="E31"/>
  <c r="F31"/>
  <c r="G31"/>
  <c r="H31"/>
  <c r="J31"/>
  <c r="K31"/>
  <c r="D32"/>
  <c r="E32"/>
  <c r="F32"/>
  <c r="G32"/>
  <c r="H32"/>
  <c r="J32"/>
  <c r="K32"/>
  <c r="D33"/>
  <c r="E33"/>
  <c r="F33"/>
  <c r="G33"/>
  <c r="H33"/>
  <c r="J33"/>
  <c r="K33"/>
  <c r="D34"/>
  <c r="E34"/>
  <c r="F34"/>
  <c r="G34"/>
  <c r="H34"/>
  <c r="J34"/>
  <c r="K34"/>
  <c r="D35"/>
  <c r="E35"/>
  <c r="F35"/>
  <c r="G35"/>
  <c r="H35"/>
  <c r="J35"/>
  <c r="K35"/>
  <c r="D36"/>
  <c r="E36"/>
  <c r="F36"/>
  <c r="G36"/>
  <c r="H36"/>
  <c r="J36"/>
  <c r="K36"/>
  <c r="D40"/>
  <c r="E40"/>
  <c r="F40"/>
  <c r="G40"/>
  <c r="H40"/>
  <c r="J40"/>
  <c r="K40"/>
  <c r="D41"/>
  <c r="E41"/>
  <c r="F41"/>
  <c r="G41"/>
  <c r="H41"/>
  <c r="J41"/>
  <c r="K41"/>
  <c r="D42"/>
  <c r="E42"/>
  <c r="F42"/>
  <c r="G42"/>
  <c r="H42"/>
  <c r="J42"/>
  <c r="K42"/>
  <c r="D43"/>
  <c r="E43"/>
  <c r="F43"/>
  <c r="G43"/>
  <c r="H43"/>
  <c r="J43"/>
  <c r="K43"/>
  <c r="D44"/>
  <c r="E44"/>
  <c r="F44"/>
  <c r="G44"/>
  <c r="H44"/>
  <c r="J44"/>
  <c r="K44"/>
  <c r="D45"/>
  <c r="E45"/>
  <c r="F45"/>
  <c r="G45"/>
  <c r="H45"/>
  <c r="J45"/>
  <c r="K45"/>
  <c r="D50"/>
  <c r="E50"/>
  <c r="F50"/>
  <c r="G50"/>
  <c r="H50"/>
  <c r="J50"/>
  <c r="K50"/>
  <c r="L31" s="1"/>
  <c r="D51"/>
  <c r="E51"/>
  <c r="F51"/>
  <c r="G51"/>
  <c r="H51"/>
  <c r="J51"/>
  <c r="K51"/>
  <c r="L32" s="1"/>
  <c r="D52"/>
  <c r="E52"/>
  <c r="F52"/>
  <c r="G52"/>
  <c r="H52"/>
  <c r="J52"/>
  <c r="K52"/>
  <c r="L33" s="1"/>
  <c r="D53"/>
  <c r="E53"/>
  <c r="F53"/>
  <c r="G53"/>
  <c r="H53"/>
  <c r="J53"/>
  <c r="K53"/>
  <c r="L34" s="1"/>
  <c r="D54"/>
  <c r="E54"/>
  <c r="F54"/>
  <c r="G54"/>
  <c r="H54"/>
  <c r="J54"/>
  <c r="K54"/>
  <c r="L35" s="1"/>
  <c r="D55"/>
  <c r="E55"/>
  <c r="F55"/>
  <c r="G55"/>
  <c r="H55"/>
  <c r="J55"/>
  <c r="K55"/>
  <c r="L36" s="1"/>
  <c r="L27" l="1"/>
  <c r="L26"/>
  <c r="L25"/>
  <c r="L24"/>
  <c r="L23"/>
  <c r="L22"/>
  <c r="M36"/>
  <c r="L55"/>
  <c r="M35"/>
  <c r="L54"/>
  <c r="M34"/>
  <c r="L53"/>
  <c r="M33"/>
  <c r="L52"/>
  <c r="M32"/>
  <c r="L51"/>
  <c r="M31"/>
  <c r="L50"/>
  <c r="M27"/>
  <c r="L45"/>
  <c r="M26"/>
  <c r="L44"/>
  <c r="M25"/>
  <c r="L43"/>
  <c r="M24"/>
  <c r="L42"/>
  <c r="M23"/>
  <c r="L41"/>
  <c r="M22"/>
  <c r="L40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M40" i="4" l="1"/>
  <c r="B65" s="1"/>
  <c r="N40"/>
  <c r="C65" s="1"/>
  <c r="M43"/>
  <c r="B67" s="1"/>
  <c r="N43"/>
  <c r="C67" s="1"/>
  <c r="M50"/>
  <c r="B66" s="1"/>
  <c r="N50"/>
  <c r="C66" s="1"/>
  <c r="O50"/>
  <c r="M53"/>
  <c r="B68" s="1"/>
  <c r="N53"/>
  <c r="C68" s="1"/>
  <c r="O53"/>
  <c r="O51"/>
  <c r="O52"/>
  <c r="O54"/>
  <c r="O55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P53" i="4" l="1"/>
  <c r="N59" s="1"/>
  <c r="Q53"/>
  <c r="O59" s="1"/>
  <c r="P50"/>
  <c r="N58" s="1"/>
  <c r="Q50"/>
  <c r="O58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3" l="1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3" l="1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<sst xmlns="http://schemas.openxmlformats.org/spreadsheetml/2006/main" count="297" uniqueCount="51">
  <si>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</si>
  <si>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</si>
  <si>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</si>
  <si>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</si>
  <si>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</si>
  <si>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</si>
  <si>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</si>
  <si>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</si>
  <si>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</si>
  <si>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</si>
  <si>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</si>
  <si>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</si>
  <si>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</si>
  <si>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</si>
  <si>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</si>
  <si>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</si>
  <si>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</si>
  <si>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</si>
  <si>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</si>
  <si>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</si>
  <si>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</si>
  <si>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</si>
  <si>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</si>
  <si>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</si>
  <si>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</si>
  <si>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</si>
  <si>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</si>
  <si>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</si>
  <si>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</si>
  <si>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</si>
  <si>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</si>
  <si>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</si>
  <si>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</si>
  <si>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</si>
  <si>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</si>
  <si>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</si>
  <si>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</si>
  <si>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</si>
  <si>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</si>
  <si>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</si>
  <si>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</si>
  <si>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</si>
  <si>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</si>
  <si>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</si>
  <si>
    <t>mean</t>
    <phoneticPr fontId="0" type="noConversion"/>
  </si>
  <si>
    <t xml:space="preserve"> insulin secretion (% of content) </t>
    <phoneticPr fontId="0" type="noConversion"/>
  </si>
  <si>
    <t>Total ng (in 100 ul)</t>
    <phoneticPr fontId="0" type="noConversion"/>
  </si>
  <si>
    <t>log conc</t>
    <phoneticPr fontId="0" type="noConversion"/>
  </si>
  <si>
    <t>log (Abs)</t>
    <phoneticPr fontId="0" type="noConversion"/>
  </si>
  <si>
    <t>mean-BK</t>
    <phoneticPr fontId="0" type="noConversion"/>
  </si>
  <si>
    <t>log (Conc)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</si>
</sst>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0" xfId="6" applyFill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-1.1106982974936896</c:v>
                </c:pt>
                <c:pt idx="2">
                  <c:v>-0.63264407897398101</c:v>
                </c:pt>
                <c:pt idx="3">
                  <c:v>-4.7207556955907962E-2</c:v>
                </c:pt>
                <c:pt idx="4">
                  <c:v>0.22414443217129029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0.23672964838120811</c:v>
                  </c:pt>
                  <c:pt idx="1">
                    <c:v>9.8500298676005363E-2</c:v>
                  </c:pt>
                  <c:pt idx="2">
                    <c:v>7.0736204352669113E-2</c:v>
                  </c:pt>
                  <c:pt idx="3">
                    <c:v>0.32525145929478982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0.23672964838120811</c:v>
                  </c:pt>
                  <c:pt idx="1">
                    <c:v>9.8500298676005363E-2</c:v>
                  </c:pt>
                  <c:pt idx="2">
                    <c:v>7.0736204352669113E-2</c:v>
                  </c:pt>
                  <c:pt idx="3">
                    <c:v>0.32525145929478982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0.67403587316547908</c:v>
                </c:pt>
                <c:pt idx="1">
                  <c:v>1.0390216370701761</c:v>
                </c:pt>
                <c:pt idx="2">
                  <c:v>1.1206518363326357</c:v>
                </c:pt>
                <c:pt idx="3">
                  <c:v>2.7692449084685489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0.68145400586123428</c:v>
                  </c:pt>
                  <c:pt idx="1">
                    <c:v>0.45839637013173323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0.68145400586123428</c:v>
                  </c:pt>
                  <c:pt idx="1">
                    <c:v>0.45839637013173323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1.7010484028024064</c:v>
                </c:pt>
                <c:pt idx="1">
                  <c:v>2.4903059263650063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-1.1106982974936896</c:v>
                </c:pt>
                <c:pt idx="2">
                  <c:v>-0.63264407897398101</c:v>
                </c:pt>
                <c:pt idx="3">
                  <c:v>-4.7207556955907962E-2</c:v>
                </c:pt>
                <c:pt idx="4">
                  <c:v>0.22414443217129029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siKCNJ11!$C$65:$C$68</c:f>
                <c:numCache>
                  <c:formatCode>General</c:formatCode>
                  <c:ptCount val="4"/>
                  <c:pt idx="0">
                    <c:v>0.3730695935352592</c:v>
                  </c:pt>
                  <c:pt idx="1">
                    <c:v>0.22668896757165893</c:v>
                  </c:pt>
                  <c:pt idx="2">
                    <c:v>0.43782623062853659</c:v>
                  </c:pt>
                  <c:pt idx="3">
                    <c:v>0.71207634736761383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0.3730695935352592</c:v>
                  </c:pt>
                  <c:pt idx="1">
                    <c:v>0.22668896757165893</c:v>
                  </c:pt>
                  <c:pt idx="2">
                    <c:v>0.43782623062853659</c:v>
                  </c:pt>
                  <c:pt idx="3">
                    <c:v>0.71207634736761383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0.87601515161719801</c:v>
                </c:pt>
                <c:pt idx="1">
                  <c:v>1.0754355113502454</c:v>
                </c:pt>
                <c:pt idx="2">
                  <c:v>1.4422907882813059</c:v>
                </c:pt>
                <c:pt idx="3">
                  <c:v>3.554137902041782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siKCNJ11!$O$58:$O$59</c:f>
                <c:numCache>
                  <c:formatCode>General</c:formatCode>
                  <c:ptCount val="2"/>
                  <c:pt idx="0">
                    <c:v>1.0233566356660293</c:v>
                  </c:pt>
                  <c:pt idx="1">
                    <c:v>0.30142120140638001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1.0233566356660293</c:v>
                  </c:pt>
                  <c:pt idx="1">
                    <c:v>0.30142120140638001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1.5178927821816923</c:v>
                </c:pt>
                <c:pt idx="1">
                  <c:v>2.5141686866881128</c:v>
                </c:pt>
              </c:numCache>
            </c:numRef>
          </c:val>
        </c:ser>
        <c:axId val="60554624"/>
        <c:axId val="60568704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8704"/>
        <c:crosses val="autoZero"/>
        <c:auto val="1"/>
        <c:lblAlgn val="ctr"/>
        <c:lblOffset val="100"/>
      </c:catAx>
      <c:valAx>
        <c:axId val="605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-1.1106982974936896</c:v>
                </c:pt>
                <c:pt idx="2">
                  <c:v>-0.63264407897398101</c:v>
                </c:pt>
                <c:pt idx="3">
                  <c:v>-4.7207556955907962E-2</c:v>
                </c:pt>
                <c:pt idx="4">
                  <c:v>0.22414443217129029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0.3730695935352592</c:v>
                  </c:pt>
                  <c:pt idx="1">
                    <c:v>0.22668896757165893</c:v>
                  </c:pt>
                  <c:pt idx="2">
                    <c:v>0.43782623062853659</c:v>
                  </c:pt>
                  <c:pt idx="3">
                    <c:v>0.71207634736761383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0.3730695935352592</c:v>
                  </c:pt>
                  <c:pt idx="1">
                    <c:v>0.22668896757165893</c:v>
                  </c:pt>
                  <c:pt idx="2">
                    <c:v>0.43782623062853659</c:v>
                  </c:pt>
                  <c:pt idx="3">
                    <c:v>0.71207634736761383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0.87601515161719801</c:v>
                </c:pt>
                <c:pt idx="1">
                  <c:v>1.0754355113502454</c:v>
                </c:pt>
                <c:pt idx="2">
                  <c:v>1.4422907882813059</c:v>
                </c:pt>
                <c:pt idx="3">
                  <c:v>3.554137902041782</c:v>
                </c:pt>
              </c:numCache>
            </c:numRef>
          </c:val>
        </c:ser>
        <c:axId val="60647680"/>
        <c:axId val="60665856"/>
      </c:barChart>
      <c:catAx>
        <c:axId val="60647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5856"/>
        <c:crosses val="autoZero"/>
        <c:auto val="1"/>
        <c:lblAlgn val="ctr"/>
        <c:lblOffset val="100"/>
      </c:catAx>
      <c:valAx>
        <c:axId val="6066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47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1.0233566356660293</c:v>
                  </c:pt>
                  <c:pt idx="1">
                    <c:v>0.30142120140638001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1.0233566356660293</c:v>
                  </c:pt>
                  <c:pt idx="1">
                    <c:v>0.30142120140638001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1.5178927821816923</c:v>
                </c:pt>
                <c:pt idx="1">
                  <c:v>2.5141686866881128</c:v>
                </c:pt>
              </c:numCache>
            </c:numRef>
          </c:val>
        </c:ser>
        <c:axId val="60772352"/>
        <c:axId val="60773888"/>
      </c:barChart>
      <c:catAx>
        <c:axId val="60772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3888"/>
        <c:crosses val="autoZero"/>
        <c:auto val="1"/>
        <c:lblAlgn val="ctr"/>
        <c:lblOffset val="100"/>
      </c:catAx>
      <c:valAx>
        <c:axId val="60773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2"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42725</v>
      </c>
    </row>
    <row r="2" spans="1:20">
      <c r="A2" s="1" t="s">
        <v>1</v>
      </c>
      <c r="B2" s="2">
        <v>77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>
        <v>5.5E-2</v>
      </c>
      <c r="D8">
        <v>6.4000000000000001E-2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7.0999999999999994E-2</v>
      </c>
      <c r="D9">
        <v>7.5999999999999998E-2</v>
      </c>
      <c r="E9" s="11">
        <f t="shared" si="0"/>
        <v>7.3499999999999996E-2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0.13200000000000001</v>
      </c>
      <c r="D10">
        <v>0.14199999999999999</v>
      </c>
      <c r="E10" s="11">
        <f t="shared" si="0"/>
        <v>0.13700000000000001</v>
      </c>
      <c r="F10" s="12">
        <f>(E10-$E$8)</f>
        <v>7.7500000000000013E-2</v>
      </c>
      <c r="G10" s="12">
        <f>LOG(B10)</f>
        <v>-0.34469449671881253</v>
      </c>
      <c r="H10" s="12">
        <f>LOG(F10)</f>
        <v>-1.1106982974936896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0.28100000000000003</v>
      </c>
      <c r="D11">
        <v>0.30399999999999999</v>
      </c>
      <c r="E11" s="11">
        <f t="shared" si="0"/>
        <v>0.29249999999999998</v>
      </c>
      <c r="F11" s="12">
        <f>(E11-$E$8)</f>
        <v>0.23299999999999998</v>
      </c>
      <c r="G11" s="12">
        <f>LOG(B11)</f>
        <v>0.13658271777200767</v>
      </c>
      <c r="H11" s="12">
        <f>LOG(F11)</f>
        <v>-0.63264407897398101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0.97</v>
      </c>
      <c r="D12">
        <v>0.94299999999999995</v>
      </c>
      <c r="E12" s="11">
        <f t="shared" si="0"/>
        <v>0.95649999999999991</v>
      </c>
      <c r="F12" s="12">
        <f>(E12-$E$8)</f>
        <v>0.89699999999999991</v>
      </c>
      <c r="G12" s="12">
        <f>LOG(B12)</f>
        <v>0.66357802924717735</v>
      </c>
      <c r="H12" s="12">
        <f>LOG(F12)</f>
        <v>-4.7207556955907962E-2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1.736</v>
      </c>
      <c r="D13">
        <v>1.734</v>
      </c>
      <c r="E13" s="11">
        <f t="shared" si="0"/>
        <v>1.7349999999999999</v>
      </c>
      <c r="F13" s="12">
        <f>(E13-$E$8)</f>
        <v>1.6755</v>
      </c>
      <c r="G13" s="12">
        <f>LOG(B13)</f>
        <v>0.96049145871632635</v>
      </c>
      <c r="H13" s="12">
        <f>LOG(F13)</f>
        <v>0.22414443217129029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1.1255329689875946</v>
      </c>
      <c r="N15"/>
    </row>
    <row r="16" spans="1:20" ht="15">
      <c r="A16" s="5" t="s">
        <v>11</v>
      </c>
      <c r="B16" s="11">
        <f>INTERCEPT(H9:H13,G9:G13)</f>
        <v>-0.8084359865246431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0.66200000000000003</v>
      </c>
      <c r="C22">
        <v>0.64900000000000002</v>
      </c>
      <c r="D22" s="27">
        <f>AVERAGE(B22:C22)</f>
        <v>0.65549999999999997</v>
      </c>
      <c r="E22" s="27">
        <f t="shared" ref="E22:E27" si="2">D22-E$8</f>
        <v>0.59599999999999997</v>
      </c>
      <c r="F22" s="27">
        <f>LOG(E22)</f>
        <v>-0.22475374025976358</v>
      </c>
      <c r="G22" s="28">
        <f>(F22-$B$16)/$B$15</f>
        <v>0.51858298454810769</v>
      </c>
      <c r="H22" s="28">
        <f>10^G22</f>
        <v>3.300524679759731</v>
      </c>
      <c r="I22" s="29">
        <v>500</v>
      </c>
      <c r="J22" s="30">
        <f>(H22*I22)</f>
        <v>1650.2623398798655</v>
      </c>
      <c r="K22" s="31">
        <f>(0.05*J22/1000)*1000</f>
        <v>82.513116993993279</v>
      </c>
      <c r="L22" s="32">
        <f>K22+K40+K50</f>
        <v>83.735221514758024</v>
      </c>
      <c r="M22" s="33">
        <f>(L22*1000000/50000)/1000</f>
        <v>1.6747044302951604</v>
      </c>
      <c r="N22" s="34"/>
    </row>
    <row r="23" spans="1:17" ht="15">
      <c r="B23">
        <v>0.56699999999999995</v>
      </c>
      <c r="C23">
        <v>0.66200000000000003</v>
      </c>
      <c r="D23" s="27">
        <f t="shared" ref="D23:D27" si="3">AVERAGE(B23:C23)</f>
        <v>0.61450000000000005</v>
      </c>
      <c r="E23" s="27">
        <f t="shared" si="2"/>
        <v>0.55500000000000005</v>
      </c>
      <c r="F23" s="27">
        <f t="shared" ref="F23:F27" si="4">LOG(E23)</f>
        <v>-0.25570701687732372</v>
      </c>
      <c r="G23" s="28">
        <f t="shared" ref="G23:G27" si="5">(F23-$B$16)/$B$15</f>
        <v>0.49108198949027099</v>
      </c>
      <c r="H23" s="28">
        <f t="shared" ref="H23:H27" si="6">10^G23</f>
        <v>3.0980041093246258</v>
      </c>
      <c r="I23" s="29">
        <v>500</v>
      </c>
      <c r="J23" s="30">
        <f t="shared" ref="J23:J27" si="7">(H23*I23)</f>
        <v>1549.002054662313</v>
      </c>
      <c r="K23" s="31">
        <f t="shared" ref="K23:K27" si="8">(0.05*J23/1000)*1000</f>
        <v>77.450102733115656</v>
      </c>
      <c r="L23" s="32">
        <f>K23+K41+K51</f>
        <v>78.899642460106463</v>
      </c>
      <c r="M23" s="33">
        <f t="shared" ref="M23:M27" si="9">(L23*1000000/50000)/1000</f>
        <v>1.5779928492021293</v>
      </c>
      <c r="N23" s="34"/>
    </row>
    <row r="24" spans="1:17" ht="15">
      <c r="B24">
        <v>0.54800000000000004</v>
      </c>
      <c r="C24">
        <v>0.56899999999999995</v>
      </c>
      <c r="D24" s="27">
        <f t="shared" si="3"/>
        <v>0.5585</v>
      </c>
      <c r="E24" s="27">
        <f t="shared" si="2"/>
        <v>0.499</v>
      </c>
      <c r="F24" s="27">
        <f t="shared" si="4"/>
        <v>-0.30189945437661009</v>
      </c>
      <c r="G24" s="28">
        <f t="shared" si="5"/>
        <v>0.45004148799271293</v>
      </c>
      <c r="H24" s="28">
        <f t="shared" si="6"/>
        <v>2.8186521832136719</v>
      </c>
      <c r="I24" s="29">
        <v>500</v>
      </c>
      <c r="J24" s="30">
        <f t="shared" si="7"/>
        <v>1409.3260916068359</v>
      </c>
      <c r="K24" s="31">
        <f t="shared" si="8"/>
        <v>70.466304580341799</v>
      </c>
      <c r="L24" s="32">
        <f t="shared" ref="L24:L27" si="10">K24+K42+K52</f>
        <v>71.773788001438135</v>
      </c>
      <c r="M24" s="33">
        <f t="shared" si="9"/>
        <v>1.4354757600287629</v>
      </c>
      <c r="N24" s="34"/>
    </row>
    <row r="25" spans="1:17" ht="15">
      <c r="A25" s="1" t="s">
        <v>26</v>
      </c>
      <c r="B25">
        <v>0.58299999999999996</v>
      </c>
      <c r="C25">
        <v>0.58199999999999996</v>
      </c>
      <c r="D25" s="27">
        <f t="shared" si="3"/>
        <v>0.58250000000000002</v>
      </c>
      <c r="E25" s="27">
        <f t="shared" si="2"/>
        <v>0.52300000000000002</v>
      </c>
      <c r="F25" s="27">
        <f t="shared" si="4"/>
        <v>-0.28149831113272572</v>
      </c>
      <c r="G25" s="28">
        <f t="shared" si="5"/>
        <v>0.46816725045903579</v>
      </c>
      <c r="H25" s="28">
        <f t="shared" si="6"/>
        <v>2.938781183426376</v>
      </c>
      <c r="I25" s="29">
        <v>500</v>
      </c>
      <c r="J25" s="30">
        <f t="shared" si="7"/>
        <v>1469.3905917131881</v>
      </c>
      <c r="K25" s="31">
        <f t="shared" si="8"/>
        <v>73.469529585659402</v>
      </c>
      <c r="L25" s="32">
        <f t="shared" si="10"/>
        <v>76.265607613734787</v>
      </c>
      <c r="M25" s="33">
        <f t="shared" si="9"/>
        <v>1.5253121522746955</v>
      </c>
      <c r="N25" s="34"/>
    </row>
    <row r="26" spans="1:17" ht="15">
      <c r="B26">
        <v>0.53600000000000003</v>
      </c>
      <c r="C26">
        <v>0.47899999999999998</v>
      </c>
      <c r="D26" s="27">
        <f t="shared" si="3"/>
        <v>0.50750000000000006</v>
      </c>
      <c r="E26" s="27">
        <f t="shared" si="2"/>
        <v>0.44800000000000006</v>
      </c>
      <c r="F26" s="27">
        <f t="shared" si="4"/>
        <v>-0.34872198600185594</v>
      </c>
      <c r="G26" s="28">
        <f t="shared" si="5"/>
        <v>0.40844116804174579</v>
      </c>
      <c r="H26" s="28">
        <f t="shared" si="6"/>
        <v>2.5611862879750422</v>
      </c>
      <c r="I26" s="29">
        <v>500</v>
      </c>
      <c r="J26" s="30">
        <f t="shared" si="7"/>
        <v>1280.5931439875212</v>
      </c>
      <c r="K26" s="31">
        <f t="shared" si="8"/>
        <v>64.029657199376061</v>
      </c>
      <c r="L26" s="32">
        <f t="shared" si="10"/>
        <v>66.799171389564236</v>
      </c>
      <c r="M26" s="33">
        <f t="shared" si="9"/>
        <v>1.3359834277912848</v>
      </c>
      <c r="N26" s="34"/>
    </row>
    <row r="27" spans="1:17" ht="15">
      <c r="B27">
        <v>0.47499999999999998</v>
      </c>
      <c r="C27">
        <v>0.51500000000000001</v>
      </c>
      <c r="D27" s="27">
        <f t="shared" si="3"/>
        <v>0.495</v>
      </c>
      <c r="E27" s="27">
        <f t="shared" si="2"/>
        <v>0.4355</v>
      </c>
      <c r="F27" s="27">
        <f t="shared" si="4"/>
        <v>-0.36101184065631797</v>
      </c>
      <c r="G27" s="28">
        <f t="shared" si="5"/>
        <v>0.39752202573930695</v>
      </c>
      <c r="H27" s="28">
        <f t="shared" si="6"/>
        <v>2.4975950543200489</v>
      </c>
      <c r="I27" s="29">
        <v>500</v>
      </c>
      <c r="J27" s="30">
        <f t="shared" si="7"/>
        <v>1248.7975271600244</v>
      </c>
      <c r="K27" s="31">
        <f t="shared" si="8"/>
        <v>62.439876358001221</v>
      </c>
      <c r="L27" s="32">
        <f t="shared" si="10"/>
        <v>64.882561550869781</v>
      </c>
      <c r="M27" s="33">
        <f t="shared" si="9"/>
        <v>1.2976512310173955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0.66200000000000003</v>
      </c>
      <c r="C31">
        <v>0.64900000000000002</v>
      </c>
      <c r="D31" s="27">
        <f t="shared" ref="D31:D36" si="11">AVERAGE(B31:C31)</f>
        <v>0.65549999999999997</v>
      </c>
      <c r="E31" s="27">
        <f t="shared" ref="E31:E36" si="12">D31-E$8</f>
        <v>0.59599999999999997</v>
      </c>
      <c r="F31" s="27">
        <f>LOG(E31)</f>
        <v>-0.22475374025976358</v>
      </c>
      <c r="G31" s="28">
        <f>(F31-$B$16)/$B$15</f>
        <v>0.51858298454810769</v>
      </c>
      <c r="H31" s="28">
        <f>10^G31</f>
        <v>3.300524679759731</v>
      </c>
      <c r="I31" s="29">
        <v>500</v>
      </c>
      <c r="J31" s="30">
        <f>(H31*I31)</f>
        <v>1650.2623398798655</v>
      </c>
      <c r="K31" s="31">
        <f>(0.05*J31/1000)*1000</f>
        <v>82.513116993993279</v>
      </c>
      <c r="L31" s="32">
        <f>K31+K50</f>
        <v>83.37524072294373</v>
      </c>
      <c r="M31" s="33">
        <f>(L31*1000000/50000)/1000</f>
        <v>1.6675048144588744</v>
      </c>
      <c r="N31" s="35"/>
      <c r="Q31"/>
    </row>
    <row r="32" spans="1:17" ht="15">
      <c r="B32">
        <v>0.56699999999999995</v>
      </c>
      <c r="C32">
        <v>0.66200000000000003</v>
      </c>
      <c r="D32" s="27">
        <f t="shared" si="11"/>
        <v>0.61450000000000005</v>
      </c>
      <c r="E32" s="27">
        <f t="shared" si="12"/>
        <v>0.55500000000000005</v>
      </c>
      <c r="F32" s="27">
        <f t="shared" ref="F32:F36" si="13">LOG(E32)</f>
        <v>-0.25570701687732372</v>
      </c>
      <c r="G32" s="28">
        <f t="shared" ref="G32:G36" si="14">(F32-$B$16)/$B$15</f>
        <v>0.49108198949027099</v>
      </c>
      <c r="H32" s="28">
        <f t="shared" ref="H32:H36" si="15">10^G32</f>
        <v>3.0980041093246258</v>
      </c>
      <c r="I32" s="29">
        <v>500</v>
      </c>
      <c r="J32" s="30">
        <f t="shared" ref="J32:J36" si="16">(H32*I32)</f>
        <v>1549.002054662313</v>
      </c>
      <c r="K32" s="31">
        <f t="shared" ref="K32:K36" si="17">(0.05*J32/1000)*1000</f>
        <v>77.450102733115656</v>
      </c>
      <c r="L32" s="32">
        <f>K32+K51</f>
        <v>78.187499110295335</v>
      </c>
      <c r="M32" s="33">
        <f t="shared" ref="M32:M36" si="18">(L32*1000000/50000)/1000</f>
        <v>1.5637499822059069</v>
      </c>
      <c r="N32" s="36"/>
      <c r="Q32"/>
    </row>
    <row r="33" spans="1:21" ht="15">
      <c r="B33">
        <v>0.54800000000000004</v>
      </c>
      <c r="C33">
        <v>0.56899999999999995</v>
      </c>
      <c r="D33" s="27">
        <f t="shared" si="11"/>
        <v>0.5585</v>
      </c>
      <c r="E33" s="27">
        <f t="shared" si="12"/>
        <v>0.499</v>
      </c>
      <c r="F33" s="27">
        <f t="shared" si="13"/>
        <v>-0.30189945437661009</v>
      </c>
      <c r="G33" s="28">
        <f t="shared" si="14"/>
        <v>0.45004148799271293</v>
      </c>
      <c r="H33" s="28">
        <f t="shared" si="15"/>
        <v>2.8186521832136719</v>
      </c>
      <c r="I33" s="29">
        <v>500</v>
      </c>
      <c r="J33" s="30">
        <f t="shared" si="16"/>
        <v>1409.3260916068359</v>
      </c>
      <c r="K33" s="31">
        <f t="shared" si="17"/>
        <v>70.466304580341799</v>
      </c>
      <c r="L33" s="32">
        <f t="shared" ref="L33:L36" si="19">K33+K52</f>
        <v>71.278828738471617</v>
      </c>
      <c r="M33" s="33">
        <f t="shared" si="18"/>
        <v>1.4255765747694322</v>
      </c>
      <c r="N33" s="36"/>
      <c r="Q33"/>
      <c r="R33"/>
      <c r="S33"/>
    </row>
    <row r="34" spans="1:21" ht="15">
      <c r="A34" s="1" t="s">
        <v>26</v>
      </c>
      <c r="B34">
        <v>0.58299999999999996</v>
      </c>
      <c r="C34">
        <v>0.58199999999999996</v>
      </c>
      <c r="D34" s="27">
        <f t="shared" si="11"/>
        <v>0.58250000000000002</v>
      </c>
      <c r="E34" s="27">
        <f t="shared" si="12"/>
        <v>0.52300000000000002</v>
      </c>
      <c r="F34" s="27">
        <f t="shared" si="13"/>
        <v>-0.28149831113272572</v>
      </c>
      <c r="G34" s="28">
        <f t="shared" si="14"/>
        <v>0.46816725045903579</v>
      </c>
      <c r="H34" s="28">
        <f t="shared" si="15"/>
        <v>2.938781183426376</v>
      </c>
      <c r="I34" s="29">
        <v>500</v>
      </c>
      <c r="J34" s="30">
        <f t="shared" si="16"/>
        <v>1469.3905917131881</v>
      </c>
      <c r="K34" s="31">
        <f t="shared" si="17"/>
        <v>73.469529585659402</v>
      </c>
      <c r="L34" s="32">
        <f t="shared" si="19"/>
        <v>75.364061653859679</v>
      </c>
      <c r="M34" s="33">
        <f t="shared" si="18"/>
        <v>1.5072812330771934</v>
      </c>
      <c r="N34" s="36"/>
      <c r="Q34"/>
      <c r="R34"/>
      <c r="S34"/>
    </row>
    <row r="35" spans="1:21" ht="15">
      <c r="B35">
        <v>0.53600000000000003</v>
      </c>
      <c r="C35">
        <v>0.47899999999999998</v>
      </c>
      <c r="D35" s="27">
        <f t="shared" si="11"/>
        <v>0.50750000000000006</v>
      </c>
      <c r="E35" s="27">
        <f t="shared" si="12"/>
        <v>0.44800000000000006</v>
      </c>
      <c r="F35" s="27">
        <f t="shared" si="13"/>
        <v>-0.34872198600185594</v>
      </c>
      <c r="G35" s="28">
        <f t="shared" si="14"/>
        <v>0.40844116804174579</v>
      </c>
      <c r="H35" s="28">
        <f t="shared" si="15"/>
        <v>2.5611862879750422</v>
      </c>
      <c r="I35" s="29">
        <v>500</v>
      </c>
      <c r="J35" s="30">
        <f t="shared" si="16"/>
        <v>1280.5931439875212</v>
      </c>
      <c r="K35" s="31">
        <f t="shared" si="17"/>
        <v>64.029657199376061</v>
      </c>
      <c r="L35" s="32">
        <f t="shared" si="19"/>
        <v>66.102233743902062</v>
      </c>
      <c r="M35" s="33">
        <f t="shared" si="18"/>
        <v>1.3220446748780414</v>
      </c>
      <c r="N35" s="36"/>
      <c r="Q35"/>
      <c r="R35"/>
      <c r="S35"/>
    </row>
    <row r="36" spans="1:21" ht="15">
      <c r="B36">
        <v>0.47499999999999998</v>
      </c>
      <c r="C36">
        <v>0.51500000000000001</v>
      </c>
      <c r="D36" s="27">
        <f t="shared" si="11"/>
        <v>0.495</v>
      </c>
      <c r="E36" s="27">
        <f t="shared" si="12"/>
        <v>0.4355</v>
      </c>
      <c r="F36" s="27">
        <f t="shared" si="13"/>
        <v>-0.36101184065631797</v>
      </c>
      <c r="G36" s="28">
        <f t="shared" si="14"/>
        <v>0.39752202573930695</v>
      </c>
      <c r="H36" s="28">
        <f t="shared" si="15"/>
        <v>2.4975950543200489</v>
      </c>
      <c r="I36" s="29">
        <v>500</v>
      </c>
      <c r="J36" s="30">
        <f t="shared" si="16"/>
        <v>1248.7975271600244</v>
      </c>
      <c r="K36" s="31">
        <f t="shared" si="17"/>
        <v>62.439876358001221</v>
      </c>
      <c r="L36" s="32">
        <f t="shared" si="19"/>
        <v>64.145165173690089</v>
      </c>
      <c r="M36" s="33">
        <f t="shared" si="18"/>
        <v>1.2829033034738018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0.09</v>
      </c>
      <c r="C40">
        <v>8.6999999999999994E-2</v>
      </c>
      <c r="D40" s="27">
        <f>AVERAGE(B40:C40)</f>
        <v>8.8499999999999995E-2</v>
      </c>
      <c r="E40" s="27">
        <f t="shared" ref="E40:E45" si="20">D40-E$8</f>
        <v>2.8999999999999998E-2</v>
      </c>
      <c r="F40" s="27">
        <f t="shared" ref="F40:F45" si="21">LOG(E40)</f>
        <v>-1.5376020021010439</v>
      </c>
      <c r="G40" s="28">
        <f t="shared" ref="G40:G45" si="22">(F40-$B$16)/$B$15</f>
        <v>-0.64784065475423458</v>
      </c>
      <c r="H40" s="27">
        <f t="shared" ref="H40:H45" si="23">10^G40</f>
        <v>0.22498799488393498</v>
      </c>
      <c r="I40" s="41">
        <v>16</v>
      </c>
      <c r="J40" s="42">
        <f t="shared" ref="J40:J45" si="24">H40*I40</f>
        <v>3.5998079181429596</v>
      </c>
      <c r="K40" s="30">
        <f>(0.1*J40/1000)*1000</f>
        <v>0.35998079181429599</v>
      </c>
      <c r="L40" s="43">
        <f>K40*100/L22</f>
        <v>0.42990367171937399</v>
      </c>
      <c r="M40" s="30">
        <f>AVERAGE(L40:L42)</f>
        <v>0.67403587316547908</v>
      </c>
      <c r="N40" s="44">
        <f>STDEV(L40:L42)</f>
        <v>0.23672964838120811</v>
      </c>
      <c r="R40"/>
      <c r="S40"/>
      <c r="T40"/>
      <c r="U40"/>
    </row>
    <row r="41" spans="1:21" ht="15">
      <c r="B41">
        <v>0.14099999999999999</v>
      </c>
      <c r="C41">
        <v>0.10299999999999999</v>
      </c>
      <c r="D41" s="27">
        <f t="shared" ref="D41:D45" si="25">AVERAGE(B41:C41)</f>
        <v>0.122</v>
      </c>
      <c r="E41" s="27">
        <f t="shared" si="20"/>
        <v>6.25E-2</v>
      </c>
      <c r="F41" s="27">
        <f t="shared" si="21"/>
        <v>-1.2041199826559248</v>
      </c>
      <c r="G41" s="28">
        <f t="shared" si="22"/>
        <v>-0.35155255957290654</v>
      </c>
      <c r="H41" s="27">
        <f t="shared" si="23"/>
        <v>0.44508959363195427</v>
      </c>
      <c r="I41" s="41">
        <v>16</v>
      </c>
      <c r="J41" s="42">
        <f t="shared" si="24"/>
        <v>7.1214334981112684</v>
      </c>
      <c r="K41" s="30">
        <f t="shared" ref="K41:K45" si="26">(0.1*J41/1000)*1000</f>
        <v>0.71214334981112692</v>
      </c>
      <c r="L41" s="43">
        <f t="shared" ref="L41:L45" si="27">K41*100/L23</f>
        <v>0.9025938871284539</v>
      </c>
      <c r="M41" s="30"/>
      <c r="N41" s="44"/>
      <c r="R41"/>
      <c r="S41"/>
      <c r="T41"/>
      <c r="U41"/>
    </row>
    <row r="42" spans="1:21" s="17" customFormat="1" ht="15">
      <c r="A42" s="1"/>
      <c r="B42">
        <v>0.105</v>
      </c>
      <c r="C42">
        <v>9.7000000000000003E-2</v>
      </c>
      <c r="D42" s="27">
        <f t="shared" si="25"/>
        <v>0.10100000000000001</v>
      </c>
      <c r="E42" s="27">
        <f t="shared" si="20"/>
        <v>4.1500000000000009E-2</v>
      </c>
      <c r="F42" s="27">
        <f t="shared" si="21"/>
        <v>-1.3819519032879073</v>
      </c>
      <c r="G42" s="28">
        <f t="shared" si="22"/>
        <v>-0.50955052634232112</v>
      </c>
      <c r="H42" s="27">
        <f t="shared" si="23"/>
        <v>0.30934953935407628</v>
      </c>
      <c r="I42" s="41">
        <v>16</v>
      </c>
      <c r="J42" s="42">
        <f t="shared" si="24"/>
        <v>4.9495926296652204</v>
      </c>
      <c r="K42" s="30">
        <f t="shared" si="26"/>
        <v>0.49495926296652204</v>
      </c>
      <c r="L42" s="43">
        <f t="shared" si="27"/>
        <v>0.68961006064860964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0.14599999999999999</v>
      </c>
      <c r="C43">
        <v>0.13600000000000001</v>
      </c>
      <c r="D43" s="27">
        <f t="shared" si="25"/>
        <v>0.14100000000000001</v>
      </c>
      <c r="E43" s="27">
        <f t="shared" si="20"/>
        <v>8.1500000000000017E-2</v>
      </c>
      <c r="F43" s="27">
        <f t="shared" si="21"/>
        <v>-1.0888423912600234</v>
      </c>
      <c r="G43" s="28">
        <f t="shared" si="22"/>
        <v>-0.24913211115228634</v>
      </c>
      <c r="H43" s="27">
        <f t="shared" si="23"/>
        <v>0.56346622492193821</v>
      </c>
      <c r="I43" s="41">
        <v>16</v>
      </c>
      <c r="J43" s="42">
        <f t="shared" si="24"/>
        <v>9.0154595987510113</v>
      </c>
      <c r="K43" s="30">
        <f t="shared" si="26"/>
        <v>0.90154595987510122</v>
      </c>
      <c r="L43" s="43">
        <f t="shared" si="27"/>
        <v>1.1821133904042225</v>
      </c>
      <c r="M43" s="30">
        <f>AVERAGE(L43:L45)</f>
        <v>1.1206518363326357</v>
      </c>
      <c r="N43" s="44">
        <f>STDEV(L43:L45)</f>
        <v>7.0736204352669113E-2</v>
      </c>
      <c r="R43"/>
      <c r="S43"/>
      <c r="T43"/>
      <c r="U43"/>
    </row>
    <row r="44" spans="1:21" ht="15">
      <c r="A44" s="45"/>
      <c r="B44">
        <v>0.123</v>
      </c>
      <c r="C44">
        <v>0.11799999999999999</v>
      </c>
      <c r="D44" s="27">
        <f t="shared" si="25"/>
        <v>0.1205</v>
      </c>
      <c r="E44" s="27">
        <f t="shared" si="20"/>
        <v>6.0999999999999999E-2</v>
      </c>
      <c r="F44" s="27">
        <f t="shared" si="21"/>
        <v>-1.2146701649892331</v>
      </c>
      <c r="G44" s="28">
        <f t="shared" si="22"/>
        <v>-0.36092605872753197</v>
      </c>
      <c r="H44" s="27">
        <f t="shared" si="23"/>
        <v>0.43558602853885708</v>
      </c>
      <c r="I44" s="41">
        <v>16</v>
      </c>
      <c r="J44" s="42">
        <f t="shared" si="24"/>
        <v>6.9693764566217133</v>
      </c>
      <c r="K44" s="30">
        <f t="shared" si="26"/>
        <v>0.69693764566217142</v>
      </c>
      <c r="L44" s="43">
        <f t="shared" si="27"/>
        <v>1.0433327706981874</v>
      </c>
      <c r="M44" s="30"/>
      <c r="N44" s="44"/>
      <c r="R44"/>
      <c r="S44"/>
      <c r="T44"/>
      <c r="U44"/>
    </row>
    <row r="45" spans="1:21" ht="15">
      <c r="A45" s="46"/>
      <c r="B45">
        <v>0.128</v>
      </c>
      <c r="C45">
        <v>0.121</v>
      </c>
      <c r="D45" s="27">
        <f t="shared" si="25"/>
        <v>0.1245</v>
      </c>
      <c r="E45" s="27">
        <f t="shared" si="20"/>
        <v>6.5000000000000002E-2</v>
      </c>
      <c r="F45" s="27">
        <f t="shared" si="21"/>
        <v>-1.1870866433571443</v>
      </c>
      <c r="G45" s="28">
        <f t="shared" si="22"/>
        <v>-0.33641898306461304</v>
      </c>
      <c r="H45" s="27">
        <f t="shared" si="23"/>
        <v>0.46087273573730297</v>
      </c>
      <c r="I45" s="41">
        <v>16</v>
      </c>
      <c r="J45" s="42">
        <f t="shared" si="24"/>
        <v>7.3739637717968476</v>
      </c>
      <c r="K45" s="30">
        <f t="shared" si="26"/>
        <v>0.73739637717968476</v>
      </c>
      <c r="L45" s="43">
        <f t="shared" si="27"/>
        <v>1.1365093478954973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0.13400000000000001</v>
      </c>
      <c r="C50">
        <v>0.14000000000000001</v>
      </c>
      <c r="D50" s="27">
        <f>AVERAGE(B50:C50)</f>
        <v>0.13700000000000001</v>
      </c>
      <c r="E50" s="27">
        <f t="shared" ref="E50:E55" si="28">D50-E$8</f>
        <v>7.7500000000000013E-2</v>
      </c>
      <c r="F50" s="27">
        <f t="shared" ref="F50:F55" si="29">LOG(E50)</f>
        <v>-1.1106982974936896</v>
      </c>
      <c r="G50" s="28">
        <f t="shared" ref="G50:G55" si="30">(F50-$B$16)/$B$15</f>
        <v>-0.26855038394915115</v>
      </c>
      <c r="H50" s="27">
        <f t="shared" ref="H50:H55" si="31">10^G50</f>
        <v>0.53882733059403565</v>
      </c>
      <c r="I50" s="41">
        <v>16</v>
      </c>
      <c r="J50" s="42">
        <f t="shared" ref="J50:J55" si="32">H50*I50</f>
        <v>8.6212372895045704</v>
      </c>
      <c r="K50" s="30">
        <f>(0.1*J50/1000)*1000</f>
        <v>0.86212372895045708</v>
      </c>
      <c r="L50" s="43">
        <f t="shared" ref="L50:L55" si="33">K50*100/L31</f>
        <v>1.0340284735312462</v>
      </c>
      <c r="M50" s="30">
        <f>AVERAGE(L50:L52)</f>
        <v>1.0390216370701761</v>
      </c>
      <c r="N50" s="44">
        <f>STDEV(L50:L52)</f>
        <v>9.8500298676005363E-2</v>
      </c>
      <c r="O50" s="48">
        <f>L50/L40</f>
        <v>2.4052562040135901</v>
      </c>
      <c r="P50" s="30">
        <f>AVERAGE(O50:O52)</f>
        <v>1.7010484028024064</v>
      </c>
      <c r="Q50" s="44">
        <f>STDEV(O50:O52)</f>
        <v>0.68145400586123428</v>
      </c>
      <c r="S50"/>
      <c r="T50"/>
    </row>
    <row r="51" spans="1:25" ht="15">
      <c r="B51">
        <v>0.129</v>
      </c>
      <c r="C51">
        <v>0.12</v>
      </c>
      <c r="D51" s="27">
        <f t="shared" ref="D51:D55" si="34">AVERAGE(B51:C51)</f>
        <v>0.1245</v>
      </c>
      <c r="E51" s="27">
        <f t="shared" si="28"/>
        <v>6.5000000000000002E-2</v>
      </c>
      <c r="F51" s="27">
        <f t="shared" si="29"/>
        <v>-1.1870866433571443</v>
      </c>
      <c r="G51" s="28">
        <f t="shared" si="30"/>
        <v>-0.33641898306461304</v>
      </c>
      <c r="H51" s="27">
        <f t="shared" si="31"/>
        <v>0.46087273573730297</v>
      </c>
      <c r="I51" s="41">
        <v>16</v>
      </c>
      <c r="J51" s="42">
        <f t="shared" si="32"/>
        <v>7.3739637717968476</v>
      </c>
      <c r="K51" s="30">
        <f t="shared" ref="K51:K55" si="35">(0.1*J51/1000)*1000</f>
        <v>0.73739637717968476</v>
      </c>
      <c r="L51" s="43">
        <f t="shared" si="33"/>
        <v>0.94311288322379416</v>
      </c>
      <c r="M51" s="30"/>
      <c r="N51" s="44"/>
      <c r="O51" s="2">
        <f t="shared" ref="O51:O55" si="36">L51/L41</f>
        <v>1.0448917244767177</v>
      </c>
      <c r="P51" s="30"/>
      <c r="Q51" s="44"/>
      <c r="S51"/>
      <c r="T51"/>
    </row>
    <row r="52" spans="1:25" ht="15">
      <c r="B52">
        <v>0.13700000000000001</v>
      </c>
      <c r="C52">
        <v>0.127</v>
      </c>
      <c r="D52" s="27">
        <f t="shared" si="34"/>
        <v>0.13200000000000001</v>
      </c>
      <c r="E52" s="27">
        <f t="shared" si="28"/>
        <v>7.2500000000000009E-2</v>
      </c>
      <c r="F52" s="27">
        <f t="shared" si="29"/>
        <v>-1.1396619934290062</v>
      </c>
      <c r="G52" s="28">
        <f t="shared" si="30"/>
        <v>-0.29428370028316231</v>
      </c>
      <c r="H52" s="27">
        <f t="shared" si="31"/>
        <v>0.50782759883114093</v>
      </c>
      <c r="I52" s="41">
        <v>16</v>
      </c>
      <c r="J52" s="42">
        <f t="shared" si="32"/>
        <v>8.1252415812982548</v>
      </c>
      <c r="K52" s="30">
        <f t="shared" si="35"/>
        <v>0.81252415812982548</v>
      </c>
      <c r="L52" s="43">
        <f t="shared" si="33"/>
        <v>1.139923554455488</v>
      </c>
      <c r="M52" s="30"/>
      <c r="N52" s="44"/>
      <c r="O52" s="2">
        <f t="shared" si="36"/>
        <v>1.6529972799169113</v>
      </c>
      <c r="P52" s="30"/>
      <c r="Q52" s="44"/>
      <c r="S52"/>
      <c r="T52"/>
    </row>
    <row r="53" spans="1:25" ht="15">
      <c r="A53" s="1" t="s">
        <v>26</v>
      </c>
      <c r="B53">
        <v>0.23300000000000001</v>
      </c>
      <c r="C53">
        <v>0.26200000000000001</v>
      </c>
      <c r="D53" s="27">
        <f t="shared" si="34"/>
        <v>0.2475</v>
      </c>
      <c r="E53" s="27">
        <f t="shared" si="28"/>
        <v>0.188</v>
      </c>
      <c r="F53" s="27">
        <f t="shared" si="29"/>
        <v>-0.72584215073632019</v>
      </c>
      <c r="G53" s="28">
        <f t="shared" si="30"/>
        <v>7.338197819528576E-2</v>
      </c>
      <c r="H53" s="27">
        <f t="shared" si="31"/>
        <v>1.1840825426251753</v>
      </c>
      <c r="I53" s="41">
        <v>16</v>
      </c>
      <c r="J53" s="42">
        <f t="shared" si="32"/>
        <v>18.945320682002805</v>
      </c>
      <c r="K53" s="30">
        <f t="shared" si="35"/>
        <v>1.8945320682002806</v>
      </c>
      <c r="L53" s="43">
        <f t="shared" si="33"/>
        <v>2.5138401867214841</v>
      </c>
      <c r="M53" s="30">
        <f>AVERAGE(L53:L55)</f>
        <v>2.7692449084685489</v>
      </c>
      <c r="N53" s="44">
        <f>STDEV(L53:L55)</f>
        <v>0.32525145929478982</v>
      </c>
      <c r="O53" s="2">
        <f t="shared" si="36"/>
        <v>2.1265643441039774</v>
      </c>
      <c r="P53" s="30">
        <f>AVERAGE(O53:O55)</f>
        <v>2.4903059263650063</v>
      </c>
      <c r="Q53" s="44">
        <f>STDEV(O53:O55)</f>
        <v>0.45839637013173323</v>
      </c>
      <c r="S53"/>
      <c r="T53"/>
    </row>
    <row r="54" spans="1:25" ht="15">
      <c r="A54" s="45"/>
      <c r="B54">
        <v>0.27700000000000002</v>
      </c>
      <c r="C54">
        <v>0.25800000000000001</v>
      </c>
      <c r="D54" s="27">
        <f t="shared" si="34"/>
        <v>0.26750000000000002</v>
      </c>
      <c r="E54" s="27">
        <f t="shared" si="28"/>
        <v>0.20800000000000002</v>
      </c>
      <c r="F54" s="27">
        <f t="shared" si="29"/>
        <v>-0.68193666503723838</v>
      </c>
      <c r="G54" s="28">
        <f t="shared" si="30"/>
        <v>0.11239059625342612</v>
      </c>
      <c r="H54" s="27">
        <f t="shared" si="31"/>
        <v>1.2953603403287492</v>
      </c>
      <c r="I54" s="41">
        <v>16</v>
      </c>
      <c r="J54" s="42">
        <f t="shared" si="32"/>
        <v>20.725765445259988</v>
      </c>
      <c r="K54" s="30">
        <f t="shared" si="35"/>
        <v>2.0725765445259987</v>
      </c>
      <c r="L54" s="43">
        <f t="shared" si="33"/>
        <v>3.1354107526165014</v>
      </c>
      <c r="M54" s="30"/>
      <c r="N54" s="44"/>
      <c r="O54" s="2">
        <f t="shared" si="36"/>
        <v>3.0051876454703108</v>
      </c>
      <c r="P54" s="30"/>
      <c r="Q54" s="44"/>
      <c r="S54"/>
      <c r="T54"/>
    </row>
    <row r="55" spans="1:25" ht="15">
      <c r="A55" s="46"/>
      <c r="B55">
        <v>0.23100000000000001</v>
      </c>
      <c r="C55">
        <v>0.222</v>
      </c>
      <c r="D55" s="27">
        <f t="shared" si="34"/>
        <v>0.22650000000000001</v>
      </c>
      <c r="E55" s="27">
        <f t="shared" si="28"/>
        <v>0.16700000000000001</v>
      </c>
      <c r="F55" s="27">
        <f t="shared" si="29"/>
        <v>-0.77728352885241669</v>
      </c>
      <c r="G55" s="28">
        <f t="shared" si="30"/>
        <v>2.7677961046532227E-2</v>
      </c>
      <c r="H55" s="27">
        <f t="shared" si="31"/>
        <v>1.0658055098055443</v>
      </c>
      <c r="I55" s="41">
        <v>16</v>
      </c>
      <c r="J55" s="42">
        <f t="shared" si="32"/>
        <v>17.052888156888709</v>
      </c>
      <c r="K55" s="30">
        <f t="shared" si="35"/>
        <v>1.705288815688871</v>
      </c>
      <c r="L55" s="43">
        <f t="shared" si="33"/>
        <v>2.6584837860676611</v>
      </c>
      <c r="M55" s="30"/>
      <c r="N55" s="44"/>
      <c r="O55" s="2">
        <f t="shared" si="36"/>
        <v>2.3391657895207301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1.7010484028024064</v>
      </c>
      <c r="O58" s="30">
        <f>Q50</f>
        <v>0.68145400586123428</v>
      </c>
    </row>
    <row r="59" spans="1:25" ht="15">
      <c r="D59"/>
      <c r="E59"/>
      <c r="G59"/>
      <c r="M59" s="2" t="s">
        <v>26</v>
      </c>
      <c r="N59" s="30">
        <f>P53</f>
        <v>2.4903059263650063</v>
      </c>
      <c r="O59" s="30">
        <f>Q53</f>
        <v>0.45839637013173323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0.67403587316547908</v>
      </c>
      <c r="C65" s="30">
        <f>N40</f>
        <v>0.23672964838120811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1.0390216370701761</v>
      </c>
      <c r="C66" s="30">
        <f>N50</f>
        <v>9.8500298676005363E-2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1.1206518363326357</v>
      </c>
      <c r="C67" s="30">
        <f>N43</f>
        <v>7.0736204352669113E-2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2.7692449084685489</v>
      </c>
      <c r="C68" s="30">
        <f>N53</f>
        <v>0.32525145929478982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E17" sqref="E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42725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>
        <v>5.5E-2</v>
      </c>
      <c r="D8">
        <v>6.4000000000000001E-2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7.0999999999999994E-2</v>
      </c>
      <c r="D9">
        <v>7.5999999999999998E-2</v>
      </c>
      <c r="E9" s="11">
        <f t="shared" si="0"/>
        <v>7.3499999999999996E-2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0.13200000000000001</v>
      </c>
      <c r="D10">
        <v>0.14199999999999999</v>
      </c>
      <c r="E10" s="11">
        <f t="shared" si="0"/>
        <v>0.13700000000000001</v>
      </c>
      <c r="F10" s="12">
        <f>(E10-$E$8)</f>
        <v>7.7500000000000013E-2</v>
      </c>
      <c r="G10" s="12">
        <f>LOG(B10)</f>
        <v>-0.34469449671881253</v>
      </c>
      <c r="H10" s="12">
        <f>LOG(F10)</f>
        <v>-1.1106982974936896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0.28100000000000003</v>
      </c>
      <c r="D11">
        <v>0.30399999999999999</v>
      </c>
      <c r="E11" s="11">
        <f t="shared" si="0"/>
        <v>0.29249999999999998</v>
      </c>
      <c r="F11" s="12">
        <f>(E11-$E$8)</f>
        <v>0.23299999999999998</v>
      </c>
      <c r="G11" s="12">
        <f>LOG(B11)</f>
        <v>0.13658271777200767</v>
      </c>
      <c r="H11" s="12">
        <f>LOG(F11)</f>
        <v>-0.63264407897398101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0.97</v>
      </c>
      <c r="D12">
        <v>0.94299999999999995</v>
      </c>
      <c r="E12" s="11">
        <f t="shared" si="0"/>
        <v>0.95649999999999991</v>
      </c>
      <c r="F12" s="12">
        <f>(E12-$E$8)</f>
        <v>0.89699999999999991</v>
      </c>
      <c r="G12" s="12">
        <f>LOG(B12)</f>
        <v>0.66357802924717735</v>
      </c>
      <c r="H12" s="12">
        <f>LOG(F12)</f>
        <v>-4.7207556955907962E-2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1.736</v>
      </c>
      <c r="D13">
        <v>1.734</v>
      </c>
      <c r="E13" s="11">
        <f t="shared" si="0"/>
        <v>1.7349999999999999</v>
      </c>
      <c r="F13" s="12">
        <f>(E13-$E$8)</f>
        <v>1.6755</v>
      </c>
      <c r="G13" s="12">
        <f>LOG(B13)</f>
        <v>0.96049145871632635</v>
      </c>
      <c r="H13" s="12">
        <f>LOG(F13)</f>
        <v>0.22414443217129029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1.1255329689875946</v>
      </c>
      <c r="N15"/>
    </row>
    <row r="16" spans="1:20" ht="15">
      <c r="A16" s="5" t="s">
        <v>11</v>
      </c>
      <c r="B16" s="11">
        <f>INTERCEPT(H9:H13,G9:G13)</f>
        <v>-0.8084359865246431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0.58699999999999997</v>
      </c>
      <c r="C22">
        <v>0.55600000000000005</v>
      </c>
      <c r="D22" s="27">
        <f>AVERAGE(B22:C22)</f>
        <v>0.57150000000000001</v>
      </c>
      <c r="E22" s="27">
        <f t="shared" ref="E22:E27" si="2">D22-E$8</f>
        <v>0.51200000000000001</v>
      </c>
      <c r="F22" s="27">
        <f>LOG(E22)</f>
        <v>-0.29073003902416922</v>
      </c>
      <c r="G22" s="28">
        <f>(F22-$B$16)/$B$15</f>
        <v>0.45996515585513692</v>
      </c>
      <c r="H22" s="28">
        <f>10^G22</f>
        <v>2.883800121922198</v>
      </c>
      <c r="I22" s="29">
        <v>500</v>
      </c>
      <c r="J22" s="30">
        <f>(H22*I22)</f>
        <v>1441.9000609610989</v>
      </c>
      <c r="K22" s="31">
        <f>(0.05*J22/1000)*1000</f>
        <v>72.095003048054949</v>
      </c>
      <c r="L22" s="32">
        <f>K22+K40+K50</f>
        <v>73.309137681721921</v>
      </c>
      <c r="M22" s="33">
        <f>(L22*1000000/50000)/1000</f>
        <v>1.4661827536344385</v>
      </c>
      <c r="N22" s="34"/>
    </row>
    <row r="23" spans="1:17" ht="15">
      <c r="B23">
        <v>0.59799999999999998</v>
      </c>
      <c r="C23">
        <v>0.65900000000000003</v>
      </c>
      <c r="D23" s="27">
        <f t="shared" ref="D23:D27" si="3">AVERAGE(B23:C23)</f>
        <v>0.62850000000000006</v>
      </c>
      <c r="E23" s="27">
        <f t="shared" si="2"/>
        <v>0.56900000000000006</v>
      </c>
      <c r="F23" s="27">
        <f t="shared" ref="F23:F27" si="4">LOG(E23)</f>
        <v>-0.24488773360492877</v>
      </c>
      <c r="G23" s="28">
        <f t="shared" ref="G23:G27" si="5">(F23-$B$16)/$B$15</f>
        <v>0.50069457621185476</v>
      </c>
      <c r="H23" s="28">
        <f t="shared" ref="H23:H27" si="6">10^G23</f>
        <v>3.1673392031415255</v>
      </c>
      <c r="I23" s="29">
        <v>500</v>
      </c>
      <c r="J23" s="30">
        <f t="shared" ref="J23:J27" si="7">(H23*I23)</f>
        <v>1583.6696015707628</v>
      </c>
      <c r="K23" s="31">
        <f t="shared" ref="K23:K27" si="8">(0.05*J23/1000)*1000</f>
        <v>79.183480078538139</v>
      </c>
      <c r="L23" s="32">
        <f>K23+K41+K51</f>
        <v>80.97110678848081</v>
      </c>
      <c r="M23" s="33">
        <f t="shared" ref="M23:M27" si="9">(L23*1000000/50000)/1000</f>
        <v>1.6194221357696161</v>
      </c>
      <c r="N23" s="34"/>
    </row>
    <row r="24" spans="1:17" ht="15">
      <c r="B24">
        <v>0.65300000000000002</v>
      </c>
      <c r="C24">
        <v>0.61699999999999999</v>
      </c>
      <c r="D24" s="27">
        <f t="shared" si="3"/>
        <v>0.63500000000000001</v>
      </c>
      <c r="E24" s="27">
        <f t="shared" si="2"/>
        <v>0.57550000000000001</v>
      </c>
      <c r="F24" s="27">
        <f t="shared" si="4"/>
        <v>-0.23995467203418938</v>
      </c>
      <c r="G24" s="28">
        <f t="shared" si="5"/>
        <v>0.50507744344601191</v>
      </c>
      <c r="H24" s="28">
        <f t="shared" si="6"/>
        <v>3.1994655879274627</v>
      </c>
      <c r="I24" s="29">
        <v>500</v>
      </c>
      <c r="J24" s="30">
        <f t="shared" si="7"/>
        <v>1599.7327939637314</v>
      </c>
      <c r="K24" s="31">
        <f t="shared" si="8"/>
        <v>79.986639698186579</v>
      </c>
      <c r="L24" s="32">
        <f t="shared" ref="L24:L27" si="10">K24+K42+K52</f>
        <v>81.588460594406399</v>
      </c>
      <c r="M24" s="33">
        <f t="shared" si="9"/>
        <v>1.631769211888128</v>
      </c>
      <c r="N24" s="34"/>
    </row>
    <row r="25" spans="1:17" ht="15">
      <c r="A25" s="1" t="s">
        <v>26</v>
      </c>
      <c r="B25">
        <v>0.42799999999999999</v>
      </c>
      <c r="C25">
        <v>0.46300000000000002</v>
      </c>
      <c r="D25" s="27">
        <f t="shared" si="3"/>
        <v>0.44550000000000001</v>
      </c>
      <c r="E25" s="27">
        <f t="shared" si="2"/>
        <v>0.38600000000000001</v>
      </c>
      <c r="F25" s="27">
        <f t="shared" si="4"/>
        <v>-0.41341269532824504</v>
      </c>
      <c r="G25" s="28">
        <f t="shared" si="5"/>
        <v>0.35096554439601846</v>
      </c>
      <c r="H25" s="28">
        <f t="shared" si="6"/>
        <v>2.2437039080738206</v>
      </c>
      <c r="I25" s="29">
        <v>500</v>
      </c>
      <c r="J25" s="30">
        <f t="shared" si="7"/>
        <v>1121.8519540369102</v>
      </c>
      <c r="K25" s="31">
        <f t="shared" si="8"/>
        <v>56.092597701845513</v>
      </c>
      <c r="L25" s="32">
        <f t="shared" si="10"/>
        <v>58.756143517194644</v>
      </c>
      <c r="M25" s="33">
        <f t="shared" si="9"/>
        <v>1.1751228703438927</v>
      </c>
      <c r="N25" s="34"/>
    </row>
    <row r="26" spans="1:17" ht="15">
      <c r="B26">
        <v>0.38300000000000001</v>
      </c>
      <c r="C26">
        <v>0.41399999999999998</v>
      </c>
      <c r="D26" s="27">
        <f t="shared" si="3"/>
        <v>0.39849999999999997</v>
      </c>
      <c r="E26" s="27">
        <f t="shared" si="2"/>
        <v>0.33899999999999997</v>
      </c>
      <c r="F26" s="27">
        <f t="shared" si="4"/>
        <v>-0.4698003017969179</v>
      </c>
      <c r="G26" s="28">
        <f t="shared" si="5"/>
        <v>0.30086696174908545</v>
      </c>
      <c r="H26" s="28">
        <f t="shared" si="6"/>
        <v>1.9992493419829407</v>
      </c>
      <c r="I26" s="29">
        <v>500</v>
      </c>
      <c r="J26" s="30">
        <f t="shared" si="7"/>
        <v>999.62467099147034</v>
      </c>
      <c r="K26" s="31">
        <f t="shared" si="8"/>
        <v>49.981233549573517</v>
      </c>
      <c r="L26" s="32">
        <f t="shared" si="10"/>
        <v>53.285368398421227</v>
      </c>
      <c r="M26" s="33">
        <f t="shared" si="9"/>
        <v>1.0657073679684246</v>
      </c>
      <c r="N26" s="34"/>
    </row>
    <row r="27" spans="1:17" ht="15">
      <c r="B27">
        <v>0.44</v>
      </c>
      <c r="C27">
        <v>0.45</v>
      </c>
      <c r="D27" s="27">
        <f t="shared" si="3"/>
        <v>0.44500000000000001</v>
      </c>
      <c r="E27" s="27">
        <f t="shared" si="2"/>
        <v>0.38550000000000001</v>
      </c>
      <c r="F27" s="27">
        <f t="shared" si="4"/>
        <v>-0.4139756176130242</v>
      </c>
      <c r="G27" s="28">
        <f t="shared" si="5"/>
        <v>0.35046540597245407</v>
      </c>
      <c r="H27" s="28">
        <f t="shared" si="6"/>
        <v>2.2411215205862711</v>
      </c>
      <c r="I27" s="29">
        <v>500</v>
      </c>
      <c r="J27" s="30">
        <f t="shared" si="7"/>
        <v>1120.5607602931357</v>
      </c>
      <c r="K27" s="31">
        <f t="shared" si="8"/>
        <v>56.028038014656786</v>
      </c>
      <c r="L27" s="32">
        <f t="shared" si="10"/>
        <v>58.420649714216538</v>
      </c>
      <c r="M27" s="33">
        <f t="shared" si="9"/>
        <v>1.1684129942843309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0.58699999999999997</v>
      </c>
      <c r="C31">
        <v>0.55600000000000005</v>
      </c>
      <c r="D31" s="27">
        <f t="shared" ref="D31:D36" si="11">AVERAGE(B31:C31)</f>
        <v>0.57150000000000001</v>
      </c>
      <c r="E31" s="27">
        <f t="shared" ref="E31:E36" si="12">D31-E$8</f>
        <v>0.51200000000000001</v>
      </c>
      <c r="F31" s="27">
        <f>LOG(E31)</f>
        <v>-0.29073003902416922</v>
      </c>
      <c r="G31" s="28">
        <f>(F31-$B$16)/$B$15</f>
        <v>0.45996515585513692</v>
      </c>
      <c r="H31" s="28">
        <f>10^G31</f>
        <v>2.883800121922198</v>
      </c>
      <c r="I31" s="29">
        <v>500</v>
      </c>
      <c r="J31" s="30">
        <f>(H31*I31)</f>
        <v>1441.9000609610989</v>
      </c>
      <c r="K31" s="31">
        <f>(0.05*J31/1000)*1000</f>
        <v>72.095003048054949</v>
      </c>
      <c r="L31" s="32">
        <f>K31+K50</f>
        <v>72.976865548619031</v>
      </c>
      <c r="M31" s="33">
        <f>(L31*1000000/50000)/1000</f>
        <v>1.4595373109723808</v>
      </c>
      <c r="N31" s="35"/>
      <c r="Q31"/>
    </row>
    <row r="32" spans="1:17" ht="15">
      <c r="B32">
        <v>0.59799999999999998</v>
      </c>
      <c r="C32">
        <v>0.65900000000000003</v>
      </c>
      <c r="D32" s="27">
        <f t="shared" si="11"/>
        <v>0.62850000000000006</v>
      </c>
      <c r="E32" s="27">
        <f t="shared" si="12"/>
        <v>0.56900000000000006</v>
      </c>
      <c r="F32" s="27">
        <f t="shared" ref="F32:F36" si="13">LOG(E32)</f>
        <v>-0.24488773360492877</v>
      </c>
      <c r="G32" s="28">
        <f t="shared" ref="G32:G36" si="14">(F32-$B$16)/$B$15</f>
        <v>0.50069457621185476</v>
      </c>
      <c r="H32" s="28">
        <f t="shared" ref="H32:H36" si="15">10^G32</f>
        <v>3.1673392031415255</v>
      </c>
      <c r="I32" s="29">
        <v>500</v>
      </c>
      <c r="J32" s="30">
        <f t="shared" ref="J32:J36" si="16">(H32*I32)</f>
        <v>1583.6696015707628</v>
      </c>
      <c r="K32" s="31">
        <f t="shared" ref="K32:K36" si="17">(0.05*J32/1000)*1000</f>
        <v>79.183480078538139</v>
      </c>
      <c r="L32" s="32">
        <f>K32+K51</f>
        <v>80.148632985725527</v>
      </c>
      <c r="M32" s="33">
        <f t="shared" ref="M32:M36" si="18">(L32*1000000/50000)/1000</f>
        <v>1.6029726597145104</v>
      </c>
      <c r="N32" s="36"/>
      <c r="Q32"/>
    </row>
    <row r="33" spans="1:21" ht="15">
      <c r="B33">
        <v>0.65300000000000002</v>
      </c>
      <c r="C33">
        <v>0.61699999999999999</v>
      </c>
      <c r="D33" s="27">
        <f t="shared" si="11"/>
        <v>0.63500000000000001</v>
      </c>
      <c r="E33" s="27">
        <f t="shared" si="12"/>
        <v>0.57550000000000001</v>
      </c>
      <c r="F33" s="27">
        <f t="shared" si="13"/>
        <v>-0.23995467203418938</v>
      </c>
      <c r="G33" s="28">
        <f t="shared" si="14"/>
        <v>0.50507744344601191</v>
      </c>
      <c r="H33" s="28">
        <f t="shared" si="15"/>
        <v>3.1994655879274627</v>
      </c>
      <c r="I33" s="29">
        <v>500</v>
      </c>
      <c r="J33" s="30">
        <f t="shared" si="16"/>
        <v>1599.7327939637314</v>
      </c>
      <c r="K33" s="31">
        <f t="shared" si="17"/>
        <v>79.986639698186579</v>
      </c>
      <c r="L33" s="32">
        <f t="shared" ref="L33:L36" si="19">K33+K52</f>
        <v>80.642821403741763</v>
      </c>
      <c r="M33" s="33">
        <f t="shared" si="18"/>
        <v>1.6128564280748354</v>
      </c>
      <c r="N33" s="36"/>
      <c r="Q33"/>
      <c r="R33"/>
      <c r="S33"/>
    </row>
    <row r="34" spans="1:21" ht="15">
      <c r="A34" s="1" t="s">
        <v>26</v>
      </c>
      <c r="B34">
        <v>0.42799999999999999</v>
      </c>
      <c r="C34">
        <v>0.46300000000000002</v>
      </c>
      <c r="D34" s="27">
        <f t="shared" si="11"/>
        <v>0.44550000000000001</v>
      </c>
      <c r="E34" s="27">
        <f t="shared" si="12"/>
        <v>0.38600000000000001</v>
      </c>
      <c r="F34" s="27">
        <f t="shared" si="13"/>
        <v>-0.41341269532824504</v>
      </c>
      <c r="G34" s="28">
        <f t="shared" si="14"/>
        <v>0.35096554439601846</v>
      </c>
      <c r="H34" s="28">
        <f t="shared" si="15"/>
        <v>2.2437039080738206</v>
      </c>
      <c r="I34" s="29">
        <v>500</v>
      </c>
      <c r="J34" s="30">
        <f t="shared" si="16"/>
        <v>1121.8519540369102</v>
      </c>
      <c r="K34" s="31">
        <f t="shared" si="17"/>
        <v>56.092597701845513</v>
      </c>
      <c r="L34" s="32">
        <f t="shared" si="19"/>
        <v>58.054132719093523</v>
      </c>
      <c r="M34" s="33">
        <f t="shared" si="18"/>
        <v>1.1610826543818704</v>
      </c>
      <c r="N34" s="36"/>
      <c r="Q34"/>
      <c r="R34"/>
      <c r="S34"/>
    </row>
    <row r="35" spans="1:21" ht="15">
      <c r="B35">
        <v>0.38300000000000001</v>
      </c>
      <c r="C35">
        <v>0.41399999999999998</v>
      </c>
      <c r="D35" s="27">
        <f t="shared" si="11"/>
        <v>0.39849999999999997</v>
      </c>
      <c r="E35" s="27">
        <f t="shared" si="12"/>
        <v>0.33899999999999997</v>
      </c>
      <c r="F35" s="27">
        <f t="shared" si="13"/>
        <v>-0.4698003017969179</v>
      </c>
      <c r="G35" s="28">
        <f t="shared" si="14"/>
        <v>0.30086696174908545</v>
      </c>
      <c r="H35" s="28">
        <f t="shared" si="15"/>
        <v>1.9992493419829407</v>
      </c>
      <c r="I35" s="29">
        <v>500</v>
      </c>
      <c r="J35" s="30">
        <f t="shared" si="16"/>
        <v>999.62467099147034</v>
      </c>
      <c r="K35" s="31">
        <f t="shared" si="17"/>
        <v>49.981233549573517</v>
      </c>
      <c r="L35" s="32">
        <f t="shared" si="19"/>
        <v>52.247469318058236</v>
      </c>
      <c r="M35" s="33">
        <f t="shared" si="18"/>
        <v>1.0449493863611647</v>
      </c>
      <c r="N35" s="36"/>
      <c r="Q35"/>
      <c r="R35"/>
      <c r="S35"/>
    </row>
    <row r="36" spans="1:21" ht="15">
      <c r="B36">
        <v>0.44</v>
      </c>
      <c r="C36">
        <v>0.45</v>
      </c>
      <c r="D36" s="27">
        <f t="shared" si="11"/>
        <v>0.44500000000000001</v>
      </c>
      <c r="E36" s="27">
        <f t="shared" si="12"/>
        <v>0.38550000000000001</v>
      </c>
      <c r="F36" s="27">
        <f t="shared" si="13"/>
        <v>-0.4139756176130242</v>
      </c>
      <c r="G36" s="28">
        <f t="shared" si="14"/>
        <v>0.35046540597245407</v>
      </c>
      <c r="H36" s="28">
        <f t="shared" si="15"/>
        <v>2.2411215205862711</v>
      </c>
      <c r="I36" s="29">
        <v>500</v>
      </c>
      <c r="J36" s="30">
        <f t="shared" si="16"/>
        <v>1120.5607602931357</v>
      </c>
      <c r="K36" s="31">
        <f t="shared" si="17"/>
        <v>56.028038014656786</v>
      </c>
      <c r="L36" s="32">
        <f t="shared" si="19"/>
        <v>57.728789861029085</v>
      </c>
      <c r="M36" s="33">
        <f t="shared" si="18"/>
        <v>1.1545757972205817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8.4000000000000005E-2</v>
      </c>
      <c r="C40">
        <v>8.7999999999999995E-2</v>
      </c>
      <c r="D40" s="27">
        <f>AVERAGE(B40:C40)</f>
        <v>8.5999999999999993E-2</v>
      </c>
      <c r="E40" s="27">
        <f t="shared" ref="E40:E45" si="20">D40-E$8</f>
        <v>2.6499999999999996E-2</v>
      </c>
      <c r="F40" s="27">
        <f t="shared" ref="F40:F45" si="21">LOG(E40)</f>
        <v>-1.5767541260631923</v>
      </c>
      <c r="G40" s="28">
        <f t="shared" ref="G40:G45" si="22">(F40-$B$16)/$B$15</f>
        <v>-0.68262606312602603</v>
      </c>
      <c r="H40" s="27">
        <f t="shared" ref="H40:H45" si="23">10^G40</f>
        <v>0.20767008318930619</v>
      </c>
      <c r="I40" s="41">
        <v>16</v>
      </c>
      <c r="J40" s="42">
        <f t="shared" ref="J40:J45" si="24">H40*I40</f>
        <v>3.322721331028899</v>
      </c>
      <c r="K40" s="30">
        <f>(0.1*J40/1000)*1000</f>
        <v>0.33227213310288994</v>
      </c>
      <c r="L40" s="43">
        <f>K40*100/L22</f>
        <v>0.45324790825596489</v>
      </c>
      <c r="M40" s="30">
        <f>AVERAGE(L40:L42)</f>
        <v>0.87601515161719801</v>
      </c>
      <c r="N40" s="44">
        <f>STDEV(L40:L42)</f>
        <v>0.3730695935352592</v>
      </c>
      <c r="R40"/>
      <c r="S40"/>
      <c r="T40"/>
      <c r="U40"/>
    </row>
    <row r="41" spans="1:21" ht="15">
      <c r="B41">
        <v>0.13500000000000001</v>
      </c>
      <c r="C41">
        <v>0.13100000000000001</v>
      </c>
      <c r="D41" s="27">
        <f t="shared" ref="D41:D45" si="25">AVERAGE(B41:C41)</f>
        <v>0.13300000000000001</v>
      </c>
      <c r="E41" s="27">
        <f t="shared" si="20"/>
        <v>7.350000000000001E-2</v>
      </c>
      <c r="F41" s="27">
        <f t="shared" si="21"/>
        <v>-1.133712660915805</v>
      </c>
      <c r="G41" s="28">
        <f t="shared" si="22"/>
        <v>-0.28899790886067511</v>
      </c>
      <c r="H41" s="27">
        <f t="shared" si="23"/>
        <v>0.51404612672205419</v>
      </c>
      <c r="I41" s="41">
        <v>16</v>
      </c>
      <c r="J41" s="42">
        <f t="shared" si="24"/>
        <v>8.224738027552867</v>
      </c>
      <c r="K41" s="30">
        <f t="shared" ref="K41:K45" si="26">(0.1*J41/1000)*1000</f>
        <v>0.8224738027552867</v>
      </c>
      <c r="L41" s="43">
        <f t="shared" ref="L41:L45" si="27">K41*100/L23</f>
        <v>1.0157620852384028</v>
      </c>
      <c r="M41" s="30"/>
      <c r="N41" s="44"/>
      <c r="R41"/>
      <c r="S41"/>
      <c r="T41"/>
      <c r="U41"/>
    </row>
    <row r="42" spans="1:21" s="17" customFormat="1" ht="15">
      <c r="A42" s="1"/>
      <c r="B42">
        <v>0.15</v>
      </c>
      <c r="C42">
        <v>0.14099999999999999</v>
      </c>
      <c r="D42" s="27">
        <f t="shared" si="25"/>
        <v>0.14549999999999999</v>
      </c>
      <c r="E42" s="27">
        <f t="shared" si="20"/>
        <v>8.5999999999999993E-2</v>
      </c>
      <c r="F42" s="27">
        <f t="shared" si="21"/>
        <v>-1.0655015487564323</v>
      </c>
      <c r="G42" s="28">
        <f t="shared" si="22"/>
        <v>-0.22839452003171179</v>
      </c>
      <c r="H42" s="27">
        <f t="shared" si="23"/>
        <v>0.59102449416539793</v>
      </c>
      <c r="I42" s="41">
        <v>16</v>
      </c>
      <c r="J42" s="42">
        <f t="shared" si="24"/>
        <v>9.4563919066463669</v>
      </c>
      <c r="K42" s="30">
        <f t="shared" si="26"/>
        <v>0.94563919066463675</v>
      </c>
      <c r="L42" s="43">
        <f t="shared" si="27"/>
        <v>1.159035461357226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0.11600000000000001</v>
      </c>
      <c r="C43">
        <v>0.126</v>
      </c>
      <c r="D43" s="27">
        <f t="shared" si="25"/>
        <v>0.121</v>
      </c>
      <c r="E43" s="27">
        <f t="shared" si="20"/>
        <v>6.1499999999999999E-2</v>
      </c>
      <c r="F43" s="27">
        <f t="shared" si="21"/>
        <v>-1.2111248842245832</v>
      </c>
      <c r="G43" s="28">
        <f t="shared" si="22"/>
        <v>-0.35777619029867658</v>
      </c>
      <c r="H43" s="27">
        <f t="shared" si="23"/>
        <v>0.43875674881320037</v>
      </c>
      <c r="I43" s="41">
        <v>16</v>
      </c>
      <c r="J43" s="42">
        <f t="shared" si="24"/>
        <v>7.0201079810112059</v>
      </c>
      <c r="K43" s="30">
        <f t="shared" si="26"/>
        <v>0.70201079810112066</v>
      </c>
      <c r="L43" s="43">
        <f t="shared" si="27"/>
        <v>1.194787057281391</v>
      </c>
      <c r="M43" s="30">
        <f>AVERAGE(L43:L45)</f>
        <v>1.4422907882813059</v>
      </c>
      <c r="N43" s="44">
        <f>STDEV(L43:L45)</f>
        <v>0.43782623062853659</v>
      </c>
      <c r="R43"/>
      <c r="S43"/>
      <c r="T43"/>
      <c r="U43"/>
    </row>
    <row r="44" spans="1:21" ht="15">
      <c r="A44" s="45"/>
      <c r="B44">
        <v>0.157</v>
      </c>
      <c r="C44">
        <v>0.153</v>
      </c>
      <c r="D44" s="27">
        <f t="shared" si="25"/>
        <v>0.155</v>
      </c>
      <c r="E44" s="27">
        <f t="shared" si="20"/>
        <v>9.5500000000000002E-2</v>
      </c>
      <c r="F44" s="27">
        <f t="shared" si="21"/>
        <v>-1.0199966284162536</v>
      </c>
      <c r="G44" s="28">
        <f t="shared" si="22"/>
        <v>-0.18796485551365691</v>
      </c>
      <c r="H44" s="27">
        <f t="shared" si="23"/>
        <v>0.6486869252268701</v>
      </c>
      <c r="I44" s="41">
        <v>16</v>
      </c>
      <c r="J44" s="42">
        <f t="shared" si="24"/>
        <v>10.378990803629922</v>
      </c>
      <c r="K44" s="30">
        <f t="shared" si="26"/>
        <v>1.0378990803629922</v>
      </c>
      <c r="L44" s="43">
        <f t="shared" si="27"/>
        <v>1.9478125263252259</v>
      </c>
      <c r="M44" s="30"/>
      <c r="N44" s="44"/>
      <c r="R44"/>
      <c r="S44"/>
      <c r="T44"/>
      <c r="U44"/>
    </row>
    <row r="45" spans="1:21" ht="15">
      <c r="A45" s="46"/>
      <c r="B45">
        <v>0.12</v>
      </c>
      <c r="C45">
        <v>0.12</v>
      </c>
      <c r="D45" s="27">
        <f t="shared" si="25"/>
        <v>0.12</v>
      </c>
      <c r="E45" s="27">
        <f t="shared" si="20"/>
        <v>6.0499999999999998E-2</v>
      </c>
      <c r="F45" s="27">
        <f t="shared" si="21"/>
        <v>-1.2182446253475312</v>
      </c>
      <c r="G45" s="28">
        <f t="shared" si="22"/>
        <v>-0.36410185229092557</v>
      </c>
      <c r="H45" s="27">
        <f t="shared" si="23"/>
        <v>0.43241240824215832</v>
      </c>
      <c r="I45" s="41">
        <v>16</v>
      </c>
      <c r="J45" s="42">
        <f t="shared" si="24"/>
        <v>6.9185985318745331</v>
      </c>
      <c r="K45" s="30">
        <f t="shared" si="26"/>
        <v>0.69185985318745336</v>
      </c>
      <c r="L45" s="43">
        <f t="shared" si="27"/>
        <v>1.1842727812373008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0.13900000000000001</v>
      </c>
      <c r="C50">
        <v>0.13900000000000001</v>
      </c>
      <c r="D50" s="27">
        <f>AVERAGE(B50:C50)</f>
        <v>0.13900000000000001</v>
      </c>
      <c r="E50" s="27">
        <f t="shared" ref="E50:E55" si="28">D50-E$8</f>
        <v>7.9500000000000015E-2</v>
      </c>
      <c r="F50" s="27">
        <f t="shared" ref="F50:F55" si="29">LOG(E50)</f>
        <v>-1.0996328713435297</v>
      </c>
      <c r="G50" s="28">
        <f t="shared" ref="G50:G55" si="30">(F50-$B$16)/$B$15</f>
        <v>-0.25871910716290725</v>
      </c>
      <c r="H50" s="27">
        <f t="shared" ref="H50:H55" si="31">10^G50</f>
        <v>0.55116406285255115</v>
      </c>
      <c r="I50" s="41">
        <v>16</v>
      </c>
      <c r="J50" s="42">
        <f t="shared" ref="J50:J55" si="32">H50*I50</f>
        <v>8.8186250056408184</v>
      </c>
      <c r="K50" s="30">
        <f>(0.1*J50/1000)*1000</f>
        <v>0.88186250056408189</v>
      </c>
      <c r="L50" s="43">
        <f t="shared" ref="L50:L55" si="33">K50*100/L31</f>
        <v>1.2084137814559366</v>
      </c>
      <c r="M50" s="30">
        <f>AVERAGE(L50:L52)</f>
        <v>1.0754355113502454</v>
      </c>
      <c r="N50" s="44">
        <f>STDEV(L50:L52)</f>
        <v>0.22668896757165893</v>
      </c>
      <c r="O50" s="48">
        <f>L50/L40</f>
        <v>2.6661210332017755</v>
      </c>
      <c r="P50" s="30">
        <f>AVERAGE(O50:O52)</f>
        <v>1.5178927821816923</v>
      </c>
      <c r="Q50" s="44">
        <f>STDEV(O50:O52)</f>
        <v>1.0233566356660293</v>
      </c>
      <c r="S50"/>
      <c r="T50"/>
    </row>
    <row r="51" spans="1:25" ht="15">
      <c r="B51">
        <v>0.14599999999999999</v>
      </c>
      <c r="C51">
        <v>0.14899999999999999</v>
      </c>
      <c r="D51" s="27">
        <f t="shared" ref="D51:D55" si="34">AVERAGE(B51:C51)</f>
        <v>0.14749999999999999</v>
      </c>
      <c r="E51" s="27">
        <f t="shared" si="28"/>
        <v>8.7999999999999995E-2</v>
      </c>
      <c r="F51" s="27">
        <f t="shared" si="29"/>
        <v>-1.0555173278498313</v>
      </c>
      <c r="G51" s="28">
        <f t="shared" si="30"/>
        <v>-0.21952385948093139</v>
      </c>
      <c r="H51" s="27">
        <f t="shared" si="31"/>
        <v>0.60322056699212145</v>
      </c>
      <c r="I51" s="41">
        <v>16</v>
      </c>
      <c r="J51" s="42">
        <f t="shared" si="32"/>
        <v>9.6515290718739433</v>
      </c>
      <c r="K51" s="30">
        <f t="shared" ref="K51:K55" si="35">(0.1*J51/1000)*1000</f>
        <v>0.96515290718739433</v>
      </c>
      <c r="L51" s="43">
        <f t="shared" si="33"/>
        <v>1.2042038288529364</v>
      </c>
      <c r="M51" s="30"/>
      <c r="N51" s="44"/>
      <c r="O51" s="2">
        <f t="shared" ref="O51:O55" si="36">L51/L41</f>
        <v>1.1855175993995737</v>
      </c>
      <c r="P51" s="30"/>
      <c r="Q51" s="44"/>
      <c r="S51"/>
      <c r="T51"/>
    </row>
    <row r="52" spans="1:25" ht="15">
      <c r="B52">
        <v>0.121</v>
      </c>
      <c r="C52">
        <v>0.112</v>
      </c>
      <c r="D52" s="27">
        <f t="shared" si="34"/>
        <v>0.11649999999999999</v>
      </c>
      <c r="E52" s="27">
        <f t="shared" si="28"/>
        <v>5.6999999999999995E-2</v>
      </c>
      <c r="F52" s="27">
        <f t="shared" si="29"/>
        <v>-1.2441251443275085</v>
      </c>
      <c r="G52" s="28">
        <f t="shared" si="30"/>
        <v>-0.38709586463270229</v>
      </c>
      <c r="H52" s="27">
        <f t="shared" si="31"/>
        <v>0.41011356597198717</v>
      </c>
      <c r="I52" s="41">
        <v>16</v>
      </c>
      <c r="J52" s="42">
        <f t="shared" si="32"/>
        <v>6.5618170555517947</v>
      </c>
      <c r="K52" s="30">
        <f t="shared" si="35"/>
        <v>0.65618170555517952</v>
      </c>
      <c r="L52" s="43">
        <f t="shared" si="33"/>
        <v>0.81368892374186352</v>
      </c>
      <c r="M52" s="30"/>
      <c r="N52" s="44"/>
      <c r="O52" s="2">
        <f t="shared" si="36"/>
        <v>0.70203971394372777</v>
      </c>
      <c r="P52" s="30"/>
      <c r="Q52" s="44"/>
      <c r="S52"/>
      <c r="T52"/>
    </row>
    <row r="53" spans="1:25" ht="15">
      <c r="A53" s="1" t="s">
        <v>26</v>
      </c>
      <c r="B53">
        <v>0.251</v>
      </c>
      <c r="C53">
        <v>0.25900000000000001</v>
      </c>
      <c r="D53" s="27">
        <f t="shared" si="34"/>
        <v>0.255</v>
      </c>
      <c r="E53" s="27">
        <f t="shared" si="28"/>
        <v>0.19550000000000001</v>
      </c>
      <c r="F53" s="27">
        <f t="shared" si="29"/>
        <v>-0.70885323826811442</v>
      </c>
      <c r="G53" s="28">
        <f t="shared" si="30"/>
        <v>8.8476082887294139E-2</v>
      </c>
      <c r="H53" s="27">
        <f t="shared" si="31"/>
        <v>1.2259593857800084</v>
      </c>
      <c r="I53" s="41">
        <v>16</v>
      </c>
      <c r="J53" s="42">
        <f t="shared" si="32"/>
        <v>19.615350172480134</v>
      </c>
      <c r="K53" s="30">
        <f t="shared" si="35"/>
        <v>1.9615350172480133</v>
      </c>
      <c r="L53" s="43">
        <f t="shared" si="33"/>
        <v>3.3788034122209538</v>
      </c>
      <c r="M53" s="30">
        <f>AVERAGE(L53:L55)</f>
        <v>3.554137902041782</v>
      </c>
      <c r="N53" s="44">
        <f>STDEV(L53:L55)</f>
        <v>0.71207634736761383</v>
      </c>
      <c r="O53" s="2">
        <f t="shared" si="36"/>
        <v>2.827954480783426</v>
      </c>
      <c r="P53" s="30">
        <f>AVERAGE(O53:O55)</f>
        <v>2.5141686866881128</v>
      </c>
      <c r="Q53" s="44">
        <f>STDEV(O53:O55)</f>
        <v>0.30142120140638001</v>
      </c>
      <c r="S53"/>
      <c r="T53"/>
    </row>
    <row r="54" spans="1:25" ht="15">
      <c r="A54" s="45"/>
      <c r="B54">
        <v>0.28699999999999998</v>
      </c>
      <c r="C54">
        <v>0.29199999999999998</v>
      </c>
      <c r="D54" s="27">
        <f t="shared" si="34"/>
        <v>0.28949999999999998</v>
      </c>
      <c r="E54" s="27">
        <f t="shared" si="28"/>
        <v>0.22999999999999998</v>
      </c>
      <c r="F54" s="27">
        <f t="shared" si="29"/>
        <v>-0.63827216398240716</v>
      </c>
      <c r="G54" s="28">
        <f t="shared" si="30"/>
        <v>0.15118510717220177</v>
      </c>
      <c r="H54" s="27">
        <f t="shared" si="31"/>
        <v>1.4163973553029492</v>
      </c>
      <c r="I54" s="41">
        <v>16</v>
      </c>
      <c r="J54" s="42">
        <f t="shared" si="32"/>
        <v>22.662357684847187</v>
      </c>
      <c r="K54" s="30">
        <f t="shared" si="35"/>
        <v>2.266235768484719</v>
      </c>
      <c r="L54" s="43">
        <f t="shared" si="33"/>
        <v>4.3375034199052438</v>
      </c>
      <c r="M54" s="30"/>
      <c r="N54" s="44"/>
      <c r="O54" s="2">
        <f t="shared" si="36"/>
        <v>2.2268587768497654</v>
      </c>
      <c r="P54" s="30"/>
      <c r="Q54" s="44"/>
      <c r="S54"/>
      <c r="T54"/>
    </row>
    <row r="55" spans="1:25" ht="15">
      <c r="A55" s="46"/>
      <c r="B55">
        <v>0.22900000000000001</v>
      </c>
      <c r="C55">
        <v>0.223</v>
      </c>
      <c r="D55" s="27">
        <f t="shared" si="34"/>
        <v>0.22600000000000001</v>
      </c>
      <c r="E55" s="27">
        <f t="shared" si="28"/>
        <v>0.16650000000000001</v>
      </c>
      <c r="F55" s="27">
        <f t="shared" si="29"/>
        <v>-0.77858576215766129</v>
      </c>
      <c r="G55" s="28">
        <f t="shared" si="30"/>
        <v>2.6520968456243257E-2</v>
      </c>
      <c r="H55" s="27">
        <f t="shared" si="31"/>
        <v>1.0629699039826885</v>
      </c>
      <c r="I55" s="41">
        <v>16</v>
      </c>
      <c r="J55" s="42">
        <f t="shared" si="32"/>
        <v>17.007518463723017</v>
      </c>
      <c r="K55" s="30">
        <f t="shared" si="35"/>
        <v>1.7007518463723017</v>
      </c>
      <c r="L55" s="43">
        <f t="shared" si="33"/>
        <v>2.9461068739991489</v>
      </c>
      <c r="M55" s="30"/>
      <c r="N55" s="44"/>
      <c r="O55" s="2">
        <f t="shared" si="36"/>
        <v>2.4876928024311464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1.5178927821816923</v>
      </c>
      <c r="O58" s="30">
        <f>Q50</f>
        <v>1.0233566356660293</v>
      </c>
    </row>
    <row r="59" spans="1:25" ht="15">
      <c r="D59"/>
      <c r="E59"/>
      <c r="G59"/>
      <c r="M59" s="2" t="s">
        <v>26</v>
      </c>
      <c r="N59" s="30">
        <f>P53</f>
        <v>2.5141686866881128</v>
      </c>
      <c r="O59" s="30">
        <f>Q53</f>
        <v>0.30142120140638001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0.87601515161719801</v>
      </c>
      <c r="C65" s="30">
        <f>N40</f>
        <v>0.3730695935352592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1.0754355113502454</v>
      </c>
      <c r="C66" s="30">
        <f>N50</f>
        <v>0.22668896757165893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1.4422907882813059</v>
      </c>
      <c r="C67" s="30">
        <f>N43</f>
        <v>0.43782623062853659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3.554137902041782</v>
      </c>
      <c r="C68" s="30">
        <f>N53</f>
        <v>0.71207634736761383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D16" sqref="D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42359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50</v>
      </c>
      <c r="H7" s="10" t="s">
        <v>48</v>
      </c>
      <c r="N7"/>
      <c r="O7"/>
      <c r="P7"/>
    </row>
    <row r="8" spans="1:20" ht="15">
      <c r="A8" s="10">
        <v>0</v>
      </c>
      <c r="B8" s="10">
        <f>A8/23</f>
        <v>0</v>
      </c>
      <c r="C8">
        <v>5.5E-2</v>
      </c>
      <c r="D8">
        <v>6.4000000000000001E-2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7.0999999999999994E-2</v>
      </c>
      <c r="D9">
        <v>7.5999999999999998E-2</v>
      </c>
      <c r="E9" s="11">
        <f t="shared" si="0"/>
        <v>7.3499999999999996E-2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0.13200000000000001</v>
      </c>
      <c r="D10">
        <v>0.14199999999999999</v>
      </c>
      <c r="E10" s="11">
        <f t="shared" si="0"/>
        <v>0.13700000000000001</v>
      </c>
      <c r="F10" s="12">
        <f>(E10-$E$8)</f>
        <v>7.7500000000000013E-2</v>
      </c>
      <c r="G10" s="12">
        <f>LOG(B10)</f>
        <v>-0.34469449671881253</v>
      </c>
      <c r="H10" s="12">
        <f>LOG(F10)</f>
        <v>-1.1106982974936896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0.28100000000000003</v>
      </c>
      <c r="D11">
        <v>0.30399999999999999</v>
      </c>
      <c r="E11" s="11">
        <f t="shared" si="0"/>
        <v>0.29249999999999998</v>
      </c>
      <c r="F11" s="12">
        <f>(E11-$E$8)</f>
        <v>0.23299999999999998</v>
      </c>
      <c r="G11" s="12">
        <f>LOG(B11)</f>
        <v>0.13658271777200767</v>
      </c>
      <c r="H11" s="12">
        <f>LOG(F11)</f>
        <v>-0.63264407897398101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0.97</v>
      </c>
      <c r="D12">
        <v>0.94299999999999995</v>
      </c>
      <c r="E12" s="11">
        <f t="shared" si="0"/>
        <v>0.95649999999999991</v>
      </c>
      <c r="F12" s="12">
        <f>(E12-$E$8)</f>
        <v>0.89699999999999991</v>
      </c>
      <c r="G12" s="12">
        <f>LOG(B12)</f>
        <v>0.66357802924717735</v>
      </c>
      <c r="H12" s="12">
        <f>LOG(F12)</f>
        <v>-4.7207556955907962E-2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1.736</v>
      </c>
      <c r="D13">
        <v>1.734</v>
      </c>
      <c r="E13" s="11">
        <f t="shared" si="0"/>
        <v>1.7349999999999999</v>
      </c>
      <c r="F13" s="12">
        <f>(E13-$E$8)</f>
        <v>1.6755</v>
      </c>
      <c r="G13" s="12">
        <f>LOG(B13)</f>
        <v>0.96049145871632635</v>
      </c>
      <c r="H13" s="12">
        <f>LOG(F13)</f>
        <v>0.22414443217129029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1.1255329689875946</v>
      </c>
      <c r="N15"/>
    </row>
    <row r="16" spans="1:20" ht="15">
      <c r="A16" s="5" t="s">
        <v>11</v>
      </c>
      <c r="B16" s="11">
        <f>INTERCEPT(H9:H13,G9:G13)</f>
        <v>-0.8084359865246431</v>
      </c>
      <c r="C16" s="65"/>
      <c r="G16" s="65"/>
      <c r="H16" s="65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44</v>
      </c>
      <c r="E20" s="20" t="s">
        <v>49</v>
      </c>
      <c r="F20" s="21" t="s">
        <v>48</v>
      </c>
      <c r="G20" s="21" t="s">
        <v>47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0.58699999999999997</v>
      </c>
      <c r="C22">
        <v>0.55600000000000005</v>
      </c>
      <c r="D22" s="27">
        <f t="shared" ref="D22:D27" si="2">AVERAGE(B22:C22)</f>
        <v>0.57150000000000001</v>
      </c>
      <c r="E22" s="27">
        <f t="shared" ref="E22:E27" si="3">D22-E$8</f>
        <v>0.51200000000000001</v>
      </c>
      <c r="F22" s="27">
        <f t="shared" ref="F22:F27" si="4">LOG(E22)</f>
        <v>-0.29073003902416922</v>
      </c>
      <c r="G22" s="28">
        <f t="shared" ref="G22:G27" si="5">(F22-$B$16)/$B$15</f>
        <v>0.45996515585513692</v>
      </c>
      <c r="H22" s="28">
        <f t="shared" ref="H22:H27" si="6">10^G22</f>
        <v>2.883800121922198</v>
      </c>
      <c r="I22" s="29">
        <v>500</v>
      </c>
      <c r="J22" s="30">
        <f t="shared" ref="J22:J27" si="7">(H22*I22)</f>
        <v>1441.9000609610989</v>
      </c>
      <c r="K22" s="31">
        <f t="shared" ref="K22:K27" si="8">(0.05*J22/1000)*1000</f>
        <v>72.095003048054949</v>
      </c>
      <c r="L22" s="32">
        <f t="shared" ref="L22:L27" si="9">K22+K40+K50</f>
        <v>73.309137681721921</v>
      </c>
      <c r="M22" s="33">
        <f t="shared" ref="M22:M27" si="10">(L22*1000000/50000)/1000</f>
        <v>1.4661827536344385</v>
      </c>
      <c r="N22" s="34"/>
    </row>
    <row r="23" spans="1:17" ht="15">
      <c r="B23">
        <v>0.59799999999999998</v>
      </c>
      <c r="C23">
        <v>0.65900000000000003</v>
      </c>
      <c r="D23" s="27">
        <f t="shared" si="2"/>
        <v>0.62850000000000006</v>
      </c>
      <c r="E23" s="27">
        <f t="shared" si="3"/>
        <v>0.56900000000000006</v>
      </c>
      <c r="F23" s="27">
        <f t="shared" si="4"/>
        <v>-0.24488773360492877</v>
      </c>
      <c r="G23" s="28">
        <f t="shared" si="5"/>
        <v>0.50069457621185476</v>
      </c>
      <c r="H23" s="28">
        <f t="shared" si="6"/>
        <v>3.1673392031415255</v>
      </c>
      <c r="I23" s="29">
        <v>500</v>
      </c>
      <c r="J23" s="30">
        <f t="shared" si="7"/>
        <v>1583.6696015707628</v>
      </c>
      <c r="K23" s="31">
        <f t="shared" si="8"/>
        <v>79.183480078538139</v>
      </c>
      <c r="L23" s="32">
        <f t="shared" si="9"/>
        <v>80.97110678848081</v>
      </c>
      <c r="M23" s="33">
        <f t="shared" si="10"/>
        <v>1.6194221357696161</v>
      </c>
      <c r="N23" s="34"/>
    </row>
    <row r="24" spans="1:17" ht="15">
      <c r="B24">
        <v>0.65300000000000002</v>
      </c>
      <c r="C24">
        <v>0.61699999999999999</v>
      </c>
      <c r="D24" s="27">
        <f t="shared" si="2"/>
        <v>0.63500000000000001</v>
      </c>
      <c r="E24" s="27">
        <f t="shared" si="3"/>
        <v>0.57550000000000001</v>
      </c>
      <c r="F24" s="27">
        <f t="shared" si="4"/>
        <v>-0.23995467203418938</v>
      </c>
      <c r="G24" s="28">
        <f t="shared" si="5"/>
        <v>0.50507744344601191</v>
      </c>
      <c r="H24" s="28">
        <f t="shared" si="6"/>
        <v>3.1994655879274627</v>
      </c>
      <c r="I24" s="29">
        <v>500</v>
      </c>
      <c r="J24" s="30">
        <f t="shared" si="7"/>
        <v>1599.7327939637314</v>
      </c>
      <c r="K24" s="31">
        <f t="shared" si="8"/>
        <v>79.986639698186579</v>
      </c>
      <c r="L24" s="32">
        <f t="shared" si="9"/>
        <v>81.588460594406399</v>
      </c>
      <c r="M24" s="33">
        <f t="shared" si="10"/>
        <v>1.631769211888128</v>
      </c>
      <c r="N24" s="34"/>
    </row>
    <row r="25" spans="1:17" ht="15">
      <c r="A25" s="1" t="s">
        <v>26</v>
      </c>
      <c r="B25">
        <v>0.42799999999999999</v>
      </c>
      <c r="C25">
        <v>0.46300000000000002</v>
      </c>
      <c r="D25" s="27">
        <f t="shared" si="2"/>
        <v>0.44550000000000001</v>
      </c>
      <c r="E25" s="27">
        <f t="shared" si="3"/>
        <v>0.38600000000000001</v>
      </c>
      <c r="F25" s="27">
        <f t="shared" si="4"/>
        <v>-0.41341269532824504</v>
      </c>
      <c r="G25" s="28">
        <f t="shared" si="5"/>
        <v>0.35096554439601846</v>
      </c>
      <c r="H25" s="28">
        <f t="shared" si="6"/>
        <v>2.2437039080738206</v>
      </c>
      <c r="I25" s="29">
        <v>500</v>
      </c>
      <c r="J25" s="30">
        <f t="shared" si="7"/>
        <v>1121.8519540369102</v>
      </c>
      <c r="K25" s="31">
        <f t="shared" si="8"/>
        <v>56.092597701845513</v>
      </c>
      <c r="L25" s="32">
        <f t="shared" si="9"/>
        <v>58.756143517194644</v>
      </c>
      <c r="M25" s="33">
        <f t="shared" si="10"/>
        <v>1.1751228703438927</v>
      </c>
      <c r="N25" s="34"/>
    </row>
    <row r="26" spans="1:17" ht="15">
      <c r="B26">
        <v>0.38300000000000001</v>
      </c>
      <c r="C26">
        <v>0.41399999999999998</v>
      </c>
      <c r="D26" s="27">
        <f t="shared" si="2"/>
        <v>0.39849999999999997</v>
      </c>
      <c r="E26" s="27">
        <f t="shared" si="3"/>
        <v>0.33899999999999997</v>
      </c>
      <c r="F26" s="27">
        <f t="shared" si="4"/>
        <v>-0.4698003017969179</v>
      </c>
      <c r="G26" s="28">
        <f t="shared" si="5"/>
        <v>0.30086696174908545</v>
      </c>
      <c r="H26" s="28">
        <f t="shared" si="6"/>
        <v>1.9992493419829407</v>
      </c>
      <c r="I26" s="29">
        <v>500</v>
      </c>
      <c r="J26" s="30">
        <f t="shared" si="7"/>
        <v>999.62467099147034</v>
      </c>
      <c r="K26" s="31">
        <f t="shared" si="8"/>
        <v>49.981233549573517</v>
      </c>
      <c r="L26" s="32">
        <f t="shared" si="9"/>
        <v>53.285368398421227</v>
      </c>
      <c r="M26" s="33">
        <f t="shared" si="10"/>
        <v>1.0657073679684246</v>
      </c>
      <c r="N26" s="34"/>
    </row>
    <row r="27" spans="1:17" ht="15">
      <c r="B27">
        <v>0.44</v>
      </c>
      <c r="C27">
        <v>0.45</v>
      </c>
      <c r="D27" s="27">
        <f t="shared" si="2"/>
        <v>0.44500000000000001</v>
      </c>
      <c r="E27" s="27">
        <f t="shared" si="3"/>
        <v>0.38550000000000001</v>
      </c>
      <c r="F27" s="27">
        <f t="shared" si="4"/>
        <v>-0.4139756176130242</v>
      </c>
      <c r="G27" s="28">
        <f t="shared" si="5"/>
        <v>0.35046540597245407</v>
      </c>
      <c r="H27" s="28">
        <f t="shared" si="6"/>
        <v>2.2411215205862711</v>
      </c>
      <c r="I27" s="29">
        <v>500</v>
      </c>
      <c r="J27" s="30">
        <f t="shared" si="7"/>
        <v>1120.5607602931357</v>
      </c>
      <c r="K27" s="31">
        <f t="shared" si="8"/>
        <v>56.028038014656786</v>
      </c>
      <c r="L27" s="32">
        <f t="shared" si="9"/>
        <v>58.420649714216538</v>
      </c>
      <c r="M27" s="33">
        <f t="shared" si="10"/>
        <v>1.1684129942843309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44</v>
      </c>
      <c r="E29" s="20" t="s">
        <v>49</v>
      </c>
      <c r="F29" s="21" t="s">
        <v>48</v>
      </c>
      <c r="G29" s="21" t="s">
        <v>47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0.58699999999999997</v>
      </c>
      <c r="C31">
        <v>0.55600000000000005</v>
      </c>
      <c r="D31" s="27">
        <f t="shared" ref="D31:D36" si="11">AVERAGE(B31:C31)</f>
        <v>0.57150000000000001</v>
      </c>
      <c r="E31" s="27">
        <f t="shared" ref="E31:E36" si="12">D31-E$8</f>
        <v>0.51200000000000001</v>
      </c>
      <c r="F31" s="27">
        <f t="shared" ref="F31:F36" si="13">LOG(E31)</f>
        <v>-0.29073003902416922</v>
      </c>
      <c r="G31" s="28">
        <f t="shared" ref="G31:G36" si="14">(F31-$B$16)/$B$15</f>
        <v>0.45996515585513692</v>
      </c>
      <c r="H31" s="28">
        <f t="shared" ref="H31:H36" si="15">10^G31</f>
        <v>2.883800121922198</v>
      </c>
      <c r="I31" s="29">
        <v>500</v>
      </c>
      <c r="J31" s="30">
        <f t="shared" ref="J31:J36" si="16">(H31*I31)</f>
        <v>1441.9000609610989</v>
      </c>
      <c r="K31" s="31">
        <f t="shared" ref="K31:K36" si="17">(0.05*J31/1000)*1000</f>
        <v>72.095003048054949</v>
      </c>
      <c r="L31" s="32">
        <f t="shared" ref="L31:L36" si="18">K31+K50</f>
        <v>72.976865548619031</v>
      </c>
      <c r="M31" s="33">
        <f t="shared" ref="M31:M36" si="19">(L31*1000000/50000)/1000</f>
        <v>1.4595373109723808</v>
      </c>
      <c r="N31" s="35"/>
      <c r="Q31"/>
    </row>
    <row r="32" spans="1:17" ht="15">
      <c r="B32">
        <v>0.59799999999999998</v>
      </c>
      <c r="C32">
        <v>0.65900000000000003</v>
      </c>
      <c r="D32" s="27">
        <f t="shared" si="11"/>
        <v>0.62850000000000006</v>
      </c>
      <c r="E32" s="27">
        <f t="shared" si="12"/>
        <v>0.56900000000000006</v>
      </c>
      <c r="F32" s="27">
        <f t="shared" si="13"/>
        <v>-0.24488773360492877</v>
      </c>
      <c r="G32" s="28">
        <f t="shared" si="14"/>
        <v>0.50069457621185476</v>
      </c>
      <c r="H32" s="28">
        <f t="shared" si="15"/>
        <v>3.1673392031415255</v>
      </c>
      <c r="I32" s="29">
        <v>500</v>
      </c>
      <c r="J32" s="30">
        <f t="shared" si="16"/>
        <v>1583.6696015707628</v>
      </c>
      <c r="K32" s="31">
        <f t="shared" si="17"/>
        <v>79.183480078538139</v>
      </c>
      <c r="L32" s="32">
        <f t="shared" si="18"/>
        <v>80.148632985725527</v>
      </c>
      <c r="M32" s="33">
        <f t="shared" si="19"/>
        <v>1.6029726597145104</v>
      </c>
      <c r="N32" s="36"/>
      <c r="Q32"/>
    </row>
    <row r="33" spans="1:21" ht="15">
      <c r="B33">
        <v>0.65300000000000002</v>
      </c>
      <c r="C33">
        <v>0.61699999999999999</v>
      </c>
      <c r="D33" s="27">
        <f t="shared" si="11"/>
        <v>0.63500000000000001</v>
      </c>
      <c r="E33" s="27">
        <f t="shared" si="12"/>
        <v>0.57550000000000001</v>
      </c>
      <c r="F33" s="27">
        <f t="shared" si="13"/>
        <v>-0.23995467203418938</v>
      </c>
      <c r="G33" s="28">
        <f t="shared" si="14"/>
        <v>0.50507744344601191</v>
      </c>
      <c r="H33" s="28">
        <f t="shared" si="15"/>
        <v>3.1994655879274627</v>
      </c>
      <c r="I33" s="29">
        <v>500</v>
      </c>
      <c r="J33" s="30">
        <f t="shared" si="16"/>
        <v>1599.7327939637314</v>
      </c>
      <c r="K33" s="31">
        <f t="shared" si="17"/>
        <v>79.986639698186579</v>
      </c>
      <c r="L33" s="32">
        <f t="shared" si="18"/>
        <v>80.642821403741763</v>
      </c>
      <c r="M33" s="33">
        <f t="shared" si="19"/>
        <v>1.6128564280748354</v>
      </c>
      <c r="N33" s="36"/>
      <c r="Q33"/>
      <c r="R33"/>
      <c r="S33"/>
    </row>
    <row r="34" spans="1:21" ht="15">
      <c r="A34" s="1" t="s">
        <v>26</v>
      </c>
      <c r="B34">
        <v>0.42799999999999999</v>
      </c>
      <c r="C34">
        <v>0.46300000000000002</v>
      </c>
      <c r="D34" s="27">
        <f t="shared" si="11"/>
        <v>0.44550000000000001</v>
      </c>
      <c r="E34" s="27">
        <f t="shared" si="12"/>
        <v>0.38600000000000001</v>
      </c>
      <c r="F34" s="27">
        <f t="shared" si="13"/>
        <v>-0.41341269532824504</v>
      </c>
      <c r="G34" s="28">
        <f t="shared" si="14"/>
        <v>0.35096554439601846</v>
      </c>
      <c r="H34" s="28">
        <f t="shared" si="15"/>
        <v>2.2437039080738206</v>
      </c>
      <c r="I34" s="29">
        <v>500</v>
      </c>
      <c r="J34" s="30">
        <f t="shared" si="16"/>
        <v>1121.8519540369102</v>
      </c>
      <c r="K34" s="31">
        <f t="shared" si="17"/>
        <v>56.092597701845513</v>
      </c>
      <c r="L34" s="32">
        <f t="shared" si="18"/>
        <v>58.054132719093523</v>
      </c>
      <c r="M34" s="33">
        <f t="shared" si="19"/>
        <v>1.1610826543818704</v>
      </c>
      <c r="N34" s="36"/>
      <c r="Q34"/>
      <c r="R34"/>
      <c r="S34"/>
    </row>
    <row r="35" spans="1:21" ht="15">
      <c r="B35">
        <v>0.38300000000000001</v>
      </c>
      <c r="C35">
        <v>0.41399999999999998</v>
      </c>
      <c r="D35" s="27">
        <f t="shared" si="11"/>
        <v>0.39849999999999997</v>
      </c>
      <c r="E35" s="27">
        <f t="shared" si="12"/>
        <v>0.33899999999999997</v>
      </c>
      <c r="F35" s="27">
        <f t="shared" si="13"/>
        <v>-0.4698003017969179</v>
      </c>
      <c r="G35" s="28">
        <f t="shared" si="14"/>
        <v>0.30086696174908545</v>
      </c>
      <c r="H35" s="28">
        <f t="shared" si="15"/>
        <v>1.9992493419829407</v>
      </c>
      <c r="I35" s="29">
        <v>500</v>
      </c>
      <c r="J35" s="30">
        <f t="shared" si="16"/>
        <v>999.62467099147034</v>
      </c>
      <c r="K35" s="31">
        <f t="shared" si="17"/>
        <v>49.981233549573517</v>
      </c>
      <c r="L35" s="32">
        <f t="shared" si="18"/>
        <v>52.247469318058236</v>
      </c>
      <c r="M35" s="33">
        <f t="shared" si="19"/>
        <v>1.0449493863611647</v>
      </c>
      <c r="N35" s="36"/>
      <c r="Q35"/>
      <c r="R35"/>
      <c r="S35"/>
    </row>
    <row r="36" spans="1:21" ht="15">
      <c r="B36">
        <v>0.44</v>
      </c>
      <c r="C36">
        <v>0.45</v>
      </c>
      <c r="D36" s="27">
        <f t="shared" si="11"/>
        <v>0.44500000000000001</v>
      </c>
      <c r="E36" s="27">
        <f t="shared" si="12"/>
        <v>0.38550000000000001</v>
      </c>
      <c r="F36" s="27">
        <f t="shared" si="13"/>
        <v>-0.4139756176130242</v>
      </c>
      <c r="G36" s="28">
        <f t="shared" si="14"/>
        <v>0.35046540597245407</v>
      </c>
      <c r="H36" s="28">
        <f t="shared" si="15"/>
        <v>2.2411215205862711</v>
      </c>
      <c r="I36" s="29">
        <v>500</v>
      </c>
      <c r="J36" s="30">
        <f t="shared" si="16"/>
        <v>1120.5607602931357</v>
      </c>
      <c r="K36" s="31">
        <f t="shared" si="17"/>
        <v>56.028038014656786</v>
      </c>
      <c r="L36" s="32">
        <f t="shared" si="18"/>
        <v>57.728789861029085</v>
      </c>
      <c r="M36" s="33">
        <f t="shared" si="19"/>
        <v>1.1545757972205817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44</v>
      </c>
      <c r="E39" s="20" t="s">
        <v>49</v>
      </c>
      <c r="F39" s="21" t="s">
        <v>48</v>
      </c>
      <c r="G39" s="21" t="s">
        <v>47</v>
      </c>
      <c r="H39" s="21" t="s">
        <v>19</v>
      </c>
      <c r="I39" s="9" t="s">
        <v>20</v>
      </c>
      <c r="J39" s="21" t="s">
        <v>21</v>
      </c>
      <c r="K39" s="21" t="s">
        <v>46</v>
      </c>
      <c r="L39" s="21" t="s">
        <v>45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8.4000000000000005E-2</v>
      </c>
      <c r="C40">
        <v>8.7999999999999995E-2</v>
      </c>
      <c r="D40" s="27">
        <f t="shared" ref="D40:D45" si="20">AVERAGE(B40:C40)</f>
        <v>8.5999999999999993E-2</v>
      </c>
      <c r="E40" s="27">
        <f t="shared" ref="E40:E45" si="21">D40-E$8</f>
        <v>2.6499999999999996E-2</v>
      </c>
      <c r="F40" s="27">
        <f t="shared" ref="F40:F45" si="22">LOG(E40)</f>
        <v>-1.5767541260631923</v>
      </c>
      <c r="G40" s="28">
        <f t="shared" ref="G40:G45" si="23">(F40-$B$16)/$B$15</f>
        <v>-0.68262606312602603</v>
      </c>
      <c r="H40" s="27">
        <f t="shared" ref="H40:H45" si="24">10^G40</f>
        <v>0.20767008318930619</v>
      </c>
      <c r="I40" s="41">
        <v>16</v>
      </c>
      <c r="J40" s="42">
        <f t="shared" ref="J40:J45" si="25">H40*I40</f>
        <v>3.322721331028899</v>
      </c>
      <c r="K40" s="30">
        <f t="shared" ref="K40:K45" si="26">(0.1*J40/1000)*1000</f>
        <v>0.33227213310288994</v>
      </c>
      <c r="L40" s="43">
        <f t="shared" ref="L40:L45" si="27">K40*100/L22</f>
        <v>0.45324790825596489</v>
      </c>
      <c r="M40" s="30">
        <f>AVERAGE(L40:L42)</f>
        <v>0.87601515161719801</v>
      </c>
      <c r="N40" s="44">
        <f>STDEV(L40:L42)</f>
        <v>0.3730695935352592</v>
      </c>
      <c r="R40"/>
      <c r="S40"/>
      <c r="T40"/>
      <c r="U40"/>
    </row>
    <row r="41" spans="1:21" ht="15">
      <c r="B41">
        <v>0.13500000000000001</v>
      </c>
      <c r="C41">
        <v>0.13100000000000001</v>
      </c>
      <c r="D41" s="27">
        <f t="shared" si="20"/>
        <v>0.13300000000000001</v>
      </c>
      <c r="E41" s="27">
        <f t="shared" si="21"/>
        <v>7.350000000000001E-2</v>
      </c>
      <c r="F41" s="27">
        <f t="shared" si="22"/>
        <v>-1.133712660915805</v>
      </c>
      <c r="G41" s="28">
        <f t="shared" si="23"/>
        <v>-0.28899790886067511</v>
      </c>
      <c r="H41" s="27">
        <f t="shared" si="24"/>
        <v>0.51404612672205419</v>
      </c>
      <c r="I41" s="41">
        <v>16</v>
      </c>
      <c r="J41" s="42">
        <f t="shared" si="25"/>
        <v>8.224738027552867</v>
      </c>
      <c r="K41" s="30">
        <f t="shared" si="26"/>
        <v>0.8224738027552867</v>
      </c>
      <c r="L41" s="43">
        <f t="shared" si="27"/>
        <v>1.0157620852384028</v>
      </c>
      <c r="M41" s="30"/>
      <c r="N41" s="44"/>
      <c r="R41"/>
      <c r="S41"/>
      <c r="T41"/>
      <c r="U41"/>
    </row>
    <row r="42" spans="1:21" s="17" customFormat="1" ht="15">
      <c r="A42" s="1"/>
      <c r="B42">
        <v>0.15</v>
      </c>
      <c r="C42">
        <v>0.14099999999999999</v>
      </c>
      <c r="D42" s="27">
        <f t="shared" si="20"/>
        <v>0.14549999999999999</v>
      </c>
      <c r="E42" s="27">
        <f t="shared" si="21"/>
        <v>8.5999999999999993E-2</v>
      </c>
      <c r="F42" s="27">
        <f t="shared" si="22"/>
        <v>-1.0655015487564323</v>
      </c>
      <c r="G42" s="28">
        <f t="shared" si="23"/>
        <v>-0.22839452003171179</v>
      </c>
      <c r="H42" s="27">
        <f t="shared" si="24"/>
        <v>0.59102449416539793</v>
      </c>
      <c r="I42" s="41">
        <v>16</v>
      </c>
      <c r="J42" s="42">
        <f t="shared" si="25"/>
        <v>9.4563919066463669</v>
      </c>
      <c r="K42" s="30">
        <f t="shared" si="26"/>
        <v>0.94563919066463675</v>
      </c>
      <c r="L42" s="43">
        <f t="shared" si="27"/>
        <v>1.159035461357226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0.11600000000000001</v>
      </c>
      <c r="C43">
        <v>0.126</v>
      </c>
      <c r="D43" s="27">
        <f t="shared" si="20"/>
        <v>0.121</v>
      </c>
      <c r="E43" s="27">
        <f t="shared" si="21"/>
        <v>6.1499999999999999E-2</v>
      </c>
      <c r="F43" s="27">
        <f t="shared" si="22"/>
        <v>-1.2111248842245832</v>
      </c>
      <c r="G43" s="28">
        <f t="shared" si="23"/>
        <v>-0.35777619029867658</v>
      </c>
      <c r="H43" s="27">
        <f t="shared" si="24"/>
        <v>0.43875674881320037</v>
      </c>
      <c r="I43" s="41">
        <v>16</v>
      </c>
      <c r="J43" s="42">
        <f t="shared" si="25"/>
        <v>7.0201079810112059</v>
      </c>
      <c r="K43" s="30">
        <f t="shared" si="26"/>
        <v>0.70201079810112066</v>
      </c>
      <c r="L43" s="43">
        <f t="shared" si="27"/>
        <v>1.194787057281391</v>
      </c>
      <c r="M43" s="30">
        <f>AVERAGE(L43:L45)</f>
        <v>1.4422907882813059</v>
      </c>
      <c r="N43" s="44">
        <f>STDEV(L43:L45)</f>
        <v>0.43782623062853659</v>
      </c>
      <c r="R43"/>
      <c r="S43"/>
      <c r="T43"/>
      <c r="U43"/>
    </row>
    <row r="44" spans="1:21" ht="15">
      <c r="A44" s="45"/>
      <c r="B44">
        <v>0.157</v>
      </c>
      <c r="C44">
        <v>0.153</v>
      </c>
      <c r="D44" s="27">
        <f t="shared" si="20"/>
        <v>0.155</v>
      </c>
      <c r="E44" s="27">
        <f t="shared" si="21"/>
        <v>9.5500000000000002E-2</v>
      </c>
      <c r="F44" s="27">
        <f t="shared" si="22"/>
        <v>-1.0199966284162536</v>
      </c>
      <c r="G44" s="28">
        <f t="shared" si="23"/>
        <v>-0.18796485551365691</v>
      </c>
      <c r="H44" s="27">
        <f t="shared" si="24"/>
        <v>0.6486869252268701</v>
      </c>
      <c r="I44" s="41">
        <v>16</v>
      </c>
      <c r="J44" s="42">
        <f t="shared" si="25"/>
        <v>10.378990803629922</v>
      </c>
      <c r="K44" s="30">
        <f t="shared" si="26"/>
        <v>1.0378990803629922</v>
      </c>
      <c r="L44" s="43">
        <f t="shared" si="27"/>
        <v>1.9478125263252259</v>
      </c>
      <c r="M44" s="30"/>
      <c r="N44" s="44"/>
      <c r="R44"/>
      <c r="S44"/>
      <c r="T44"/>
      <c r="U44"/>
    </row>
    <row r="45" spans="1:21" ht="15">
      <c r="A45" s="46"/>
      <c r="B45">
        <v>0.12</v>
      </c>
      <c r="C45">
        <v>0.12</v>
      </c>
      <c r="D45" s="27">
        <f t="shared" si="20"/>
        <v>0.12</v>
      </c>
      <c r="E45" s="27">
        <f t="shared" si="21"/>
        <v>6.0499999999999998E-2</v>
      </c>
      <c r="F45" s="27">
        <f t="shared" si="22"/>
        <v>-1.2182446253475312</v>
      </c>
      <c r="G45" s="28">
        <f t="shared" si="23"/>
        <v>-0.36410185229092557</v>
      </c>
      <c r="H45" s="27">
        <f t="shared" si="24"/>
        <v>0.43241240824215832</v>
      </c>
      <c r="I45" s="41">
        <v>16</v>
      </c>
      <c r="J45" s="42">
        <f t="shared" si="25"/>
        <v>6.9185985318745331</v>
      </c>
      <c r="K45" s="30">
        <f t="shared" si="26"/>
        <v>0.69185985318745336</v>
      </c>
      <c r="L45" s="43">
        <f t="shared" si="27"/>
        <v>1.1842727812373008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44</v>
      </c>
      <c r="E49" s="20" t="s">
        <v>49</v>
      </c>
      <c r="F49" s="21" t="s">
        <v>48</v>
      </c>
      <c r="G49" s="21" t="s">
        <v>47</v>
      </c>
      <c r="H49" s="21" t="s">
        <v>19</v>
      </c>
      <c r="I49" s="9" t="s">
        <v>20</v>
      </c>
      <c r="J49" s="21" t="s">
        <v>21</v>
      </c>
      <c r="K49" s="21" t="s">
        <v>46</v>
      </c>
      <c r="L49" s="21" t="s">
        <v>45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0.13900000000000001</v>
      </c>
      <c r="C50">
        <v>0.13900000000000001</v>
      </c>
      <c r="D50" s="27">
        <f t="shared" ref="D50:D55" si="28">AVERAGE(B50:C50)</f>
        <v>0.13900000000000001</v>
      </c>
      <c r="E50" s="27">
        <f t="shared" ref="E50:E55" si="29">D50-E$8</f>
        <v>7.9500000000000015E-2</v>
      </c>
      <c r="F50" s="27">
        <f t="shared" ref="F50:F55" si="30">LOG(E50)</f>
        <v>-1.0996328713435297</v>
      </c>
      <c r="G50" s="28">
        <f t="shared" ref="G50:G55" si="31">(F50-$B$16)/$B$15</f>
        <v>-0.25871910716290725</v>
      </c>
      <c r="H50" s="27">
        <f t="shared" ref="H50:H55" si="32">10^G50</f>
        <v>0.55116406285255115</v>
      </c>
      <c r="I50" s="41">
        <v>16</v>
      </c>
      <c r="J50" s="42">
        <f t="shared" ref="J50:J55" si="33">H50*I50</f>
        <v>8.8186250056408184</v>
      </c>
      <c r="K50" s="30">
        <f t="shared" ref="K50:K55" si="34">(0.1*J50/1000)*1000</f>
        <v>0.88186250056408189</v>
      </c>
      <c r="L50" s="43">
        <f t="shared" ref="L50:L55" si="35">K50*100/L31</f>
        <v>1.2084137814559366</v>
      </c>
      <c r="M50" s="30">
        <f>AVERAGE(L50:L52)</f>
        <v>1.0754355113502454</v>
      </c>
      <c r="N50" s="44">
        <f>STDEV(L50:L52)</f>
        <v>0.22668896757165893</v>
      </c>
      <c r="O50" s="48">
        <f t="shared" ref="O50:O55" si="36">L50/L40</f>
        <v>2.6661210332017755</v>
      </c>
      <c r="P50" s="30">
        <f>AVERAGE(O50:O52)</f>
        <v>1.5178927821816923</v>
      </c>
      <c r="Q50" s="44">
        <f>STDEV(O50:O52)</f>
        <v>1.0233566356660293</v>
      </c>
      <c r="S50"/>
      <c r="T50"/>
    </row>
    <row r="51" spans="1:25" ht="15">
      <c r="B51">
        <v>0.14599999999999999</v>
      </c>
      <c r="C51">
        <v>0.14899999999999999</v>
      </c>
      <c r="D51" s="27">
        <f t="shared" si="28"/>
        <v>0.14749999999999999</v>
      </c>
      <c r="E51" s="27">
        <f t="shared" si="29"/>
        <v>8.7999999999999995E-2</v>
      </c>
      <c r="F51" s="27">
        <f t="shared" si="30"/>
        <v>-1.0555173278498313</v>
      </c>
      <c r="G51" s="28">
        <f t="shared" si="31"/>
        <v>-0.21952385948093139</v>
      </c>
      <c r="H51" s="27">
        <f t="shared" si="32"/>
        <v>0.60322056699212145</v>
      </c>
      <c r="I51" s="41">
        <v>16</v>
      </c>
      <c r="J51" s="42">
        <f t="shared" si="33"/>
        <v>9.6515290718739433</v>
      </c>
      <c r="K51" s="30">
        <f t="shared" si="34"/>
        <v>0.96515290718739433</v>
      </c>
      <c r="L51" s="43">
        <f t="shared" si="35"/>
        <v>1.2042038288529364</v>
      </c>
      <c r="M51" s="30"/>
      <c r="N51" s="44"/>
      <c r="O51" s="2">
        <f t="shared" si="36"/>
        <v>1.1855175993995737</v>
      </c>
      <c r="P51" s="30"/>
      <c r="Q51" s="44"/>
      <c r="S51"/>
      <c r="T51"/>
    </row>
    <row r="52" spans="1:25" ht="15">
      <c r="B52">
        <v>0.121</v>
      </c>
      <c r="C52">
        <v>0.112</v>
      </c>
      <c r="D52" s="27">
        <f t="shared" si="28"/>
        <v>0.11649999999999999</v>
      </c>
      <c r="E52" s="27">
        <f t="shared" si="29"/>
        <v>5.6999999999999995E-2</v>
      </c>
      <c r="F52" s="27">
        <f t="shared" si="30"/>
        <v>-1.2441251443275085</v>
      </c>
      <c r="G52" s="28">
        <f t="shared" si="31"/>
        <v>-0.38709586463270229</v>
      </c>
      <c r="H52" s="27">
        <f t="shared" si="32"/>
        <v>0.41011356597198717</v>
      </c>
      <c r="I52" s="41">
        <v>16</v>
      </c>
      <c r="J52" s="42">
        <f t="shared" si="33"/>
        <v>6.5618170555517947</v>
      </c>
      <c r="K52" s="30">
        <f t="shared" si="34"/>
        <v>0.65618170555517952</v>
      </c>
      <c r="L52" s="43">
        <f t="shared" si="35"/>
        <v>0.81368892374186352</v>
      </c>
      <c r="M52" s="30"/>
      <c r="N52" s="44"/>
      <c r="O52" s="2">
        <f t="shared" si="36"/>
        <v>0.70203971394372777</v>
      </c>
      <c r="P52" s="30"/>
      <c r="Q52" s="44"/>
      <c r="S52"/>
      <c r="T52"/>
    </row>
    <row r="53" spans="1:25" ht="15">
      <c r="A53" s="1" t="s">
        <v>26</v>
      </c>
      <c r="B53">
        <v>0.251</v>
      </c>
      <c r="C53">
        <v>0.25900000000000001</v>
      </c>
      <c r="D53" s="27">
        <f t="shared" si="28"/>
        <v>0.255</v>
      </c>
      <c r="E53" s="27">
        <f t="shared" si="29"/>
        <v>0.19550000000000001</v>
      </c>
      <c r="F53" s="27">
        <f t="shared" si="30"/>
        <v>-0.70885323826811442</v>
      </c>
      <c r="G53" s="28">
        <f t="shared" si="31"/>
        <v>8.8476082887294139E-2</v>
      </c>
      <c r="H53" s="27">
        <f t="shared" si="32"/>
        <v>1.2259593857800084</v>
      </c>
      <c r="I53" s="41">
        <v>16</v>
      </c>
      <c r="J53" s="42">
        <f t="shared" si="33"/>
        <v>19.615350172480134</v>
      </c>
      <c r="K53" s="30">
        <f t="shared" si="34"/>
        <v>1.9615350172480133</v>
      </c>
      <c r="L53" s="43">
        <f t="shared" si="35"/>
        <v>3.3788034122209538</v>
      </c>
      <c r="M53" s="30">
        <f>AVERAGE(L53:L55)</f>
        <v>3.554137902041782</v>
      </c>
      <c r="N53" s="44">
        <f>STDEV(L53:L55)</f>
        <v>0.71207634736761383</v>
      </c>
      <c r="O53" s="2">
        <f t="shared" si="36"/>
        <v>2.827954480783426</v>
      </c>
      <c r="P53" s="30">
        <f>AVERAGE(O53:O55)</f>
        <v>2.5141686866881128</v>
      </c>
      <c r="Q53" s="44">
        <f>STDEV(O53:O55)</f>
        <v>0.30142120140638001</v>
      </c>
      <c r="S53"/>
      <c r="T53"/>
    </row>
    <row r="54" spans="1:25" ht="15">
      <c r="A54" s="45"/>
      <c r="B54">
        <v>0.28699999999999998</v>
      </c>
      <c r="C54">
        <v>0.29199999999999998</v>
      </c>
      <c r="D54" s="27">
        <f t="shared" si="28"/>
        <v>0.28949999999999998</v>
      </c>
      <c r="E54" s="27">
        <f t="shared" si="29"/>
        <v>0.22999999999999998</v>
      </c>
      <c r="F54" s="27">
        <f t="shared" si="30"/>
        <v>-0.63827216398240716</v>
      </c>
      <c r="G54" s="28">
        <f t="shared" si="31"/>
        <v>0.15118510717220177</v>
      </c>
      <c r="H54" s="27">
        <f t="shared" si="32"/>
        <v>1.4163973553029492</v>
      </c>
      <c r="I54" s="41">
        <v>16</v>
      </c>
      <c r="J54" s="42">
        <f t="shared" si="33"/>
        <v>22.662357684847187</v>
      </c>
      <c r="K54" s="30">
        <f t="shared" si="34"/>
        <v>2.266235768484719</v>
      </c>
      <c r="L54" s="43">
        <f t="shared" si="35"/>
        <v>4.3375034199052438</v>
      </c>
      <c r="M54" s="30"/>
      <c r="N54" s="44"/>
      <c r="O54" s="2">
        <f t="shared" si="36"/>
        <v>2.2268587768497654</v>
      </c>
      <c r="P54" s="30"/>
      <c r="Q54" s="44"/>
      <c r="S54"/>
      <c r="T54"/>
    </row>
    <row r="55" spans="1:25" ht="15">
      <c r="A55" s="46"/>
      <c r="B55">
        <v>0.22900000000000001</v>
      </c>
      <c r="C55">
        <v>0.223</v>
      </c>
      <c r="D55" s="27">
        <f t="shared" si="28"/>
        <v>0.22600000000000001</v>
      </c>
      <c r="E55" s="27">
        <f t="shared" si="29"/>
        <v>0.16650000000000001</v>
      </c>
      <c r="F55" s="27">
        <f t="shared" si="30"/>
        <v>-0.77858576215766129</v>
      </c>
      <c r="G55" s="28">
        <f t="shared" si="31"/>
        <v>2.6520968456243257E-2</v>
      </c>
      <c r="H55" s="27">
        <f t="shared" si="32"/>
        <v>1.0629699039826885</v>
      </c>
      <c r="I55" s="41">
        <v>16</v>
      </c>
      <c r="J55" s="42">
        <f t="shared" si="33"/>
        <v>17.007518463723017</v>
      </c>
      <c r="K55" s="30">
        <f t="shared" si="34"/>
        <v>1.7007518463723017</v>
      </c>
      <c r="L55" s="43">
        <f t="shared" si="35"/>
        <v>2.9461068739991489</v>
      </c>
      <c r="M55" s="30"/>
      <c r="N55" s="44"/>
      <c r="O55" s="2">
        <f t="shared" si="36"/>
        <v>2.4876928024311464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1.5178927821816923</v>
      </c>
      <c r="O58" s="30">
        <f>Q50</f>
        <v>1.0233566356660293</v>
      </c>
    </row>
    <row r="59" spans="1:25" ht="15">
      <c r="D59"/>
      <c r="E59"/>
      <c r="G59"/>
      <c r="M59" s="2" t="s">
        <v>26</v>
      </c>
      <c r="N59" s="30">
        <f>P53</f>
        <v>2.5141686866881128</v>
      </c>
      <c r="O59" s="30">
        <f>Q53</f>
        <v>0.30142120140638001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44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0.87601515161719801</v>
      </c>
      <c r="C65" s="30">
        <f>N40</f>
        <v>0.3730695935352592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1.0754355113502454</v>
      </c>
      <c r="C66" s="30">
        <f>N50</f>
        <v>0.22668896757165893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1.4422907882813059</v>
      </c>
      <c r="C67" s="30">
        <f>N43</f>
        <v>0.43782623062853659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3.554137902041782</v>
      </c>
      <c r="C68" s="30">
        <f>N53</f>
        <v>0.71207634736761383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 s="2" customFormat="1">
      <c r="C97" s="47"/>
      <c r="D97" s="47"/>
      <c r="E97" s="61"/>
      <c r="F97" s="61"/>
    </row>
    <row r="98" spans="2:6" s="2" customFormat="1">
      <c r="C98" s="47"/>
      <c r="D98" s="47"/>
      <c r="E98" s="61"/>
      <c r="F98" s="61"/>
    </row>
    <row r="99" spans="2:6" s="2" customFormat="1">
      <c r="C99" s="47"/>
      <c r="D99" s="47"/>
      <c r="E99" s="61"/>
      <c r="F99" s="61"/>
    </row>
    <row r="100" spans="2:6" s="2" customFormat="1">
      <c r="C100" s="47"/>
      <c r="D100" s="47"/>
      <c r="E100" s="61"/>
      <c r="F100" s="61"/>
    </row>
    <row r="101" spans="2:6" s="2" customFormat="1">
      <c r="C101" s="47"/>
      <c r="D101" s="47"/>
      <c r="E101" s="61"/>
      <c r="F101" s="61"/>
    </row>
    <row r="102" spans="2:6" s="2" customFormat="1">
      <c r="C102" s="47"/>
      <c r="D102" s="47"/>
      <c r="E102" s="61"/>
      <c r="F102" s="61"/>
    </row>
    <row r="103" spans="2:6" s="2" customFormat="1">
      <c r="C103" s="47"/>
      <c r="D103" s="47"/>
      <c r="E103" s="61"/>
      <c r="F103" s="61"/>
    </row>
    <row r="104" spans="2:6" s="2" customFormat="1">
      <c r="C104" s="47"/>
      <c r="D104" s="47"/>
      <c r="E104" s="61"/>
      <c r="F104" s="61"/>
    </row>
    <row r="105" spans="2:6" s="2" customFormat="1">
      <c r="C105" s="47"/>
      <c r="D105" s="47"/>
      <c r="E105" s="61"/>
      <c r="F105" s="61"/>
    </row>
    <row r="106" spans="2:6" s="2" customFormat="1">
      <c r="C106" s="47"/>
    </row>
    <row r="107" spans="2:6" s="2" customFormat="1">
      <c r="C107" s="47"/>
    </row>
    <row r="108" spans="2:6" s="2" customFormat="1" ht="13.5" thickBot="1">
      <c r="B108" s="62"/>
      <c r="C108" s="62"/>
      <c r="D108" s="62"/>
      <c r="E108" s="62"/>
    </row>
    <row r="109" spans="2:6" s="2" customFormat="1">
      <c r="B109" s="61"/>
      <c r="C109" s="61"/>
      <c r="D109" s="61"/>
      <c r="E109" s="61"/>
    </row>
    <row r="110" spans="2:6" s="2" customFormat="1">
      <c r="B110" s="61"/>
      <c r="C110" s="61"/>
      <c r="D110" s="61"/>
      <c r="E110" s="61"/>
    </row>
    <row r="111" spans="2:6" s="2" customFormat="1">
      <c r="B111" s="61"/>
      <c r="C111" s="61"/>
      <c r="D111" s="61"/>
      <c r="E111" s="61"/>
    </row>
    <row r="112" spans="2:6" s="2" customFormat="1">
      <c r="B112" s="61"/>
      <c r="C112" s="61"/>
      <c r="D112" s="61"/>
      <c r="E112" s="61"/>
    </row>
    <row r="113" spans="2:5" s="2" customFormat="1">
      <c r="B113" s="61"/>
      <c r="C113" s="61"/>
      <c r="D113" s="61"/>
      <c r="E113" s="61"/>
    </row>
    <row r="114" spans="2:5" s="2" customFormat="1">
      <c r="B114" s="61"/>
      <c r="C114" s="61"/>
      <c r="D114" s="61"/>
      <c r="E114" s="61"/>
    </row>
    <row r="115" spans="2:5" s="2" customFormat="1">
      <c r="B115" s="61"/>
      <c r="C115" s="61"/>
      <c r="D115" s="61"/>
      <c r="E115" s="61"/>
    </row>
    <row r="116" spans="2:5" s="2" customFormat="1">
      <c r="B116" s="61"/>
      <c r="C116" s="61"/>
      <c r="D116" s="61"/>
      <c r="E116" s="61"/>
    </row>
    <row r="117" spans="2:5" s="2" customFormat="1">
      <c r="B117" s="61"/>
      <c r="C117" s="61"/>
      <c r="D117" s="61"/>
      <c r="E117" s="61"/>
    </row>
    <row r="118" spans="2:5" s="2" customFormat="1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siKCNJ11</vt:lpstr>
      <vt:lpstr>siHNF4A</vt:lpstr>
      <vt:lpstr>siHNF4A!Zone_d_impression</vt:lpstr>
      <vt:lpstr>siKCNJ11!Zone_d_impression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2016-05-12T08:57:05Z</dcterms:modified>
</cp:coreProperties>
</file>