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40" yWindow="-135" windowWidth="8895" windowHeight="10800" activeTab="2"/>
  </bookViews>
  <sheets>
    <sheet name="siNTP" sheetId="3" r:id="rId1"/>
    <sheet name="siKCNJ11" sheetId="1" r:id="rId2"/>
    <sheet name="siTBC1D4" sheetId="4" r:id="rId3"/>
  </sheets>
  <externalReferences>
    <externalReference r:id="rId4"/>
  </externalReferences>
  <definedNames>
    <definedName name="_xlnm.Print_Area" localSheetId="1">siKCNJ11!$A$1:$Q$83</definedName>
    <definedName name="_xlnm.Print_Area" localSheetId="0">siNTP!$A$1:$Q$83</definedName>
    <definedName name="_xlnm.Print_Area" localSheetId="2">siTBC1D4!$A$1:$Q$83</definedName>
  </definedNames>
  <calcPr calcId="125725"/>
</workbook>
</file>

<file path=xl/calcChain.xml><?xml version="1.0" encoding="utf-8"?>
<calcChain xmlns="http://schemas.openxmlformats.org/spreadsheetml/2006/main">
  <c r="B9" i="3"/>
  <c r="B10"/>
  <c r="B11"/>
  <c r="B12"/>
  <c r="B13"/>
  <c r="B8"/>
  <c r="B9" i="1"/>
  <c r="B10"/>
  <c r="B11"/>
  <c r="B12"/>
  <c r="B13"/>
  <c r="B8"/>
  <c r="B13" i="4"/>
  <c r="B9"/>
  <c r="B10"/>
  <c r="B11"/>
  <c r="B12"/>
  <c r="B8"/>
  <c r="E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B15"/>
  <c r="B16"/>
  <c r="D22"/>
  <c r="E22"/>
  <c r="F22"/>
  <c r="G22"/>
  <c r="H22"/>
  <c r="J22"/>
  <c r="K22"/>
  <c r="D23"/>
  <c r="E23"/>
  <c r="F23"/>
  <c r="G23"/>
  <c r="H23"/>
  <c r="J23"/>
  <c r="K23"/>
  <c r="D24"/>
  <c r="E24"/>
  <c r="F24"/>
  <c r="G24"/>
  <c r="H24"/>
  <c r="J24"/>
  <c r="K24"/>
  <c r="D25"/>
  <c r="E25"/>
  <c r="F25"/>
  <c r="G25"/>
  <c r="H25"/>
  <c r="J25"/>
  <c r="K25"/>
  <c r="D26"/>
  <c r="E26"/>
  <c r="F26"/>
  <c r="G26"/>
  <c r="H26"/>
  <c r="J26"/>
  <c r="K26"/>
  <c r="D27"/>
  <c r="E27"/>
  <c r="F27"/>
  <c r="G27"/>
  <c r="H27"/>
  <c r="J27"/>
  <c r="K27"/>
  <c r="D31"/>
  <c r="E31"/>
  <c r="F31"/>
  <c r="G31"/>
  <c r="H31"/>
  <c r="J31"/>
  <c r="K31"/>
  <c r="D32"/>
  <c r="E32"/>
  <c r="F32"/>
  <c r="G32"/>
  <c r="H32"/>
  <c r="J32"/>
  <c r="K32"/>
  <c r="D33"/>
  <c r="E33"/>
  <c r="F33"/>
  <c r="G33"/>
  <c r="H33"/>
  <c r="J33"/>
  <c r="K33"/>
  <c r="D34"/>
  <c r="E34"/>
  <c r="F34"/>
  <c r="G34"/>
  <c r="H34"/>
  <c r="J34"/>
  <c r="K34"/>
  <c r="D35"/>
  <c r="E35"/>
  <c r="F35"/>
  <c r="G35"/>
  <c r="H35"/>
  <c r="J35"/>
  <c r="K35"/>
  <c r="D36"/>
  <c r="E36"/>
  <c r="F36"/>
  <c r="G36"/>
  <c r="H36"/>
  <c r="J36"/>
  <c r="K36"/>
  <c r="D40"/>
  <c r="E40"/>
  <c r="F40"/>
  <c r="G40"/>
  <c r="H40"/>
  <c r="J40"/>
  <c r="K40"/>
  <c r="D41"/>
  <c r="E41"/>
  <c r="F41"/>
  <c r="G41"/>
  <c r="H41"/>
  <c r="J41"/>
  <c r="K41"/>
  <c r="D42"/>
  <c r="E42"/>
  <c r="F42"/>
  <c r="G42"/>
  <c r="H42"/>
  <c r="J42"/>
  <c r="K42"/>
  <c r="D43"/>
  <c r="E43"/>
  <c r="F43"/>
  <c r="G43"/>
  <c r="H43"/>
  <c r="J43"/>
  <c r="K43"/>
  <c r="D44"/>
  <c r="E44"/>
  <c r="F44"/>
  <c r="G44"/>
  <c r="H44"/>
  <c r="J44"/>
  <c r="K44"/>
  <c r="D45"/>
  <c r="E45"/>
  <c r="F45"/>
  <c r="G45"/>
  <c r="H45"/>
  <c r="J45"/>
  <c r="K45"/>
  <c r="D50"/>
  <c r="E50"/>
  <c r="F50"/>
  <c r="G50"/>
  <c r="H50"/>
  <c r="J50"/>
  <c r="K50"/>
  <c r="L31" s="1"/>
  <c r="D51"/>
  <c r="E51"/>
  <c r="F51"/>
  <c r="G51"/>
  <c r="H51"/>
  <c r="J51"/>
  <c r="K51"/>
  <c r="L32" s="1"/>
  <c r="D52"/>
  <c r="E52"/>
  <c r="F52"/>
  <c r="G52"/>
  <c r="H52"/>
  <c r="J52"/>
  <c r="K52"/>
  <c r="L33" s="1"/>
  <c r="D53"/>
  <c r="E53"/>
  <c r="F53"/>
  <c r="G53"/>
  <c r="H53"/>
  <c r="J53"/>
  <c r="K53"/>
  <c r="L34" s="1"/>
  <c r="D54"/>
  <c r="E54"/>
  <c r="F54"/>
  <c r="G54"/>
  <c r="H54"/>
  <c r="J54"/>
  <c r="K54"/>
  <c r="L35" s="1"/>
  <c r="D55"/>
  <c r="E55"/>
  <c r="F55"/>
  <c r="G55"/>
  <c r="H55"/>
  <c r="J55"/>
  <c r="K55"/>
  <c r="L36" s="1"/>
  <c r="L27" l="1"/>
  <c r="L26"/>
  <c r="L25"/>
  <c r="L24"/>
  <c r="L23"/>
  <c r="L22"/>
  <c r="M36"/>
  <c r="L55"/>
  <c r="M35"/>
  <c r="L54"/>
  <c r="M34"/>
  <c r="L53"/>
  <c r="M33"/>
  <c r="L52"/>
  <c r="M32"/>
  <c r="L51"/>
  <c r="M31"/>
  <c r="L50"/>
  <c r="M27"/>
  <c r="L45"/>
  <c r="M26"/>
  <c r="L44"/>
  <c r="M25"/>
  <c r="L43"/>
  <c r="M24"/>
  <c r="L42"/>
  <c r="M23"/>
  <c r="L41"/>
  <c r="M22"/>
  <c r="L40"/>
  <c r="M40" l="1"/>
  <c r="B65" s="1"/>
  <c r="N40"/>
  <c r="C65" s="1"/>
  <c r="M43"/>
  <c r="B67" s="1"/>
  <c r="N43"/>
  <c r="C67" s="1"/>
  <c r="M50"/>
  <c r="B66" s="1"/>
  <c r="N50"/>
  <c r="C66" s="1"/>
  <c r="O50"/>
  <c r="M53"/>
  <c r="B68" s="1"/>
  <c r="N53"/>
  <c r="C68" s="1"/>
  <c r="O53"/>
  <c r="O51"/>
  <c r="O52"/>
  <c r="O54"/>
  <c r="O55"/>
  <c r="P53" l="1"/>
  <c r="N59" s="1"/>
  <c r="Q53"/>
  <c r="O59" s="1"/>
  <c r="P50"/>
  <c r="N58" s="1"/>
  <c r="Q50"/>
  <c r="O58" s="1"/>
  <c r="D51" i="1" l="1"/>
  <c r="D52"/>
  <c r="D53"/>
  <c r="D54"/>
  <c r="D55"/>
  <c r="D50"/>
  <c r="D41"/>
  <c r="D42"/>
  <c r="D43"/>
  <c r="D44"/>
  <c r="D45"/>
  <c r="D40"/>
  <c r="D23"/>
  <c r="D24"/>
  <c r="D25"/>
  <c r="D26"/>
  <c r="D27"/>
  <c r="D22"/>
  <c r="D55" i="3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G13"/>
  <c r="E12"/>
  <c r="G12"/>
  <c r="E11"/>
  <c r="G11"/>
  <c r="E10"/>
  <c r="G10"/>
  <c r="E9"/>
  <c r="G9"/>
  <c r="E8"/>
  <c r="F9" l="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D36" i="1"/>
  <c r="D35"/>
  <c r="D34"/>
  <c r="D33"/>
  <c r="D32"/>
  <c r="D31"/>
  <c r="E13"/>
  <c r="G13"/>
  <c r="E12"/>
  <c r="G12"/>
  <c r="E11"/>
  <c r="G11"/>
  <c r="E10"/>
  <c r="G10"/>
  <c r="E9"/>
  <c r="G9"/>
  <c r="E8"/>
  <c r="E36" s="1"/>
  <c r="F36" s="1"/>
  <c r="L36" i="3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F9" i="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3"/>
  <c r="F33" s="1"/>
  <c r="E35"/>
  <c r="F35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3"/>
  <c r="F53" s="1"/>
  <c r="E55"/>
  <c r="F55" s="1"/>
  <c r="B15"/>
  <c r="B16"/>
  <c r="G36"/>
  <c r="H36" s="1"/>
  <c r="J36" s="1"/>
  <c r="K36" s="1"/>
  <c r="G23"/>
  <c r="H23" s="1"/>
  <c r="J23" s="1"/>
  <c r="K23" s="1"/>
  <c r="G25"/>
  <c r="H25" s="1"/>
  <c r="J25" s="1"/>
  <c r="K25" s="1"/>
  <c r="G27"/>
  <c r="H27" s="1"/>
  <c r="J27" s="1"/>
  <c r="K27" s="1"/>
  <c r="G41"/>
  <c r="H41" s="1"/>
  <c r="J41" s="1"/>
  <c r="K41" s="1"/>
  <c r="G43"/>
  <c r="H43" s="1"/>
  <c r="J43" s="1"/>
  <c r="K43" s="1"/>
  <c r="G45"/>
  <c r="H45" s="1"/>
  <c r="J45" s="1"/>
  <c r="K45" s="1"/>
  <c r="G51"/>
  <c r="H51" s="1"/>
  <c r="J51" s="1"/>
  <c r="K51" s="1"/>
  <c r="G53"/>
  <c r="H53" s="1"/>
  <c r="J53" s="1"/>
  <c r="K53" s="1"/>
  <c r="G55"/>
  <c r="H55" s="1"/>
  <c r="J55" s="1"/>
  <c r="K55" s="1"/>
  <c r="G22"/>
  <c r="H22" s="1"/>
  <c r="J22" s="1"/>
  <c r="K22" s="1"/>
  <c r="G24"/>
  <c r="H24" s="1"/>
  <c r="J24" s="1"/>
  <c r="K24" s="1"/>
  <c r="G26"/>
  <c r="H26" s="1"/>
  <c r="J26" s="1"/>
  <c r="K26" s="1"/>
  <c r="G31"/>
  <c r="H31" s="1"/>
  <c r="J31" s="1"/>
  <c r="K31" s="1"/>
  <c r="G33"/>
  <c r="H33" s="1"/>
  <c r="J33" s="1"/>
  <c r="K33" s="1"/>
  <c r="G35"/>
  <c r="H35" s="1"/>
  <c r="J35" s="1"/>
  <c r="K35" s="1"/>
  <c r="G40"/>
  <c r="H40" s="1"/>
  <c r="J40" s="1"/>
  <c r="K40" s="1"/>
  <c r="G42"/>
  <c r="H42" s="1"/>
  <c r="J42" s="1"/>
  <c r="K42" s="1"/>
  <c r="G44"/>
  <c r="H44" s="1"/>
  <c r="J44" s="1"/>
  <c r="K44" s="1"/>
  <c r="G50"/>
  <c r="H50" s="1"/>
  <c r="J50" s="1"/>
  <c r="K50" s="1"/>
  <c r="E52"/>
  <c r="F52" s="1"/>
  <c r="G52" s="1"/>
  <c r="H52" s="1"/>
  <c r="J52" s="1"/>
  <c r="K52" s="1"/>
  <c r="E54"/>
  <c r="F54" s="1"/>
  <c r="G54" s="1"/>
  <c r="H54" s="1"/>
  <c r="J54" s="1"/>
  <c r="K54" s="1"/>
  <c r="E32"/>
  <c r="F32" s="1"/>
  <c r="G32" s="1"/>
  <c r="H32" s="1"/>
  <c r="J32" s="1"/>
  <c r="K32" s="1"/>
  <c r="L32" s="1"/>
  <c r="M32" s="1"/>
  <c r="E34"/>
  <c r="F34" s="1"/>
  <c r="G34" s="1"/>
  <c r="H34" s="1"/>
  <c r="J34" s="1"/>
  <c r="K34" s="1"/>
  <c r="L34" s="1"/>
  <c r="M34" s="1"/>
  <c r="L40" i="3" l="1"/>
  <c r="L41"/>
  <c r="L42"/>
  <c r="L43"/>
  <c r="L44"/>
  <c r="L45"/>
  <c r="L50"/>
  <c r="L51"/>
  <c r="O51" s="1"/>
  <c r="L52"/>
  <c r="O52" s="1"/>
  <c r="L53"/>
  <c r="L54"/>
  <c r="O54" s="1"/>
  <c r="L55"/>
  <c r="O55" s="1"/>
  <c r="L33" i="1"/>
  <c r="M33" s="1"/>
  <c r="L26"/>
  <c r="M26" s="1"/>
  <c r="L22"/>
  <c r="M22" s="1"/>
  <c r="L53"/>
  <c r="L25"/>
  <c r="M25" s="1"/>
  <c r="L36"/>
  <c r="M36" s="1"/>
  <c r="L35"/>
  <c r="M35" s="1"/>
  <c r="L31"/>
  <c r="M31" s="1"/>
  <c r="L24"/>
  <c r="M24" s="1"/>
  <c r="L55"/>
  <c r="L51"/>
  <c r="L43"/>
  <c r="L27"/>
  <c r="M27" s="1"/>
  <c r="L23"/>
  <c r="M23" s="1"/>
  <c r="O53" i="3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1"/>
  <c r="L50"/>
  <c r="L41"/>
  <c r="O51" s="1"/>
  <c r="L40"/>
  <c r="L52"/>
  <c r="L42"/>
  <c r="L54"/>
  <c r="L45"/>
  <c r="O55" s="1"/>
  <c r="L44"/>
  <c r="N43" s="1"/>
  <c r="C67" s="1"/>
  <c r="Q50" i="3" l="1"/>
  <c r="O58" s="1"/>
  <c r="P50"/>
  <c r="N58" s="1"/>
  <c r="Q53"/>
  <c r="O59" s="1"/>
  <c r="P53"/>
  <c r="N59" s="1"/>
  <c r="M40" i="1"/>
  <c r="B65" s="1"/>
  <c r="N40"/>
  <c r="C65" s="1"/>
  <c r="O50"/>
  <c r="M50"/>
  <c r="B66" s="1"/>
  <c r="N50"/>
  <c r="C66" s="1"/>
  <c r="O54"/>
  <c r="M43"/>
  <c r="B67" s="1"/>
  <c r="M53"/>
  <c r="B68" s="1"/>
  <c r="N53"/>
  <c r="C68" s="1"/>
  <c r="P53"/>
  <c r="N59" s="1"/>
  <c r="Q53"/>
  <c r="O59" s="1"/>
  <c r="O52"/>
  <c r="Q50" l="1"/>
  <c r="O58" s="1"/>
  <c r="P50"/>
  <c r="N58" s="1"/>
</calcChain>
</file>

<file path=xl/sharedStrings.xml><?xml version="1.0" encoding="utf-8"?>
<sst xmlns="http://schemas.openxmlformats.org/spreadsheetml/2006/main" count="294" uniqueCount="49">
  <si>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</si>
  <si>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</si>
  <si>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</si>
  <si>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</si>
  <si>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</si>
  <si>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</si>
  <si>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</si>
  <si>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</si>
  <si>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</si>
  <si>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</si>
  <si>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</si>
  <si>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</si>
  <si>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</si>
  <si>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</si>
  <si>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</si>
  <si>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</si>
  <si>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</si>
  <si>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</si>
  <si>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</si>
  <si>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</si>
  <si>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</si>
  <si>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</si>
  <si>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</si>
  <si>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</si>
  <si>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</si>
  <si>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</si>
  <si>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</si>
  <si>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</si>
  <si>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</si>
  <si>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</si>
  <si>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</si>
  <si>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</si>
  <si>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</si>
  <si>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</si>
  <si>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</si>
  <si>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</si>
  <si>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</si>
  <si>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</si>
  <si>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</si>
  <si>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</si>
  <si>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</si>
  <si>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</si>
  <si>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</si>
  <si>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Fatou</t>
  </si>
  <si>
    <t>mean</t>
    <phoneticPr fontId="0" type="noConversion"/>
  </si>
  <si>
    <t xml:space="preserve"> insulin secretion (% of content) </t>
    <phoneticPr fontId="0" type="noConversion"/>
  </si>
  <si>
    <t>Total ng (in 100 ul)</t>
    <phoneticPr fontId="0" type="noConversion"/>
  </si>
  <si>
    <t>mean-BK</t>
    <phoneticPr fontId="0" type="noConversion"/>
  </si>
  <si>
    <t>log (Conc)</t>
    <phoneticPr fontId="0" type="noConversion"/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</si>
</sst>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3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0" borderId="0"/>
    <xf numFmtId="0" fontId="2" fillId="2" borderId="1" applyNumberFormat="0" applyFont="0" applyAlignment="0" applyProtection="0"/>
    <xf numFmtId="0" fontId="3" fillId="0" borderId="0"/>
    <xf numFmtId="0" fontId="2" fillId="0" borderId="0"/>
    <xf numFmtId="0" fontId="2" fillId="0" borderId="0"/>
    <xf numFmtId="0" fontId="1" fillId="0" borderId="0"/>
  </cellStyleXfs>
  <cellXfs count="71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2" xfId="0" applyFont="1" applyBorder="1" applyAlignment="1" applyProtection="1">
      <alignment horizontal="center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2" fillId="0" borderId="0" xfId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9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" fontId="4" fillId="4" borderId="0" xfId="0" applyNumberFormat="1" applyFont="1" applyFill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11" xfId="0" applyFont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2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" xfId="0" applyBorder="1"/>
    <xf numFmtId="0" fontId="0" fillId="0" borderId="2" xfId="0" applyFill="1" applyBorder="1"/>
    <xf numFmtId="14" fontId="4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2" xfId="0" applyFill="1" applyBorder="1" applyAlignment="1"/>
    <xf numFmtId="0" fontId="0" fillId="0" borderId="2" xfId="0" applyBorder="1" applyAlignment="1"/>
    <xf numFmtId="0" fontId="1" fillId="0" borderId="0" xfId="6" applyFill="1"/>
    <xf numFmtId="0" fontId="0" fillId="0" borderId="12" xfId="0" applyBorder="1"/>
  </cellXfs>
  <cellStyles count="7">
    <cellStyle name="Commentaire 2" xfId="2"/>
    <cellStyle name="Normal" xfId="0" builtinId="0"/>
    <cellStyle name="Normal 2" xfId="1"/>
    <cellStyle name="Normal 2 2" xfId="6"/>
    <cellStyle name="Normal 3" xfId="3"/>
    <cellStyle name="Normal 4" xfId="4"/>
    <cellStyle name="Normal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-1.5157001606532141</c:v>
                </c:pt>
                <c:pt idx="1">
                  <c:v>-0.96058588082386276</c:v>
                </c:pt>
                <c:pt idx="2">
                  <c:v>-0.52071268352382982</c:v>
                </c:pt>
                <c:pt idx="3">
                  <c:v>2.0568434801362646E-2</c:v>
                </c:pt>
                <c:pt idx="4">
                  <c:v>0.29192357588388468</c:v>
                </c:pt>
              </c:numCache>
            </c:numRef>
          </c:yVal>
        </c:ser>
        <c:axId val="59613568"/>
        <c:axId val="59615104"/>
      </c:scatterChart>
      <c:valAx>
        <c:axId val="59613568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9615104"/>
        <c:crosses val="autoZero"/>
        <c:crossBetween val="midCat"/>
      </c:valAx>
      <c:valAx>
        <c:axId val="59615104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613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siNTP!$C$65:$C$68</c:f>
                <c:numCache>
                  <c:formatCode>General</c:formatCode>
                  <c:ptCount val="4"/>
                  <c:pt idx="0">
                    <c:v>8.5856715554349192E-2</c:v>
                  </c:pt>
                  <c:pt idx="1">
                    <c:v>0.21107741789699633</c:v>
                  </c:pt>
                  <c:pt idx="2">
                    <c:v>4.1321544929435079E-2</c:v>
                  </c:pt>
                  <c:pt idx="3">
                    <c:v>6.1819201566240774E-2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8.5856715554349192E-2</c:v>
                  </c:pt>
                  <c:pt idx="1">
                    <c:v>0.21107741789699633</c:v>
                  </c:pt>
                  <c:pt idx="2">
                    <c:v>4.1321544929435079E-2</c:v>
                  </c:pt>
                  <c:pt idx="3">
                    <c:v>6.1819201566240774E-2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0.22914239826816188</c:v>
                </c:pt>
                <c:pt idx="1">
                  <c:v>0.62193369359829265</c:v>
                </c:pt>
                <c:pt idx="2">
                  <c:v>0.78958742838312623</c:v>
                </c:pt>
                <c:pt idx="3">
                  <c:v>1.9442806349426849</c:v>
                </c:pt>
              </c:numCache>
            </c:numRef>
          </c:val>
        </c:ser>
        <c:axId val="59999360"/>
        <c:axId val="60000896"/>
      </c:barChart>
      <c:catAx>
        <c:axId val="599993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000896"/>
        <c:crosses val="autoZero"/>
        <c:auto val="1"/>
        <c:lblAlgn val="ctr"/>
        <c:lblOffset val="100"/>
      </c:catAx>
      <c:valAx>
        <c:axId val="6000089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9993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08"/>
          <c:y val="2.7200801823077381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siNTP!$O$58:$O$59</c:f>
                <c:numCache>
                  <c:formatCode>General</c:formatCode>
                  <c:ptCount val="2"/>
                  <c:pt idx="0">
                    <c:v>0.85131896380998973</c:v>
                  </c:pt>
                  <c:pt idx="1">
                    <c:v>0.20972667347355675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0.85131896380998973</c:v>
                  </c:pt>
                  <c:pt idx="1">
                    <c:v>0.20972667347355675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2.8118405490877332</c:v>
                </c:pt>
                <c:pt idx="1">
                  <c:v>2.4696269186125077</c:v>
                </c:pt>
              </c:numCache>
            </c:numRef>
          </c:val>
        </c:ser>
        <c:axId val="60029568"/>
        <c:axId val="60293504"/>
      </c:barChart>
      <c:catAx>
        <c:axId val="600295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293504"/>
        <c:crosses val="autoZero"/>
        <c:auto val="1"/>
        <c:lblAlgn val="ctr"/>
        <c:lblOffset val="100"/>
      </c:catAx>
      <c:valAx>
        <c:axId val="6029350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0295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siKCNJ11!$G$9:$G$13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siKCNJ11!$H$9:$H$13</c:f>
              <c:numCache>
                <c:formatCode>0.00</c:formatCode>
                <c:ptCount val="5"/>
                <c:pt idx="0">
                  <c:v>-1.5157001606532141</c:v>
                </c:pt>
                <c:pt idx="1">
                  <c:v>-0.96058588082386276</c:v>
                </c:pt>
                <c:pt idx="2">
                  <c:v>-0.52071268352382982</c:v>
                </c:pt>
                <c:pt idx="3">
                  <c:v>2.0568434801362646E-2</c:v>
                </c:pt>
                <c:pt idx="4">
                  <c:v>0.29192357588388468</c:v>
                </c:pt>
              </c:numCache>
            </c:numRef>
          </c:yVal>
        </c:ser>
        <c:axId val="60470400"/>
        <c:axId val="60471936"/>
      </c:scatterChart>
      <c:valAx>
        <c:axId val="60470400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471936"/>
        <c:crosses val="autoZero"/>
        <c:crossBetween val="midCat"/>
      </c:valAx>
      <c:valAx>
        <c:axId val="60471936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470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siKCNJ11!$C$65:$C$68</c:f>
                <c:numCache>
                  <c:formatCode>General</c:formatCode>
                  <c:ptCount val="4"/>
                  <c:pt idx="0">
                    <c:v>3.0198700136640683E-2</c:v>
                  </c:pt>
                  <c:pt idx="1">
                    <c:v>0.22557964528546848</c:v>
                  </c:pt>
                  <c:pt idx="2">
                    <c:v>8.8181543944243809E-2</c:v>
                  </c:pt>
                  <c:pt idx="3">
                    <c:v>0.23075794326887189</c:v>
                  </c:pt>
                </c:numCache>
              </c:numRef>
            </c:plus>
            <c:minus>
              <c:numRef>
                <c:f>siKCNJ11!$C$65:$C$68</c:f>
                <c:numCache>
                  <c:formatCode>General</c:formatCode>
                  <c:ptCount val="4"/>
                  <c:pt idx="0">
                    <c:v>3.0198700136640683E-2</c:v>
                  </c:pt>
                  <c:pt idx="1">
                    <c:v>0.22557964528546848</c:v>
                  </c:pt>
                  <c:pt idx="2">
                    <c:v>8.8181543944243809E-2</c:v>
                  </c:pt>
                  <c:pt idx="3">
                    <c:v>0.23075794326887189</c:v>
                  </c:pt>
                </c:numCache>
              </c:numRef>
            </c:minus>
          </c:errBars>
          <c:cat>
            <c:strRef>
              <c:f>(siKCNJ11!$A$65,siKCNJ11!$A$66,siKCNJ11!$A$67,siKCNJ11!$A$68)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siKCNJ11!$B$65:$B$68</c:f>
              <c:numCache>
                <c:formatCode>0.0</c:formatCode>
                <c:ptCount val="4"/>
                <c:pt idx="0">
                  <c:v>0.31913649411024164</c:v>
                </c:pt>
                <c:pt idx="1">
                  <c:v>0.92005647778465827</c:v>
                </c:pt>
                <c:pt idx="2">
                  <c:v>1.0788189758662963</c:v>
                </c:pt>
                <c:pt idx="3">
                  <c:v>1.7914778918263112</c:v>
                </c:pt>
              </c:numCache>
            </c:numRef>
          </c:val>
        </c:ser>
        <c:axId val="60528512"/>
        <c:axId val="60530048"/>
      </c:barChart>
      <c:catAx>
        <c:axId val="60528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30048"/>
        <c:crosses val="autoZero"/>
        <c:auto val="1"/>
        <c:lblAlgn val="ctr"/>
        <c:lblOffset val="100"/>
      </c:catAx>
      <c:valAx>
        <c:axId val="6053004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siKCNJ11!$M$48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45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28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03"/>
          <c:y val="2.720080182307736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siKCNJ11!$O$58:$O$59</c:f>
                <c:numCache>
                  <c:formatCode>General</c:formatCode>
                  <c:ptCount val="2"/>
                  <c:pt idx="0">
                    <c:v>0.5809737842981838</c:v>
                  </c:pt>
                  <c:pt idx="1">
                    <c:v>0.20205264313186672</c:v>
                  </c:pt>
                </c:numCache>
              </c:numRef>
            </c:plus>
            <c:minus>
              <c:numRef>
                <c:f>siKCNJ11!$O$58:$O$59</c:f>
                <c:numCache>
                  <c:formatCode>General</c:formatCode>
                  <c:ptCount val="2"/>
                  <c:pt idx="0">
                    <c:v>0.5809737842981838</c:v>
                  </c:pt>
                  <c:pt idx="1">
                    <c:v>0.20205264313186672</c:v>
                  </c:pt>
                </c:numCache>
              </c:numRef>
            </c:minus>
          </c:errBars>
          <c:cat>
            <c:strRef>
              <c:f>siKCNJ11!$M$58:$M$59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siKCNJ11!$N$58:$N$59</c:f>
              <c:numCache>
                <c:formatCode>0.0</c:formatCode>
                <c:ptCount val="2"/>
                <c:pt idx="0">
                  <c:v>2.8743936316137684</c:v>
                </c:pt>
                <c:pt idx="1">
                  <c:v>1.6631535622544982</c:v>
                </c:pt>
              </c:numCache>
            </c:numRef>
          </c:val>
        </c:ser>
        <c:axId val="60554624"/>
        <c:axId val="60568704"/>
      </c:barChart>
      <c:catAx>
        <c:axId val="605546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68704"/>
        <c:crosses val="autoZero"/>
        <c:auto val="1"/>
        <c:lblAlgn val="ctr"/>
        <c:lblOffset val="100"/>
      </c:catAx>
      <c:valAx>
        <c:axId val="6056870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siKCNJ11!$M$57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54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siTBC1D4!$G$9:$G$13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siTBC1D4!$H$9:$H$13</c:f>
              <c:numCache>
                <c:formatCode>0.00</c:formatCode>
                <c:ptCount val="5"/>
                <c:pt idx="0">
                  <c:v>-1.4685210829577451</c:v>
                </c:pt>
                <c:pt idx="1">
                  <c:v>-0.96257350205937642</c:v>
                </c:pt>
                <c:pt idx="2">
                  <c:v>-0.50031291738159611</c:v>
                </c:pt>
                <c:pt idx="3">
                  <c:v>-5.3302162754258101E-2</c:v>
                </c:pt>
                <c:pt idx="4">
                  <c:v>0.1834122119784258</c:v>
                </c:pt>
              </c:numCache>
            </c:numRef>
          </c:yVal>
        </c:ser>
        <c:axId val="60605952"/>
        <c:axId val="60607488"/>
      </c:scatterChart>
      <c:valAx>
        <c:axId val="60605952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607488"/>
        <c:crosses val="autoZero"/>
        <c:crossBetween val="midCat"/>
      </c:valAx>
      <c:valAx>
        <c:axId val="60607488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05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siTBC1D4!$C$65:$C$68</c:f>
                <c:numCache>
                  <c:formatCode>General</c:formatCode>
                  <c:ptCount val="4"/>
                  <c:pt idx="0">
                    <c:v>1.5774980753485365E-2</c:v>
                  </c:pt>
                  <c:pt idx="1">
                    <c:v>0.35445159530258213</c:v>
                  </c:pt>
                  <c:pt idx="2">
                    <c:v>8.4461969009711688E-2</c:v>
                  </c:pt>
                  <c:pt idx="3">
                    <c:v>0.29584521994804258</c:v>
                  </c:pt>
                </c:numCache>
              </c:numRef>
            </c:plus>
            <c:minus>
              <c:numRef>
                <c:f>siTBC1D4!$C$65:$C$68</c:f>
                <c:numCache>
                  <c:formatCode>General</c:formatCode>
                  <c:ptCount val="4"/>
                  <c:pt idx="0">
                    <c:v>1.5774980753485365E-2</c:v>
                  </c:pt>
                  <c:pt idx="1">
                    <c:v>0.35445159530258213</c:v>
                  </c:pt>
                  <c:pt idx="2">
                    <c:v>8.4461969009711688E-2</c:v>
                  </c:pt>
                  <c:pt idx="3">
                    <c:v>0.29584521994804258</c:v>
                  </c:pt>
                </c:numCache>
              </c:numRef>
            </c:minus>
          </c:errBars>
          <c:cat>
            <c:strRef>
              <c:f>(siTBC1D4!$A$65,siTBC1D4!$A$66,siTBC1D4!$A$67,siTBC1D4!$A$68)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siTBC1D4!$B$65:$B$68</c:f>
              <c:numCache>
                <c:formatCode>0.0</c:formatCode>
                <c:ptCount val="4"/>
                <c:pt idx="0">
                  <c:v>0.20457464684726501</c:v>
                </c:pt>
                <c:pt idx="1">
                  <c:v>0.50153815696787951</c:v>
                </c:pt>
                <c:pt idx="2">
                  <c:v>0.50588495474404749</c:v>
                </c:pt>
                <c:pt idx="3">
                  <c:v>1.2097461052260226</c:v>
                </c:pt>
              </c:numCache>
            </c:numRef>
          </c:val>
        </c:ser>
        <c:axId val="60651776"/>
        <c:axId val="60665856"/>
      </c:barChart>
      <c:catAx>
        <c:axId val="606517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65856"/>
        <c:crosses val="autoZero"/>
        <c:auto val="1"/>
        <c:lblAlgn val="ctr"/>
        <c:lblOffset val="100"/>
      </c:catAx>
      <c:valAx>
        <c:axId val="6066585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siTBC1D4!$M$48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517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36"/>
          <c:y val="2.720080182307745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siTBC1D4!$O$58:$O$59</c:f>
                <c:numCache>
                  <c:formatCode>General</c:formatCode>
                  <c:ptCount val="2"/>
                  <c:pt idx="0">
                    <c:v>1.5529888565760726</c:v>
                  </c:pt>
                  <c:pt idx="1">
                    <c:v>0.19314008899895935</c:v>
                  </c:pt>
                </c:numCache>
              </c:numRef>
            </c:plus>
            <c:minus>
              <c:numRef>
                <c:f>siTBC1D4!$O$58:$O$59</c:f>
                <c:numCache>
                  <c:formatCode>General</c:formatCode>
                  <c:ptCount val="2"/>
                  <c:pt idx="0">
                    <c:v>1.5529888565760726</c:v>
                  </c:pt>
                  <c:pt idx="1">
                    <c:v>0.19314008899895935</c:v>
                  </c:pt>
                </c:numCache>
              </c:numRef>
            </c:minus>
          </c:errBars>
          <c:cat>
            <c:strRef>
              <c:f>siTBC1D4!$M$58:$M$59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siTBC1D4!$N$58:$N$59</c:f>
              <c:numCache>
                <c:formatCode>0.0</c:formatCode>
                <c:ptCount val="2"/>
                <c:pt idx="0">
                  <c:v>2.3967423408566657</c:v>
                </c:pt>
                <c:pt idx="1">
                  <c:v>2.3712318384188329</c:v>
                </c:pt>
              </c:numCache>
            </c:numRef>
          </c:val>
        </c:ser>
        <c:axId val="60772352"/>
        <c:axId val="60773888"/>
      </c:barChart>
      <c:catAx>
        <c:axId val="607723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73888"/>
        <c:crosses val="autoZero"/>
        <c:auto val="1"/>
        <c:lblAlgn val="ctr"/>
        <c:lblOffset val="100"/>
      </c:catAx>
      <c:valAx>
        <c:axId val="6077388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siTBC1D4!$M$57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723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D16" sqref="D16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87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5">
        <v>42213</v>
      </c>
    </row>
    <row r="2" spans="1:20">
      <c r="A2" s="1" t="s">
        <v>1</v>
      </c>
      <c r="B2" s="2">
        <v>74</v>
      </c>
      <c r="C2" s="3"/>
      <c r="D2" s="38"/>
      <c r="E2" s="66"/>
      <c r="F2" s="38"/>
      <c r="G2" s="38"/>
    </row>
    <row r="3" spans="1:20">
      <c r="A3" s="1" t="s">
        <v>2</v>
      </c>
      <c r="B3" s="2" t="s">
        <v>43</v>
      </c>
      <c r="D3" s="38"/>
      <c r="E3" s="38"/>
      <c r="F3" s="38"/>
      <c r="G3" s="38"/>
    </row>
    <row r="4" spans="1:20">
      <c r="D4" s="38"/>
      <c r="E4" s="38"/>
      <c r="F4" s="38"/>
      <c r="G4" s="38"/>
    </row>
    <row r="5" spans="1:20">
      <c r="A5" s="2"/>
      <c r="D5" s="38"/>
      <c r="E5" s="38"/>
      <c r="F5" s="38"/>
      <c r="G5" s="38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 s="63">
        <v>5.0999999999999997E-2</v>
      </c>
      <c r="D8" s="63">
        <v>5.8999999999999997E-2</v>
      </c>
      <c r="E8" s="11">
        <f t="shared" ref="E8:E13" si="0">AVERAGE(C8:D8)</f>
        <v>5.4999999999999993E-2</v>
      </c>
      <c r="F8" s="12"/>
      <c r="G8" s="10"/>
      <c r="H8" s="10"/>
      <c r="N8"/>
      <c r="O8"/>
      <c r="P8"/>
    </row>
    <row r="9" spans="1:20" ht="15">
      <c r="A9" s="10">
        <v>3</v>
      </c>
      <c r="B9" s="10">
        <f t="shared" ref="B9:B13" si="1">A9/23</f>
        <v>0.13043478260869565</v>
      </c>
      <c r="C9" s="63">
        <v>8.1000000000000003E-2</v>
      </c>
      <c r="D9" s="63">
        <v>0.09</v>
      </c>
      <c r="E9" s="11">
        <f t="shared" si="0"/>
        <v>8.5499999999999993E-2</v>
      </c>
      <c r="F9" s="12">
        <f>(E9-$E$8)</f>
        <v>3.0499999999999999E-2</v>
      </c>
      <c r="G9" s="12">
        <f>LOG(B9)</f>
        <v>-0.88460658129793046</v>
      </c>
      <c r="H9" s="12">
        <f>LOG(F9)</f>
        <v>-1.5157001606532141</v>
      </c>
      <c r="N9"/>
      <c r="O9"/>
      <c r="P9"/>
    </row>
    <row r="10" spans="1:20" ht="15">
      <c r="A10" s="10">
        <v>9.74</v>
      </c>
      <c r="B10" s="10">
        <f t="shared" si="1"/>
        <v>0.42347826086956525</v>
      </c>
      <c r="C10" s="63">
        <v>0.16500000000000001</v>
      </c>
      <c r="D10" s="63">
        <v>0.16400000000000001</v>
      </c>
      <c r="E10" s="11">
        <f t="shared" si="0"/>
        <v>0.16450000000000001</v>
      </c>
      <c r="F10" s="12">
        <f>(E10-$E$8)</f>
        <v>0.10950000000000001</v>
      </c>
      <c r="G10" s="12">
        <f>LOG(B10)</f>
        <v>-0.37316887913897734</v>
      </c>
      <c r="H10" s="12">
        <f>LOG(F10)</f>
        <v>-0.96058588082386276</v>
      </c>
      <c r="N10"/>
      <c r="O10"/>
      <c r="P10"/>
    </row>
    <row r="11" spans="1:20" ht="15">
      <c r="A11" s="10">
        <v>29.8</v>
      </c>
      <c r="B11" s="10">
        <f t="shared" si="1"/>
        <v>1.2956521739130435</v>
      </c>
      <c r="C11" s="63">
        <v>0.38700000000000001</v>
      </c>
      <c r="D11" s="63">
        <v>0.32600000000000001</v>
      </c>
      <c r="E11" s="11">
        <f t="shared" si="0"/>
        <v>0.35650000000000004</v>
      </c>
      <c r="F11" s="12">
        <f>(E11-$E$8)</f>
        <v>0.30150000000000005</v>
      </c>
      <c r="G11" s="12">
        <f>LOG(B11)</f>
        <v>0.11248842805866238</v>
      </c>
      <c r="H11" s="12">
        <f>LOG(F11)</f>
        <v>-0.52071268352382982</v>
      </c>
      <c r="N11"/>
      <c r="O11"/>
      <c r="P11"/>
      <c r="Q11"/>
      <c r="R11"/>
      <c r="S11"/>
      <c r="T11"/>
    </row>
    <row r="12" spans="1:20" ht="15">
      <c r="A12" s="10">
        <v>104</v>
      </c>
      <c r="B12" s="10">
        <f t="shared" si="1"/>
        <v>4.5217391304347823</v>
      </c>
      <c r="C12" s="63">
        <v>1.177</v>
      </c>
      <c r="D12" s="63">
        <v>1.03</v>
      </c>
      <c r="E12" s="11">
        <f t="shared" si="0"/>
        <v>1.1034999999999999</v>
      </c>
      <c r="F12" s="12">
        <f>(E12-$E$8)</f>
        <v>1.0485</v>
      </c>
      <c r="G12" s="12">
        <f>LOG(B12)</f>
        <v>0.65530550328118742</v>
      </c>
      <c r="H12" s="12">
        <f>LOG(F12)</f>
        <v>2.0568434801362646E-2</v>
      </c>
      <c r="N12"/>
      <c r="O12"/>
      <c r="P12"/>
      <c r="Q12"/>
      <c r="R12"/>
      <c r="S12"/>
      <c r="T12"/>
    </row>
    <row r="13" spans="1:20" ht="15">
      <c r="A13" s="10">
        <v>207</v>
      </c>
      <c r="B13" s="10">
        <f t="shared" si="1"/>
        <v>9</v>
      </c>
      <c r="C13" s="63">
        <v>2.2149999999999999</v>
      </c>
      <c r="D13" s="63">
        <v>1.8120000000000001</v>
      </c>
      <c r="E13" s="11">
        <f t="shared" si="0"/>
        <v>2.0135000000000001</v>
      </c>
      <c r="F13" s="12">
        <f>(E13-$E$8)</f>
        <v>1.9585000000000001</v>
      </c>
      <c r="G13" s="12">
        <f>LOG(B13)</f>
        <v>0.95424250943932487</v>
      </c>
      <c r="H13" s="12">
        <f>LOG(F13)</f>
        <v>0.29192357588388468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0.97788672494918949</v>
      </c>
      <c r="N15"/>
    </row>
    <row r="16" spans="1:20" ht="15">
      <c r="A16" s="5" t="s">
        <v>11</v>
      </c>
      <c r="B16" s="11">
        <f>INTERCEPT(H9:H13,G9:G13)</f>
        <v>-0.62770027278085172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4">
        <v>0.92800000000000005</v>
      </c>
      <c r="C22" s="64">
        <v>0.89500000000000002</v>
      </c>
      <c r="D22" s="27">
        <f>AVERAGE(B22:C22)</f>
        <v>0.91149999999999998</v>
      </c>
      <c r="E22" s="27">
        <f t="shared" ref="E22:E27" si="2">D22-E$8</f>
        <v>0.85650000000000004</v>
      </c>
      <c r="F22" s="27">
        <f>LOG(E22)</f>
        <v>-6.7272632698470683E-2</v>
      </c>
      <c r="G22" s="28">
        <f>(F22-$B$16)/$B$15</f>
        <v>0.57310077515522106</v>
      </c>
      <c r="H22" s="28">
        <f>10^G22</f>
        <v>3.7419740822637499</v>
      </c>
      <c r="I22" s="29">
        <v>500</v>
      </c>
      <c r="J22" s="30">
        <f>(H22*I22)</f>
        <v>1870.987041131875</v>
      </c>
      <c r="K22" s="31">
        <f>(0.05*J22/1000)*1000</f>
        <v>93.549352056593762</v>
      </c>
      <c r="L22" s="32">
        <f>K22+K40+K50</f>
        <v>94.13875064743948</v>
      </c>
      <c r="M22" s="33">
        <f>(L22*1000000/50000)/1000</f>
        <v>1.8827750129487897</v>
      </c>
      <c r="N22" s="34"/>
    </row>
    <row r="23" spans="1:17" ht="15">
      <c r="B23" s="64">
        <v>0.57999999999999996</v>
      </c>
      <c r="C23" s="64">
        <v>0.58699999999999997</v>
      </c>
      <c r="D23" s="27">
        <f t="shared" ref="D23:D27" si="3">AVERAGE(B23:C23)</f>
        <v>0.58349999999999991</v>
      </c>
      <c r="E23" s="27">
        <f t="shared" si="2"/>
        <v>0.52849999999999997</v>
      </c>
      <c r="F23" s="27">
        <f t="shared" ref="F23:F27" si="4">LOG(E23)</f>
        <v>-0.27695500835655495</v>
      </c>
      <c r="G23" s="28">
        <f t="shared" ref="G23:G27" si="5">(F23-$B$16)/$B$15</f>
        <v>0.35867678277616594</v>
      </c>
      <c r="H23" s="28">
        <f t="shared" ref="H23:H27" si="6">10^G23</f>
        <v>2.283898413204668</v>
      </c>
      <c r="I23" s="29">
        <v>500</v>
      </c>
      <c r="J23" s="30">
        <f t="shared" ref="J23:J27" si="7">(H23*I23)</f>
        <v>1141.949206602334</v>
      </c>
      <c r="K23" s="31">
        <f t="shared" ref="K23:K27" si="8">(0.05*J23/1000)*1000</f>
        <v>57.097460330116704</v>
      </c>
      <c r="L23" s="32">
        <f>K23+K41+K51</f>
        <v>57.771269426339309</v>
      </c>
      <c r="M23" s="33">
        <f t="shared" ref="M23:M27" si="9">(L23*1000000/50000)/1000</f>
        <v>1.155425388526786</v>
      </c>
      <c r="N23" s="34"/>
    </row>
    <row r="24" spans="1:17" ht="15">
      <c r="B24" s="67">
        <v>0.63600000000000001</v>
      </c>
      <c r="C24" s="67">
        <v>0.68600000000000005</v>
      </c>
      <c r="D24" s="27">
        <f t="shared" si="3"/>
        <v>0.66100000000000003</v>
      </c>
      <c r="E24" s="27">
        <f t="shared" si="2"/>
        <v>0.60600000000000009</v>
      </c>
      <c r="F24" s="27">
        <f t="shared" si="4"/>
        <v>-0.21752737583371373</v>
      </c>
      <c r="G24" s="28">
        <f t="shared" si="5"/>
        <v>0.419448271954454</v>
      </c>
      <c r="H24" s="28">
        <f t="shared" si="6"/>
        <v>2.6269286190251817</v>
      </c>
      <c r="I24" s="29">
        <v>500</v>
      </c>
      <c r="J24" s="30">
        <f t="shared" si="7"/>
        <v>1313.4643095125909</v>
      </c>
      <c r="K24" s="31">
        <f t="shared" si="8"/>
        <v>65.673215475629547</v>
      </c>
      <c r="L24" s="32">
        <f t="shared" ref="L24:L27" si="10">K24+K42+K52</f>
        <v>66.173644578298664</v>
      </c>
      <c r="M24" s="33">
        <f t="shared" si="9"/>
        <v>1.3234728915659733</v>
      </c>
      <c r="N24" s="34"/>
    </row>
    <row r="25" spans="1:17" ht="15">
      <c r="A25" s="1" t="s">
        <v>26</v>
      </c>
      <c r="B25" s="63">
        <v>0.51900000000000002</v>
      </c>
      <c r="C25" s="63">
        <v>0.59399999999999997</v>
      </c>
      <c r="D25" s="27">
        <f t="shared" si="3"/>
        <v>0.55649999999999999</v>
      </c>
      <c r="E25" s="27">
        <f t="shared" si="2"/>
        <v>0.50150000000000006</v>
      </c>
      <c r="F25" s="27">
        <f t="shared" si="4"/>
        <v>-0.29972906264356303</v>
      </c>
      <c r="G25" s="28">
        <f t="shared" si="5"/>
        <v>0.33538773128792593</v>
      </c>
      <c r="H25" s="28">
        <f t="shared" si="6"/>
        <v>2.1646502270038521</v>
      </c>
      <c r="I25" s="29">
        <v>500</v>
      </c>
      <c r="J25" s="30">
        <f t="shared" si="7"/>
        <v>1082.3251135019261</v>
      </c>
      <c r="K25" s="31">
        <f t="shared" si="8"/>
        <v>54.116255675096312</v>
      </c>
      <c r="L25" s="32">
        <f t="shared" si="10"/>
        <v>55.634922003615209</v>
      </c>
      <c r="M25" s="33">
        <f t="shared" si="9"/>
        <v>1.1126984400723043</v>
      </c>
      <c r="N25" s="34"/>
    </row>
    <row r="26" spans="1:17" ht="15">
      <c r="B26" s="68">
        <v>0.56100000000000005</v>
      </c>
      <c r="C26" s="68">
        <v>0.61799999999999999</v>
      </c>
      <c r="D26" s="27">
        <f t="shared" si="3"/>
        <v>0.58950000000000002</v>
      </c>
      <c r="E26" s="27">
        <f t="shared" si="2"/>
        <v>0.53449999999999998</v>
      </c>
      <c r="F26" s="27">
        <f t="shared" si="4"/>
        <v>-0.27205229045520318</v>
      </c>
      <c r="G26" s="28">
        <f t="shared" si="5"/>
        <v>0.36369036745450023</v>
      </c>
      <c r="H26" s="28">
        <f t="shared" si="6"/>
        <v>2.3104169788451712</v>
      </c>
      <c r="I26" s="29">
        <v>500</v>
      </c>
      <c r="J26" s="30">
        <f t="shared" si="7"/>
        <v>1155.2084894225857</v>
      </c>
      <c r="K26" s="31">
        <f t="shared" si="8"/>
        <v>57.760424471129284</v>
      </c>
      <c r="L26" s="32">
        <f t="shared" si="10"/>
        <v>59.354367356813917</v>
      </c>
      <c r="M26" s="33">
        <f t="shared" si="9"/>
        <v>1.1870873471362784</v>
      </c>
      <c r="N26" s="34"/>
    </row>
    <row r="27" spans="1:17" ht="15">
      <c r="B27" s="63">
        <v>0.53100000000000003</v>
      </c>
      <c r="C27" s="63">
        <v>0.53900000000000003</v>
      </c>
      <c r="D27" s="27">
        <f t="shared" si="3"/>
        <v>0.53500000000000003</v>
      </c>
      <c r="E27" s="27">
        <f t="shared" si="2"/>
        <v>0.48000000000000004</v>
      </c>
      <c r="F27" s="27">
        <f t="shared" si="4"/>
        <v>-0.31875876262441277</v>
      </c>
      <c r="G27" s="28">
        <f t="shared" si="5"/>
        <v>0.31592770642478185</v>
      </c>
      <c r="H27" s="28">
        <f t="shared" si="6"/>
        <v>2.0697967773768262</v>
      </c>
      <c r="I27" s="29">
        <v>500</v>
      </c>
      <c r="J27" s="30">
        <f t="shared" si="7"/>
        <v>1034.8983886884132</v>
      </c>
      <c r="K27" s="31">
        <f t="shared" si="8"/>
        <v>51.744919434420666</v>
      </c>
      <c r="L27" s="32">
        <f t="shared" si="10"/>
        <v>53.202906403068894</v>
      </c>
      <c r="M27" s="33">
        <f t="shared" si="9"/>
        <v>1.0640581280613779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4">
        <v>0.92800000000000005</v>
      </c>
      <c r="C31" s="64">
        <v>0.89500000000000002</v>
      </c>
      <c r="D31" s="27">
        <f t="shared" ref="D31:D36" si="11">AVERAGE(B31:C31)</f>
        <v>0.91149999999999998</v>
      </c>
      <c r="E31" s="27">
        <f t="shared" ref="E31:E36" si="12">D31-E$8</f>
        <v>0.85650000000000004</v>
      </c>
      <c r="F31" s="27">
        <f>LOG(E31)</f>
        <v>-6.7272632698470683E-2</v>
      </c>
      <c r="G31" s="28">
        <f>(F31-$B$16)/$B$15</f>
        <v>0.57310077515522106</v>
      </c>
      <c r="H31" s="28">
        <f>10^G31</f>
        <v>3.7419740822637499</v>
      </c>
      <c r="I31" s="29">
        <v>500</v>
      </c>
      <c r="J31" s="30">
        <f>(H31*I31)</f>
        <v>1870.987041131875</v>
      </c>
      <c r="K31" s="31">
        <f>(0.05*J31/1000)*1000</f>
        <v>93.549352056593762</v>
      </c>
      <c r="L31" s="32">
        <f>K31+K50</f>
        <v>93.947662282108453</v>
      </c>
      <c r="M31" s="33">
        <f>(L31*1000000/50000)/1000</f>
        <v>1.8789532456421691</v>
      </c>
      <c r="N31" s="35"/>
      <c r="Q31"/>
    </row>
    <row r="32" spans="1:17" ht="15">
      <c r="B32" s="64">
        <v>0.57999999999999996</v>
      </c>
      <c r="C32" s="64">
        <v>0.58699999999999997</v>
      </c>
      <c r="D32" s="27">
        <f t="shared" si="11"/>
        <v>0.58349999999999991</v>
      </c>
      <c r="E32" s="27">
        <f t="shared" si="12"/>
        <v>0.52849999999999997</v>
      </c>
      <c r="F32" s="27">
        <f t="shared" ref="F32:F36" si="13">LOG(E32)</f>
        <v>-0.27695500835655495</v>
      </c>
      <c r="G32" s="28">
        <f t="shared" ref="G32:G36" si="14">(F32-$B$16)/$B$15</f>
        <v>0.35867678277616594</v>
      </c>
      <c r="H32" s="28">
        <f t="shared" ref="H32:H36" si="15">10^G32</f>
        <v>2.283898413204668</v>
      </c>
      <c r="I32" s="29">
        <v>500</v>
      </c>
      <c r="J32" s="30">
        <f t="shared" ref="J32:J36" si="16">(H32*I32)</f>
        <v>1141.949206602334</v>
      </c>
      <c r="K32" s="31">
        <f t="shared" ref="K32:K36" si="17">(0.05*J32/1000)*1000</f>
        <v>57.097460330116704</v>
      </c>
      <c r="L32" s="32">
        <f>K32+K51</f>
        <v>57.583492448348345</v>
      </c>
      <c r="M32" s="33">
        <f t="shared" ref="M32:M36" si="18">(L32*1000000/50000)/1000</f>
        <v>1.1516698489669668</v>
      </c>
      <c r="N32" s="36"/>
      <c r="Q32"/>
    </row>
    <row r="33" spans="1:21" ht="15">
      <c r="B33" s="67">
        <v>0.63600000000000001</v>
      </c>
      <c r="C33" s="67">
        <v>0.68600000000000005</v>
      </c>
      <c r="D33" s="27">
        <f t="shared" si="11"/>
        <v>0.66100000000000003</v>
      </c>
      <c r="E33" s="27">
        <f t="shared" si="12"/>
        <v>0.60600000000000009</v>
      </c>
      <c r="F33" s="27">
        <f t="shared" si="13"/>
        <v>-0.21752737583371373</v>
      </c>
      <c r="G33" s="28">
        <f t="shared" si="14"/>
        <v>0.419448271954454</v>
      </c>
      <c r="H33" s="28">
        <f t="shared" si="15"/>
        <v>2.6269286190251817</v>
      </c>
      <c r="I33" s="29">
        <v>500</v>
      </c>
      <c r="J33" s="30">
        <f t="shared" si="16"/>
        <v>1313.4643095125909</v>
      </c>
      <c r="K33" s="31">
        <f t="shared" si="17"/>
        <v>65.673215475629547</v>
      </c>
      <c r="L33" s="32">
        <f t="shared" ref="L33:L36" si="19">K33+K52</f>
        <v>66.068159757491713</v>
      </c>
      <c r="M33" s="33">
        <f t="shared" si="18"/>
        <v>1.3213631951498344</v>
      </c>
      <c r="N33" s="36"/>
      <c r="Q33"/>
      <c r="R33"/>
      <c r="S33"/>
    </row>
    <row r="34" spans="1:21" ht="15">
      <c r="A34" s="1" t="s">
        <v>26</v>
      </c>
      <c r="B34" s="63">
        <v>0.51900000000000002</v>
      </c>
      <c r="C34" s="63">
        <v>0.59399999999999997</v>
      </c>
      <c r="D34" s="27">
        <f t="shared" si="11"/>
        <v>0.55649999999999999</v>
      </c>
      <c r="E34" s="27">
        <f t="shared" si="12"/>
        <v>0.50150000000000006</v>
      </c>
      <c r="F34" s="27">
        <f t="shared" si="13"/>
        <v>-0.29972906264356303</v>
      </c>
      <c r="G34" s="28">
        <f t="shared" si="14"/>
        <v>0.33538773128792593</v>
      </c>
      <c r="H34" s="28">
        <f t="shared" si="15"/>
        <v>2.1646502270038521</v>
      </c>
      <c r="I34" s="29">
        <v>500</v>
      </c>
      <c r="J34" s="30">
        <f t="shared" si="16"/>
        <v>1082.3251135019261</v>
      </c>
      <c r="K34" s="31">
        <f t="shared" si="17"/>
        <v>54.116255675096312</v>
      </c>
      <c r="L34" s="32">
        <f t="shared" si="19"/>
        <v>55.179298361882381</v>
      </c>
      <c r="M34" s="33">
        <f t="shared" si="18"/>
        <v>1.1035859672376476</v>
      </c>
      <c r="N34" s="36"/>
      <c r="Q34"/>
      <c r="R34"/>
      <c r="S34"/>
    </row>
    <row r="35" spans="1:21" ht="15">
      <c r="B35" s="68">
        <v>0.56100000000000005</v>
      </c>
      <c r="C35" s="68">
        <v>0.61799999999999999</v>
      </c>
      <c r="D35" s="27">
        <f t="shared" si="11"/>
        <v>0.58950000000000002</v>
      </c>
      <c r="E35" s="27">
        <f t="shared" si="12"/>
        <v>0.53449999999999998</v>
      </c>
      <c r="F35" s="27">
        <f t="shared" si="13"/>
        <v>-0.27205229045520318</v>
      </c>
      <c r="G35" s="28">
        <f t="shared" si="14"/>
        <v>0.36369036745450023</v>
      </c>
      <c r="H35" s="28">
        <f t="shared" si="15"/>
        <v>2.3104169788451712</v>
      </c>
      <c r="I35" s="29">
        <v>500</v>
      </c>
      <c r="J35" s="30">
        <f t="shared" si="16"/>
        <v>1155.2084894225857</v>
      </c>
      <c r="K35" s="31">
        <f t="shared" si="17"/>
        <v>57.760424471129284</v>
      </c>
      <c r="L35" s="32">
        <f t="shared" si="19"/>
        <v>58.87509641033067</v>
      </c>
      <c r="M35" s="33">
        <f t="shared" si="18"/>
        <v>1.1775019282066135</v>
      </c>
      <c r="N35" s="36"/>
      <c r="Q35"/>
      <c r="R35"/>
      <c r="S35"/>
    </row>
    <row r="36" spans="1:21" ht="15">
      <c r="B36" s="63">
        <v>0.53100000000000003</v>
      </c>
      <c r="C36" s="63">
        <v>0.53900000000000003</v>
      </c>
      <c r="D36" s="27">
        <f t="shared" si="11"/>
        <v>0.53500000000000003</v>
      </c>
      <c r="E36" s="27">
        <f t="shared" si="12"/>
        <v>0.48000000000000004</v>
      </c>
      <c r="F36" s="27">
        <f t="shared" si="13"/>
        <v>-0.31875876262441277</v>
      </c>
      <c r="G36" s="28">
        <f t="shared" si="14"/>
        <v>0.31592770642478185</v>
      </c>
      <c r="H36" s="28">
        <f t="shared" si="15"/>
        <v>2.0697967773768262</v>
      </c>
      <c r="I36" s="29">
        <v>500</v>
      </c>
      <c r="J36" s="30">
        <f t="shared" si="16"/>
        <v>1034.8983886884132</v>
      </c>
      <c r="K36" s="31">
        <f t="shared" si="17"/>
        <v>51.744919434420666</v>
      </c>
      <c r="L36" s="32">
        <f t="shared" si="19"/>
        <v>52.807962121206735</v>
      </c>
      <c r="M36" s="33">
        <f t="shared" si="18"/>
        <v>1.0561592424241348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3">
        <v>0.08</v>
      </c>
      <c r="C40" s="63">
        <v>8.8999999999999996E-2</v>
      </c>
      <c r="D40" s="27">
        <f>AVERAGE(B40:C40)</f>
        <v>8.4499999999999992E-2</v>
      </c>
      <c r="E40" s="27">
        <f t="shared" ref="E40:E45" si="20">D40-E$8</f>
        <v>2.9499999999999998E-2</v>
      </c>
      <c r="F40" s="27">
        <f t="shared" ref="F40:F45" si="21">LOG(E40)</f>
        <v>-1.530177984021837</v>
      </c>
      <c r="G40" s="28">
        <f t="shared" ref="G40:G45" si="22">(F40-$B$16)/$B$15</f>
        <v>-0.92288573739241386</v>
      </c>
      <c r="H40" s="27">
        <f t="shared" ref="H40:H45" si="23">10^G40</f>
        <v>0.11943022833189189</v>
      </c>
      <c r="I40" s="41">
        <v>16</v>
      </c>
      <c r="J40" s="42">
        <f t="shared" ref="J40:J45" si="24">H40*I40</f>
        <v>1.9108836533102702</v>
      </c>
      <c r="K40" s="30">
        <f>(0.1*J40/1000)*1000</f>
        <v>0.19108836533102702</v>
      </c>
      <c r="L40" s="43">
        <f>K40*100/L22</f>
        <v>0.20298587352903705</v>
      </c>
      <c r="M40" s="30">
        <f>AVERAGE(L40:L42)</f>
        <v>0.22914239826816188</v>
      </c>
      <c r="N40" s="44">
        <f>STDEV(L40:L42)</f>
        <v>8.5856715554349192E-2</v>
      </c>
      <c r="R40"/>
      <c r="S40"/>
      <c r="T40"/>
      <c r="U40"/>
    </row>
    <row r="41" spans="1:21" ht="15">
      <c r="B41" s="63">
        <v>8.1000000000000003E-2</v>
      </c>
      <c r="C41" s="63">
        <v>8.6999999999999994E-2</v>
      </c>
      <c r="D41" s="27">
        <f t="shared" ref="D41:D45" si="25">AVERAGE(B41:C41)</f>
        <v>8.3999999999999991E-2</v>
      </c>
      <c r="E41" s="27">
        <f t="shared" si="20"/>
        <v>2.8999999999999998E-2</v>
      </c>
      <c r="F41" s="27">
        <f t="shared" si="21"/>
        <v>-1.5376020021010439</v>
      </c>
      <c r="G41" s="28">
        <f t="shared" si="22"/>
        <v>-0.93047763724113364</v>
      </c>
      <c r="H41" s="27">
        <f t="shared" si="23"/>
        <v>0.11736061124435321</v>
      </c>
      <c r="I41" s="41">
        <v>16</v>
      </c>
      <c r="J41" s="42">
        <f t="shared" si="24"/>
        <v>1.8777697799096513</v>
      </c>
      <c r="K41" s="30">
        <f t="shared" ref="K41:K45" si="26">(0.1*J41/1000)*1000</f>
        <v>0.18777697799096515</v>
      </c>
      <c r="L41" s="43">
        <f t="shared" ref="L41:L45" si="27">K41*100/L23</f>
        <v>0.32503522919881195</v>
      </c>
      <c r="M41" s="30"/>
      <c r="N41" s="44"/>
      <c r="R41"/>
      <c r="S41"/>
      <c r="T41"/>
      <c r="U41"/>
    </row>
    <row r="42" spans="1:21" s="17" customFormat="1" ht="15">
      <c r="A42" s="1"/>
      <c r="B42" s="63">
        <v>7.0999999999999994E-2</v>
      </c>
      <c r="C42" s="63">
        <v>7.1999999999999995E-2</v>
      </c>
      <c r="D42" s="27">
        <f t="shared" si="25"/>
        <v>7.1499999999999994E-2</v>
      </c>
      <c r="E42" s="27">
        <f t="shared" si="20"/>
        <v>1.6500000000000001E-2</v>
      </c>
      <c r="F42" s="27">
        <f t="shared" si="21"/>
        <v>-1.7825160557860937</v>
      </c>
      <c r="G42" s="28">
        <f t="shared" si="22"/>
        <v>-1.1809300132029563</v>
      </c>
      <c r="H42" s="27">
        <f t="shared" si="23"/>
        <v>6.5928013004343158E-2</v>
      </c>
      <c r="I42" s="41">
        <v>16</v>
      </c>
      <c r="J42" s="42">
        <f t="shared" si="24"/>
        <v>1.0548482080694905</v>
      </c>
      <c r="K42" s="30">
        <f t="shared" si="26"/>
        <v>0.10548482080694906</v>
      </c>
      <c r="L42" s="43">
        <f t="shared" si="27"/>
        <v>0.15940609207663667</v>
      </c>
      <c r="M42" s="30"/>
      <c r="N42" s="44"/>
      <c r="R42"/>
      <c r="S42"/>
      <c r="T42"/>
      <c r="U42"/>
    </row>
    <row r="43" spans="1:21" ht="15">
      <c r="A43" s="1" t="s">
        <v>34</v>
      </c>
      <c r="B43" s="63">
        <v>0.122</v>
      </c>
      <c r="C43" s="63">
        <v>0.126</v>
      </c>
      <c r="D43" s="27">
        <f t="shared" si="25"/>
        <v>0.124</v>
      </c>
      <c r="E43" s="27">
        <f t="shared" si="20"/>
        <v>6.9000000000000006E-2</v>
      </c>
      <c r="F43" s="27">
        <f t="shared" si="21"/>
        <v>-1.1611509092627446</v>
      </c>
      <c r="G43" s="28">
        <f t="shared" si="22"/>
        <v>-0.54551373167440298</v>
      </c>
      <c r="H43" s="27">
        <f t="shared" si="23"/>
        <v>0.28476477608301948</v>
      </c>
      <c r="I43" s="41">
        <v>16</v>
      </c>
      <c r="J43" s="42">
        <f t="shared" si="24"/>
        <v>4.5562364173283116</v>
      </c>
      <c r="K43" s="30">
        <f t="shared" si="26"/>
        <v>0.45562364173283121</v>
      </c>
      <c r="L43" s="43">
        <f t="shared" si="27"/>
        <v>0.81895260265346359</v>
      </c>
      <c r="M43" s="30">
        <f>AVERAGE(L43:L45)</f>
        <v>0.78958742838312623</v>
      </c>
      <c r="N43" s="44">
        <f>STDEV(L43:L45)</f>
        <v>4.1321544929435079E-2</v>
      </c>
      <c r="R43"/>
      <c r="S43"/>
      <c r="T43"/>
      <c r="U43"/>
    </row>
    <row r="44" spans="1:21" ht="15">
      <c r="A44" s="45"/>
      <c r="B44" s="63">
        <v>0.13700000000000001</v>
      </c>
      <c r="C44" s="63">
        <v>0.11799999999999999</v>
      </c>
      <c r="D44" s="27">
        <f t="shared" si="25"/>
        <v>0.1275</v>
      </c>
      <c r="E44" s="27">
        <f t="shared" si="20"/>
        <v>7.2500000000000009E-2</v>
      </c>
      <c r="F44" s="27">
        <f t="shared" si="21"/>
        <v>-1.1396619934290062</v>
      </c>
      <c r="G44" s="28">
        <f t="shared" si="22"/>
        <v>-0.52353887989915782</v>
      </c>
      <c r="H44" s="27">
        <f t="shared" si="23"/>
        <v>0.2995443415520278</v>
      </c>
      <c r="I44" s="41">
        <v>16</v>
      </c>
      <c r="J44" s="42">
        <f t="shared" si="24"/>
        <v>4.7927094648324449</v>
      </c>
      <c r="K44" s="30">
        <f t="shared" si="26"/>
        <v>0.47927094648324453</v>
      </c>
      <c r="L44" s="43">
        <f t="shared" si="27"/>
        <v>0.80747376785614744</v>
      </c>
      <c r="M44" s="30"/>
      <c r="N44" s="44"/>
      <c r="R44"/>
      <c r="S44"/>
      <c r="T44"/>
      <c r="U44"/>
    </row>
    <row r="45" spans="1:21" ht="15">
      <c r="A45" s="46"/>
      <c r="B45" s="63">
        <v>0.126</v>
      </c>
      <c r="C45" s="63">
        <v>0.104</v>
      </c>
      <c r="D45" s="27">
        <f t="shared" si="25"/>
        <v>0.11499999999999999</v>
      </c>
      <c r="E45" s="27">
        <f t="shared" si="20"/>
        <v>0.06</v>
      </c>
      <c r="F45" s="27">
        <f t="shared" si="21"/>
        <v>-1.2218487496163564</v>
      </c>
      <c r="G45" s="28">
        <f t="shared" si="22"/>
        <v>-0.60758415231209562</v>
      </c>
      <c r="H45" s="27">
        <f t="shared" si="23"/>
        <v>0.24684017616385059</v>
      </c>
      <c r="I45" s="41">
        <v>16</v>
      </c>
      <c r="J45" s="42">
        <f t="shared" si="24"/>
        <v>3.9494428186216095</v>
      </c>
      <c r="K45" s="30">
        <f t="shared" si="26"/>
        <v>0.39494428186216096</v>
      </c>
      <c r="L45" s="43">
        <f t="shared" si="27"/>
        <v>0.74233591463976767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8">
        <v>0.115</v>
      </c>
      <c r="C50" s="68">
        <v>0.11600000000000001</v>
      </c>
      <c r="D50" s="27">
        <f>AVERAGE(B50:C50)</f>
        <v>0.11550000000000001</v>
      </c>
      <c r="E50" s="27">
        <f t="shared" ref="E50:E55" si="28">D50-E$8</f>
        <v>6.0500000000000012E-2</v>
      </c>
      <c r="F50" s="27">
        <f t="shared" ref="F50:F55" si="29">LOG(E50)</f>
        <v>-1.218244625347531</v>
      </c>
      <c r="G50" s="28">
        <f t="shared" ref="G50:G55" si="30">(F50-$B$16)/$B$15</f>
        <v>-0.60389852679241929</v>
      </c>
      <c r="H50" s="27">
        <f t="shared" ref="H50:H55" si="31">10^G50</f>
        <v>0.24894389094667924</v>
      </c>
      <c r="I50" s="41">
        <v>16</v>
      </c>
      <c r="J50" s="42">
        <f t="shared" ref="J50:J55" si="32">H50*I50</f>
        <v>3.9831022551468678</v>
      </c>
      <c r="K50" s="30">
        <f>(0.1*J50/1000)*1000</f>
        <v>0.39831022551468681</v>
      </c>
      <c r="L50" s="43">
        <f t="shared" ref="L50:L55" si="33">K50*100/L31</f>
        <v>0.42397034246432935</v>
      </c>
      <c r="M50" s="30">
        <f>AVERAGE(L50:L52)</f>
        <v>0.62193369359829265</v>
      </c>
      <c r="N50" s="44">
        <f>STDEV(L50:L52)</f>
        <v>0.21107741789699633</v>
      </c>
      <c r="O50" s="48">
        <f>L50/L40</f>
        <v>2.0886692019170514</v>
      </c>
      <c r="P50" s="30">
        <f>AVERAGE(O50:O52)</f>
        <v>2.8118405490877332</v>
      </c>
      <c r="Q50" s="44">
        <f>STDEV(O50:O52)</f>
        <v>0.85131896380998973</v>
      </c>
      <c r="S50"/>
      <c r="T50"/>
    </row>
    <row r="51" spans="1:25" ht="15">
      <c r="B51" s="63">
        <v>0.13200000000000001</v>
      </c>
      <c r="C51" s="63">
        <v>0.125</v>
      </c>
      <c r="D51" s="27">
        <f t="shared" ref="D51:D55" si="34">AVERAGE(B51:C51)</f>
        <v>0.1285</v>
      </c>
      <c r="E51" s="27">
        <f t="shared" si="28"/>
        <v>7.350000000000001E-2</v>
      </c>
      <c r="F51" s="27">
        <f t="shared" si="29"/>
        <v>-1.133712660915805</v>
      </c>
      <c r="G51" s="28">
        <f t="shared" si="30"/>
        <v>-0.51745501316754805</v>
      </c>
      <c r="H51" s="27">
        <f t="shared" si="31"/>
        <v>0.30377007389477778</v>
      </c>
      <c r="I51" s="41">
        <v>16</v>
      </c>
      <c r="J51" s="42">
        <f t="shared" si="32"/>
        <v>4.8603211823164445</v>
      </c>
      <c r="K51" s="30">
        <f t="shared" ref="K51:K55" si="35">(0.1*J51/1000)*1000</f>
        <v>0.48603211823164449</v>
      </c>
      <c r="L51" s="43">
        <f t="shared" si="33"/>
        <v>0.84404765596252973</v>
      </c>
      <c r="M51" s="30"/>
      <c r="N51" s="44"/>
      <c r="O51" s="2">
        <f t="shared" ref="O51:O55" si="36">L51/L41</f>
        <v>2.5967882252119114</v>
      </c>
      <c r="P51" s="30"/>
      <c r="Q51" s="44"/>
      <c r="S51"/>
      <c r="T51"/>
    </row>
    <row r="52" spans="1:25" ht="15">
      <c r="B52" s="63">
        <v>0.12</v>
      </c>
      <c r="C52" s="63">
        <v>0.11</v>
      </c>
      <c r="D52" s="27">
        <f t="shared" si="34"/>
        <v>0.11499999999999999</v>
      </c>
      <c r="E52" s="27">
        <f t="shared" si="28"/>
        <v>0.06</v>
      </c>
      <c r="F52" s="27">
        <f t="shared" si="29"/>
        <v>-1.2218487496163564</v>
      </c>
      <c r="G52" s="28">
        <f t="shared" si="30"/>
        <v>-0.60758415231209562</v>
      </c>
      <c r="H52" s="27">
        <f t="shared" si="31"/>
        <v>0.24684017616385059</v>
      </c>
      <c r="I52" s="41">
        <v>16</v>
      </c>
      <c r="J52" s="42">
        <f t="shared" si="32"/>
        <v>3.9494428186216095</v>
      </c>
      <c r="K52" s="30">
        <f t="shared" si="35"/>
        <v>0.39494428186216096</v>
      </c>
      <c r="L52" s="43">
        <f t="shared" si="33"/>
        <v>0.5977830823680188</v>
      </c>
      <c r="M52" s="30"/>
      <c r="N52" s="44"/>
      <c r="O52" s="2">
        <f t="shared" si="36"/>
        <v>3.7500642201342367</v>
      </c>
      <c r="P52" s="30"/>
      <c r="Q52" s="44"/>
      <c r="S52"/>
      <c r="T52"/>
    </row>
    <row r="53" spans="1:25" ht="15">
      <c r="A53" s="1" t="s">
        <v>26</v>
      </c>
      <c r="B53" s="68">
        <v>0.20899999999999999</v>
      </c>
      <c r="C53" s="68">
        <v>0.217</v>
      </c>
      <c r="D53" s="27">
        <f t="shared" si="34"/>
        <v>0.21299999999999999</v>
      </c>
      <c r="E53" s="27">
        <f t="shared" si="28"/>
        <v>0.158</v>
      </c>
      <c r="F53" s="27">
        <f t="shared" si="29"/>
        <v>-0.80134291304557737</v>
      </c>
      <c r="G53" s="28">
        <f t="shared" si="30"/>
        <v>-0.17756927856214433</v>
      </c>
      <c r="H53" s="27">
        <f t="shared" si="31"/>
        <v>0.66440167924129501</v>
      </c>
      <c r="I53" s="41">
        <v>16</v>
      </c>
      <c r="J53" s="42">
        <f t="shared" si="32"/>
        <v>10.63042686786072</v>
      </c>
      <c r="K53" s="30">
        <f t="shared" si="35"/>
        <v>1.0630426867860721</v>
      </c>
      <c r="L53" s="43">
        <f t="shared" si="33"/>
        <v>1.9265244726642217</v>
      </c>
      <c r="M53" s="30">
        <f>AVERAGE(L53:L55)</f>
        <v>1.9442806349426849</v>
      </c>
      <c r="N53" s="44">
        <f>STDEV(L53:L55)</f>
        <v>6.1819201566240774E-2</v>
      </c>
      <c r="O53" s="2">
        <f t="shared" si="36"/>
        <v>2.3524248734568372</v>
      </c>
      <c r="P53" s="30">
        <f>AVERAGE(O53:O55)</f>
        <v>2.4696269186125077</v>
      </c>
      <c r="Q53" s="44">
        <f>STDEV(O53:O55)</f>
        <v>0.20972667347355675</v>
      </c>
      <c r="S53"/>
      <c r="T53"/>
    </row>
    <row r="54" spans="1:25" ht="15">
      <c r="A54" s="45"/>
      <c r="B54" s="63">
        <v>0.221</v>
      </c>
      <c r="C54" s="63">
        <v>0.22</v>
      </c>
      <c r="D54" s="27">
        <f t="shared" si="34"/>
        <v>0.2205</v>
      </c>
      <c r="E54" s="27">
        <f t="shared" si="28"/>
        <v>0.16550000000000001</v>
      </c>
      <c r="F54" s="27">
        <f t="shared" si="29"/>
        <v>-0.78120200188826239</v>
      </c>
      <c r="G54" s="28">
        <f t="shared" si="30"/>
        <v>-0.15697291433768726</v>
      </c>
      <c r="H54" s="27">
        <f t="shared" si="31"/>
        <v>0.69666996200086839</v>
      </c>
      <c r="I54" s="41">
        <v>16</v>
      </c>
      <c r="J54" s="42">
        <f t="shared" si="32"/>
        <v>11.146719392013894</v>
      </c>
      <c r="K54" s="30">
        <f t="shared" si="35"/>
        <v>1.1146719392013895</v>
      </c>
      <c r="L54" s="43">
        <f t="shared" si="33"/>
        <v>1.8932825713484536</v>
      </c>
      <c r="M54" s="30"/>
      <c r="N54" s="44"/>
      <c r="O54" s="2">
        <f t="shared" si="36"/>
        <v>2.3446985483815053</v>
      </c>
      <c r="P54" s="30"/>
      <c r="Q54" s="44"/>
      <c r="S54"/>
      <c r="T54"/>
    </row>
    <row r="55" spans="1:25" ht="15">
      <c r="A55" s="46"/>
      <c r="B55" s="63">
        <v>0.224</v>
      </c>
      <c r="C55" s="63">
        <v>0.20200000000000001</v>
      </c>
      <c r="D55" s="27">
        <f t="shared" si="34"/>
        <v>0.21300000000000002</v>
      </c>
      <c r="E55" s="27">
        <f t="shared" si="28"/>
        <v>0.15800000000000003</v>
      </c>
      <c r="F55" s="27">
        <f t="shared" si="29"/>
        <v>-0.80134291304557725</v>
      </c>
      <c r="G55" s="28">
        <f t="shared" si="30"/>
        <v>-0.17756927856214422</v>
      </c>
      <c r="H55" s="27">
        <f t="shared" si="31"/>
        <v>0.66440167924129523</v>
      </c>
      <c r="I55" s="41">
        <v>16</v>
      </c>
      <c r="J55" s="42">
        <f t="shared" si="32"/>
        <v>10.630426867860724</v>
      </c>
      <c r="K55" s="30">
        <f t="shared" si="35"/>
        <v>1.0630426867860725</v>
      </c>
      <c r="L55" s="43">
        <f t="shared" si="33"/>
        <v>2.0130348608153796</v>
      </c>
      <c r="M55" s="30"/>
      <c r="N55" s="44"/>
      <c r="O55" s="2">
        <f t="shared" si="36"/>
        <v>2.7117573339991807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2.8118405490877332</v>
      </c>
      <c r="O58" s="30">
        <f>Q50</f>
        <v>0.85131896380998973</v>
      </c>
    </row>
    <row r="59" spans="1:25" ht="15">
      <c r="D59"/>
      <c r="E59"/>
      <c r="G59"/>
      <c r="M59" s="2" t="s">
        <v>26</v>
      </c>
      <c r="N59" s="30">
        <f>P53</f>
        <v>2.4696269186125077</v>
      </c>
      <c r="O59" s="30">
        <f>Q53</f>
        <v>0.20972667347355675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0.22914239826816188</v>
      </c>
      <c r="C65" s="30">
        <f>N40</f>
        <v>8.5856715554349192E-2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0.62193369359829265</v>
      </c>
      <c r="C66" s="30">
        <f>N50</f>
        <v>0.21107741789699633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0.78958742838312623</v>
      </c>
      <c r="C67" s="30">
        <f>N43</f>
        <v>4.1321544929435079E-2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1.9442806349426849</v>
      </c>
      <c r="C68" s="30">
        <f>N53</f>
        <v>6.1819201566240774E-2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D18" sqref="D18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5">
        <v>42213</v>
      </c>
    </row>
    <row r="2" spans="1:20">
      <c r="A2" s="1" t="s">
        <v>1</v>
      </c>
      <c r="B2" s="2">
        <v>74</v>
      </c>
      <c r="C2" s="3"/>
      <c r="E2" s="4" t="s">
        <v>40</v>
      </c>
    </row>
    <row r="3" spans="1:20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>
      <c r="D4" s="10" t="s">
        <v>42</v>
      </c>
      <c r="E4" s="10">
        <v>3</v>
      </c>
      <c r="F4" s="10">
        <v>4</v>
      </c>
    </row>
    <row r="5" spans="1:20">
      <c r="D5" s="38"/>
      <c r="E5" s="38"/>
      <c r="F5" s="38"/>
    </row>
    <row r="6" spans="1:20">
      <c r="A6" s="2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 s="63">
        <v>5.0999999999999997E-2</v>
      </c>
      <c r="D8" s="63">
        <v>5.8999999999999997E-2</v>
      </c>
      <c r="E8" s="11">
        <f t="shared" ref="E8:E13" si="0">AVERAGE(C8:D8)</f>
        <v>5.4999999999999993E-2</v>
      </c>
      <c r="F8" s="12"/>
      <c r="G8" s="10"/>
      <c r="H8" s="10"/>
      <c r="N8"/>
      <c r="O8"/>
      <c r="P8"/>
    </row>
    <row r="9" spans="1:20" ht="15">
      <c r="A9" s="10">
        <v>3</v>
      </c>
      <c r="B9" s="10">
        <f t="shared" ref="B9:B13" si="1">A9/23</f>
        <v>0.13043478260869565</v>
      </c>
      <c r="C9" s="63">
        <v>8.1000000000000003E-2</v>
      </c>
      <c r="D9" s="63">
        <v>0.09</v>
      </c>
      <c r="E9" s="11">
        <f t="shared" si="0"/>
        <v>8.5499999999999993E-2</v>
      </c>
      <c r="F9" s="12">
        <f>(E9-$E$8)</f>
        <v>3.0499999999999999E-2</v>
      </c>
      <c r="G9" s="12">
        <f>LOG(B9)</f>
        <v>-0.88460658129793046</v>
      </c>
      <c r="H9" s="12">
        <f>LOG(F9)</f>
        <v>-1.5157001606532141</v>
      </c>
      <c r="N9"/>
      <c r="O9"/>
      <c r="P9"/>
    </row>
    <row r="10" spans="1:20" ht="15">
      <c r="A10" s="10">
        <v>9.74</v>
      </c>
      <c r="B10" s="10">
        <f t="shared" si="1"/>
        <v>0.42347826086956525</v>
      </c>
      <c r="C10" s="63">
        <v>0.16500000000000001</v>
      </c>
      <c r="D10" s="63">
        <v>0.16400000000000001</v>
      </c>
      <c r="E10" s="11">
        <f t="shared" si="0"/>
        <v>0.16450000000000001</v>
      </c>
      <c r="F10" s="12">
        <f>(E10-$E$8)</f>
        <v>0.10950000000000001</v>
      </c>
      <c r="G10" s="12">
        <f>LOG(B10)</f>
        <v>-0.37316887913897734</v>
      </c>
      <c r="H10" s="12">
        <f>LOG(F10)</f>
        <v>-0.96058588082386276</v>
      </c>
      <c r="N10"/>
      <c r="O10"/>
      <c r="P10"/>
    </row>
    <row r="11" spans="1:20" ht="15">
      <c r="A11" s="10">
        <v>29.8</v>
      </c>
      <c r="B11" s="10">
        <f t="shared" si="1"/>
        <v>1.2956521739130435</v>
      </c>
      <c r="C11" s="63">
        <v>0.38700000000000001</v>
      </c>
      <c r="D11" s="63">
        <v>0.32600000000000001</v>
      </c>
      <c r="E11" s="11">
        <f t="shared" si="0"/>
        <v>0.35650000000000004</v>
      </c>
      <c r="F11" s="12">
        <f>(E11-$E$8)</f>
        <v>0.30150000000000005</v>
      </c>
      <c r="G11" s="12">
        <f>LOG(B11)</f>
        <v>0.11248842805866238</v>
      </c>
      <c r="H11" s="12">
        <f>LOG(F11)</f>
        <v>-0.52071268352382982</v>
      </c>
      <c r="N11"/>
      <c r="O11"/>
      <c r="P11"/>
      <c r="Q11"/>
      <c r="R11"/>
      <c r="S11"/>
      <c r="T11"/>
    </row>
    <row r="12" spans="1:20" ht="15">
      <c r="A12" s="10">
        <v>104</v>
      </c>
      <c r="B12" s="10">
        <f t="shared" si="1"/>
        <v>4.5217391304347823</v>
      </c>
      <c r="C12" s="63">
        <v>1.177</v>
      </c>
      <c r="D12" s="63">
        <v>1.03</v>
      </c>
      <c r="E12" s="11">
        <f t="shared" si="0"/>
        <v>1.1034999999999999</v>
      </c>
      <c r="F12" s="12">
        <f>(E12-$E$8)</f>
        <v>1.0485</v>
      </c>
      <c r="G12" s="12">
        <f>LOG(B12)</f>
        <v>0.65530550328118742</v>
      </c>
      <c r="H12" s="12">
        <f>LOG(F12)</f>
        <v>2.0568434801362646E-2</v>
      </c>
      <c r="N12"/>
      <c r="O12"/>
      <c r="P12"/>
      <c r="Q12"/>
      <c r="R12"/>
      <c r="S12"/>
      <c r="T12"/>
    </row>
    <row r="13" spans="1:20" ht="15">
      <c r="A13" s="10">
        <v>207</v>
      </c>
      <c r="B13" s="10">
        <f t="shared" si="1"/>
        <v>9</v>
      </c>
      <c r="C13" s="63">
        <v>2.2149999999999999</v>
      </c>
      <c r="D13" s="63">
        <v>1.8120000000000001</v>
      </c>
      <c r="E13" s="11">
        <f t="shared" si="0"/>
        <v>2.0135000000000001</v>
      </c>
      <c r="F13" s="12">
        <f>(E13-$E$8)</f>
        <v>1.9585000000000001</v>
      </c>
      <c r="G13" s="12">
        <f>LOG(B13)</f>
        <v>0.95424250943932487</v>
      </c>
      <c r="H13" s="12">
        <f>LOG(F13)</f>
        <v>0.29192357588388468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0.97788672494918949</v>
      </c>
      <c r="N15"/>
    </row>
    <row r="16" spans="1:20" ht="15">
      <c r="A16" s="5" t="s">
        <v>11</v>
      </c>
      <c r="B16" s="11">
        <f>INTERCEPT(H9:H13,G9:G13)</f>
        <v>-0.62770027278085172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3">
        <v>0.68899999999999995</v>
      </c>
      <c r="C22" s="63">
        <v>0.69799999999999995</v>
      </c>
      <c r="D22" s="27">
        <f>AVERAGE(B22:C22)</f>
        <v>0.69350000000000001</v>
      </c>
      <c r="E22" s="27">
        <f t="shared" ref="E22:E27" si="2">D22-E$8</f>
        <v>0.63850000000000007</v>
      </c>
      <c r="F22" s="27">
        <f>LOG(E22)</f>
        <v>-0.19483909840056587</v>
      </c>
      <c r="G22" s="28">
        <f>(F22-$B$16)/$B$15</f>
        <v>0.44264960688854538</v>
      </c>
      <c r="H22" s="28">
        <f>10^G22</f>
        <v>2.7710834647756504</v>
      </c>
      <c r="I22" s="29">
        <v>500</v>
      </c>
      <c r="J22" s="30">
        <f>(H22*I22)</f>
        <v>1385.5417323878253</v>
      </c>
      <c r="K22" s="31">
        <f>(0.05*J22/1000)*1000</f>
        <v>69.27708661939127</v>
      </c>
      <c r="L22" s="32">
        <f>K22+K40+K50</f>
        <v>70.32359620196533</v>
      </c>
      <c r="M22" s="33">
        <f>(L22*1000000/50000)/1000</f>
        <v>1.4064719240393067</v>
      </c>
      <c r="N22" s="34"/>
    </row>
    <row r="23" spans="1:17" ht="15">
      <c r="B23" s="68">
        <v>0.95199999999999996</v>
      </c>
      <c r="C23" s="68">
        <v>0.94</v>
      </c>
      <c r="D23" s="27">
        <f t="shared" ref="D23:D27" si="3">AVERAGE(B23:C23)</f>
        <v>0.94599999999999995</v>
      </c>
      <c r="E23" s="27">
        <f t="shared" si="2"/>
        <v>0.89100000000000001</v>
      </c>
      <c r="F23" s="27">
        <f t="shared" ref="F23:F27" si="4">LOG(E23)</f>
        <v>-5.0122295963125202E-2</v>
      </c>
      <c r="G23" s="28">
        <f t="shared" ref="G23:G27" si="5">(F23-$B$16)/$B$15</f>
        <v>0.59063893811191392</v>
      </c>
      <c r="H23" s="28">
        <f t="shared" ref="H23:H27" si="6">10^G23</f>
        <v>3.896179330999646</v>
      </c>
      <c r="I23" s="29">
        <v>500</v>
      </c>
      <c r="J23" s="30">
        <f t="shared" ref="J23:J27" si="7">(H23*I23)</f>
        <v>1948.089665499823</v>
      </c>
      <c r="K23" s="31">
        <f t="shared" ref="K23:K27" si="8">(0.05*J23/1000)*1000</f>
        <v>97.404483274991151</v>
      </c>
      <c r="L23" s="32">
        <f>K23+K41+K51</f>
        <v>98.388256729410941</v>
      </c>
      <c r="M23" s="33">
        <f t="shared" ref="M23:M27" si="9">(L23*1000000/50000)/1000</f>
        <v>1.9677651345882188</v>
      </c>
      <c r="N23" s="34"/>
    </row>
    <row r="24" spans="1:17" ht="15">
      <c r="B24" s="68">
        <v>0.67700000000000005</v>
      </c>
      <c r="C24" s="68">
        <v>0.76500000000000001</v>
      </c>
      <c r="D24" s="27">
        <f t="shared" si="3"/>
        <v>0.72100000000000009</v>
      </c>
      <c r="E24" s="27">
        <f t="shared" si="2"/>
        <v>0.66600000000000015</v>
      </c>
      <c r="F24" s="27">
        <f t="shared" si="4"/>
        <v>-0.17652577082969884</v>
      </c>
      <c r="G24" s="28">
        <f t="shared" si="5"/>
        <v>0.46137705977611637</v>
      </c>
      <c r="H24" s="28">
        <f t="shared" si="6"/>
        <v>2.8931906957641691</v>
      </c>
      <c r="I24" s="29">
        <v>500</v>
      </c>
      <c r="J24" s="30">
        <f t="shared" si="7"/>
        <v>1446.5953478820845</v>
      </c>
      <c r="K24" s="31">
        <f t="shared" si="8"/>
        <v>72.329767394104223</v>
      </c>
      <c r="L24" s="32">
        <f t="shared" ref="L24:L27" si="10">K24+K42+K52</f>
        <v>73.223580085839629</v>
      </c>
      <c r="M24" s="33">
        <f t="shared" si="9"/>
        <v>1.4644716017167925</v>
      </c>
      <c r="N24" s="34"/>
    </row>
    <row r="25" spans="1:17" ht="15">
      <c r="A25" s="1" t="s">
        <v>26</v>
      </c>
      <c r="B25" s="68">
        <v>0.61099999999999999</v>
      </c>
      <c r="C25" s="68">
        <v>0.58799999999999997</v>
      </c>
      <c r="D25" s="27">
        <f t="shared" si="3"/>
        <v>0.59949999999999992</v>
      </c>
      <c r="E25" s="27">
        <f t="shared" si="2"/>
        <v>0.54449999999999998</v>
      </c>
      <c r="F25" s="27">
        <f t="shared" si="4"/>
        <v>-0.26400211590820627</v>
      </c>
      <c r="G25" s="28">
        <f t="shared" si="5"/>
        <v>0.37192258325374344</v>
      </c>
      <c r="H25" s="28">
        <f t="shared" si="6"/>
        <v>2.3546295134146558</v>
      </c>
      <c r="I25" s="29">
        <v>500</v>
      </c>
      <c r="J25" s="30">
        <f t="shared" si="7"/>
        <v>1177.3147567073279</v>
      </c>
      <c r="K25" s="31">
        <f t="shared" si="8"/>
        <v>58.865737835366396</v>
      </c>
      <c r="L25" s="32">
        <f t="shared" si="10"/>
        <v>60.574746937238892</v>
      </c>
      <c r="M25" s="33">
        <f t="shared" si="9"/>
        <v>1.211494938744778</v>
      </c>
      <c r="N25" s="34"/>
    </row>
    <row r="26" spans="1:17" ht="15">
      <c r="B26" s="63">
        <v>0.58299999999999996</v>
      </c>
      <c r="C26" s="63">
        <v>0.60199999999999998</v>
      </c>
      <c r="D26" s="27">
        <f t="shared" si="3"/>
        <v>0.59250000000000003</v>
      </c>
      <c r="E26" s="27">
        <f t="shared" si="2"/>
        <v>0.53750000000000009</v>
      </c>
      <c r="F26" s="27">
        <f t="shared" si="4"/>
        <v>-0.26962153141235701</v>
      </c>
      <c r="G26" s="28">
        <f t="shared" si="5"/>
        <v>0.36617609405332741</v>
      </c>
      <c r="H26" s="28">
        <f t="shared" si="6"/>
        <v>2.3236787909910523</v>
      </c>
      <c r="I26" s="29">
        <v>500</v>
      </c>
      <c r="J26" s="30">
        <f t="shared" si="7"/>
        <v>1161.8393954955261</v>
      </c>
      <c r="K26" s="31">
        <f t="shared" si="8"/>
        <v>58.09196977477631</v>
      </c>
      <c r="L26" s="32">
        <f t="shared" si="10"/>
        <v>59.635729694111546</v>
      </c>
      <c r="M26" s="33">
        <f t="shared" si="9"/>
        <v>1.192714593882231</v>
      </c>
      <c r="N26" s="34"/>
    </row>
    <row r="27" spans="1:17" ht="15">
      <c r="B27" s="63">
        <v>0.58899999999999997</v>
      </c>
      <c r="C27" s="63">
        <v>0.55500000000000005</v>
      </c>
      <c r="D27" s="27">
        <f t="shared" si="3"/>
        <v>0.57200000000000006</v>
      </c>
      <c r="E27" s="27">
        <f t="shared" si="2"/>
        <v>0.51700000000000013</v>
      </c>
      <c r="F27" s="27">
        <f t="shared" si="4"/>
        <v>-0.28650945690605739</v>
      </c>
      <c r="G27" s="28">
        <f t="shared" si="5"/>
        <v>0.34890627633023902</v>
      </c>
      <c r="H27" s="28">
        <f t="shared" si="6"/>
        <v>2.2330902549322289</v>
      </c>
      <c r="I27" s="29">
        <v>500</v>
      </c>
      <c r="J27" s="30">
        <f t="shared" si="7"/>
        <v>1116.5451274661145</v>
      </c>
      <c r="K27" s="31">
        <f t="shared" si="8"/>
        <v>55.82725637330573</v>
      </c>
      <c r="L27" s="32">
        <f t="shared" si="10"/>
        <v>57.638699086704278</v>
      </c>
      <c r="M27" s="33">
        <f t="shared" si="9"/>
        <v>1.1527739817340854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3">
        <v>0.68899999999999995</v>
      </c>
      <c r="C31" s="63">
        <v>0.69799999999999995</v>
      </c>
      <c r="D31" s="27">
        <f t="shared" ref="D31:D36" si="11">AVERAGE(B31:C31)</f>
        <v>0.69350000000000001</v>
      </c>
      <c r="E31" s="27">
        <f t="shared" ref="E31:E36" si="12">D31-E$8</f>
        <v>0.63850000000000007</v>
      </c>
      <c r="F31" s="27">
        <f>LOG(E31)</f>
        <v>-0.19483909840056587</v>
      </c>
      <c r="G31" s="28">
        <f>(F31-$B$16)/$B$15</f>
        <v>0.44264960688854538</v>
      </c>
      <c r="H31" s="28">
        <f>10^G31</f>
        <v>2.7710834647756504</v>
      </c>
      <c r="I31" s="29">
        <v>500</v>
      </c>
      <c r="J31" s="30">
        <f>(H31*I31)</f>
        <v>1385.5417323878253</v>
      </c>
      <c r="K31" s="31">
        <f>(0.05*J31/1000)*1000</f>
        <v>69.27708661939127</v>
      </c>
      <c r="L31" s="32">
        <f>K31+K50</f>
        <v>70.076035090765515</v>
      </c>
      <c r="M31" s="33">
        <f>(L31*1000000/50000)/1000</f>
        <v>1.4015207018153106</v>
      </c>
      <c r="N31" s="35"/>
      <c r="Q31"/>
    </row>
    <row r="32" spans="1:17" ht="15">
      <c r="B32" s="68">
        <v>0.95199999999999996</v>
      </c>
      <c r="C32" s="68">
        <v>0.94</v>
      </c>
      <c r="D32" s="27">
        <f t="shared" si="11"/>
        <v>0.94599999999999995</v>
      </c>
      <c r="E32" s="27">
        <f t="shared" si="12"/>
        <v>0.89100000000000001</v>
      </c>
      <c r="F32" s="27">
        <f t="shared" ref="F32:F36" si="13">LOG(E32)</f>
        <v>-5.0122295963125202E-2</v>
      </c>
      <c r="G32" s="28">
        <f t="shared" ref="G32:G36" si="14">(F32-$B$16)/$B$15</f>
        <v>0.59063893811191392</v>
      </c>
      <c r="H32" s="28">
        <f t="shared" ref="H32:H36" si="15">10^G32</f>
        <v>3.896179330999646</v>
      </c>
      <c r="I32" s="29">
        <v>500</v>
      </c>
      <c r="J32" s="30">
        <f t="shared" ref="J32:J36" si="16">(H32*I32)</f>
        <v>1948.089665499823</v>
      </c>
      <c r="K32" s="31">
        <f t="shared" ref="K32:K36" si="17">(0.05*J32/1000)*1000</f>
        <v>97.404483274991151</v>
      </c>
      <c r="L32" s="32">
        <f>K32+K51</f>
        <v>98.080587391073635</v>
      </c>
      <c r="M32" s="33">
        <f t="shared" ref="M32:M36" si="18">(L32*1000000/50000)/1000</f>
        <v>1.9616117478214725</v>
      </c>
      <c r="N32" s="36"/>
      <c r="Q32"/>
    </row>
    <row r="33" spans="1:21" ht="15">
      <c r="B33" s="68">
        <v>0.67700000000000005</v>
      </c>
      <c r="C33" s="68">
        <v>0.76500000000000001</v>
      </c>
      <c r="D33" s="27">
        <f t="shared" si="11"/>
        <v>0.72100000000000009</v>
      </c>
      <c r="E33" s="27">
        <f t="shared" si="12"/>
        <v>0.66600000000000015</v>
      </c>
      <c r="F33" s="27">
        <f t="shared" si="13"/>
        <v>-0.17652577082969884</v>
      </c>
      <c r="G33" s="28">
        <f t="shared" si="14"/>
        <v>0.46137705977611637</v>
      </c>
      <c r="H33" s="28">
        <f t="shared" si="15"/>
        <v>2.8931906957641691</v>
      </c>
      <c r="I33" s="29">
        <v>500</v>
      </c>
      <c r="J33" s="30">
        <f t="shared" si="16"/>
        <v>1446.5953478820845</v>
      </c>
      <c r="K33" s="31">
        <f t="shared" si="17"/>
        <v>72.329767394104223</v>
      </c>
      <c r="L33" s="32">
        <f t="shared" ref="L33:L36" si="19">K33+K52</f>
        <v>73.009277576831636</v>
      </c>
      <c r="M33" s="33">
        <f t="shared" si="18"/>
        <v>1.4601855515366329</v>
      </c>
      <c r="N33" s="36"/>
      <c r="Q33"/>
      <c r="R33"/>
      <c r="S33"/>
    </row>
    <row r="34" spans="1:21" ht="15">
      <c r="A34" s="1" t="s">
        <v>26</v>
      </c>
      <c r="B34" s="68">
        <v>0.61099999999999999</v>
      </c>
      <c r="C34" s="68">
        <v>0.58799999999999997</v>
      </c>
      <c r="D34" s="27">
        <f t="shared" si="11"/>
        <v>0.59949999999999992</v>
      </c>
      <c r="E34" s="27">
        <f t="shared" si="12"/>
        <v>0.54449999999999998</v>
      </c>
      <c r="F34" s="27">
        <f t="shared" si="13"/>
        <v>-0.26400211590820627</v>
      </c>
      <c r="G34" s="28">
        <f t="shared" si="14"/>
        <v>0.37192258325374344</v>
      </c>
      <c r="H34" s="28">
        <f t="shared" si="15"/>
        <v>2.3546295134146558</v>
      </c>
      <c r="I34" s="29">
        <v>500</v>
      </c>
      <c r="J34" s="30">
        <f t="shared" si="16"/>
        <v>1177.3147567073279</v>
      </c>
      <c r="K34" s="31">
        <f t="shared" si="17"/>
        <v>58.865737835366396</v>
      </c>
      <c r="L34" s="32">
        <f t="shared" si="19"/>
        <v>59.970079612405385</v>
      </c>
      <c r="M34" s="33">
        <f t="shared" si="18"/>
        <v>1.1994015922481076</v>
      </c>
      <c r="N34" s="36"/>
      <c r="Q34"/>
      <c r="R34"/>
      <c r="S34"/>
    </row>
    <row r="35" spans="1:21" ht="15">
      <c r="B35" s="63">
        <v>0.58299999999999996</v>
      </c>
      <c r="C35" s="63">
        <v>0.60199999999999998</v>
      </c>
      <c r="D35" s="27">
        <f t="shared" si="11"/>
        <v>0.59250000000000003</v>
      </c>
      <c r="E35" s="27">
        <f t="shared" si="12"/>
        <v>0.53750000000000009</v>
      </c>
      <c r="F35" s="27">
        <f t="shared" si="13"/>
        <v>-0.26962153141235701</v>
      </c>
      <c r="G35" s="28">
        <f t="shared" si="14"/>
        <v>0.36617609405332741</v>
      </c>
      <c r="H35" s="28">
        <f t="shared" si="15"/>
        <v>2.3236787909910523</v>
      </c>
      <c r="I35" s="29">
        <v>500</v>
      </c>
      <c r="J35" s="30">
        <f t="shared" si="16"/>
        <v>1161.8393954955261</v>
      </c>
      <c r="K35" s="31">
        <f t="shared" si="17"/>
        <v>58.09196977477631</v>
      </c>
      <c r="L35" s="32">
        <f t="shared" si="19"/>
        <v>59.0004682461756</v>
      </c>
      <c r="M35" s="33">
        <f t="shared" si="18"/>
        <v>1.1800093649235122</v>
      </c>
      <c r="N35" s="36"/>
      <c r="Q35"/>
      <c r="R35"/>
      <c r="S35"/>
    </row>
    <row r="36" spans="1:21" ht="15">
      <c r="B36" s="63">
        <v>0.58899999999999997</v>
      </c>
      <c r="C36" s="63">
        <v>0.55500000000000005</v>
      </c>
      <c r="D36" s="27">
        <f t="shared" si="11"/>
        <v>0.57200000000000006</v>
      </c>
      <c r="E36" s="27">
        <f t="shared" si="12"/>
        <v>0.51700000000000013</v>
      </c>
      <c r="F36" s="27">
        <f t="shared" si="13"/>
        <v>-0.28650945690605739</v>
      </c>
      <c r="G36" s="28">
        <f t="shared" si="14"/>
        <v>0.34890627633023902</v>
      </c>
      <c r="H36" s="28">
        <f t="shared" si="15"/>
        <v>2.2330902549322289</v>
      </c>
      <c r="I36" s="29">
        <v>500</v>
      </c>
      <c r="J36" s="30">
        <f t="shared" si="16"/>
        <v>1116.5451274661145</v>
      </c>
      <c r="K36" s="31">
        <f t="shared" si="17"/>
        <v>55.82725637330573</v>
      </c>
      <c r="L36" s="32">
        <f t="shared" si="19"/>
        <v>56.962594970621794</v>
      </c>
      <c r="M36" s="33">
        <f t="shared" si="18"/>
        <v>1.1392518994124359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3">
        <v>9.5000000000000001E-2</v>
      </c>
      <c r="C40" s="63">
        <v>9.0999999999999998E-2</v>
      </c>
      <c r="D40" s="27">
        <f>AVERAGE(B40:C40)</f>
        <v>9.2999999999999999E-2</v>
      </c>
      <c r="E40" s="27">
        <f t="shared" ref="E40:E45" si="20">D40-E$8</f>
        <v>3.8000000000000006E-2</v>
      </c>
      <c r="F40" s="27">
        <f t="shared" ref="F40:F45" si="21">LOG(E40)</f>
        <v>-1.4202164033831899</v>
      </c>
      <c r="G40" s="28">
        <f t="shared" ref="G40:G45" si="22">(F40-$B$16)/$B$15</f>
        <v>-0.81043755926180194</v>
      </c>
      <c r="H40" s="27">
        <f t="shared" ref="H40:H45" si="23">10^G40</f>
        <v>0.15472569449988549</v>
      </c>
      <c r="I40" s="41">
        <v>16</v>
      </c>
      <c r="J40" s="42">
        <f t="shared" ref="J40:J45" si="24">H40*I40</f>
        <v>2.4756111119981679</v>
      </c>
      <c r="K40" s="30">
        <f>(0.1*J40/1000)*1000</f>
        <v>0.2475611111998168</v>
      </c>
      <c r="L40" s="43">
        <f>K40*100/L22</f>
        <v>0.35203135870474467</v>
      </c>
      <c r="M40" s="30">
        <f>AVERAGE(L40:L42)</f>
        <v>0.31913649411024164</v>
      </c>
      <c r="N40" s="44">
        <f>STDEV(L40:L42)</f>
        <v>3.0198700136640683E-2</v>
      </c>
      <c r="R40"/>
      <c r="S40"/>
      <c r="T40"/>
      <c r="U40"/>
    </row>
    <row r="41" spans="1:21" ht="15">
      <c r="B41" s="63">
        <v>0.106</v>
      </c>
      <c r="C41" s="63">
        <v>9.8000000000000004E-2</v>
      </c>
      <c r="D41" s="27">
        <f t="shared" ref="D41:D45" si="25">AVERAGE(B41:C41)</f>
        <v>0.10200000000000001</v>
      </c>
      <c r="E41" s="27">
        <f t="shared" si="20"/>
        <v>4.7000000000000014E-2</v>
      </c>
      <c r="F41" s="27">
        <f t="shared" si="21"/>
        <v>-1.3279021420642825</v>
      </c>
      <c r="G41" s="28">
        <f t="shared" si="22"/>
        <v>-0.7160357651033793</v>
      </c>
      <c r="H41" s="27">
        <f t="shared" si="23"/>
        <v>0.19229333646081428</v>
      </c>
      <c r="I41" s="41">
        <v>16</v>
      </c>
      <c r="J41" s="42">
        <f t="shared" si="24"/>
        <v>3.0766933833730286</v>
      </c>
      <c r="K41" s="30">
        <f t="shared" ref="K41:K45" si="26">(0.1*J41/1000)*1000</f>
        <v>0.30766933833730287</v>
      </c>
      <c r="L41" s="43">
        <f t="shared" ref="L41:L45" si="27">K41*100/L23</f>
        <v>0.31270941122928964</v>
      </c>
      <c r="M41" s="30"/>
      <c r="N41" s="44"/>
      <c r="R41"/>
      <c r="S41"/>
      <c r="T41"/>
      <c r="U41"/>
    </row>
    <row r="42" spans="1:21" s="17" customFormat="1" ht="15">
      <c r="A42" s="1"/>
      <c r="B42" s="63">
        <v>9.0999999999999998E-2</v>
      </c>
      <c r="C42" s="63">
        <v>8.5000000000000006E-2</v>
      </c>
      <c r="D42" s="27">
        <f t="shared" si="25"/>
        <v>8.7999999999999995E-2</v>
      </c>
      <c r="E42" s="27">
        <f t="shared" si="20"/>
        <v>3.3000000000000002E-2</v>
      </c>
      <c r="F42" s="27">
        <f t="shared" si="21"/>
        <v>-1.4814860601221125</v>
      </c>
      <c r="G42" s="28">
        <f t="shared" si="22"/>
        <v>-0.87309272695733042</v>
      </c>
      <c r="H42" s="27">
        <f t="shared" si="23"/>
        <v>0.13393906812999154</v>
      </c>
      <c r="I42" s="41">
        <v>16</v>
      </c>
      <c r="J42" s="42">
        <f t="shared" si="24"/>
        <v>2.1430250900798646</v>
      </c>
      <c r="K42" s="30">
        <f t="shared" si="26"/>
        <v>0.21430250900798647</v>
      </c>
      <c r="L42" s="43">
        <f t="shared" si="27"/>
        <v>0.29266871239669068</v>
      </c>
      <c r="M42" s="30"/>
      <c r="N42" s="44"/>
      <c r="R42"/>
      <c r="S42"/>
      <c r="T42"/>
      <c r="U42"/>
    </row>
    <row r="43" spans="1:21" ht="15">
      <c r="A43" s="1" t="s">
        <v>34</v>
      </c>
      <c r="B43" s="63">
        <v>0.14799999999999999</v>
      </c>
      <c r="C43" s="63">
        <v>0.14399999999999999</v>
      </c>
      <c r="D43" s="27">
        <f t="shared" si="25"/>
        <v>0.14599999999999999</v>
      </c>
      <c r="E43" s="27">
        <f t="shared" si="20"/>
        <v>9.0999999999999998E-2</v>
      </c>
      <c r="F43" s="27">
        <f t="shared" si="21"/>
        <v>-1.0409586076789064</v>
      </c>
      <c r="G43" s="28">
        <f t="shared" si="22"/>
        <v>-0.42260348193143465</v>
      </c>
      <c r="H43" s="27">
        <f t="shared" si="23"/>
        <v>0.37791707802094376</v>
      </c>
      <c r="I43" s="41">
        <v>16</v>
      </c>
      <c r="J43" s="42">
        <f t="shared" si="24"/>
        <v>6.0466732483351002</v>
      </c>
      <c r="K43" s="30">
        <f t="shared" si="26"/>
        <v>0.60466732483351004</v>
      </c>
      <c r="L43" s="43">
        <f t="shared" si="27"/>
        <v>0.99821684019580303</v>
      </c>
      <c r="M43" s="30">
        <f>AVERAGE(L43:L45)</f>
        <v>1.0788189758662963</v>
      </c>
      <c r="N43" s="44">
        <f>STDEV(L43:L45)</f>
        <v>8.8181543944243809E-2</v>
      </c>
      <c r="R43"/>
      <c r="S43"/>
      <c r="T43"/>
      <c r="U43"/>
    </row>
    <row r="44" spans="1:21" ht="15">
      <c r="A44" s="45"/>
      <c r="B44" s="63">
        <v>0.14599999999999999</v>
      </c>
      <c r="C44" s="63">
        <v>0.155</v>
      </c>
      <c r="D44" s="27">
        <f t="shared" si="25"/>
        <v>0.15049999999999999</v>
      </c>
      <c r="E44" s="27">
        <f t="shared" si="20"/>
        <v>9.5500000000000002E-2</v>
      </c>
      <c r="F44" s="27">
        <f t="shared" si="21"/>
        <v>-1.0199966284162536</v>
      </c>
      <c r="G44" s="28">
        <f t="shared" si="22"/>
        <v>-0.4011674825177583</v>
      </c>
      <c r="H44" s="27">
        <f t="shared" si="23"/>
        <v>0.3970384049599644</v>
      </c>
      <c r="I44" s="41">
        <v>16</v>
      </c>
      <c r="J44" s="42">
        <f t="shared" si="24"/>
        <v>6.3526144793594304</v>
      </c>
      <c r="K44" s="30">
        <f t="shared" si="26"/>
        <v>0.63526144793594308</v>
      </c>
      <c r="L44" s="43">
        <f t="shared" si="27"/>
        <v>1.0652363125166371</v>
      </c>
      <c r="M44" s="30"/>
      <c r="N44" s="44"/>
      <c r="R44"/>
      <c r="S44"/>
      <c r="T44"/>
      <c r="U44"/>
    </row>
    <row r="45" spans="1:21" ht="15">
      <c r="A45" s="46"/>
      <c r="B45" s="63">
        <v>0.158</v>
      </c>
      <c r="C45" s="63">
        <v>0.155</v>
      </c>
      <c r="D45" s="27">
        <f t="shared" si="25"/>
        <v>0.1565</v>
      </c>
      <c r="E45" s="27">
        <f t="shared" si="20"/>
        <v>0.10150000000000001</v>
      </c>
      <c r="F45" s="27">
        <f t="shared" si="21"/>
        <v>-0.99353395775076825</v>
      </c>
      <c r="G45" s="28">
        <f t="shared" si="22"/>
        <v>-0.37410640275224627</v>
      </c>
      <c r="H45" s="27">
        <f t="shared" si="23"/>
        <v>0.4225650725515514</v>
      </c>
      <c r="I45" s="41">
        <v>16</v>
      </c>
      <c r="J45" s="42">
        <f t="shared" si="24"/>
        <v>6.7610411608248224</v>
      </c>
      <c r="K45" s="30">
        <f t="shared" si="26"/>
        <v>0.67610411608248233</v>
      </c>
      <c r="L45" s="43">
        <f t="shared" si="27"/>
        <v>1.1730037748864488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3">
        <v>0.17</v>
      </c>
      <c r="C50" s="63">
        <v>0.17899999999999999</v>
      </c>
      <c r="D50" s="27">
        <f>AVERAGE(B50:C50)</f>
        <v>0.17449999999999999</v>
      </c>
      <c r="E50" s="27">
        <f t="shared" ref="E50:E55" si="28">D50-E$8</f>
        <v>0.1195</v>
      </c>
      <c r="F50" s="27">
        <f t="shared" ref="F50:F55" si="29">LOG(E50)</f>
        <v>-0.92263209471584351</v>
      </c>
      <c r="G50" s="28">
        <f t="shared" ref="G50:G55" si="30">(F50-$B$16)/$B$15</f>
        <v>-0.30160121250272243</v>
      </c>
      <c r="H50" s="27">
        <f t="shared" ref="H50:H55" si="31">10^G50</f>
        <v>0.49934279460890252</v>
      </c>
      <c r="I50" s="41">
        <v>16</v>
      </c>
      <c r="J50" s="42">
        <f t="shared" ref="J50:J55" si="32">H50*I50</f>
        <v>7.9894847137424403</v>
      </c>
      <c r="K50" s="30">
        <f>(0.1*J50/1000)*1000</f>
        <v>0.79894847137424407</v>
      </c>
      <c r="L50" s="43">
        <f t="shared" ref="L50:L55" si="33">K50*100/L31</f>
        <v>1.1401165467472745</v>
      </c>
      <c r="M50" s="30">
        <f>AVERAGE(L50:L52)</f>
        <v>0.92005647778465827</v>
      </c>
      <c r="N50" s="44">
        <f>STDEV(L50:L52)</f>
        <v>0.22557964528546848</v>
      </c>
      <c r="O50" s="48">
        <f>L50/L40</f>
        <v>3.238678937416799</v>
      </c>
      <c r="P50" s="30">
        <f>AVERAGE(O50:O52)</f>
        <v>2.8743936316137684</v>
      </c>
      <c r="Q50" s="44">
        <f>STDEV(O50:O52)</f>
        <v>0.5809737842981838</v>
      </c>
      <c r="S50"/>
      <c r="T50"/>
    </row>
    <row r="51" spans="1:25" ht="15">
      <c r="B51" s="63">
        <v>0.16</v>
      </c>
      <c r="C51" s="63">
        <v>0.153</v>
      </c>
      <c r="D51" s="27">
        <f t="shared" ref="D51:D55" si="34">AVERAGE(B51:C51)</f>
        <v>0.1565</v>
      </c>
      <c r="E51" s="27">
        <f t="shared" si="28"/>
        <v>0.10150000000000001</v>
      </c>
      <c r="F51" s="27">
        <f t="shared" si="29"/>
        <v>-0.99353395775076825</v>
      </c>
      <c r="G51" s="28">
        <f t="shared" si="30"/>
        <v>-0.37410640275224627</v>
      </c>
      <c r="H51" s="27">
        <f t="shared" si="31"/>
        <v>0.4225650725515514</v>
      </c>
      <c r="I51" s="41">
        <v>16</v>
      </c>
      <c r="J51" s="42">
        <f t="shared" si="32"/>
        <v>6.7610411608248224</v>
      </c>
      <c r="K51" s="30">
        <f t="shared" ref="K51:K55" si="35">(0.1*J51/1000)*1000</f>
        <v>0.67610411608248233</v>
      </c>
      <c r="L51" s="43">
        <f t="shared" si="33"/>
        <v>0.68933530484138894</v>
      </c>
      <c r="M51" s="30"/>
      <c r="N51" s="44"/>
      <c r="O51" s="2">
        <f t="shared" ref="O51:O55" si="36">L51/L41</f>
        <v>2.2043957747595382</v>
      </c>
      <c r="P51" s="30"/>
      <c r="Q51" s="44"/>
      <c r="S51"/>
      <c r="T51"/>
    </row>
    <row r="52" spans="1:25" ht="15">
      <c r="B52" s="63">
        <v>0.159</v>
      </c>
      <c r="C52" s="63">
        <v>0.155</v>
      </c>
      <c r="D52" s="27">
        <f t="shared" si="34"/>
        <v>0.157</v>
      </c>
      <c r="E52" s="27">
        <f t="shared" si="28"/>
        <v>0.10200000000000001</v>
      </c>
      <c r="F52" s="27">
        <f t="shared" si="29"/>
        <v>-0.99139982823808237</v>
      </c>
      <c r="G52" s="28">
        <f t="shared" si="30"/>
        <v>-0.37192401346498316</v>
      </c>
      <c r="H52" s="27">
        <f t="shared" si="31"/>
        <v>0.42469386420463184</v>
      </c>
      <c r="I52" s="41">
        <v>16</v>
      </c>
      <c r="J52" s="42">
        <f t="shared" si="32"/>
        <v>6.7951018272741095</v>
      </c>
      <c r="K52" s="30">
        <f t="shared" si="35"/>
        <v>0.67951018272741104</v>
      </c>
      <c r="L52" s="43">
        <f t="shared" si="33"/>
        <v>0.93071758176531139</v>
      </c>
      <c r="M52" s="30"/>
      <c r="N52" s="44"/>
      <c r="O52" s="2">
        <f t="shared" si="36"/>
        <v>3.1801061826649679</v>
      </c>
      <c r="P52" s="30"/>
      <c r="Q52" s="44"/>
      <c r="S52"/>
      <c r="T52"/>
    </row>
    <row r="53" spans="1:25" ht="15">
      <c r="A53" s="1" t="s">
        <v>26</v>
      </c>
      <c r="B53" s="63">
        <v>0.20899999999999999</v>
      </c>
      <c r="C53" s="63">
        <v>0.22900000000000001</v>
      </c>
      <c r="D53" s="27">
        <f t="shared" si="34"/>
        <v>0.219</v>
      </c>
      <c r="E53" s="27">
        <f t="shared" si="28"/>
        <v>0.16400000000000001</v>
      </c>
      <c r="F53" s="27">
        <f t="shared" si="29"/>
        <v>-0.78515615195230215</v>
      </c>
      <c r="G53" s="28">
        <f t="shared" si="30"/>
        <v>-0.16101648090133525</v>
      </c>
      <c r="H53" s="27">
        <f t="shared" si="31"/>
        <v>0.6902136106493687</v>
      </c>
      <c r="I53" s="41">
        <v>16</v>
      </c>
      <c r="J53" s="42">
        <f t="shared" si="32"/>
        <v>11.043417770389899</v>
      </c>
      <c r="K53" s="30">
        <f t="shared" si="35"/>
        <v>1.1043417770389901</v>
      </c>
      <c r="L53" s="43">
        <f t="shared" si="33"/>
        <v>1.8414879289413957</v>
      </c>
      <c r="M53" s="30">
        <f>AVERAGE(L53:L55)</f>
        <v>1.7914778918263112</v>
      </c>
      <c r="N53" s="44">
        <f>STDEV(L53:L55)</f>
        <v>0.23075794326887189</v>
      </c>
      <c r="O53" s="2">
        <f t="shared" si="36"/>
        <v>1.8447774619592499</v>
      </c>
      <c r="P53" s="30">
        <f>AVERAGE(O53:O55)</f>
        <v>1.6631535622544982</v>
      </c>
      <c r="Q53" s="44">
        <f>STDEV(O53:O55)</f>
        <v>0.20205264313186672</v>
      </c>
      <c r="S53"/>
      <c r="T53"/>
    </row>
    <row r="54" spans="1:25" ht="15">
      <c r="A54" s="45"/>
      <c r="B54" s="63">
        <v>0.18</v>
      </c>
      <c r="C54" s="63">
        <v>0.20100000000000001</v>
      </c>
      <c r="D54" s="27">
        <f t="shared" si="34"/>
        <v>0.1905</v>
      </c>
      <c r="E54" s="27">
        <f t="shared" si="28"/>
        <v>0.13550000000000001</v>
      </c>
      <c r="F54" s="27">
        <f t="shared" si="29"/>
        <v>-0.86806070478957542</v>
      </c>
      <c r="G54" s="28">
        <f t="shared" si="30"/>
        <v>-0.245795781736594</v>
      </c>
      <c r="H54" s="27">
        <f t="shared" si="31"/>
        <v>0.56781154462455863</v>
      </c>
      <c r="I54" s="41">
        <v>16</v>
      </c>
      <c r="J54" s="42">
        <f t="shared" si="32"/>
        <v>9.0849847139929381</v>
      </c>
      <c r="K54" s="30">
        <f t="shared" si="35"/>
        <v>0.90849847139929385</v>
      </c>
      <c r="L54" s="43">
        <f t="shared" si="33"/>
        <v>1.5398156970697983</v>
      </c>
      <c r="M54" s="30"/>
      <c r="N54" s="44"/>
      <c r="O54" s="2">
        <f t="shared" si="36"/>
        <v>1.4455155902749504</v>
      </c>
      <c r="P54" s="30"/>
      <c r="Q54" s="44"/>
      <c r="S54"/>
      <c r="T54"/>
    </row>
    <row r="55" spans="1:25" ht="15">
      <c r="A55" s="46"/>
      <c r="B55" s="63">
        <v>0.24199999999999999</v>
      </c>
      <c r="C55" s="63">
        <v>0.20499999999999999</v>
      </c>
      <c r="D55" s="27">
        <f t="shared" si="34"/>
        <v>0.22349999999999998</v>
      </c>
      <c r="E55" s="27">
        <f t="shared" si="28"/>
        <v>0.16849999999999998</v>
      </c>
      <c r="F55" s="27">
        <f t="shared" si="29"/>
        <v>-0.7734000947926426</v>
      </c>
      <c r="G55" s="28">
        <f t="shared" si="30"/>
        <v>-0.14899458014358602</v>
      </c>
      <c r="H55" s="27">
        <f t="shared" si="31"/>
        <v>0.70958662332253908</v>
      </c>
      <c r="I55" s="41">
        <v>16</v>
      </c>
      <c r="J55" s="42">
        <f t="shared" si="32"/>
        <v>11.353385973160625</v>
      </c>
      <c r="K55" s="30">
        <f t="shared" si="35"/>
        <v>1.1353385973160626</v>
      </c>
      <c r="L55" s="43">
        <f t="shared" si="33"/>
        <v>1.99313004946774</v>
      </c>
      <c r="M55" s="30"/>
      <c r="N55" s="44"/>
      <c r="O55" s="2">
        <f t="shared" si="36"/>
        <v>1.6991676345292943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2.8743936316137684</v>
      </c>
      <c r="O58" s="30">
        <f>Q50</f>
        <v>0.5809737842981838</v>
      </c>
    </row>
    <row r="59" spans="1:25" ht="15">
      <c r="D59"/>
      <c r="E59"/>
      <c r="G59"/>
      <c r="M59" s="2" t="s">
        <v>26</v>
      </c>
      <c r="N59" s="30">
        <f>P53</f>
        <v>1.6631535622544982</v>
      </c>
      <c r="O59" s="30">
        <f>Q53</f>
        <v>0.20205264313186672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0.31913649411024164</v>
      </c>
      <c r="C65" s="30">
        <f>N40</f>
        <v>3.0198700136640683E-2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0.92005647778465827</v>
      </c>
      <c r="C66" s="30">
        <f>N50</f>
        <v>0.22557964528546848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1.0788189758662963</v>
      </c>
      <c r="C67" s="30">
        <f>N43</f>
        <v>8.8181543944243809E-2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1.7914778918263112</v>
      </c>
      <c r="C68" s="30">
        <f>N53</f>
        <v>0.23075794326887189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18"/>
  <sheetViews>
    <sheetView tabSelected="1" zoomScale="80" zoomScaleNormal="80" workbookViewId="0">
      <selection activeCell="G18" sqref="G18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87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5">
        <v>42213</v>
      </c>
    </row>
    <row r="2" spans="1:20">
      <c r="A2" s="1" t="s">
        <v>1</v>
      </c>
      <c r="B2" s="2">
        <v>74</v>
      </c>
      <c r="C2" s="3"/>
      <c r="D2" s="38"/>
      <c r="E2" s="66"/>
      <c r="F2" s="38"/>
      <c r="G2" s="38"/>
    </row>
    <row r="3" spans="1:20">
      <c r="A3" s="1" t="s">
        <v>2</v>
      </c>
      <c r="B3" s="2" t="s">
        <v>43</v>
      </c>
      <c r="D3" s="38"/>
      <c r="E3" s="38"/>
      <c r="F3" s="38"/>
      <c r="G3" s="38"/>
    </row>
    <row r="4" spans="1:20">
      <c r="D4" s="38"/>
      <c r="E4" s="38"/>
      <c r="F4" s="38"/>
      <c r="G4" s="38"/>
    </row>
    <row r="5" spans="1:20">
      <c r="A5" s="2"/>
      <c r="D5" s="38"/>
      <c r="E5" s="38"/>
      <c r="F5" s="38"/>
      <c r="G5" s="38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48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 s="63">
        <v>4.9000000000000002E-2</v>
      </c>
      <c r="D8" s="63">
        <v>5.3999999999999999E-2</v>
      </c>
      <c r="E8" s="11">
        <f t="shared" ref="E8:E13" si="0">AVERAGE(C8:D8)</f>
        <v>5.1500000000000004E-2</v>
      </c>
      <c r="F8" s="12"/>
      <c r="G8" s="10"/>
      <c r="H8" s="10"/>
      <c r="N8"/>
      <c r="O8"/>
      <c r="P8"/>
    </row>
    <row r="9" spans="1:20" ht="15">
      <c r="A9" s="10">
        <v>3</v>
      </c>
      <c r="B9" s="10">
        <f t="shared" ref="B9:B12" si="1">A9/23</f>
        <v>0.13043478260869565</v>
      </c>
      <c r="C9" s="63">
        <v>8.2000000000000003E-2</v>
      </c>
      <c r="D9" s="63">
        <v>8.8999999999999996E-2</v>
      </c>
      <c r="E9" s="11">
        <f t="shared" si="0"/>
        <v>8.5499999999999993E-2</v>
      </c>
      <c r="F9" s="12">
        <f>(E9-$E$8)</f>
        <v>3.3999999999999989E-2</v>
      </c>
      <c r="G9" s="12">
        <f>LOG(B9)</f>
        <v>-0.88460658129793046</v>
      </c>
      <c r="H9" s="12">
        <f>LOG(F9)</f>
        <v>-1.4685210829577451</v>
      </c>
      <c r="N9"/>
      <c r="O9"/>
      <c r="P9"/>
    </row>
    <row r="10" spans="1:20" ht="15">
      <c r="A10" s="10">
        <v>9.74</v>
      </c>
      <c r="B10" s="10">
        <f t="shared" si="1"/>
        <v>0.42347826086956525</v>
      </c>
      <c r="C10" s="63">
        <v>0.159</v>
      </c>
      <c r="D10" s="63">
        <v>0.16200000000000001</v>
      </c>
      <c r="E10" s="11">
        <f t="shared" si="0"/>
        <v>0.1605</v>
      </c>
      <c r="F10" s="12">
        <f>(E10-$E$8)</f>
        <v>0.109</v>
      </c>
      <c r="G10" s="12">
        <f>LOG(B10)</f>
        <v>-0.37316887913897734</v>
      </c>
      <c r="H10" s="12">
        <f>LOG(F10)</f>
        <v>-0.96257350205937642</v>
      </c>
      <c r="N10"/>
      <c r="O10"/>
      <c r="P10"/>
    </row>
    <row r="11" spans="1:20" ht="15">
      <c r="A11" s="10">
        <v>29.8</v>
      </c>
      <c r="B11" s="10">
        <f t="shared" si="1"/>
        <v>1.2956521739130435</v>
      </c>
      <c r="C11" s="63">
        <v>0.34100000000000003</v>
      </c>
      <c r="D11" s="63">
        <v>0.39400000000000002</v>
      </c>
      <c r="E11" s="11">
        <f t="shared" si="0"/>
        <v>0.36750000000000005</v>
      </c>
      <c r="F11" s="12">
        <f>(E11-$E$8)</f>
        <v>0.31600000000000006</v>
      </c>
      <c r="G11" s="12">
        <f>LOG(B11)</f>
        <v>0.11248842805866238</v>
      </c>
      <c r="H11" s="12">
        <f>LOG(F11)</f>
        <v>-0.50031291738159611</v>
      </c>
      <c r="N11"/>
      <c r="O11"/>
      <c r="P11"/>
      <c r="Q11"/>
      <c r="R11"/>
      <c r="S11"/>
      <c r="T11"/>
    </row>
    <row r="12" spans="1:20" ht="15">
      <c r="A12" s="10">
        <v>104</v>
      </c>
      <c r="B12" s="10">
        <f t="shared" si="1"/>
        <v>4.5217391304347823</v>
      </c>
      <c r="C12" s="63">
        <v>0.92</v>
      </c>
      <c r="D12" s="63">
        <v>0.95199999999999996</v>
      </c>
      <c r="E12" s="11">
        <f t="shared" si="0"/>
        <v>0.93599999999999994</v>
      </c>
      <c r="F12" s="12">
        <f>(E12-$E$8)</f>
        <v>0.88449999999999995</v>
      </c>
      <c r="G12" s="12">
        <f>LOG(B12)</f>
        <v>0.65530550328118742</v>
      </c>
      <c r="H12" s="12">
        <f>LOG(F12)</f>
        <v>-5.3302162754258101E-2</v>
      </c>
      <c r="N12"/>
      <c r="O12"/>
      <c r="P12"/>
      <c r="Q12"/>
      <c r="R12"/>
      <c r="S12"/>
      <c r="T12"/>
    </row>
    <row r="13" spans="1:20" ht="15">
      <c r="A13" s="10">
        <v>207</v>
      </c>
      <c r="B13" s="10">
        <f>A13/23</f>
        <v>9</v>
      </c>
      <c r="C13" s="70">
        <v>1.534</v>
      </c>
      <c r="D13" s="70">
        <v>1.62</v>
      </c>
      <c r="E13" s="11">
        <f t="shared" si="0"/>
        <v>1.577</v>
      </c>
      <c r="F13" s="12">
        <f>(E13-$E$8)</f>
        <v>1.5254999999999999</v>
      </c>
      <c r="G13" s="12">
        <f>LOG(B13)</f>
        <v>0.95424250943932487</v>
      </c>
      <c r="H13" s="12">
        <f>LOG(F13)</f>
        <v>0.1834122119784258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0.89730346624540369</v>
      </c>
      <c r="N15"/>
    </row>
    <row r="16" spans="1:20" ht="15">
      <c r="A16" s="5" t="s">
        <v>11</v>
      </c>
      <c r="B16" s="11">
        <f>INTERCEPT(H9:H13,G9:G13)</f>
        <v>-0.64357608801563115</v>
      </c>
      <c r="C16" s="69"/>
      <c r="G16" s="69"/>
      <c r="H16" s="69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44</v>
      </c>
      <c r="E20" s="20" t="s">
        <v>47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3">
        <v>0.70499999999999996</v>
      </c>
      <c r="C22" s="63">
        <v>0.70399999999999996</v>
      </c>
      <c r="D22" s="27">
        <f t="shared" ref="D22:D27" si="2">AVERAGE(B22:C22)</f>
        <v>0.7044999999999999</v>
      </c>
      <c r="E22" s="27">
        <f t="shared" ref="E22:E27" si="3">D22-E$8</f>
        <v>0.65299999999999991</v>
      </c>
      <c r="F22" s="27">
        <f t="shared" ref="F22:F27" si="4">LOG(E22)</f>
        <v>-0.18508681872492613</v>
      </c>
      <c r="G22" s="28">
        <f t="shared" ref="G22:G27" si="5">(F22-$B$16)/$B$15</f>
        <v>0.51096344384934389</v>
      </c>
      <c r="H22" s="28">
        <f t="shared" ref="H22:H27" si="6">10^G22</f>
        <v>3.243123176496832</v>
      </c>
      <c r="I22" s="29">
        <v>500</v>
      </c>
      <c r="J22" s="30">
        <f t="shared" ref="J22:J27" si="7">(H22*I22)</f>
        <v>1621.561588248416</v>
      </c>
      <c r="K22" s="31">
        <f t="shared" ref="K22:K27" si="8">(0.05*J22/1000)*1000</f>
        <v>81.078079412420806</v>
      </c>
      <c r="L22" s="32">
        <f t="shared" ref="L22:L27" si="9">K22+K40+K50</f>
        <v>81.499036531887967</v>
      </c>
      <c r="M22" s="33">
        <f t="shared" ref="M22:M27" si="10">(L22*1000000/50000)/1000</f>
        <v>1.6299807306377594</v>
      </c>
      <c r="N22" s="34"/>
    </row>
    <row r="23" spans="1:17" ht="15">
      <c r="B23" s="63">
        <v>1.2310000000000001</v>
      </c>
      <c r="C23" s="63">
        <v>1.125</v>
      </c>
      <c r="D23" s="27">
        <f t="shared" si="2"/>
        <v>1.1779999999999999</v>
      </c>
      <c r="E23" s="27">
        <f t="shared" si="3"/>
        <v>1.1264999999999998</v>
      </c>
      <c r="F23" s="27">
        <f t="shared" si="4"/>
        <v>5.173119605984957E-2</v>
      </c>
      <c r="G23" s="28">
        <f t="shared" si="5"/>
        <v>0.77488532055366088</v>
      </c>
      <c r="H23" s="28">
        <f t="shared" si="6"/>
        <v>5.9550487423479552</v>
      </c>
      <c r="I23" s="29">
        <v>500</v>
      </c>
      <c r="J23" s="30">
        <f t="shared" si="7"/>
        <v>2977.5243711739777</v>
      </c>
      <c r="K23" s="31">
        <f t="shared" si="8"/>
        <v>148.87621855869889</v>
      </c>
      <c r="L23" s="32">
        <f t="shared" si="9"/>
        <v>149.58322464065401</v>
      </c>
      <c r="M23" s="33">
        <f t="shared" si="10"/>
        <v>2.9916644928130798</v>
      </c>
      <c r="N23" s="34"/>
    </row>
    <row r="24" spans="1:17" ht="15">
      <c r="B24" s="63">
        <v>0.72499999999999998</v>
      </c>
      <c r="C24" s="63">
        <v>0.69599999999999995</v>
      </c>
      <c r="D24" s="27">
        <f t="shared" si="2"/>
        <v>0.71049999999999991</v>
      </c>
      <c r="E24" s="27">
        <f t="shared" si="3"/>
        <v>0.65899999999999992</v>
      </c>
      <c r="F24" s="27">
        <f t="shared" si="4"/>
        <v>-0.18111458540599018</v>
      </c>
      <c r="G24" s="28">
        <f t="shared" si="5"/>
        <v>0.51539029994470376</v>
      </c>
      <c r="H24" s="28">
        <f t="shared" si="6"/>
        <v>3.2763500780933597</v>
      </c>
      <c r="I24" s="29">
        <v>500</v>
      </c>
      <c r="J24" s="30">
        <f t="shared" si="7"/>
        <v>1638.1750390466798</v>
      </c>
      <c r="K24" s="31">
        <f t="shared" si="8"/>
        <v>81.908751952334001</v>
      </c>
      <c r="L24" s="32">
        <f t="shared" si="9"/>
        <v>82.841556956621616</v>
      </c>
      <c r="M24" s="33">
        <f t="shared" si="10"/>
        <v>1.6568311391324324</v>
      </c>
      <c r="N24" s="34"/>
    </row>
    <row r="25" spans="1:17" ht="15">
      <c r="A25" s="1" t="s">
        <v>26</v>
      </c>
      <c r="B25" s="63">
        <v>0.72099999999999997</v>
      </c>
      <c r="C25" s="63">
        <v>0.80500000000000005</v>
      </c>
      <c r="D25" s="27">
        <f t="shared" si="2"/>
        <v>0.76300000000000001</v>
      </c>
      <c r="E25" s="27">
        <f t="shared" si="3"/>
        <v>0.71150000000000002</v>
      </c>
      <c r="F25" s="27">
        <f t="shared" si="4"/>
        <v>-0.14782509557969686</v>
      </c>
      <c r="G25" s="28">
        <f t="shared" si="5"/>
        <v>0.5524897775223252</v>
      </c>
      <c r="H25" s="28">
        <f t="shared" si="6"/>
        <v>3.5685334952598091</v>
      </c>
      <c r="I25" s="29">
        <v>500</v>
      </c>
      <c r="J25" s="30">
        <f t="shared" si="7"/>
        <v>1784.2667476299046</v>
      </c>
      <c r="K25" s="31">
        <f t="shared" si="8"/>
        <v>89.213337381495236</v>
      </c>
      <c r="L25" s="32">
        <f t="shared" si="9"/>
        <v>90.454340974447362</v>
      </c>
      <c r="M25" s="33">
        <f t="shared" si="10"/>
        <v>1.8090868194889471</v>
      </c>
      <c r="N25" s="34"/>
    </row>
    <row r="26" spans="1:17" ht="15">
      <c r="B26" s="63">
        <v>0.75700000000000001</v>
      </c>
      <c r="C26" s="63">
        <v>0.75900000000000001</v>
      </c>
      <c r="D26" s="27">
        <f t="shared" si="2"/>
        <v>0.75800000000000001</v>
      </c>
      <c r="E26" s="27">
        <f t="shared" si="3"/>
        <v>0.70650000000000002</v>
      </c>
      <c r="F26" s="27">
        <f t="shared" si="4"/>
        <v>-0.15088783381542256</v>
      </c>
      <c r="G26" s="28">
        <f t="shared" si="5"/>
        <v>0.54907650837655764</v>
      </c>
      <c r="H26" s="28">
        <f t="shared" si="6"/>
        <v>3.5405970924322938</v>
      </c>
      <c r="I26" s="29">
        <v>500</v>
      </c>
      <c r="J26" s="30">
        <f t="shared" si="7"/>
        <v>1770.2985462161469</v>
      </c>
      <c r="K26" s="31">
        <f t="shared" si="8"/>
        <v>88.514927310807352</v>
      </c>
      <c r="L26" s="32">
        <f t="shared" si="9"/>
        <v>90.429339816523566</v>
      </c>
      <c r="M26" s="33">
        <f t="shared" si="10"/>
        <v>1.8085867963304714</v>
      </c>
      <c r="N26" s="34"/>
    </row>
    <row r="27" spans="1:17" ht="15">
      <c r="B27" s="63">
        <v>0.753</v>
      </c>
      <c r="C27" s="63">
        <v>0.76</v>
      </c>
      <c r="D27" s="27">
        <f t="shared" si="2"/>
        <v>0.75649999999999995</v>
      </c>
      <c r="E27" s="27">
        <f t="shared" si="3"/>
        <v>0.70499999999999996</v>
      </c>
      <c r="F27" s="27">
        <f t="shared" si="4"/>
        <v>-0.15181088300860132</v>
      </c>
      <c r="G27" s="28">
        <f t="shared" si="5"/>
        <v>0.5480478160468143</v>
      </c>
      <c r="H27" s="28">
        <f t="shared" si="6"/>
        <v>3.5322205758214933</v>
      </c>
      <c r="I27" s="29">
        <v>500</v>
      </c>
      <c r="J27" s="30">
        <f t="shared" si="7"/>
        <v>1766.1102879107466</v>
      </c>
      <c r="K27" s="31">
        <f t="shared" si="8"/>
        <v>88.30551439553733</v>
      </c>
      <c r="L27" s="32">
        <f t="shared" si="9"/>
        <v>89.776997811165202</v>
      </c>
      <c r="M27" s="33">
        <f t="shared" si="10"/>
        <v>1.7955399562233041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44</v>
      </c>
      <c r="E29" s="20" t="s">
        <v>47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3">
        <v>0.70499999999999996</v>
      </c>
      <c r="C31" s="63">
        <v>0.70399999999999996</v>
      </c>
      <c r="D31" s="27">
        <f t="shared" ref="D31:D36" si="11">AVERAGE(B31:C31)</f>
        <v>0.7044999999999999</v>
      </c>
      <c r="E31" s="27">
        <f t="shared" ref="E31:E36" si="12">D31-E$8</f>
        <v>0.65299999999999991</v>
      </c>
      <c r="F31" s="27">
        <f t="shared" ref="F31:F36" si="13">LOG(E31)</f>
        <v>-0.18508681872492613</v>
      </c>
      <c r="G31" s="28">
        <f t="shared" ref="G31:G36" si="14">(F31-$B$16)/$B$15</f>
        <v>0.51096344384934389</v>
      </c>
      <c r="H31" s="28">
        <f t="shared" ref="H31:H36" si="15">10^G31</f>
        <v>3.243123176496832</v>
      </c>
      <c r="I31" s="29">
        <v>500</v>
      </c>
      <c r="J31" s="30">
        <f t="shared" ref="J31:J36" si="16">(H31*I31)</f>
        <v>1621.561588248416</v>
      </c>
      <c r="K31" s="31">
        <f t="shared" ref="K31:K36" si="17">(0.05*J31/1000)*1000</f>
        <v>81.078079412420806</v>
      </c>
      <c r="L31" s="32">
        <f t="shared" ref="L31:L36" si="18">K31+K50</f>
        <v>81.328357110413705</v>
      </c>
      <c r="M31" s="33">
        <f t="shared" ref="M31:M36" si="19">(L31*1000000/50000)/1000</f>
        <v>1.6265671422082739</v>
      </c>
      <c r="N31" s="35"/>
      <c r="Q31"/>
    </row>
    <row r="32" spans="1:17" ht="15">
      <c r="B32" s="63">
        <v>1.2310000000000001</v>
      </c>
      <c r="C32" s="63">
        <v>1.125</v>
      </c>
      <c r="D32" s="27">
        <f t="shared" si="11"/>
        <v>1.1779999999999999</v>
      </c>
      <c r="E32" s="27">
        <f t="shared" si="12"/>
        <v>1.1264999999999998</v>
      </c>
      <c r="F32" s="27">
        <f t="shared" si="13"/>
        <v>5.173119605984957E-2</v>
      </c>
      <c r="G32" s="28">
        <f t="shared" si="14"/>
        <v>0.77488532055366088</v>
      </c>
      <c r="H32" s="28">
        <f t="shared" si="15"/>
        <v>5.9550487423479552</v>
      </c>
      <c r="I32" s="29">
        <v>500</v>
      </c>
      <c r="J32" s="30">
        <f t="shared" si="16"/>
        <v>2977.5243711739777</v>
      </c>
      <c r="K32" s="31">
        <f t="shared" si="17"/>
        <v>148.87621855869889</v>
      </c>
      <c r="L32" s="32">
        <f t="shared" si="18"/>
        <v>149.30358777089413</v>
      </c>
      <c r="M32" s="33">
        <f t="shared" si="19"/>
        <v>2.9860717554178828</v>
      </c>
      <c r="N32" s="36"/>
      <c r="Q32"/>
    </row>
    <row r="33" spans="1:21" ht="15">
      <c r="B33" s="63">
        <v>0.72499999999999998</v>
      </c>
      <c r="C33" s="63">
        <v>0.69599999999999995</v>
      </c>
      <c r="D33" s="27">
        <f t="shared" si="11"/>
        <v>0.71049999999999991</v>
      </c>
      <c r="E33" s="27">
        <f t="shared" si="12"/>
        <v>0.65899999999999992</v>
      </c>
      <c r="F33" s="27">
        <f t="shared" si="13"/>
        <v>-0.18111458540599018</v>
      </c>
      <c r="G33" s="28">
        <f t="shared" si="14"/>
        <v>0.51539029994470376</v>
      </c>
      <c r="H33" s="28">
        <f t="shared" si="15"/>
        <v>3.2763500780933597</v>
      </c>
      <c r="I33" s="29">
        <v>500</v>
      </c>
      <c r="J33" s="30">
        <f t="shared" si="16"/>
        <v>1638.1750390466798</v>
      </c>
      <c r="K33" s="31">
        <f t="shared" si="17"/>
        <v>81.908751952334001</v>
      </c>
      <c r="L33" s="32">
        <f t="shared" si="18"/>
        <v>82.661496808512055</v>
      </c>
      <c r="M33" s="33">
        <f t="shared" si="19"/>
        <v>1.6532299361702412</v>
      </c>
      <c r="N33" s="36"/>
      <c r="Q33"/>
      <c r="R33"/>
      <c r="S33"/>
    </row>
    <row r="34" spans="1:21" ht="15">
      <c r="A34" s="1" t="s">
        <v>26</v>
      </c>
      <c r="B34" s="63">
        <v>0.72099999999999997</v>
      </c>
      <c r="C34" s="63">
        <v>0.80500000000000005</v>
      </c>
      <c r="D34" s="27">
        <f t="shared" si="11"/>
        <v>0.76300000000000001</v>
      </c>
      <c r="E34" s="27">
        <f t="shared" si="12"/>
        <v>0.71150000000000002</v>
      </c>
      <c r="F34" s="27">
        <f t="shared" si="13"/>
        <v>-0.14782509557969686</v>
      </c>
      <c r="G34" s="28">
        <f t="shared" si="14"/>
        <v>0.5524897775223252</v>
      </c>
      <c r="H34" s="28">
        <f t="shared" si="15"/>
        <v>3.5685334952598091</v>
      </c>
      <c r="I34" s="29">
        <v>500</v>
      </c>
      <c r="J34" s="30">
        <f t="shared" si="16"/>
        <v>1784.2667476299046</v>
      </c>
      <c r="K34" s="31">
        <f t="shared" si="17"/>
        <v>89.213337381495236</v>
      </c>
      <c r="L34" s="32">
        <f t="shared" si="18"/>
        <v>90.061092464918133</v>
      </c>
      <c r="M34" s="33">
        <f t="shared" si="19"/>
        <v>1.8012218492983627</v>
      </c>
      <c r="N34" s="36"/>
      <c r="Q34"/>
      <c r="R34"/>
      <c r="S34"/>
    </row>
    <row r="35" spans="1:21" ht="15">
      <c r="B35" s="63">
        <v>0.75700000000000001</v>
      </c>
      <c r="C35" s="63">
        <v>0.75900000000000001</v>
      </c>
      <c r="D35" s="27">
        <f t="shared" si="11"/>
        <v>0.75800000000000001</v>
      </c>
      <c r="E35" s="27">
        <f t="shared" si="12"/>
        <v>0.70650000000000002</v>
      </c>
      <c r="F35" s="27">
        <f t="shared" si="13"/>
        <v>-0.15088783381542256</v>
      </c>
      <c r="G35" s="28">
        <f t="shared" si="14"/>
        <v>0.54907650837655764</v>
      </c>
      <c r="H35" s="28">
        <f t="shared" si="15"/>
        <v>3.5405970924322938</v>
      </c>
      <c r="I35" s="29">
        <v>500</v>
      </c>
      <c r="J35" s="30">
        <f t="shared" si="16"/>
        <v>1770.2985462161469</v>
      </c>
      <c r="K35" s="31">
        <f t="shared" si="17"/>
        <v>88.514927310807352</v>
      </c>
      <c r="L35" s="32">
        <f t="shared" si="18"/>
        <v>89.887457371840995</v>
      </c>
      <c r="M35" s="33">
        <f t="shared" si="19"/>
        <v>1.7977491474368201</v>
      </c>
      <c r="N35" s="36"/>
      <c r="Q35"/>
      <c r="R35"/>
      <c r="S35"/>
    </row>
    <row r="36" spans="1:21" ht="15">
      <c r="B36" s="63">
        <v>0.753</v>
      </c>
      <c r="C36" s="63">
        <v>0.76</v>
      </c>
      <c r="D36" s="27">
        <f t="shared" si="11"/>
        <v>0.75649999999999995</v>
      </c>
      <c r="E36" s="27">
        <f t="shared" si="12"/>
        <v>0.70499999999999996</v>
      </c>
      <c r="F36" s="27">
        <f t="shared" si="13"/>
        <v>-0.15181088300860132</v>
      </c>
      <c r="G36" s="28">
        <f t="shared" si="14"/>
        <v>0.5480478160468143</v>
      </c>
      <c r="H36" s="28">
        <f t="shared" si="15"/>
        <v>3.5322205758214933</v>
      </c>
      <c r="I36" s="29">
        <v>500</v>
      </c>
      <c r="J36" s="30">
        <f t="shared" si="16"/>
        <v>1766.1102879107466</v>
      </c>
      <c r="K36" s="31">
        <f t="shared" si="17"/>
        <v>88.30551439553733</v>
      </c>
      <c r="L36" s="32">
        <f t="shared" si="18"/>
        <v>89.342770006184935</v>
      </c>
      <c r="M36" s="33">
        <f t="shared" si="19"/>
        <v>1.7868554001236987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44</v>
      </c>
      <c r="E39" s="20" t="s">
        <v>47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46</v>
      </c>
      <c r="L39" s="21" t="s">
        <v>45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3">
        <v>7.5999999999999998E-2</v>
      </c>
      <c r="C40" s="63">
        <v>8.7999999999999995E-2</v>
      </c>
      <c r="D40" s="27">
        <f t="shared" ref="D40:D45" si="20">AVERAGE(B40:C40)</f>
        <v>8.199999999999999E-2</v>
      </c>
      <c r="E40" s="27">
        <f t="shared" ref="E40:E45" si="21">D40-E$8</f>
        <v>3.0499999999999985E-2</v>
      </c>
      <c r="F40" s="27">
        <f t="shared" ref="F40:F45" si="22">LOG(E40)</f>
        <v>-1.5157001606532143</v>
      </c>
      <c r="G40" s="28">
        <f t="shared" ref="G40:G45" si="23">(F40-$B$16)/$B$15</f>
        <v>-0.97193882052726388</v>
      </c>
      <c r="H40" s="27">
        <f t="shared" ref="H40:H45" si="24">10^G40</f>
        <v>0.10667463842140985</v>
      </c>
      <c r="I40" s="41">
        <v>16</v>
      </c>
      <c r="J40" s="42">
        <f t="shared" ref="J40:J45" si="25">H40*I40</f>
        <v>1.7067942147425577</v>
      </c>
      <c r="K40" s="30">
        <f t="shared" ref="K40:K45" si="26">(0.1*J40/1000)*1000</f>
        <v>0.17067942147425577</v>
      </c>
      <c r="L40" s="43">
        <f t="shared" ref="L40:L45" si="27">K40*100/L22</f>
        <v>0.20942507879522521</v>
      </c>
      <c r="M40" s="30">
        <f>AVERAGE(L40:L42)</f>
        <v>0.20457464684726501</v>
      </c>
      <c r="N40" s="44">
        <f>STDEV(L40:L42)</f>
        <v>1.5774980753485365E-2</v>
      </c>
      <c r="R40"/>
      <c r="S40"/>
      <c r="T40"/>
      <c r="U40"/>
    </row>
    <row r="41" spans="1:21" ht="15">
      <c r="B41" s="63">
        <v>9.0999999999999998E-2</v>
      </c>
      <c r="C41" s="63">
        <v>0.107</v>
      </c>
      <c r="D41" s="27">
        <f t="shared" si="20"/>
        <v>9.9000000000000005E-2</v>
      </c>
      <c r="E41" s="27">
        <f t="shared" si="21"/>
        <v>4.7500000000000001E-2</v>
      </c>
      <c r="F41" s="27">
        <f t="shared" si="22"/>
        <v>-1.3233063903751334</v>
      </c>
      <c r="G41" s="28">
        <f t="shared" si="23"/>
        <v>-0.75752555064086058</v>
      </c>
      <c r="H41" s="27">
        <f t="shared" si="24"/>
        <v>0.17477304359993256</v>
      </c>
      <c r="I41" s="41">
        <v>16</v>
      </c>
      <c r="J41" s="42">
        <f t="shared" si="25"/>
        <v>2.796368697598921</v>
      </c>
      <c r="K41" s="30">
        <f t="shared" si="26"/>
        <v>0.2796368697598921</v>
      </c>
      <c r="L41" s="43">
        <f t="shared" si="27"/>
        <v>0.18694400420345791</v>
      </c>
      <c r="M41" s="30"/>
      <c r="N41" s="44"/>
      <c r="R41"/>
      <c r="S41"/>
      <c r="T41"/>
      <c r="U41"/>
    </row>
    <row r="42" spans="1:21" s="17" customFormat="1" ht="15">
      <c r="A42" s="1"/>
      <c r="B42" s="63">
        <v>8.5000000000000006E-2</v>
      </c>
      <c r="C42" s="63">
        <v>8.2000000000000003E-2</v>
      </c>
      <c r="D42" s="27">
        <f t="shared" si="20"/>
        <v>8.3500000000000005E-2</v>
      </c>
      <c r="E42" s="27">
        <f t="shared" si="21"/>
        <v>3.2000000000000001E-2</v>
      </c>
      <c r="F42" s="27">
        <f t="shared" si="22"/>
        <v>-1.494850021680094</v>
      </c>
      <c r="G42" s="28">
        <f t="shared" si="23"/>
        <v>-0.94870237961573611</v>
      </c>
      <c r="H42" s="27">
        <f t="shared" si="24"/>
        <v>0.11253759256847552</v>
      </c>
      <c r="I42" s="41">
        <v>16</v>
      </c>
      <c r="J42" s="42">
        <f t="shared" si="25"/>
        <v>1.8006014810956084</v>
      </c>
      <c r="K42" s="30">
        <f t="shared" si="26"/>
        <v>0.18006014810956084</v>
      </c>
      <c r="L42" s="43">
        <f t="shared" si="27"/>
        <v>0.21735485754311193</v>
      </c>
      <c r="M42" s="30"/>
      <c r="N42" s="44"/>
      <c r="R42"/>
      <c r="S42"/>
      <c r="T42"/>
      <c r="U42"/>
    </row>
    <row r="43" spans="1:21" ht="15">
      <c r="A43" s="1" t="s">
        <v>34</v>
      </c>
      <c r="B43" s="63">
        <v>0.11600000000000001</v>
      </c>
      <c r="C43" s="63">
        <v>0.11600000000000001</v>
      </c>
      <c r="D43" s="27">
        <f t="shared" si="20"/>
        <v>0.11600000000000001</v>
      </c>
      <c r="E43" s="27">
        <f t="shared" si="21"/>
        <v>6.4500000000000002E-2</v>
      </c>
      <c r="F43" s="27">
        <f t="shared" si="22"/>
        <v>-1.1904402853647322</v>
      </c>
      <c r="G43" s="28">
        <f t="shared" si="23"/>
        <v>-0.60945289739863673</v>
      </c>
      <c r="H43" s="27">
        <f t="shared" si="24"/>
        <v>0.24578031845576831</v>
      </c>
      <c r="I43" s="41">
        <v>16</v>
      </c>
      <c r="J43" s="42">
        <f t="shared" si="25"/>
        <v>3.932485095292293</v>
      </c>
      <c r="K43" s="30">
        <f t="shared" si="26"/>
        <v>0.3932485095292293</v>
      </c>
      <c r="L43" s="43">
        <f t="shared" si="27"/>
        <v>0.43474807874651245</v>
      </c>
      <c r="M43" s="30">
        <f>AVERAGE(L43:L45)</f>
        <v>0.50588495474404749</v>
      </c>
      <c r="N43" s="44">
        <f>STDEV(L43:L45)</f>
        <v>8.4461969009711688E-2</v>
      </c>
      <c r="R43"/>
      <c r="S43"/>
      <c r="T43"/>
      <c r="U43"/>
    </row>
    <row r="44" spans="1:21" ht="15">
      <c r="A44" s="45"/>
      <c r="B44" s="63">
        <v>0.12</v>
      </c>
      <c r="C44" s="63">
        <v>0.155</v>
      </c>
      <c r="D44" s="27">
        <f t="shared" si="20"/>
        <v>0.13750000000000001</v>
      </c>
      <c r="E44" s="27">
        <f t="shared" si="21"/>
        <v>8.6000000000000007E-2</v>
      </c>
      <c r="F44" s="27">
        <f t="shared" si="22"/>
        <v>-1.0655015487564323</v>
      </c>
      <c r="G44" s="28">
        <f t="shared" si="23"/>
        <v>-0.47021490121538068</v>
      </c>
      <c r="H44" s="27">
        <f t="shared" si="24"/>
        <v>0.33867652792661013</v>
      </c>
      <c r="I44" s="41">
        <v>16</v>
      </c>
      <c r="J44" s="42">
        <f t="shared" si="25"/>
        <v>5.418824446825762</v>
      </c>
      <c r="K44" s="30">
        <f t="shared" si="26"/>
        <v>0.54188244468257618</v>
      </c>
      <c r="L44" s="43">
        <f t="shared" si="27"/>
        <v>0.59923299869492297</v>
      </c>
      <c r="M44" s="30"/>
      <c r="N44" s="44"/>
      <c r="R44"/>
      <c r="S44"/>
      <c r="T44"/>
      <c r="U44"/>
    </row>
    <row r="45" spans="1:21" ht="15">
      <c r="A45" s="46"/>
      <c r="B45" s="63">
        <v>0.122</v>
      </c>
      <c r="C45" s="63">
        <v>0.122</v>
      </c>
      <c r="D45" s="27">
        <f t="shared" si="20"/>
        <v>0.122</v>
      </c>
      <c r="E45" s="27">
        <f t="shared" si="21"/>
        <v>7.0499999999999993E-2</v>
      </c>
      <c r="F45" s="27">
        <f t="shared" si="22"/>
        <v>-1.1518108830086013</v>
      </c>
      <c r="G45" s="28">
        <f t="shared" si="23"/>
        <v>-0.56640235339732092</v>
      </c>
      <c r="H45" s="27">
        <f t="shared" si="24"/>
        <v>0.2713923781126707</v>
      </c>
      <c r="I45" s="41">
        <v>16</v>
      </c>
      <c r="J45" s="42">
        <f t="shared" si="25"/>
        <v>4.3422780498027311</v>
      </c>
      <c r="K45" s="30">
        <f t="shared" si="26"/>
        <v>0.43422780498027314</v>
      </c>
      <c r="L45" s="43">
        <f t="shared" si="27"/>
        <v>0.48367378679070733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44</v>
      </c>
      <c r="E49" s="20" t="s">
        <v>47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46</v>
      </c>
      <c r="L49" s="21" t="s">
        <v>45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3">
        <v>9.0999999999999998E-2</v>
      </c>
      <c r="C50" s="63">
        <v>9.8000000000000004E-2</v>
      </c>
      <c r="D50" s="27">
        <f t="shared" ref="D50:D55" si="28">AVERAGE(B50:C50)</f>
        <v>9.4500000000000001E-2</v>
      </c>
      <c r="E50" s="27">
        <f t="shared" ref="E50:E55" si="29">D50-E$8</f>
        <v>4.2999999999999997E-2</v>
      </c>
      <c r="F50" s="27">
        <f t="shared" ref="F50:F55" si="30">LOG(E50)</f>
        <v>-1.3665315444204136</v>
      </c>
      <c r="G50" s="28">
        <f t="shared" ref="G50:G55" si="31">(F50-$B$16)/$B$15</f>
        <v>-0.80569783089087188</v>
      </c>
      <c r="H50" s="27">
        <f t="shared" ref="H50:H55" si="32">10^G50</f>
        <v>0.15642356124556181</v>
      </c>
      <c r="I50" s="41">
        <v>16</v>
      </c>
      <c r="J50" s="42">
        <f t="shared" ref="J50:J55" si="33">H50*I50</f>
        <v>2.502776979928989</v>
      </c>
      <c r="K50" s="30">
        <f t="shared" ref="K50:K55" si="34">(0.1*J50/1000)*1000</f>
        <v>0.2502776979928989</v>
      </c>
      <c r="L50" s="43">
        <f t="shared" ref="L50:L55" si="35">K50*100/L31</f>
        <v>0.30773730945175093</v>
      </c>
      <c r="M50" s="30">
        <f>AVERAGE(L50:L52)</f>
        <v>0.50153815696787951</v>
      </c>
      <c r="N50" s="44">
        <f>STDEV(L50:L52)</f>
        <v>0.35445159530258213</v>
      </c>
      <c r="O50" s="48">
        <f t="shared" ref="O50:O55" si="36">L50/L40</f>
        <v>1.4694386709657392</v>
      </c>
      <c r="P50" s="30">
        <f>AVERAGE(O50:O52)</f>
        <v>2.3967423408566657</v>
      </c>
      <c r="Q50" s="44">
        <f>STDEV(O50:O52)</f>
        <v>1.5529888565760726</v>
      </c>
      <c r="S50"/>
      <c r="T50"/>
    </row>
    <row r="51" spans="1:25" ht="15">
      <c r="B51" s="63">
        <v>0.115</v>
      </c>
      <c r="C51" s="63">
        <v>0.127</v>
      </c>
      <c r="D51" s="27">
        <f t="shared" si="28"/>
        <v>0.121</v>
      </c>
      <c r="E51" s="27">
        <f t="shared" si="29"/>
        <v>6.9499999999999992E-2</v>
      </c>
      <c r="F51" s="27">
        <f t="shared" si="30"/>
        <v>-1.1580151954098861</v>
      </c>
      <c r="G51" s="28">
        <f t="shared" si="31"/>
        <v>-0.57331675040421703</v>
      </c>
      <c r="H51" s="27">
        <f t="shared" si="32"/>
        <v>0.2671057576220266</v>
      </c>
      <c r="I51" s="41">
        <v>16</v>
      </c>
      <c r="J51" s="42">
        <f t="shared" si="33"/>
        <v>4.2736921219524255</v>
      </c>
      <c r="K51" s="30">
        <f t="shared" si="34"/>
        <v>0.4273692121952426</v>
      </c>
      <c r="L51" s="43">
        <f t="shared" si="35"/>
        <v>0.28624175652834233</v>
      </c>
      <c r="M51" s="30"/>
      <c r="N51" s="44"/>
      <c r="O51" s="2">
        <f t="shared" si="36"/>
        <v>1.5311630760664305</v>
      </c>
      <c r="P51" s="30"/>
      <c r="Q51" s="44"/>
      <c r="S51"/>
      <c r="T51"/>
    </row>
    <row r="52" spans="1:25" ht="15">
      <c r="B52" s="63">
        <v>0.17199999999999999</v>
      </c>
      <c r="C52" s="63">
        <v>0.16200000000000001</v>
      </c>
      <c r="D52" s="27">
        <f t="shared" si="28"/>
        <v>0.16699999999999998</v>
      </c>
      <c r="E52" s="27">
        <f t="shared" si="29"/>
        <v>0.11549999999999998</v>
      </c>
      <c r="F52" s="27">
        <f t="shared" si="30"/>
        <v>-0.93741801577183692</v>
      </c>
      <c r="G52" s="28">
        <f t="shared" si="31"/>
        <v>-0.32747218617769486</v>
      </c>
      <c r="H52" s="27">
        <f t="shared" si="32"/>
        <v>0.4704655351112858</v>
      </c>
      <c r="I52" s="41">
        <v>16</v>
      </c>
      <c r="J52" s="42">
        <f t="shared" si="33"/>
        <v>7.5274485617805729</v>
      </c>
      <c r="K52" s="30">
        <f t="shared" si="34"/>
        <v>0.75274485617805731</v>
      </c>
      <c r="L52" s="43">
        <f t="shared" si="35"/>
        <v>0.91063540492354544</v>
      </c>
      <c r="M52" s="30"/>
      <c r="N52" s="44"/>
      <c r="O52" s="2">
        <f t="shared" si="36"/>
        <v>4.1896252755378267</v>
      </c>
      <c r="P52" s="30"/>
      <c r="Q52" s="44"/>
      <c r="S52"/>
      <c r="T52"/>
    </row>
    <row r="53" spans="1:25" ht="15">
      <c r="A53" s="1" t="s">
        <v>26</v>
      </c>
      <c r="B53" s="63">
        <v>0.17499999999999999</v>
      </c>
      <c r="C53" s="63">
        <v>0.185</v>
      </c>
      <c r="D53" s="27">
        <f t="shared" si="28"/>
        <v>0.18</v>
      </c>
      <c r="E53" s="27">
        <f t="shared" si="29"/>
        <v>0.1285</v>
      </c>
      <c r="F53" s="27">
        <f t="shared" si="30"/>
        <v>-0.89109687233268664</v>
      </c>
      <c r="G53" s="28">
        <f t="shared" si="31"/>
        <v>-0.27584958002308774</v>
      </c>
      <c r="H53" s="27">
        <f t="shared" si="32"/>
        <v>0.5298469271393117</v>
      </c>
      <c r="I53" s="41">
        <v>16</v>
      </c>
      <c r="J53" s="42">
        <f t="shared" si="33"/>
        <v>8.4775508342289871</v>
      </c>
      <c r="K53" s="30">
        <f t="shared" si="34"/>
        <v>0.84775508342289874</v>
      </c>
      <c r="L53" s="43">
        <f t="shared" si="35"/>
        <v>0.94131112583730669</v>
      </c>
      <c r="M53" s="30">
        <f>AVERAGE(L53:L55)</f>
        <v>1.2097461052260226</v>
      </c>
      <c r="N53" s="44">
        <f>STDEV(L53:L55)</f>
        <v>0.29584521994804258</v>
      </c>
      <c r="O53" s="2">
        <f t="shared" si="36"/>
        <v>2.1651875462022567</v>
      </c>
      <c r="P53" s="30">
        <f>AVERAGE(O53:O55)</f>
        <v>2.3712318384188329</v>
      </c>
      <c r="Q53" s="44">
        <f>STDEV(O53:O55)</f>
        <v>0.19314008899895935</v>
      </c>
      <c r="S53"/>
      <c r="T53"/>
    </row>
    <row r="54" spans="1:25" ht="15">
      <c r="A54" s="45"/>
      <c r="B54" s="63">
        <v>0.246</v>
      </c>
      <c r="C54" s="63">
        <v>0.253</v>
      </c>
      <c r="D54" s="27">
        <f t="shared" si="28"/>
        <v>0.2495</v>
      </c>
      <c r="E54" s="27">
        <f t="shared" si="29"/>
        <v>0.19800000000000001</v>
      </c>
      <c r="F54" s="27">
        <f t="shared" si="30"/>
        <v>-0.70333480973846885</v>
      </c>
      <c r="G54" s="28">
        <f t="shared" si="31"/>
        <v>-6.6598117549781385E-2</v>
      </c>
      <c r="H54" s="27">
        <f t="shared" si="32"/>
        <v>0.85783128814602272</v>
      </c>
      <c r="I54" s="41">
        <v>16</v>
      </c>
      <c r="J54" s="42">
        <f t="shared" si="33"/>
        <v>13.725300610336364</v>
      </c>
      <c r="K54" s="30">
        <f t="shared" si="34"/>
        <v>1.3725300610336364</v>
      </c>
      <c r="L54" s="43">
        <f t="shared" si="35"/>
        <v>1.5269428028827616</v>
      </c>
      <c r="M54" s="30"/>
      <c r="N54" s="44"/>
      <c r="O54" s="2">
        <f t="shared" si="36"/>
        <v>2.5481620775362996</v>
      </c>
      <c r="P54" s="30"/>
      <c r="Q54" s="44"/>
      <c r="S54"/>
      <c r="T54"/>
    </row>
    <row r="55" spans="1:25" ht="15">
      <c r="A55" s="46"/>
      <c r="B55" s="63">
        <v>0.214</v>
      </c>
      <c r="C55" s="63">
        <v>0.19700000000000001</v>
      </c>
      <c r="D55" s="27">
        <f t="shared" si="28"/>
        <v>0.20550000000000002</v>
      </c>
      <c r="E55" s="27">
        <f t="shared" si="29"/>
        <v>0.15400000000000003</v>
      </c>
      <c r="F55" s="27">
        <f t="shared" si="30"/>
        <v>-0.8124792791635369</v>
      </c>
      <c r="G55" s="28">
        <f t="shared" si="31"/>
        <v>-0.18823418999443872</v>
      </c>
      <c r="H55" s="27">
        <f t="shared" si="32"/>
        <v>0.64828475665475094</v>
      </c>
      <c r="I55" s="41">
        <v>16</v>
      </c>
      <c r="J55" s="42">
        <f t="shared" si="33"/>
        <v>10.372556106476015</v>
      </c>
      <c r="K55" s="30">
        <f t="shared" si="34"/>
        <v>1.0372556106476016</v>
      </c>
      <c r="L55" s="43">
        <f t="shared" si="35"/>
        <v>1.1609843869579994</v>
      </c>
      <c r="M55" s="30"/>
      <c r="N55" s="44"/>
      <c r="O55" s="2">
        <f t="shared" si="36"/>
        <v>2.4003458915179423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2.3967423408566657</v>
      </c>
      <c r="O58" s="30">
        <f>Q50</f>
        <v>1.5529888565760726</v>
      </c>
    </row>
    <row r="59" spans="1:25" ht="15">
      <c r="D59"/>
      <c r="E59"/>
      <c r="G59"/>
      <c r="M59" s="2" t="s">
        <v>26</v>
      </c>
      <c r="N59" s="30">
        <f>P53</f>
        <v>2.3712318384188329</v>
      </c>
      <c r="O59" s="30">
        <f>Q53</f>
        <v>0.19314008899895935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44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0.20457464684726501</v>
      </c>
      <c r="C65" s="30">
        <f>N40</f>
        <v>1.5774980753485365E-2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0.50153815696787951</v>
      </c>
      <c r="C66" s="30">
        <f>N50</f>
        <v>0.35445159530258213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0.50588495474404749</v>
      </c>
      <c r="C67" s="30">
        <f>N43</f>
        <v>8.4461969009711688E-2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1.2097461052260226</v>
      </c>
      <c r="C68" s="30">
        <f>N53</f>
        <v>0.29584521994804258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 s="2" customFormat="1">
      <c r="C97" s="47"/>
      <c r="D97" s="47"/>
      <c r="E97" s="61"/>
      <c r="F97" s="61"/>
    </row>
    <row r="98" spans="2:6" s="2" customFormat="1">
      <c r="C98" s="47"/>
      <c r="D98" s="47"/>
      <c r="E98" s="61"/>
      <c r="F98" s="61"/>
    </row>
    <row r="99" spans="2:6" s="2" customFormat="1">
      <c r="C99" s="47"/>
      <c r="D99" s="47"/>
      <c r="E99" s="61"/>
      <c r="F99" s="61"/>
    </row>
    <row r="100" spans="2:6" s="2" customFormat="1">
      <c r="C100" s="47"/>
      <c r="D100" s="47"/>
      <c r="E100" s="61"/>
      <c r="F100" s="61"/>
    </row>
    <row r="101" spans="2:6" s="2" customFormat="1">
      <c r="C101" s="47"/>
      <c r="D101" s="47"/>
      <c r="E101" s="61"/>
      <c r="F101" s="61"/>
    </row>
    <row r="102" spans="2:6" s="2" customFormat="1">
      <c r="C102" s="47"/>
      <c r="D102" s="47"/>
      <c r="E102" s="61"/>
      <c r="F102" s="61"/>
    </row>
    <row r="103" spans="2:6" s="2" customFormat="1">
      <c r="C103" s="47"/>
      <c r="D103" s="47"/>
      <c r="E103" s="61"/>
      <c r="F103" s="61"/>
    </row>
    <row r="104" spans="2:6" s="2" customFormat="1">
      <c r="C104" s="47"/>
      <c r="D104" s="47"/>
      <c r="E104" s="61"/>
      <c r="F104" s="61"/>
    </row>
    <row r="105" spans="2:6" s="2" customFormat="1">
      <c r="C105" s="47"/>
      <c r="D105" s="47"/>
      <c r="E105" s="61"/>
      <c r="F105" s="61"/>
    </row>
    <row r="106" spans="2:6" s="2" customFormat="1">
      <c r="C106" s="47"/>
    </row>
    <row r="107" spans="2:6" s="2" customFormat="1">
      <c r="C107" s="47"/>
    </row>
    <row r="108" spans="2:6" s="2" customFormat="1" ht="13.5" thickBot="1">
      <c r="B108" s="62"/>
      <c r="C108" s="62"/>
      <c r="D108" s="62"/>
      <c r="E108" s="62"/>
    </row>
    <row r="109" spans="2:6" s="2" customFormat="1">
      <c r="B109" s="61"/>
      <c r="C109" s="61"/>
      <c r="D109" s="61"/>
      <c r="E109" s="61"/>
    </row>
    <row r="110" spans="2:6" s="2" customFormat="1">
      <c r="B110" s="61"/>
      <c r="C110" s="61"/>
      <c r="D110" s="61"/>
      <c r="E110" s="61"/>
    </row>
    <row r="111" spans="2:6" s="2" customFormat="1">
      <c r="B111" s="61"/>
      <c r="C111" s="61"/>
      <c r="D111" s="61"/>
      <c r="E111" s="61"/>
    </row>
    <row r="112" spans="2:6" s="2" customFormat="1">
      <c r="B112" s="61"/>
      <c r="C112" s="61"/>
      <c r="D112" s="61"/>
      <c r="E112" s="61"/>
    </row>
    <row r="113" spans="2:5" s="2" customFormat="1">
      <c r="B113" s="61"/>
      <c r="C113" s="61"/>
      <c r="D113" s="61"/>
      <c r="E113" s="61"/>
    </row>
    <row r="114" spans="2:5" s="2" customFormat="1">
      <c r="B114" s="61"/>
      <c r="C114" s="61"/>
      <c r="D114" s="61"/>
      <c r="E114" s="61"/>
    </row>
    <row r="115" spans="2:5" s="2" customFormat="1">
      <c r="B115" s="61"/>
      <c r="C115" s="61"/>
      <c r="D115" s="61"/>
      <c r="E115" s="61"/>
    </row>
    <row r="116" spans="2:5" s="2" customFormat="1">
      <c r="B116" s="61"/>
      <c r="C116" s="61"/>
      <c r="D116" s="61"/>
      <c r="E116" s="61"/>
    </row>
    <row r="117" spans="2:5" s="2" customFormat="1">
      <c r="B117" s="61"/>
      <c r="C117" s="61"/>
      <c r="D117" s="61"/>
      <c r="E117" s="61"/>
    </row>
    <row r="118" spans="2:5" s="2" customFormat="1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siKCNJ11</vt:lpstr>
      <vt:lpstr>siTBC1D4</vt:lpstr>
      <vt:lpstr>siKCNJ11!Zone_d_impression</vt:lpstr>
      <vt:lpstr>siNTP!Zone_d_impression</vt:lpstr>
      <vt:lpstr>siTBC1D4!Zone_d_impression</vt:lpstr>
    </vt:vector>
  </TitlesOfParts>
  <Company>CNRS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fndiaye</cp:lastModifiedBy>
  <dcterms:created xsi:type="dcterms:W3CDTF">2015-12-08T15:20:20Z</dcterms:created>
  <dcterms:modified xsi:type="dcterms:W3CDTF">2016-05-12T08:53:31Z</dcterms:modified>
</cp:coreProperties>
</file>