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esktop\"/>
    </mc:Choice>
  </mc:AlternateContent>
  <bookViews>
    <workbookView xWindow="0" yWindow="0" windowWidth="28800" windowHeight="12435" activeTab="2"/>
  </bookViews>
  <sheets>
    <sheet name="siNTP" sheetId="1" r:id="rId1"/>
    <sheet name="siSSR1" sheetId="3" r:id="rId2"/>
    <sheet name="siSLC30A8" sheetId="4" r:id="rId3"/>
  </sheets>
  <externalReferences>
    <externalReference r:id="rId4"/>
  </externalReferences>
  <definedNames>
    <definedName name="_xlnm.Print_Area" localSheetId="0">siNTP!$A$6:$Q$83</definedName>
    <definedName name="_xlnm.Print_Area" localSheetId="2">siSLC30A8!$A$6:$Q$83</definedName>
    <definedName name="_xlnm.Print_Area" localSheetId="1">siSSR1!$A$6:$Q$83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E13" i="4"/>
  <c r="B13" i="4"/>
  <c r="G13" i="4" s="1"/>
  <c r="G12" i="4"/>
  <c r="E12" i="4"/>
  <c r="B12" i="4"/>
  <c r="E11" i="4"/>
  <c r="B11" i="4"/>
  <c r="G11" i="4" s="1"/>
  <c r="E10" i="4"/>
  <c r="B10" i="4"/>
  <c r="G10" i="4" s="1"/>
  <c r="G9" i="4"/>
  <c r="E9" i="4"/>
  <c r="F9" i="4" s="1"/>
  <c r="H9" i="4" s="1"/>
  <c r="B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G13" i="3"/>
  <c r="E13" i="3"/>
  <c r="B13" i="3"/>
  <c r="G12" i="3"/>
  <c r="E12" i="3"/>
  <c r="B12" i="3"/>
  <c r="E11" i="3"/>
  <c r="B11" i="3"/>
  <c r="G11" i="3" s="1"/>
  <c r="E10" i="3"/>
  <c r="B10" i="3"/>
  <c r="G10" i="3" s="1"/>
  <c r="E9" i="3"/>
  <c r="B9" i="3"/>
  <c r="G9" i="3" s="1"/>
  <c r="E8" i="3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B13" i="1"/>
  <c r="G13" i="1" s="1"/>
  <c r="G12" i="1"/>
  <c r="E12" i="1"/>
  <c r="B12" i="1"/>
  <c r="G11" i="1"/>
  <c r="E11" i="1"/>
  <c r="B11" i="1"/>
  <c r="E10" i="1"/>
  <c r="B10" i="1"/>
  <c r="G10" i="1" s="1"/>
  <c r="E9" i="1"/>
  <c r="B9" i="1"/>
  <c r="G9" i="1" s="1"/>
  <c r="E8" i="1"/>
  <c r="F10" i="3" l="1"/>
  <c r="H10" i="3" s="1"/>
  <c r="E32" i="3"/>
  <c r="F32" i="3" s="1"/>
  <c r="E43" i="3"/>
  <c r="F43" i="3" s="1"/>
  <c r="E51" i="3"/>
  <c r="F51" i="3" s="1"/>
  <c r="E40" i="4"/>
  <c r="F40" i="4" s="1"/>
  <c r="E45" i="4"/>
  <c r="F45" i="4" s="1"/>
  <c r="E24" i="4"/>
  <c r="F24" i="4" s="1"/>
  <c r="F9" i="3"/>
  <c r="H9" i="3" s="1"/>
  <c r="E26" i="3"/>
  <c r="F26" i="3" s="1"/>
  <c r="E40" i="3"/>
  <c r="F40" i="3" s="1"/>
  <c r="E42" i="3"/>
  <c r="F42" i="3" s="1"/>
  <c r="E54" i="3"/>
  <c r="F54" i="3" s="1"/>
  <c r="E54" i="1"/>
  <c r="F54" i="1" s="1"/>
  <c r="E52" i="3"/>
  <c r="F52" i="3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B15" i="4" s="1"/>
  <c r="E27" i="4"/>
  <c r="F27" i="4" s="1"/>
  <c r="E33" i="4"/>
  <c r="F33" i="4" s="1"/>
  <c r="E36" i="4"/>
  <c r="F36" i="4" s="1"/>
  <c r="E44" i="4"/>
  <c r="F44" i="4" s="1"/>
  <c r="E55" i="4"/>
  <c r="F55" i="4" s="1"/>
  <c r="F12" i="1"/>
  <c r="H12" i="1" s="1"/>
  <c r="E32" i="1"/>
  <c r="F32" i="1" s="1"/>
  <c r="E55" i="1"/>
  <c r="F55" i="1" s="1"/>
  <c r="E22" i="1"/>
  <c r="F22" i="1" s="1"/>
  <c r="F11" i="1"/>
  <c r="H11" i="1" s="1"/>
  <c r="B15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B16" i="1" l="1"/>
  <c r="G36" i="1" s="1"/>
  <c r="H36" i="1" s="1"/>
  <c r="J36" i="1" s="1"/>
  <c r="K36" i="1" s="1"/>
  <c r="B16" i="4"/>
  <c r="G42" i="4" s="1"/>
  <c r="H42" i="4" s="1"/>
  <c r="J42" i="4" s="1"/>
  <c r="K42" i="4" s="1"/>
  <c r="B16" i="3"/>
  <c r="B15" i="3"/>
  <c r="G53" i="1"/>
  <c r="H53" i="1" s="1"/>
  <c r="J53" i="1" s="1"/>
  <c r="K53" i="1" s="1"/>
  <c r="G22" i="1"/>
  <c r="H22" i="1" s="1"/>
  <c r="J22" i="1" s="1"/>
  <c r="K22" i="1" s="1"/>
  <c r="G45" i="1"/>
  <c r="H45" i="1" s="1"/>
  <c r="J45" i="1" s="1"/>
  <c r="K45" i="1" s="1"/>
  <c r="G42" i="1"/>
  <c r="H42" i="1" s="1"/>
  <c r="J42" i="1" s="1"/>
  <c r="K42" i="1" s="1"/>
  <c r="G34" i="1"/>
  <c r="H34" i="1" s="1"/>
  <c r="J34" i="1" s="1"/>
  <c r="K34" i="1" s="1"/>
  <c r="G44" i="1"/>
  <c r="H44" i="1" s="1"/>
  <c r="J44" i="1" s="1"/>
  <c r="K44" i="1" s="1"/>
  <c r="G24" i="1"/>
  <c r="H24" i="1" s="1"/>
  <c r="J24" i="1" s="1"/>
  <c r="K24" i="1" s="1"/>
  <c r="G33" i="1"/>
  <c r="H33" i="1" s="1"/>
  <c r="J33" i="1" s="1"/>
  <c r="K33" i="1" s="1"/>
  <c r="G43" i="1"/>
  <c r="H43" i="1" s="1"/>
  <c r="J43" i="1" s="1"/>
  <c r="K43" i="1" s="1"/>
  <c r="G23" i="1"/>
  <c r="H23" i="1" s="1"/>
  <c r="J23" i="1" s="1"/>
  <c r="K23" i="1" s="1"/>
  <c r="G25" i="1"/>
  <c r="H25" i="1" s="1"/>
  <c r="J25" i="1" s="1"/>
  <c r="K25" i="1" s="1"/>
  <c r="G26" i="1"/>
  <c r="H26" i="1" s="1"/>
  <c r="J26" i="1" s="1"/>
  <c r="K26" i="1" s="1"/>
  <c r="G27" i="1" l="1"/>
  <c r="H27" i="1" s="1"/>
  <c r="J27" i="1" s="1"/>
  <c r="K27" i="1" s="1"/>
  <c r="G54" i="1"/>
  <c r="H54" i="1" s="1"/>
  <c r="J54" i="1" s="1"/>
  <c r="K54" i="1" s="1"/>
  <c r="L26" i="1" s="1"/>
  <c r="G41" i="1"/>
  <c r="H41" i="1" s="1"/>
  <c r="J41" i="1" s="1"/>
  <c r="K41" i="1" s="1"/>
  <c r="L23" i="1" s="1"/>
  <c r="G31" i="1"/>
  <c r="H31" i="1" s="1"/>
  <c r="J31" i="1" s="1"/>
  <c r="K31" i="1" s="1"/>
  <c r="G52" i="1"/>
  <c r="H52" i="1" s="1"/>
  <c r="J52" i="1" s="1"/>
  <c r="K52" i="1" s="1"/>
  <c r="L33" i="1" s="1"/>
  <c r="G35" i="1"/>
  <c r="H35" i="1" s="1"/>
  <c r="J35" i="1" s="1"/>
  <c r="K35" i="1" s="1"/>
  <c r="G55" i="1"/>
  <c r="H55" i="1" s="1"/>
  <c r="J55" i="1" s="1"/>
  <c r="K55" i="1" s="1"/>
  <c r="L36" i="1" s="1"/>
  <c r="M36" i="1" s="1"/>
  <c r="G50" i="1"/>
  <c r="H50" i="1" s="1"/>
  <c r="J50" i="1" s="1"/>
  <c r="K50" i="1" s="1"/>
  <c r="G51" i="1"/>
  <c r="H51" i="1" s="1"/>
  <c r="J51" i="1" s="1"/>
  <c r="K51" i="1" s="1"/>
  <c r="L32" i="1" s="1"/>
  <c r="M32" i="1" s="1"/>
  <c r="G32" i="1"/>
  <c r="H32" i="1" s="1"/>
  <c r="J32" i="1" s="1"/>
  <c r="K32" i="1" s="1"/>
  <c r="G40" i="1"/>
  <c r="H40" i="1" s="1"/>
  <c r="J40" i="1" s="1"/>
  <c r="K40" i="1" s="1"/>
  <c r="L22" i="1" s="1"/>
  <c r="M22" i="1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L35" i="1"/>
  <c r="M35" i="1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27" i="1"/>
  <c r="M27" i="1" s="1"/>
  <c r="L25" i="1"/>
  <c r="M25" i="1" s="1"/>
  <c r="L34" i="1"/>
  <c r="M34" i="1" s="1"/>
  <c r="L31" i="1"/>
  <c r="M31" i="1" s="1"/>
  <c r="L27" i="4" l="1"/>
  <c r="M27" i="4" s="1"/>
  <c r="L31" i="4"/>
  <c r="M31" i="4" s="1"/>
  <c r="L22" i="4"/>
  <c r="M22" i="4" s="1"/>
  <c r="L34" i="4"/>
  <c r="M34" i="4" s="1"/>
  <c r="M26" i="1"/>
  <c r="L44" i="1"/>
  <c r="M33" i="1"/>
  <c r="L52" i="1"/>
  <c r="L24" i="1"/>
  <c r="M24" i="1" s="1"/>
  <c r="L33" i="4"/>
  <c r="L52" i="4" s="1"/>
  <c r="L32" i="4"/>
  <c r="L51" i="4" s="1"/>
  <c r="L25" i="4"/>
  <c r="M25" i="4" s="1"/>
  <c r="L36" i="4"/>
  <c r="M36" i="4" s="1"/>
  <c r="L26" i="4"/>
  <c r="M26" i="4" s="1"/>
  <c r="L23" i="4"/>
  <c r="M23" i="4" s="1"/>
  <c r="L24" i="4"/>
  <c r="L53" i="1"/>
  <c r="L54" i="1"/>
  <c r="O54" i="1" s="1"/>
  <c r="L50" i="4"/>
  <c r="L40" i="4"/>
  <c r="L51" i="1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53" i="4"/>
  <c r="L43" i="4"/>
  <c r="L31" i="3"/>
  <c r="M31" i="3" s="1"/>
  <c r="L34" i="3"/>
  <c r="M34" i="3" s="1"/>
  <c r="L32" i="3"/>
  <c r="M32" i="3" s="1"/>
  <c r="L27" i="3"/>
  <c r="M27" i="3" s="1"/>
  <c r="L50" i="1"/>
  <c r="M23" i="1"/>
  <c r="L41" i="1"/>
  <c r="L40" i="1"/>
  <c r="L45" i="1"/>
  <c r="L55" i="1"/>
  <c r="L43" i="1"/>
  <c r="L45" i="4" l="1"/>
  <c r="M33" i="4"/>
  <c r="L44" i="4"/>
  <c r="O54" i="4" s="1"/>
  <c r="M32" i="4"/>
  <c r="L43" i="3"/>
  <c r="L42" i="1"/>
  <c r="O52" i="1" s="1"/>
  <c r="L41" i="4"/>
  <c r="O51" i="4" s="1"/>
  <c r="L55" i="4"/>
  <c r="M53" i="4" s="1"/>
  <c r="B68" i="4" s="1"/>
  <c r="O51" i="1"/>
  <c r="N50" i="4"/>
  <c r="C66" i="4" s="1"/>
  <c r="L53" i="3"/>
  <c r="M24" i="4"/>
  <c r="L42" i="4"/>
  <c r="L52" i="3"/>
  <c r="O50" i="4"/>
  <c r="M50" i="4"/>
  <c r="B66" i="4" s="1"/>
  <c r="O55" i="1"/>
  <c r="L42" i="3"/>
  <c r="L40" i="3"/>
  <c r="L44" i="3"/>
  <c r="L55" i="3"/>
  <c r="L41" i="3"/>
  <c r="L54" i="3"/>
  <c r="L50" i="3"/>
  <c r="M43" i="4"/>
  <c r="B67" i="4" s="1"/>
  <c r="O53" i="4"/>
  <c r="N53" i="4"/>
  <c r="C68" i="4" s="1"/>
  <c r="O55" i="4"/>
  <c r="L45" i="3"/>
  <c r="L51" i="3"/>
  <c r="N53" i="1"/>
  <c r="C68" i="1" s="1"/>
  <c r="N50" i="1"/>
  <c r="C66" i="1" s="1"/>
  <c r="M50" i="1"/>
  <c r="B66" i="1" s="1"/>
  <c r="O50" i="1"/>
  <c r="M53" i="1"/>
  <c r="B68" i="1" s="1"/>
  <c r="N40" i="1"/>
  <c r="C65" i="1" s="1"/>
  <c r="M40" i="1"/>
  <c r="B65" i="1" s="1"/>
  <c r="N43" i="1"/>
  <c r="C67" i="1" s="1"/>
  <c r="M43" i="1"/>
  <c r="B67" i="1" s="1"/>
  <c r="O53" i="1"/>
  <c r="N40" i="4" l="1"/>
  <c r="C65" i="4" s="1"/>
  <c r="N43" i="4"/>
  <c r="C67" i="4" s="1"/>
  <c r="N53" i="3"/>
  <c r="C68" i="3" s="1"/>
  <c r="O54" i="3"/>
  <c r="N40" i="3"/>
  <c r="C65" i="3" s="1"/>
  <c r="O53" i="3"/>
  <c r="M53" i="3"/>
  <c r="B68" i="3" s="1"/>
  <c r="O52" i="3"/>
  <c r="O55" i="3"/>
  <c r="O52" i="4"/>
  <c r="Q50" i="4" s="1"/>
  <c r="O58" i="4" s="1"/>
  <c r="M40" i="4"/>
  <c r="B65" i="4" s="1"/>
  <c r="N43" i="3"/>
  <c r="C67" i="3" s="1"/>
  <c r="M50" i="3"/>
  <c r="B66" i="3" s="1"/>
  <c r="O50" i="3"/>
  <c r="P50" i="4"/>
  <c r="N58" i="4" s="1"/>
  <c r="M40" i="3"/>
  <c r="B65" i="3" s="1"/>
  <c r="O51" i="3"/>
  <c r="Q53" i="4"/>
  <c r="O59" i="4" s="1"/>
  <c r="P53" i="4"/>
  <c r="N59" i="4" s="1"/>
  <c r="N50" i="3"/>
  <c r="C66" i="3" s="1"/>
  <c r="Q53" i="3"/>
  <c r="O59" i="3" s="1"/>
  <c r="M43" i="3"/>
  <c r="B67" i="3" s="1"/>
  <c r="Q50" i="1"/>
  <c r="O58" i="1" s="1"/>
  <c r="P50" i="1"/>
  <c r="N58" i="1" s="1"/>
  <c r="Q53" i="1"/>
  <c r="O59" i="1" s="1"/>
  <c r="P53" i="1"/>
  <c r="N59" i="1" s="1"/>
  <c r="Q50" i="3" l="1"/>
  <c r="O58" i="3" s="1"/>
  <c r="P53" i="3"/>
  <c r="N59" i="3" s="1"/>
  <c r="P50" i="3"/>
  <c r="N58" i="3" s="1"/>
</calcChain>
</file>

<file path=xl/sharedStrings.xml><?xml version="1.0" encoding="utf-8"?>
<sst xmlns="http://schemas.openxmlformats.org/spreadsheetml/2006/main" count="300" uniqueCount="44">
  <si>
    <t>Date</t>
  </si>
  <si>
    <t>passage</t>
  </si>
  <si>
    <t>viabilité</t>
  </si>
  <si>
    <t>operateur</t>
  </si>
  <si>
    <t>Marlene</t>
  </si>
  <si>
    <t>J0</t>
  </si>
  <si>
    <t>J3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</si>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</sst>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78">
    <xf numFmtId="0" fontId="0" fillId="0" borderId="0" xfId="0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/>
    <xf numFmtId="0" fontId="2" fillId="0" borderId="1" xfId="1" applyFont="1" applyBorder="1" applyAlignment="1">
      <alignment horizontal="left"/>
    </xf>
    <xf numFmtId="0" fontId="6" fillId="0" borderId="1" xfId="1" applyFont="1" applyBorder="1" applyAlignment="1" applyProtection="1">
      <alignment horizontal="center"/>
    </xf>
    <xf numFmtId="0" fontId="6" fillId="0" borderId="3" xfId="1" applyFont="1" applyBorder="1" applyAlignment="1" applyProtection="1">
      <alignment horizontal="center"/>
      <protection locked="0"/>
    </xf>
    <xf numFmtId="0" fontId="6" fillId="0" borderId="4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1" fillId="0" borderId="0" xfId="2" applyFill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2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8" fillId="0" borderId="0" xfId="1" applyNumberFormat="1" applyFont="1" applyAlignment="1">
      <alignment horizontal="center"/>
    </xf>
    <xf numFmtId="2" fontId="10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1" fontId="2" fillId="0" borderId="0" xfId="1" applyNumberFormat="1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2" fontId="8" fillId="0" borderId="6" xfId="1" applyNumberFormat="1" applyFont="1" applyBorder="1" applyAlignment="1">
      <alignment horizontal="center"/>
    </xf>
    <xf numFmtId="0" fontId="2" fillId="0" borderId="9" xfId="1" applyFont="1" applyBorder="1" applyAlignment="1">
      <alignment horizontal="left"/>
    </xf>
    <xf numFmtId="0" fontId="2" fillId="0" borderId="10" xfId="1" applyFont="1" applyBorder="1" applyAlignment="1">
      <alignment horizontal="left"/>
    </xf>
    <xf numFmtId="1" fontId="2" fillId="0" borderId="0" xfId="1" applyNumberFormat="1" applyFont="1" applyBorder="1" applyAlignment="1">
      <alignment horizontal="center"/>
    </xf>
    <xf numFmtId="0" fontId="8" fillId="0" borderId="0" xfId="1" applyFont="1" applyFill="1" applyAlignment="1">
      <alignment horizontal="left"/>
    </xf>
    <xf numFmtId="0" fontId="8" fillId="0" borderId="11" xfId="1" applyFont="1" applyBorder="1" applyAlignment="1">
      <alignment horizontal="center"/>
    </xf>
    <xf numFmtId="2" fontId="8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left"/>
    </xf>
    <xf numFmtId="0" fontId="9" fillId="0" borderId="0" xfId="1" applyFont="1" applyAlignment="1">
      <alignment horizontal="left"/>
    </xf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8" fillId="0" borderId="0" xfId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4" fontId="8" fillId="0" borderId="0" xfId="1" applyNumberFormat="1" applyFont="1" applyBorder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0" borderId="11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3">
    <cellStyle name="Normal" xfId="0" builtinId="0"/>
    <cellStyle name="Normal 2 2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-1.1191864077192086</c:v>
                </c:pt>
                <c:pt idx="2">
                  <c:v>-0.62708799702989348</c:v>
                </c:pt>
                <c:pt idx="3">
                  <c:v>-8.1969663215119878E-2</c:v>
                </c:pt>
                <c:pt idx="4">
                  <c:v>0.20126053225079174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7064"/>
        <c:axId val="172701000"/>
      </c:scatterChart>
      <c:valAx>
        <c:axId val="172707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2701000"/>
        <c:crosses val="autoZero"/>
        <c:crossBetween val="midCat"/>
      </c:valAx>
      <c:valAx>
        <c:axId val="1727010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707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0.12110537081328006</c:v>
                  </c:pt>
                  <c:pt idx="1">
                    <c:v>0.63438682439124139</c:v>
                  </c:pt>
                  <c:pt idx="2">
                    <c:v>0.44799234830561308</c:v>
                  </c:pt>
                  <c:pt idx="3">
                    <c:v>1.1291306266139842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0.12110537081328006</c:v>
                  </c:pt>
                  <c:pt idx="1">
                    <c:v>0.63438682439124139</c:v>
                  </c:pt>
                  <c:pt idx="2">
                    <c:v>0.44799234830561308</c:v>
                  </c:pt>
                  <c:pt idx="3">
                    <c:v>1.1291306266139842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0.78723789213523376</c:v>
                </c:pt>
                <c:pt idx="1">
                  <c:v>2.0577263446827634</c:v>
                </c:pt>
                <c:pt idx="2">
                  <c:v>2.0906725801514132</c:v>
                </c:pt>
                <c:pt idx="3">
                  <c:v>6.07092893215383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02384"/>
        <c:axId val="173358560"/>
      </c:barChart>
      <c:catAx>
        <c:axId val="17270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358560"/>
        <c:crosses val="autoZero"/>
        <c:auto val="1"/>
        <c:lblAlgn val="ctr"/>
        <c:lblOffset val="100"/>
        <c:noMultiLvlLbl val="0"/>
      </c:catAx>
      <c:valAx>
        <c:axId val="173358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702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0.38396826799831052</c:v>
                  </c:pt>
                  <c:pt idx="1">
                    <c:v>0.16434112025658706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0.38396826799831052</c:v>
                  </c:pt>
                  <c:pt idx="1">
                    <c:v>0.16434112025658706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2.5747557677556525</c:v>
                </c:pt>
                <c:pt idx="1">
                  <c:v>2.9172335350505416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24608"/>
        <c:axId val="173119408"/>
      </c:barChart>
      <c:catAx>
        <c:axId val="1736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119408"/>
        <c:crosses val="autoZero"/>
        <c:auto val="1"/>
        <c:lblAlgn val="ctr"/>
        <c:lblOffset val="100"/>
        <c:noMultiLvlLbl val="0"/>
      </c:catAx>
      <c:valAx>
        <c:axId val="173119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3624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siSSR1!$G$9:$G$13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siSSR1!$H$9:$H$13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-1.1191864077192086</c:v>
                </c:pt>
                <c:pt idx="2">
                  <c:v>-0.62708799702989348</c:v>
                </c:pt>
                <c:pt idx="3">
                  <c:v>-8.1969663215119878E-2</c:v>
                </c:pt>
                <c:pt idx="4">
                  <c:v>0.20126053225079174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2648"/>
        <c:axId val="171462256"/>
      </c:scatterChart>
      <c:valAx>
        <c:axId val="171462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1462256"/>
        <c:crosses val="autoZero"/>
        <c:crossBetween val="midCat"/>
      </c:valAx>
      <c:valAx>
        <c:axId val="1714622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1462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siSSR1!$C$65:$C$68</c:f>
                <c:numCache>
                  <c:formatCode>General</c:formatCode>
                  <c:ptCount val="4"/>
                  <c:pt idx="0">
                    <c:v>0.23334794131520228</c:v>
                  </c:pt>
                  <c:pt idx="1">
                    <c:v>0.22492116755107822</c:v>
                  </c:pt>
                  <c:pt idx="2">
                    <c:v>0.3998582533123084</c:v>
                  </c:pt>
                  <c:pt idx="3">
                    <c:v>0.19000236041050955</c:v>
                  </c:pt>
                </c:numCache>
              </c:numRef>
            </c:plus>
            <c:minus>
              <c:numRef>
                <c:f>siSSR1!$C$65:$C$68</c:f>
                <c:numCache>
                  <c:formatCode>General</c:formatCode>
                  <c:ptCount val="4"/>
                  <c:pt idx="0">
                    <c:v>0.23334794131520228</c:v>
                  </c:pt>
                  <c:pt idx="1">
                    <c:v>0.22492116755107822</c:v>
                  </c:pt>
                  <c:pt idx="2">
                    <c:v>0.3998582533123084</c:v>
                  </c:pt>
                  <c:pt idx="3">
                    <c:v>0.19000236041050955</c:v>
                  </c:pt>
                </c:numCache>
              </c:numRef>
            </c:minus>
          </c:errBars>
          <c:cat>
            <c:strRef>
              <c:f>(siSSR1!$A$65,siSSR1!$A$66,siSSR1!$A$67,siSSR1!$A$68)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siSSR1!$B$65:$B$68</c:f>
              <c:numCache>
                <c:formatCode>0.0</c:formatCode>
                <c:ptCount val="4"/>
                <c:pt idx="0">
                  <c:v>0.8604767008145523</c:v>
                </c:pt>
                <c:pt idx="1">
                  <c:v>1.665941450091978</c:v>
                </c:pt>
                <c:pt idx="2">
                  <c:v>2.9401576354248253</c:v>
                </c:pt>
                <c:pt idx="3">
                  <c:v>7.55628303967785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61472"/>
        <c:axId val="171461080"/>
      </c:barChart>
      <c:catAx>
        <c:axId val="1714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1461080"/>
        <c:crosses val="autoZero"/>
        <c:auto val="1"/>
        <c:lblAlgn val="ctr"/>
        <c:lblOffset val="100"/>
        <c:noMultiLvlLbl val="0"/>
      </c:catAx>
      <c:valAx>
        <c:axId val="171461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siSSR1!$M$48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1461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siSSR1!$O$58:$O$59</c:f>
                <c:numCache>
                  <c:formatCode>General</c:formatCode>
                  <c:ptCount val="2"/>
                  <c:pt idx="0">
                    <c:v>0.77700073913052103</c:v>
                  </c:pt>
                  <c:pt idx="1">
                    <c:v>0.40804775353000799</c:v>
                  </c:pt>
                </c:numCache>
              </c:numRef>
            </c:plus>
            <c:minus>
              <c:numRef>
                <c:f>siSSR1!$O$58:$O$59</c:f>
                <c:numCache>
                  <c:formatCode>General</c:formatCode>
                  <c:ptCount val="2"/>
                  <c:pt idx="0">
                    <c:v>0.77700073913052103</c:v>
                  </c:pt>
                  <c:pt idx="1">
                    <c:v>0.40804775353000799</c:v>
                  </c:pt>
                </c:numCache>
              </c:numRef>
            </c:minus>
          </c:errBars>
          <c:cat>
            <c:strRef>
              <c:f>siSSR1!$M$58:$M$59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siSSR1!$N$58:$N$59</c:f>
              <c:numCache>
                <c:formatCode>0.0</c:formatCode>
                <c:ptCount val="2"/>
                <c:pt idx="0">
                  <c:v>2.0744288566771281</c:v>
                </c:pt>
                <c:pt idx="1">
                  <c:v>2.6070144884117843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1224"/>
        <c:axId val="172971616"/>
      </c:barChart>
      <c:catAx>
        <c:axId val="17297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971616"/>
        <c:crosses val="autoZero"/>
        <c:auto val="1"/>
        <c:lblAlgn val="ctr"/>
        <c:lblOffset val="100"/>
        <c:noMultiLvlLbl val="0"/>
      </c:catAx>
      <c:valAx>
        <c:axId val="172971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siSSR1!$M$57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971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siSLC30A8!$G$9:$G$13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siSLC30A8!$H$9:$H$13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-1.1191864077192086</c:v>
                </c:pt>
                <c:pt idx="2">
                  <c:v>-0.62708799702989348</c:v>
                </c:pt>
                <c:pt idx="3">
                  <c:v>-8.1969663215119878E-2</c:v>
                </c:pt>
                <c:pt idx="4">
                  <c:v>0.20126053225079174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72792"/>
        <c:axId val="172973184"/>
      </c:scatterChart>
      <c:valAx>
        <c:axId val="172972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2973184"/>
        <c:crosses val="autoZero"/>
        <c:crossBetween val="midCat"/>
      </c:valAx>
      <c:valAx>
        <c:axId val="1729731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972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siSLC30A8!$C$65:$C$68</c:f>
                <c:numCache>
                  <c:formatCode>General</c:formatCode>
                  <c:ptCount val="4"/>
                  <c:pt idx="0">
                    <c:v>0.12050836292910135</c:v>
                  </c:pt>
                  <c:pt idx="1">
                    <c:v>0.19384835035003734</c:v>
                  </c:pt>
                  <c:pt idx="2">
                    <c:v>0.35807146979667542</c:v>
                  </c:pt>
                  <c:pt idx="3">
                    <c:v>0.27482588672802005</c:v>
                  </c:pt>
                </c:numCache>
              </c:numRef>
            </c:plus>
            <c:minus>
              <c:numRef>
                <c:f>siSLC30A8!$C$65:$C$68</c:f>
                <c:numCache>
                  <c:formatCode>General</c:formatCode>
                  <c:ptCount val="4"/>
                  <c:pt idx="0">
                    <c:v>0.12050836292910135</c:v>
                  </c:pt>
                  <c:pt idx="1">
                    <c:v>0.19384835035003734</c:v>
                  </c:pt>
                  <c:pt idx="2">
                    <c:v>0.35807146979667542</c:v>
                  </c:pt>
                  <c:pt idx="3">
                    <c:v>0.27482588672802005</c:v>
                  </c:pt>
                </c:numCache>
              </c:numRef>
            </c:minus>
          </c:errBars>
          <c:cat>
            <c:strRef>
              <c:f>(siSLC30A8!$A$65,siSLC30A8!$A$66,siSLC30A8!$A$67,siSLC30A8!$A$68)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siSLC30A8!$B$65:$B$68</c:f>
              <c:numCache>
                <c:formatCode>0.0</c:formatCode>
                <c:ptCount val="4"/>
                <c:pt idx="0">
                  <c:v>0.79155016679818146</c:v>
                </c:pt>
                <c:pt idx="1">
                  <c:v>1.1178056787447137</c:v>
                </c:pt>
                <c:pt idx="2">
                  <c:v>1.8509397361171356</c:v>
                </c:pt>
                <c:pt idx="3">
                  <c:v>4.7804172794969606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3968"/>
        <c:axId val="172974360"/>
      </c:barChart>
      <c:catAx>
        <c:axId val="17297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974360"/>
        <c:crosses val="autoZero"/>
        <c:auto val="1"/>
        <c:lblAlgn val="ctr"/>
        <c:lblOffset val="100"/>
        <c:noMultiLvlLbl val="0"/>
      </c:catAx>
      <c:valAx>
        <c:axId val="172974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2973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siSLC30A8!$O$58:$O$59</c:f>
                <c:numCache>
                  <c:formatCode>General</c:formatCode>
                  <c:ptCount val="2"/>
                  <c:pt idx="0">
                    <c:v>0.42578272965002617</c:v>
                  </c:pt>
                  <c:pt idx="1">
                    <c:v>0.50822809286787873</c:v>
                  </c:pt>
                </c:numCache>
              </c:numRef>
            </c:plus>
            <c:minus>
              <c:numRef>
                <c:f>siSLC30A8!$O$58:$O$59</c:f>
                <c:numCache>
                  <c:formatCode>General</c:formatCode>
                  <c:ptCount val="2"/>
                  <c:pt idx="0">
                    <c:v>0.42578272965002617</c:v>
                  </c:pt>
                  <c:pt idx="1">
                    <c:v>0.50822809286787873</c:v>
                  </c:pt>
                </c:numCache>
              </c:numRef>
            </c:minus>
          </c:errBars>
          <c:cat>
            <c:strRef>
              <c:f>siSLC30A8!$M$58:$M$59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siSLC30A8!$N$58:$N$59</c:f>
              <c:numCache>
                <c:formatCode>0.0</c:formatCode>
                <c:ptCount val="2"/>
                <c:pt idx="0">
                  <c:v>1.4549222361880958</c:v>
                </c:pt>
                <c:pt idx="1">
                  <c:v>2.6450270968402703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0088"/>
        <c:axId val="174110480"/>
      </c:barChart>
      <c:catAx>
        <c:axId val="17411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4110480"/>
        <c:crosses val="autoZero"/>
        <c:auto val="1"/>
        <c:lblAlgn val="ctr"/>
        <c:lblOffset val="100"/>
        <c:noMultiLvlLbl val="0"/>
      </c:catAx>
      <c:valAx>
        <c:axId val="174110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41100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2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9" customWidth="1"/>
    <col min="2" max="2" width="9" style="11" bestFit="1" customWidth="1"/>
    <col min="3" max="3" width="11.875" style="11" bestFit="1" customWidth="1"/>
    <col min="4" max="5" width="6" style="11" bestFit="1" customWidth="1"/>
    <col min="6" max="8" width="11" style="11" bestFit="1" customWidth="1"/>
    <col min="9" max="9" width="12.125" style="11" bestFit="1" customWidth="1"/>
    <col min="10" max="10" width="12" style="11" bestFit="1" customWidth="1"/>
    <col min="11" max="11" width="12.125" style="11" bestFit="1" customWidth="1"/>
    <col min="12" max="12" width="13" style="11" bestFit="1" customWidth="1"/>
    <col min="13" max="13" width="14.875" style="11" bestFit="1" customWidth="1"/>
    <col min="14" max="14" width="13.75" style="11" bestFit="1" customWidth="1"/>
    <col min="15" max="15" width="14" style="11" customWidth="1"/>
    <col min="16" max="16" width="11.375" style="11" customWidth="1"/>
    <col min="17" max="17" width="10.375" style="11" bestFit="1" customWidth="1"/>
    <col min="18" max="16384" width="8.75" style="11"/>
  </cols>
  <sheetData>
    <row r="1" spans="1:20" s="3" customFormat="1" x14ac:dyDescent="0.2">
      <c r="A1" s="1" t="s">
        <v>0</v>
      </c>
      <c r="B1" s="2">
        <v>42346</v>
      </c>
    </row>
    <row r="2" spans="1:20" s="3" customFormat="1" x14ac:dyDescent="0.2">
      <c r="A2" s="1" t="s">
        <v>1</v>
      </c>
      <c r="B2" s="3">
        <v>76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">
        <v>225472</v>
      </c>
      <c r="F3" s="7">
        <v>224288</v>
      </c>
    </row>
    <row r="4" spans="1:20" s="3" customFormat="1" ht="15" x14ac:dyDescent="0.3">
      <c r="A4" s="1"/>
      <c r="D4" s="6" t="s">
        <v>6</v>
      </c>
      <c r="E4" s="7">
        <v>224736</v>
      </c>
      <c r="F4" s="7">
        <v>231800</v>
      </c>
    </row>
    <row r="5" spans="1:20" s="3" customFormat="1" x14ac:dyDescent="0.2">
      <c r="A5" s="1"/>
      <c r="D5" s="8"/>
      <c r="F5" s="8"/>
    </row>
    <row r="6" spans="1:20" ht="15" x14ac:dyDescent="0.3">
      <c r="B6" s="10"/>
      <c r="C6" s="10"/>
      <c r="D6" s="10"/>
      <c r="N6" s="12"/>
      <c r="O6" s="12"/>
      <c r="P6" s="12"/>
    </row>
    <row r="7" spans="1:20" ht="15" x14ac:dyDescent="0.3">
      <c r="A7" s="13" t="s">
        <v>7</v>
      </c>
      <c r="B7" s="14" t="s">
        <v>8</v>
      </c>
      <c r="C7" s="15" t="s">
        <v>9</v>
      </c>
      <c r="D7" s="15"/>
      <c r="E7" s="16" t="s">
        <v>10</v>
      </c>
      <c r="F7" s="17" t="s">
        <v>11</v>
      </c>
      <c r="G7" s="18" t="s">
        <v>12</v>
      </c>
      <c r="H7" s="18" t="s">
        <v>13</v>
      </c>
      <c r="N7" s="12"/>
      <c r="O7" s="12"/>
      <c r="P7" s="12"/>
    </row>
    <row r="8" spans="1:20" ht="15" x14ac:dyDescent="0.3">
      <c r="A8" s="77">
        <v>0</v>
      </c>
      <c r="B8" s="18">
        <v>0</v>
      </c>
      <c r="C8">
        <v>4.9000000000000002E-2</v>
      </c>
      <c r="D8">
        <v>4.9000000000000002E-2</v>
      </c>
      <c r="E8" s="19">
        <f t="shared" ref="E8:E13" si="0">AVERAGE(C8:D8)</f>
        <v>4.9000000000000002E-2</v>
      </c>
      <c r="F8" s="20"/>
      <c r="G8" s="18"/>
      <c r="H8" s="18"/>
      <c r="N8" s="12"/>
      <c r="O8" s="12"/>
      <c r="P8" s="12"/>
    </row>
    <row r="9" spans="1:20" ht="15" x14ac:dyDescent="0.3">
      <c r="A9" s="77">
        <v>3</v>
      </c>
      <c r="B9" s="20">
        <f>A9/23</f>
        <v>0.13043478260869565</v>
      </c>
      <c r="C9">
        <v>7.0999999999999994E-2</v>
      </c>
      <c r="D9">
        <v>7.0999999999999994E-2</v>
      </c>
      <c r="E9" s="19">
        <f t="shared" si="0"/>
        <v>7.0999999999999994E-2</v>
      </c>
      <c r="F9" s="20">
        <f>(E9-$E$8)</f>
        <v>2.1999999999999992E-2</v>
      </c>
      <c r="G9" s="20">
        <f>LOG(B9)</f>
        <v>-0.88460658129793046</v>
      </c>
      <c r="H9" s="20">
        <f>LOG(F9)</f>
        <v>-1.6575773191777938</v>
      </c>
      <c r="N9" s="12"/>
      <c r="O9" s="12"/>
      <c r="P9" s="12"/>
    </row>
    <row r="10" spans="1:20" ht="15" x14ac:dyDescent="0.3">
      <c r="A10" s="77">
        <v>9.74</v>
      </c>
      <c r="B10" s="20">
        <f t="shared" ref="B10:B13" si="1">A10/23</f>
        <v>0.42347826086956525</v>
      </c>
      <c r="C10">
        <v>0.123</v>
      </c>
      <c r="D10">
        <v>0.127</v>
      </c>
      <c r="E10" s="19">
        <f t="shared" si="0"/>
        <v>0.125</v>
      </c>
      <c r="F10" s="20">
        <f>(E10-$E$8)</f>
        <v>7.5999999999999998E-2</v>
      </c>
      <c r="G10" s="20">
        <f>LOG(B10)</f>
        <v>-0.37316887913897734</v>
      </c>
      <c r="H10" s="20">
        <f>LOG(F10)</f>
        <v>-1.1191864077192086</v>
      </c>
      <c r="N10" s="12"/>
      <c r="O10" s="12"/>
      <c r="P10" s="12"/>
    </row>
    <row r="11" spans="1:20" ht="15" x14ac:dyDescent="0.3">
      <c r="A11" s="77">
        <v>29.8</v>
      </c>
      <c r="B11" s="20">
        <f t="shared" si="1"/>
        <v>1.2956521739130435</v>
      </c>
      <c r="C11">
        <v>0.28599999999999998</v>
      </c>
      <c r="D11">
        <v>0.28399999999999997</v>
      </c>
      <c r="E11" s="19">
        <f t="shared" si="0"/>
        <v>0.28499999999999998</v>
      </c>
      <c r="F11" s="20">
        <f>(E11-$E$8)</f>
        <v>0.23599999999999999</v>
      </c>
      <c r="G11" s="20">
        <f>LOG(B11)</f>
        <v>0.11248842805866238</v>
      </c>
      <c r="H11" s="20">
        <f>LOG(F11)</f>
        <v>-0.62708799702989348</v>
      </c>
      <c r="N11" s="12"/>
      <c r="O11" s="12"/>
      <c r="P11" s="12"/>
      <c r="Q11" s="12"/>
      <c r="R11" s="12"/>
      <c r="S11" s="12"/>
      <c r="T11" s="12"/>
    </row>
    <row r="12" spans="1:20" ht="15" x14ac:dyDescent="0.3">
      <c r="A12" s="77">
        <v>104</v>
      </c>
      <c r="B12" s="20">
        <f t="shared" si="1"/>
        <v>4.5217391304347823</v>
      </c>
      <c r="C12">
        <v>0.874</v>
      </c>
      <c r="D12">
        <v>0.88</v>
      </c>
      <c r="E12" s="19">
        <f t="shared" si="0"/>
        <v>0.877</v>
      </c>
      <c r="F12" s="20">
        <f>(E12-$E$8)</f>
        <v>0.82799999999999996</v>
      </c>
      <c r="G12" s="20">
        <f>LOG(B12)</f>
        <v>0.65530550328118742</v>
      </c>
      <c r="H12" s="20">
        <f>LOG(F12)</f>
        <v>-8.1969663215119878E-2</v>
      </c>
      <c r="N12" s="12"/>
      <c r="O12" s="12"/>
      <c r="P12" s="12"/>
      <c r="Q12" s="12"/>
      <c r="R12" s="12"/>
      <c r="S12" s="12"/>
      <c r="T12" s="12"/>
    </row>
    <row r="13" spans="1:20" ht="15" x14ac:dyDescent="0.3">
      <c r="A13" s="77">
        <v>207</v>
      </c>
      <c r="B13" s="20">
        <f t="shared" si="1"/>
        <v>9</v>
      </c>
      <c r="C13">
        <v>1.6140000000000001</v>
      </c>
      <c r="D13">
        <v>1.663</v>
      </c>
      <c r="E13" s="19">
        <f t="shared" si="0"/>
        <v>1.6385000000000001</v>
      </c>
      <c r="F13" s="20">
        <f>(E13-$E$8)</f>
        <v>1.5895000000000001</v>
      </c>
      <c r="G13" s="20">
        <f>LOG(B13)</f>
        <v>0.95424250943932487</v>
      </c>
      <c r="H13" s="20">
        <f>LOG(F13)</f>
        <v>0.20126053225079174</v>
      </c>
      <c r="N13" s="12"/>
    </row>
    <row r="14" spans="1:20" ht="15" x14ac:dyDescent="0.3">
      <c r="N14" s="12"/>
    </row>
    <row r="15" spans="1:20" ht="15" x14ac:dyDescent="0.3">
      <c r="A15" s="13" t="s">
        <v>14</v>
      </c>
      <c r="B15" s="19">
        <f>SLOPE(H9:H13,G9:G13)</f>
        <v>1.0113789299449296</v>
      </c>
      <c r="N15" s="12"/>
    </row>
    <row r="16" spans="1:20" ht="15" x14ac:dyDescent="0.25">
      <c r="A16" s="13" t="s">
        <v>15</v>
      </c>
      <c r="B16" s="19">
        <f>INTERCEPT(H9:H13,G9:G13)</f>
        <v>-0.7508209256809939</v>
      </c>
      <c r="C16" s="21"/>
      <c r="G16" s="21"/>
      <c r="H16" s="21"/>
    </row>
    <row r="17" spans="1:17" ht="15" x14ac:dyDescent="0.3">
      <c r="B17" s="12"/>
      <c r="C17" s="12"/>
      <c r="D17" s="12"/>
      <c r="E17" s="12"/>
      <c r="F17" s="12"/>
      <c r="G17" s="12"/>
    </row>
    <row r="18" spans="1:17" ht="15" x14ac:dyDescent="0.3">
      <c r="B18" s="12"/>
      <c r="C18" s="12"/>
      <c r="D18" s="12"/>
      <c r="E18" s="12"/>
      <c r="F18" s="12"/>
      <c r="G18" s="12"/>
    </row>
    <row r="19" spans="1:17" ht="23.25" x14ac:dyDescent="0.35">
      <c r="A19" s="22" t="s">
        <v>16</v>
      </c>
      <c r="B19" s="23"/>
      <c r="C19" s="23"/>
      <c r="K19" s="24"/>
      <c r="L19" s="25" t="s">
        <v>17</v>
      </c>
      <c r="M19" s="26"/>
    </row>
    <row r="20" spans="1:17" s="25" customFormat="1" x14ac:dyDescent="0.2">
      <c r="A20" s="27" t="s">
        <v>18</v>
      </c>
      <c r="B20" s="17" t="s">
        <v>19</v>
      </c>
      <c r="C20" s="17" t="s">
        <v>19</v>
      </c>
      <c r="D20" s="17" t="s">
        <v>20</v>
      </c>
      <c r="E20" s="28" t="s">
        <v>21</v>
      </c>
      <c r="F20" s="29" t="s">
        <v>13</v>
      </c>
      <c r="G20" s="29" t="s">
        <v>22</v>
      </c>
      <c r="H20" s="29" t="s">
        <v>23</v>
      </c>
      <c r="I20" s="17" t="s">
        <v>24</v>
      </c>
      <c r="J20" s="29" t="s">
        <v>25</v>
      </c>
      <c r="K20" s="29" t="s">
        <v>26</v>
      </c>
      <c r="L20" s="29" t="s">
        <v>27</v>
      </c>
      <c r="M20" s="30" t="s">
        <v>28</v>
      </c>
    </row>
    <row r="21" spans="1:17" s="32" customFormat="1" x14ac:dyDescent="0.2">
      <c r="A21" s="31"/>
      <c r="L21" s="33"/>
      <c r="M21" s="34"/>
    </row>
    <row r="22" spans="1:17" ht="15" x14ac:dyDescent="0.3">
      <c r="A22" s="9" t="s">
        <v>29</v>
      </c>
      <c r="B22">
        <v>0.376</v>
      </c>
      <c r="C22">
        <v>0.39600000000000002</v>
      </c>
      <c r="D22" s="35">
        <f t="shared" ref="D22:D27" si="2">AVERAGE(B22:C22)</f>
        <v>0.38600000000000001</v>
      </c>
      <c r="E22" s="35">
        <f t="shared" ref="E22:E27" si="3">D22-E$8</f>
        <v>0.33700000000000002</v>
      </c>
      <c r="F22" s="35">
        <f>LOG(E22)</f>
        <v>-0.47237009912866135</v>
      </c>
      <c r="G22" s="36">
        <f>(F22-$B$16)/$B$15</f>
        <v>0.27531800229167758</v>
      </c>
      <c r="H22" s="36">
        <f>10^G22</f>
        <v>1.8850288539341993</v>
      </c>
      <c r="I22" s="37">
        <v>500</v>
      </c>
      <c r="J22" s="38">
        <f>(H22*I22)</f>
        <v>942.51442696709967</v>
      </c>
      <c r="K22" s="38">
        <f>(0.05*J22/1000)*1000</f>
        <v>47.125721348354986</v>
      </c>
      <c r="L22" s="39">
        <f>K22+K40+K50</f>
        <v>48.924200448712966</v>
      </c>
      <c r="M22" s="40">
        <f>(L22*1000000/50000)/1000</f>
        <v>0.97848400897425936</v>
      </c>
      <c r="N22" s="41"/>
    </row>
    <row r="23" spans="1:17" ht="15" x14ac:dyDescent="0.3">
      <c r="B23">
        <v>0.39100000000000001</v>
      </c>
      <c r="C23">
        <v>0.377</v>
      </c>
      <c r="D23" s="35">
        <f t="shared" si="2"/>
        <v>0.38400000000000001</v>
      </c>
      <c r="E23" s="35">
        <f t="shared" si="3"/>
        <v>0.33500000000000002</v>
      </c>
      <c r="F23" s="35">
        <f t="shared" ref="F23:F27" si="4">LOG(E23)</f>
        <v>-0.47495519296315475</v>
      </c>
      <c r="G23" s="36">
        <f t="shared" ref="G23:G27" si="5">(F23-$B$16)/$B$15</f>
        <v>0.27276199310663934</v>
      </c>
      <c r="H23" s="36">
        <f t="shared" ref="H23:H27" si="6">10^G23</f>
        <v>1.8739672342331182</v>
      </c>
      <c r="I23" s="37">
        <v>500</v>
      </c>
      <c r="J23" s="38">
        <f t="shared" ref="J23:J27" si="7">(H23*I23)</f>
        <v>936.98361711655912</v>
      </c>
      <c r="K23" s="38">
        <f t="shared" ref="K23:K27" si="8">(0.05*J23/1000)*1000</f>
        <v>46.84918085582796</v>
      </c>
      <c r="L23" s="39">
        <f>K23+K41+K51</f>
        <v>47.934249960930913</v>
      </c>
      <c r="M23" s="40">
        <f t="shared" ref="M23:M27" si="9">(L23*1000000/50000)/1000</f>
        <v>0.95868499921861827</v>
      </c>
      <c r="N23" s="41"/>
    </row>
    <row r="24" spans="1:17" ht="15" x14ac:dyDescent="0.3">
      <c r="B24">
        <v>0.39600000000000002</v>
      </c>
      <c r="C24">
        <v>0.39500000000000002</v>
      </c>
      <c r="D24" s="35">
        <f t="shared" si="2"/>
        <v>0.39550000000000002</v>
      </c>
      <c r="E24" s="35">
        <f t="shared" si="3"/>
        <v>0.34650000000000003</v>
      </c>
      <c r="F24" s="35">
        <f t="shared" si="4"/>
        <v>-0.46029676105217443</v>
      </c>
      <c r="G24" s="36">
        <f t="shared" si="5"/>
        <v>0.28725550436831698</v>
      </c>
      <c r="H24" s="36">
        <f t="shared" si="6"/>
        <v>1.9375615359648006</v>
      </c>
      <c r="I24" s="37">
        <v>500</v>
      </c>
      <c r="J24" s="38">
        <f t="shared" si="7"/>
        <v>968.78076798240033</v>
      </c>
      <c r="K24" s="38">
        <f t="shared" si="8"/>
        <v>48.439038399120022</v>
      </c>
      <c r="L24" s="39">
        <f t="shared" ref="L24:L27" si="10">K24+K42+K52</f>
        <v>49.704028734869844</v>
      </c>
      <c r="M24" s="40">
        <f t="shared" si="9"/>
        <v>0.99408057469739686</v>
      </c>
      <c r="N24" s="41"/>
    </row>
    <row r="25" spans="1:17" ht="15" x14ac:dyDescent="0.3">
      <c r="A25" s="9" t="s">
        <v>30</v>
      </c>
      <c r="B25">
        <v>0.35399999999999998</v>
      </c>
      <c r="C25">
        <v>0.36399999999999999</v>
      </c>
      <c r="D25" s="35">
        <f t="shared" si="2"/>
        <v>0.35899999999999999</v>
      </c>
      <c r="E25" s="35">
        <f t="shared" si="3"/>
        <v>0.31</v>
      </c>
      <c r="F25" s="35">
        <f t="shared" si="4"/>
        <v>-0.50863830616572736</v>
      </c>
      <c r="G25" s="36">
        <f t="shared" si="5"/>
        <v>0.23945784546693452</v>
      </c>
      <c r="H25" s="36">
        <f t="shared" si="6"/>
        <v>1.735632786540984</v>
      </c>
      <c r="I25" s="37">
        <v>500</v>
      </c>
      <c r="J25" s="38">
        <f t="shared" si="7"/>
        <v>867.81639327049197</v>
      </c>
      <c r="K25" s="38">
        <f t="shared" si="8"/>
        <v>43.390819663524603</v>
      </c>
      <c r="L25" s="39">
        <f t="shared" si="10"/>
        <v>46.319303372104955</v>
      </c>
      <c r="M25" s="40">
        <f t="shared" si="9"/>
        <v>0.92638606744209917</v>
      </c>
      <c r="N25" s="41"/>
    </row>
    <row r="26" spans="1:17" ht="15" x14ac:dyDescent="0.3">
      <c r="B26">
        <v>0.34799999999999998</v>
      </c>
      <c r="C26">
        <v>0.32500000000000001</v>
      </c>
      <c r="D26" s="35">
        <f t="shared" si="2"/>
        <v>0.33650000000000002</v>
      </c>
      <c r="E26" s="35">
        <f t="shared" si="3"/>
        <v>0.28750000000000003</v>
      </c>
      <c r="F26" s="35">
        <f t="shared" si="4"/>
        <v>-0.5413621509743507</v>
      </c>
      <c r="G26" s="36">
        <f t="shared" si="5"/>
        <v>0.20710217358201086</v>
      </c>
      <c r="H26" s="36">
        <f t="shared" si="6"/>
        <v>1.6110246056703712</v>
      </c>
      <c r="I26" s="37">
        <v>500</v>
      </c>
      <c r="J26" s="38">
        <f t="shared" si="7"/>
        <v>805.51230283518555</v>
      </c>
      <c r="K26" s="38">
        <f t="shared" si="8"/>
        <v>40.275615141759282</v>
      </c>
      <c r="L26" s="39">
        <f t="shared" si="10"/>
        <v>44.044499587426472</v>
      </c>
      <c r="M26" s="40">
        <f t="shared" si="9"/>
        <v>0.88088999174852933</v>
      </c>
      <c r="N26" s="41"/>
    </row>
    <row r="27" spans="1:17" ht="15" x14ac:dyDescent="0.3">
      <c r="B27">
        <v>0.34699999999999998</v>
      </c>
      <c r="C27">
        <v>0.34200000000000003</v>
      </c>
      <c r="D27" s="35">
        <f t="shared" si="2"/>
        <v>0.34450000000000003</v>
      </c>
      <c r="E27" s="35">
        <f t="shared" si="3"/>
        <v>0.29550000000000004</v>
      </c>
      <c r="F27" s="35">
        <f t="shared" si="4"/>
        <v>-0.52944251478272575</v>
      </c>
      <c r="G27" s="36">
        <f t="shared" si="5"/>
        <v>0.21888770305934926</v>
      </c>
      <c r="H27" s="36">
        <f t="shared" si="6"/>
        <v>1.6553418809774567</v>
      </c>
      <c r="I27" s="37">
        <v>500</v>
      </c>
      <c r="J27" s="38">
        <f t="shared" si="7"/>
        <v>827.67094048872832</v>
      </c>
      <c r="K27" s="38">
        <f t="shared" si="8"/>
        <v>41.383547024436417</v>
      </c>
      <c r="L27" s="39">
        <f t="shared" si="10"/>
        <v>45.584096559218885</v>
      </c>
      <c r="M27" s="40">
        <f t="shared" si="9"/>
        <v>0.91168193118437757</v>
      </c>
      <c r="N27" s="41"/>
    </row>
    <row r="28" spans="1:17" ht="23.25" x14ac:dyDescent="0.35">
      <c r="A28" s="22" t="s">
        <v>16</v>
      </c>
      <c r="B28" s="73"/>
      <c r="C28" s="73"/>
      <c r="I28" s="37"/>
      <c r="J28" s="37"/>
      <c r="K28" s="42"/>
      <c r="L28" s="25" t="s">
        <v>17</v>
      </c>
      <c r="M28" s="26"/>
    </row>
    <row r="29" spans="1:17" s="25" customFormat="1" x14ac:dyDescent="0.2">
      <c r="A29" s="27" t="s">
        <v>18</v>
      </c>
      <c r="B29" s="74" t="s">
        <v>19</v>
      </c>
      <c r="C29" s="74" t="s">
        <v>19</v>
      </c>
      <c r="D29" s="17" t="s">
        <v>20</v>
      </c>
      <c r="E29" s="28" t="s">
        <v>21</v>
      </c>
      <c r="F29" s="29" t="s">
        <v>13</v>
      </c>
      <c r="G29" s="29" t="s">
        <v>22</v>
      </c>
      <c r="H29" s="29" t="s">
        <v>23</v>
      </c>
      <c r="I29" s="28" t="s">
        <v>24</v>
      </c>
      <c r="J29" s="43" t="s">
        <v>25</v>
      </c>
      <c r="K29" s="43" t="s">
        <v>26</v>
      </c>
      <c r="L29" s="29" t="s">
        <v>27</v>
      </c>
      <c r="M29" s="30" t="s">
        <v>28</v>
      </c>
    </row>
    <row r="30" spans="1:17" s="32" customFormat="1" x14ac:dyDescent="0.2">
      <c r="A30" s="31"/>
      <c r="B30" s="75"/>
      <c r="C30" s="75"/>
      <c r="L30" s="33"/>
      <c r="M30" s="34"/>
    </row>
    <row r="31" spans="1:17" ht="15" x14ac:dyDescent="0.3">
      <c r="A31" s="9" t="s">
        <v>29</v>
      </c>
      <c r="B31">
        <v>0.376</v>
      </c>
      <c r="C31">
        <v>0.39600000000000002</v>
      </c>
      <c r="D31" s="35">
        <f t="shared" ref="D31:D36" si="11">AVERAGE(B31:C31)</f>
        <v>0.38600000000000001</v>
      </c>
      <c r="E31" s="35">
        <f t="shared" ref="E31:E36" si="12">D31-E$8</f>
        <v>0.33700000000000002</v>
      </c>
      <c r="F31" s="35">
        <f>LOG(E31)</f>
        <v>-0.47237009912866135</v>
      </c>
      <c r="G31" s="36">
        <f>(F31-$B$16)/$B$15</f>
        <v>0.27531800229167758</v>
      </c>
      <c r="H31" s="36">
        <f>10^G31</f>
        <v>1.8850288539341993</v>
      </c>
      <c r="I31" s="37">
        <v>500</v>
      </c>
      <c r="J31" s="38">
        <f>(H31*I31)</f>
        <v>942.51442696709967</v>
      </c>
      <c r="K31" s="38">
        <f>(0.05*J31/1000)*1000</f>
        <v>47.125721348354986</v>
      </c>
      <c r="L31" s="39">
        <f>K31+K50</f>
        <v>48.471526432749222</v>
      </c>
      <c r="M31" s="40">
        <f>(L31*1000000/50000)/1000</f>
        <v>0.96943052865498447</v>
      </c>
      <c r="N31" s="44"/>
      <c r="Q31" s="12"/>
    </row>
    <row r="32" spans="1:17" ht="15" x14ac:dyDescent="0.3">
      <c r="B32">
        <v>0.39100000000000001</v>
      </c>
      <c r="C32">
        <v>0.377</v>
      </c>
      <c r="D32" s="35">
        <f t="shared" si="11"/>
        <v>0.38400000000000001</v>
      </c>
      <c r="E32" s="35">
        <f t="shared" si="12"/>
        <v>0.33500000000000002</v>
      </c>
      <c r="F32" s="35">
        <f t="shared" ref="F32:F36" si="13">LOG(E32)</f>
        <v>-0.47495519296315475</v>
      </c>
      <c r="G32" s="36">
        <f t="shared" ref="G32:G36" si="14">(F32-$B$16)/$B$15</f>
        <v>0.27276199310663934</v>
      </c>
      <c r="H32" s="36">
        <f t="shared" ref="H32:H36" si="15">10^G32</f>
        <v>1.8739672342331182</v>
      </c>
      <c r="I32" s="37">
        <v>500</v>
      </c>
      <c r="J32" s="38">
        <f t="shared" ref="J32:J36" si="16">(H32*I32)</f>
        <v>936.98361711655912</v>
      </c>
      <c r="K32" s="38">
        <f t="shared" ref="K32:K36" si="17">(0.05*J32/1000)*1000</f>
        <v>46.84918085582796</v>
      </c>
      <c r="L32" s="39">
        <f>K32+K51</f>
        <v>47.599313933157383</v>
      </c>
      <c r="M32" s="40">
        <f t="shared" ref="M32:M36" si="18">(L32*1000000/50000)/1000</f>
        <v>0.95198627866314767</v>
      </c>
      <c r="N32" s="45"/>
      <c r="Q32" s="12"/>
    </row>
    <row r="33" spans="1:19" ht="15" x14ac:dyDescent="0.3">
      <c r="B33">
        <v>0.39600000000000002</v>
      </c>
      <c r="C33">
        <v>0.39500000000000002</v>
      </c>
      <c r="D33" s="35">
        <f t="shared" si="11"/>
        <v>0.39550000000000002</v>
      </c>
      <c r="E33" s="35">
        <f t="shared" si="12"/>
        <v>0.34650000000000003</v>
      </c>
      <c r="F33" s="35">
        <f t="shared" si="13"/>
        <v>-0.46029676105217443</v>
      </c>
      <c r="G33" s="36">
        <f t="shared" si="14"/>
        <v>0.28725550436831698</v>
      </c>
      <c r="H33" s="36">
        <f t="shared" si="15"/>
        <v>1.9375615359648006</v>
      </c>
      <c r="I33" s="37">
        <v>500</v>
      </c>
      <c r="J33" s="38">
        <f t="shared" si="16"/>
        <v>968.78076798240033</v>
      </c>
      <c r="K33" s="38">
        <f t="shared" si="17"/>
        <v>48.439038399120022</v>
      </c>
      <c r="L33" s="39">
        <f t="shared" ref="L33:L36" si="19">K33+K52</f>
        <v>49.337353502337649</v>
      </c>
      <c r="M33" s="40">
        <f t="shared" si="18"/>
        <v>0.98674707004675299</v>
      </c>
      <c r="N33" s="45"/>
      <c r="Q33" s="12"/>
    </row>
    <row r="34" spans="1:19" ht="15" x14ac:dyDescent="0.3">
      <c r="A34" s="9" t="s">
        <v>30</v>
      </c>
      <c r="B34">
        <v>0.35399999999999998</v>
      </c>
      <c r="C34">
        <v>0.36399999999999999</v>
      </c>
      <c r="D34" s="35">
        <f t="shared" si="11"/>
        <v>0.35899999999999999</v>
      </c>
      <c r="E34" s="35">
        <f t="shared" si="12"/>
        <v>0.31</v>
      </c>
      <c r="F34" s="35">
        <f t="shared" si="13"/>
        <v>-0.50863830616572736</v>
      </c>
      <c r="G34" s="36">
        <f t="shared" si="14"/>
        <v>0.23945784546693452</v>
      </c>
      <c r="H34" s="36">
        <f t="shared" si="15"/>
        <v>1.735632786540984</v>
      </c>
      <c r="I34" s="37">
        <v>500</v>
      </c>
      <c r="J34" s="38">
        <f t="shared" si="16"/>
        <v>867.81639327049197</v>
      </c>
      <c r="K34" s="38">
        <f t="shared" si="17"/>
        <v>43.390819663524603</v>
      </c>
      <c r="L34" s="39">
        <f t="shared" si="19"/>
        <v>45.569170294775532</v>
      </c>
      <c r="M34" s="40">
        <f t="shared" si="18"/>
        <v>0.91138340589551059</v>
      </c>
      <c r="N34" s="45"/>
      <c r="Q34" s="12"/>
    </row>
    <row r="35" spans="1:19" ht="15" x14ac:dyDescent="0.3">
      <c r="B35">
        <v>0.34799999999999998</v>
      </c>
      <c r="C35">
        <v>0.32500000000000001</v>
      </c>
      <c r="D35" s="35">
        <f t="shared" si="11"/>
        <v>0.33650000000000002</v>
      </c>
      <c r="E35" s="35">
        <f t="shared" si="12"/>
        <v>0.28750000000000003</v>
      </c>
      <c r="F35" s="35">
        <f t="shared" si="13"/>
        <v>-0.5413621509743507</v>
      </c>
      <c r="G35" s="36">
        <f t="shared" si="14"/>
        <v>0.20710217358201086</v>
      </c>
      <c r="H35" s="36">
        <f t="shared" si="15"/>
        <v>1.6110246056703712</v>
      </c>
      <c r="I35" s="37">
        <v>500</v>
      </c>
      <c r="J35" s="38">
        <f t="shared" si="16"/>
        <v>805.51230283518555</v>
      </c>
      <c r="K35" s="38">
        <f t="shared" si="17"/>
        <v>40.275615141759282</v>
      </c>
      <c r="L35" s="39">
        <f t="shared" si="19"/>
        <v>43.101338015427331</v>
      </c>
      <c r="M35" s="40">
        <f t="shared" si="18"/>
        <v>0.86202676030854664</v>
      </c>
      <c r="N35" s="45"/>
      <c r="Q35" s="12"/>
      <c r="S35" s="12"/>
    </row>
    <row r="36" spans="1:19" ht="15" x14ac:dyDescent="0.3">
      <c r="B36">
        <v>0.34699999999999998</v>
      </c>
      <c r="C36">
        <v>0.34200000000000003</v>
      </c>
      <c r="D36" s="35">
        <f t="shared" si="11"/>
        <v>0.34450000000000003</v>
      </c>
      <c r="E36" s="35">
        <f t="shared" si="12"/>
        <v>0.29550000000000004</v>
      </c>
      <c r="F36" s="35">
        <f t="shared" si="13"/>
        <v>-0.52944251478272575</v>
      </c>
      <c r="G36" s="36">
        <f t="shared" si="14"/>
        <v>0.21888770305934926</v>
      </c>
      <c r="H36" s="36">
        <f t="shared" si="15"/>
        <v>1.6553418809774567</v>
      </c>
      <c r="I36" s="37">
        <v>500</v>
      </c>
      <c r="J36" s="38">
        <f t="shared" si="16"/>
        <v>827.67094048872832</v>
      </c>
      <c r="K36" s="38">
        <f t="shared" si="17"/>
        <v>41.383547024436417</v>
      </c>
      <c r="L36" s="39">
        <f t="shared" si="19"/>
        <v>44.439410711725678</v>
      </c>
      <c r="M36" s="40">
        <f t="shared" si="18"/>
        <v>0.88878821423451349</v>
      </c>
      <c r="N36" s="46"/>
      <c r="Q36" s="12"/>
      <c r="S36" s="12"/>
    </row>
    <row r="37" spans="1:19" ht="15" x14ac:dyDescent="0.3">
      <c r="B37" s="3"/>
      <c r="C37" s="3"/>
      <c r="I37" s="37"/>
      <c r="J37" s="37"/>
      <c r="K37" s="37"/>
      <c r="R37" s="12"/>
      <c r="S37" s="12"/>
    </row>
    <row r="38" spans="1:19" ht="23.25" x14ac:dyDescent="0.35">
      <c r="A38" s="22" t="s">
        <v>31</v>
      </c>
      <c r="B38" s="3"/>
      <c r="C38" s="3"/>
      <c r="E38" s="36"/>
      <c r="F38" s="35"/>
      <c r="H38" s="47"/>
      <c r="I38" s="37"/>
      <c r="J38" s="37"/>
      <c r="K38" s="37"/>
      <c r="M38" s="48" t="s">
        <v>32</v>
      </c>
      <c r="R38" s="12"/>
      <c r="S38" s="12"/>
    </row>
    <row r="39" spans="1:19" ht="15" x14ac:dyDescent="0.3">
      <c r="A39" s="27" t="s">
        <v>18</v>
      </c>
      <c r="B39" s="76" t="s">
        <v>19</v>
      </c>
      <c r="C39" s="76" t="s">
        <v>19</v>
      </c>
      <c r="D39" s="17" t="s">
        <v>20</v>
      </c>
      <c r="E39" s="28" t="s">
        <v>21</v>
      </c>
      <c r="F39" s="29" t="s">
        <v>13</v>
      </c>
      <c r="G39" s="29" t="s">
        <v>22</v>
      </c>
      <c r="H39" s="29" t="s">
        <v>23</v>
      </c>
      <c r="I39" s="28" t="s">
        <v>24</v>
      </c>
      <c r="J39" s="43" t="s">
        <v>25</v>
      </c>
      <c r="K39" s="43" t="s">
        <v>33</v>
      </c>
      <c r="L39" s="29" t="s">
        <v>34</v>
      </c>
      <c r="M39" s="25" t="s">
        <v>35</v>
      </c>
      <c r="N39" s="43" t="s">
        <v>36</v>
      </c>
      <c r="R39" s="12"/>
      <c r="S39" s="12"/>
    </row>
    <row r="40" spans="1:19" ht="15" x14ac:dyDescent="0.3">
      <c r="A40" s="9" t="s">
        <v>37</v>
      </c>
      <c r="B40">
        <v>9.5000000000000001E-2</v>
      </c>
      <c r="C40">
        <v>0.10199999999999999</v>
      </c>
      <c r="D40" s="35">
        <f>AVERAGE(B40,C40)</f>
        <v>9.8500000000000004E-2</v>
      </c>
      <c r="E40" s="35">
        <f t="shared" ref="E40:E45" si="20">D40-E$8</f>
        <v>4.9500000000000002E-2</v>
      </c>
      <c r="F40" s="35">
        <f t="shared" ref="F40:F45" si="21">LOG(E40)</f>
        <v>-1.3053948010664314</v>
      </c>
      <c r="G40" s="36">
        <f t="shared" ref="G40:G45" si="22">(F40-$B$16)/$B$15</f>
        <v>-0.54833441647398606</v>
      </c>
      <c r="H40" s="35">
        <f t="shared" ref="H40:H45" si="23">10^G40</f>
        <v>0.28292125997733814</v>
      </c>
      <c r="I40" s="49">
        <v>16</v>
      </c>
      <c r="J40" s="50">
        <f t="shared" ref="J40:J45" si="24">H40*I40</f>
        <v>4.5267401596374102</v>
      </c>
      <c r="K40" s="38">
        <f>(0.1*J40/1000)*1000</f>
        <v>0.45267401596374102</v>
      </c>
      <c r="L40" s="51">
        <f>K40*100/L22</f>
        <v>0.92525582801966744</v>
      </c>
      <c r="M40" s="52">
        <f>AVERAGE(L40:L42)</f>
        <v>0.78723789213523376</v>
      </c>
      <c r="N40" s="53">
        <f>STDEV(L40:L42)</f>
        <v>0.12110537081328006</v>
      </c>
      <c r="R40" s="12"/>
      <c r="S40" s="12"/>
    </row>
    <row r="41" spans="1:19" ht="15" x14ac:dyDescent="0.3">
      <c r="B41">
        <v>8.6999999999999994E-2</v>
      </c>
      <c r="C41">
        <v>8.4000000000000005E-2</v>
      </c>
      <c r="D41" s="35">
        <f>AVERAGE(B41,C41)</f>
        <v>8.5499999999999993E-2</v>
      </c>
      <c r="E41" s="35">
        <f t="shared" si="20"/>
        <v>3.6499999999999991E-2</v>
      </c>
      <c r="F41" s="35">
        <f t="shared" si="21"/>
        <v>-1.4377071355435254</v>
      </c>
      <c r="G41" s="36">
        <f t="shared" si="22"/>
        <v>-0.67915811722509678</v>
      </c>
      <c r="H41" s="35">
        <f t="shared" si="23"/>
        <v>0.20933501735845514</v>
      </c>
      <c r="I41" s="49">
        <v>16</v>
      </c>
      <c r="J41" s="50">
        <f t="shared" si="24"/>
        <v>3.3493602777352822</v>
      </c>
      <c r="K41" s="38">
        <f t="shared" ref="K41:K45" si="25">(0.1*J41/1000)*1000</f>
        <v>0.33493602777352827</v>
      </c>
      <c r="L41" s="51">
        <f t="shared" ref="L41:L45" si="26">K41*100/L23</f>
        <v>0.69874052070600834</v>
      </c>
      <c r="M41" s="52"/>
      <c r="N41" s="53"/>
      <c r="R41" s="12"/>
      <c r="S41" s="12"/>
    </row>
    <row r="42" spans="1:19" s="25" customFormat="1" ht="15" x14ac:dyDescent="0.3">
      <c r="A42" s="9"/>
      <c r="B42">
        <v>9.0999999999999998E-2</v>
      </c>
      <c r="C42">
        <v>8.6999999999999994E-2</v>
      </c>
      <c r="D42" s="35">
        <f>AVERAGE(B42,C42)</f>
        <v>8.8999999999999996E-2</v>
      </c>
      <c r="E42" s="35">
        <f t="shared" si="20"/>
        <v>3.9999999999999994E-2</v>
      </c>
      <c r="F42" s="35">
        <f t="shared" si="21"/>
        <v>-1.3979400086720377</v>
      </c>
      <c r="G42" s="36">
        <f t="shared" si="22"/>
        <v>-0.63983840658642155</v>
      </c>
      <c r="H42" s="35">
        <f t="shared" si="23"/>
        <v>0.22917202033262105</v>
      </c>
      <c r="I42" s="49">
        <v>16</v>
      </c>
      <c r="J42" s="50">
        <f t="shared" si="24"/>
        <v>3.6667523253219367</v>
      </c>
      <c r="K42" s="38">
        <f t="shared" si="25"/>
        <v>0.3666752325321937</v>
      </c>
      <c r="L42" s="51">
        <f t="shared" si="26"/>
        <v>0.73771732768002529</v>
      </c>
      <c r="M42" s="52"/>
      <c r="N42" s="53"/>
      <c r="R42" s="12"/>
      <c r="S42" s="12"/>
    </row>
    <row r="43" spans="1:19" ht="15" x14ac:dyDescent="0.3">
      <c r="A43" s="9" t="s">
        <v>38</v>
      </c>
      <c r="B43">
        <v>0.13</v>
      </c>
      <c r="C43">
        <v>0.13300000000000001</v>
      </c>
      <c r="D43" s="35">
        <f t="shared" ref="D43:D45" si="27">AVERAGE(B43,C43)</f>
        <v>0.13150000000000001</v>
      </c>
      <c r="E43" s="35">
        <f t="shared" si="20"/>
        <v>8.2500000000000004E-2</v>
      </c>
      <c r="F43" s="35">
        <f t="shared" si="21"/>
        <v>-1.083546051450075</v>
      </c>
      <c r="G43" s="36">
        <f t="shared" si="22"/>
        <v>-0.3289816664335673</v>
      </c>
      <c r="H43" s="35">
        <f t="shared" si="23"/>
        <v>0.46883317333088809</v>
      </c>
      <c r="I43" s="49">
        <v>16</v>
      </c>
      <c r="J43" s="50">
        <f t="shared" si="24"/>
        <v>7.5013307732942094</v>
      </c>
      <c r="K43" s="38">
        <f t="shared" si="25"/>
        <v>0.75013307732942103</v>
      </c>
      <c r="L43" s="51">
        <f t="shared" si="26"/>
        <v>1.6194826405381055</v>
      </c>
      <c r="M43" s="52">
        <f>AVERAGE(L43:L45)</f>
        <v>2.0906725801514132</v>
      </c>
      <c r="N43" s="53">
        <f>STDEV(L43:L45)</f>
        <v>0.44799234830561308</v>
      </c>
      <c r="R43" s="12"/>
      <c r="S43" s="12"/>
    </row>
    <row r="44" spans="1:19" ht="15" x14ac:dyDescent="0.3">
      <c r="A44" s="54"/>
      <c r="B44">
        <v>0.153</v>
      </c>
      <c r="C44">
        <v>0.153</v>
      </c>
      <c r="D44" s="35">
        <f t="shared" si="27"/>
        <v>0.153</v>
      </c>
      <c r="E44" s="35">
        <f t="shared" si="20"/>
        <v>0.104</v>
      </c>
      <c r="F44" s="35">
        <f t="shared" si="21"/>
        <v>-0.98296666070121963</v>
      </c>
      <c r="G44" s="36">
        <f t="shared" si="22"/>
        <v>-0.22953388502256641</v>
      </c>
      <c r="H44" s="35">
        <f t="shared" si="23"/>
        <v>0.58947598249946531</v>
      </c>
      <c r="I44" s="49">
        <v>16</v>
      </c>
      <c r="J44" s="50">
        <f t="shared" si="24"/>
        <v>9.431615719991445</v>
      </c>
      <c r="K44" s="38">
        <f t="shared" si="25"/>
        <v>0.94316157199914452</v>
      </c>
      <c r="L44" s="51">
        <f t="shared" si="26"/>
        <v>2.1413833301182335</v>
      </c>
      <c r="M44" s="52"/>
      <c r="N44" s="53"/>
    </row>
    <row r="45" spans="1:19" ht="15" x14ac:dyDescent="0.3">
      <c r="A45" s="55"/>
      <c r="B45">
        <v>0.17499999999999999</v>
      </c>
      <c r="C45">
        <v>0.17599999999999999</v>
      </c>
      <c r="D45" s="35">
        <f t="shared" si="27"/>
        <v>0.17549999999999999</v>
      </c>
      <c r="E45" s="35">
        <f t="shared" si="20"/>
        <v>0.1265</v>
      </c>
      <c r="F45" s="35">
        <f t="shared" si="21"/>
        <v>-0.89790947448816327</v>
      </c>
      <c r="G45" s="36">
        <f t="shared" si="22"/>
        <v>-0.14543366927287921</v>
      </c>
      <c r="H45" s="35">
        <f t="shared" si="23"/>
        <v>0.71542865468325534</v>
      </c>
      <c r="I45" s="49">
        <v>16</v>
      </c>
      <c r="J45" s="50">
        <f t="shared" si="24"/>
        <v>11.446858474932085</v>
      </c>
      <c r="K45" s="38">
        <f t="shared" si="25"/>
        <v>1.1446858474932087</v>
      </c>
      <c r="L45" s="51">
        <f t="shared" si="26"/>
        <v>2.5111517697979</v>
      </c>
      <c r="M45" s="52"/>
      <c r="N45" s="53"/>
    </row>
    <row r="46" spans="1:19" x14ac:dyDescent="0.2">
      <c r="B46" s="3"/>
      <c r="C46" s="3"/>
      <c r="E46" s="36"/>
      <c r="F46" s="35"/>
      <c r="G46" s="52"/>
      <c r="H46" s="56"/>
      <c r="I46" s="37"/>
      <c r="J46" s="37"/>
      <c r="K46" s="37"/>
    </row>
    <row r="47" spans="1:19" x14ac:dyDescent="0.2">
      <c r="B47" s="3"/>
      <c r="C47" s="3"/>
      <c r="E47" s="36"/>
      <c r="F47" s="35"/>
      <c r="G47" s="52"/>
      <c r="H47" s="56"/>
      <c r="I47" s="37"/>
      <c r="J47" s="37"/>
      <c r="K47" s="37"/>
    </row>
    <row r="48" spans="1:19" ht="23.25" x14ac:dyDescent="0.35">
      <c r="A48" s="22" t="s">
        <v>39</v>
      </c>
      <c r="B48" s="3"/>
      <c r="C48" s="3"/>
      <c r="E48" s="36"/>
      <c r="F48" s="35"/>
      <c r="H48" s="47"/>
      <c r="I48" s="37"/>
      <c r="J48" s="37"/>
      <c r="K48" s="37"/>
      <c r="M48" s="48" t="s">
        <v>32</v>
      </c>
    </row>
    <row r="49" spans="1:25" x14ac:dyDescent="0.2">
      <c r="A49" s="27" t="s">
        <v>18</v>
      </c>
      <c r="B49" s="76" t="s">
        <v>19</v>
      </c>
      <c r="C49" s="76" t="s">
        <v>19</v>
      </c>
      <c r="D49" s="17" t="s">
        <v>20</v>
      </c>
      <c r="E49" s="28" t="s">
        <v>21</v>
      </c>
      <c r="F49" s="29" t="s">
        <v>13</v>
      </c>
      <c r="G49" s="29" t="s">
        <v>22</v>
      </c>
      <c r="H49" s="29" t="s">
        <v>23</v>
      </c>
      <c r="I49" s="28" t="s">
        <v>24</v>
      </c>
      <c r="J49" s="43" t="s">
        <v>25</v>
      </c>
      <c r="K49" s="43" t="s">
        <v>33</v>
      </c>
      <c r="L49" s="29" t="s">
        <v>34</v>
      </c>
      <c r="M49" s="25" t="s">
        <v>35</v>
      </c>
      <c r="N49" s="43" t="s">
        <v>36</v>
      </c>
      <c r="O49" s="11" t="s">
        <v>40</v>
      </c>
      <c r="P49" s="25" t="s">
        <v>35</v>
      </c>
      <c r="Q49" s="43" t="s">
        <v>36</v>
      </c>
    </row>
    <row r="50" spans="1:25" ht="15" x14ac:dyDescent="0.3">
      <c r="A50" s="9" t="s">
        <v>29</v>
      </c>
      <c r="B50">
        <v>0.19500000000000001</v>
      </c>
      <c r="C50">
        <v>0.20100000000000001</v>
      </c>
      <c r="D50" s="35">
        <f t="shared" ref="D50:D52" si="28">AVERAGE(B50,C50)</f>
        <v>0.19800000000000001</v>
      </c>
      <c r="E50" s="35">
        <f t="shared" ref="E50:E55" si="29">D50-E$8</f>
        <v>0.14900000000000002</v>
      </c>
      <c r="F50" s="35">
        <f t="shared" ref="F50:F55" si="30">LOG(E50)</f>
        <v>-0.82681373158772586</v>
      </c>
      <c r="G50" s="36">
        <f t="shared" ref="G50:G55" si="31">(F50-$B$16)/$B$15</f>
        <v>-7.5137817940175822E-2</v>
      </c>
      <c r="H50" s="35">
        <f t="shared" ref="H50:H55" si="32">10^G50</f>
        <v>0.84112817774639737</v>
      </c>
      <c r="I50" s="49">
        <v>16</v>
      </c>
      <c r="J50" s="50">
        <f t="shared" ref="J50:J55" si="33">H50*I50</f>
        <v>13.458050843942358</v>
      </c>
      <c r="K50" s="38">
        <f>(0.1*J50/1000)*1000</f>
        <v>1.345805084394236</v>
      </c>
      <c r="L50" s="51">
        <f t="shared" ref="L50:L55" si="34">K50*100/L31</f>
        <v>2.7764858741583973</v>
      </c>
      <c r="M50" s="52">
        <f>AVERAGE(L50:L52)</f>
        <v>2.0577263446827634</v>
      </c>
      <c r="N50" s="53">
        <f>STDEV(L50:L52)</f>
        <v>0.63438682439124139</v>
      </c>
      <c r="O50" s="11">
        <f>L50/L40</f>
        <v>3.0007764232092788</v>
      </c>
      <c r="P50" s="52">
        <f>AVERAGE(O50:O52)</f>
        <v>2.5747557677556525</v>
      </c>
      <c r="Q50" s="53">
        <f>STDEV(O50:O52)</f>
        <v>0.38396826799831052</v>
      </c>
      <c r="S50" s="12"/>
      <c r="T50" s="12"/>
    </row>
    <row r="51" spans="1:25" ht="15" x14ac:dyDescent="0.3">
      <c r="B51">
        <v>0.13500000000000001</v>
      </c>
      <c r="C51">
        <v>0.128</v>
      </c>
      <c r="D51" s="35">
        <f t="shared" si="28"/>
        <v>0.13150000000000001</v>
      </c>
      <c r="E51" s="35">
        <f t="shared" si="29"/>
        <v>8.2500000000000004E-2</v>
      </c>
      <c r="F51" s="35">
        <f t="shared" si="30"/>
        <v>-1.083546051450075</v>
      </c>
      <c r="G51" s="36">
        <f t="shared" si="31"/>
        <v>-0.3289816664335673</v>
      </c>
      <c r="H51" s="35">
        <f t="shared" si="32"/>
        <v>0.46883317333088809</v>
      </c>
      <c r="I51" s="49">
        <v>16</v>
      </c>
      <c r="J51" s="50">
        <f t="shared" si="33"/>
        <v>7.5013307732942094</v>
      </c>
      <c r="K51" s="38">
        <f t="shared" ref="K51:K55" si="35">(0.1*J51/1000)*1000</f>
        <v>0.75013307732942103</v>
      </c>
      <c r="L51" s="51">
        <f t="shared" si="34"/>
        <v>1.575932540504293</v>
      </c>
      <c r="M51" s="52"/>
      <c r="N51" s="53"/>
      <c r="O51" s="11">
        <f t="shared" ref="O51:O55" si="36">L51/L41</f>
        <v>2.2553902254186844</v>
      </c>
      <c r="P51" s="52"/>
      <c r="Q51" s="53"/>
      <c r="S51" s="12"/>
      <c r="T51" s="12"/>
    </row>
    <row r="52" spans="1:25" ht="15" x14ac:dyDescent="0.3">
      <c r="B52">
        <v>0.14399999999999999</v>
      </c>
      <c r="C52">
        <v>0.152</v>
      </c>
      <c r="D52" s="35">
        <f t="shared" si="28"/>
        <v>0.14799999999999999</v>
      </c>
      <c r="E52" s="35">
        <f t="shared" si="29"/>
        <v>9.8999999999999991E-2</v>
      </c>
      <c r="F52" s="35">
        <f t="shared" si="30"/>
        <v>-1.0043648054024501</v>
      </c>
      <c r="G52" s="36">
        <f t="shared" si="31"/>
        <v>-0.25069128119493439</v>
      </c>
      <c r="H52" s="35">
        <f t="shared" si="32"/>
        <v>0.56144693951101599</v>
      </c>
      <c r="I52" s="49">
        <v>16</v>
      </c>
      <c r="J52" s="50">
        <f t="shared" si="33"/>
        <v>8.9831510321762558</v>
      </c>
      <c r="K52" s="38">
        <f t="shared" si="35"/>
        <v>0.89831510321762564</v>
      </c>
      <c r="L52" s="51">
        <f t="shared" si="34"/>
        <v>1.8207606193855994</v>
      </c>
      <c r="M52" s="52"/>
      <c r="N52" s="53"/>
      <c r="O52" s="11">
        <f t="shared" si="36"/>
        <v>2.4681006546389939</v>
      </c>
      <c r="P52" s="52"/>
      <c r="Q52" s="53"/>
      <c r="S52" s="12"/>
      <c r="T52" s="12"/>
    </row>
    <row r="53" spans="1:25" ht="15" x14ac:dyDescent="0.3">
      <c r="A53" s="9" t="s">
        <v>30</v>
      </c>
      <c r="B53">
        <v>0.29099999999999998</v>
      </c>
      <c r="C53">
        <v>0.29199999999999998</v>
      </c>
      <c r="D53" s="35">
        <f>AVERAGE(B53:C53)</f>
        <v>0.29149999999999998</v>
      </c>
      <c r="E53" s="35">
        <f t="shared" si="29"/>
        <v>0.24249999999999999</v>
      </c>
      <c r="F53" s="35">
        <f t="shared" si="30"/>
        <v>-0.61528825706171753</v>
      </c>
      <c r="G53" s="36">
        <f t="shared" si="31"/>
        <v>0.13400780321442551</v>
      </c>
      <c r="H53" s="35">
        <f t="shared" si="32"/>
        <v>1.3614691445318283</v>
      </c>
      <c r="I53" s="49">
        <v>16</v>
      </c>
      <c r="J53" s="50">
        <f t="shared" si="33"/>
        <v>21.783506312509253</v>
      </c>
      <c r="K53" s="38">
        <f t="shared" si="35"/>
        <v>2.1783506312509253</v>
      </c>
      <c r="L53" s="51">
        <f t="shared" si="34"/>
        <v>4.7803166420624326</v>
      </c>
      <c r="M53" s="52">
        <f>AVERAGE(L53:L55)</f>
        <v>6.07092893215383</v>
      </c>
      <c r="N53" s="53">
        <f>STDEV(L53:L55)</f>
        <v>1.1291306266139842</v>
      </c>
      <c r="O53" s="11">
        <f t="shared" si="36"/>
        <v>2.9517554078097907</v>
      </c>
      <c r="P53" s="52">
        <f>AVERAGE(O53:O55)</f>
        <v>2.9172335350505416</v>
      </c>
      <c r="Q53" s="53">
        <f>STDEV(O53:O55)</f>
        <v>0.16434112025658706</v>
      </c>
      <c r="S53" s="12"/>
      <c r="T53" s="12"/>
    </row>
    <row r="54" spans="1:25" ht="15" x14ac:dyDescent="0.3">
      <c r="A54" s="54"/>
      <c r="B54">
        <v>0.378</v>
      </c>
      <c r="C54">
        <v>0.35099999999999998</v>
      </c>
      <c r="D54" s="35">
        <f>AVERAGE(B54:C54)</f>
        <v>0.36449999999999999</v>
      </c>
      <c r="E54" s="35">
        <f t="shared" si="29"/>
        <v>0.3155</v>
      </c>
      <c r="F54" s="35">
        <f t="shared" si="30"/>
        <v>-0.50100063641984682</v>
      </c>
      <c r="G54" s="36">
        <f t="shared" si="31"/>
        <v>0.24700958450335719</v>
      </c>
      <c r="H54" s="35">
        <f t="shared" si="32"/>
        <v>1.7660767960425314</v>
      </c>
      <c r="I54" s="49">
        <v>16</v>
      </c>
      <c r="J54" s="50">
        <f t="shared" si="33"/>
        <v>28.257228736680503</v>
      </c>
      <c r="K54" s="38">
        <f t="shared" si="35"/>
        <v>2.8257228736680506</v>
      </c>
      <c r="L54" s="51">
        <f t="shared" si="34"/>
        <v>6.5559980357376269</v>
      </c>
      <c r="M54" s="52"/>
      <c r="N54" s="53"/>
      <c r="O54" s="11">
        <f t="shared" si="36"/>
        <v>3.0615714354027621</v>
      </c>
      <c r="P54" s="52"/>
      <c r="Q54" s="53"/>
      <c r="S54" s="12"/>
      <c r="T54" s="12"/>
    </row>
    <row r="55" spans="1:25" ht="15" x14ac:dyDescent="0.3">
      <c r="A55" s="55"/>
      <c r="B55">
        <v>0.40100000000000002</v>
      </c>
      <c r="C55">
        <v>0.38</v>
      </c>
      <c r="D55" s="35">
        <f>AVERAGE(B55:C55)</f>
        <v>0.39050000000000001</v>
      </c>
      <c r="E55" s="35">
        <f t="shared" si="29"/>
        <v>0.34150000000000003</v>
      </c>
      <c r="F55" s="35">
        <f t="shared" si="30"/>
        <v>-0.4666092919824486</v>
      </c>
      <c r="G55" s="36">
        <f t="shared" si="31"/>
        <v>0.28101399513436653</v>
      </c>
      <c r="H55" s="35">
        <f t="shared" si="32"/>
        <v>1.9099148045557861</v>
      </c>
      <c r="I55" s="49">
        <v>16</v>
      </c>
      <c r="J55" s="50">
        <f t="shared" si="33"/>
        <v>30.558636872892578</v>
      </c>
      <c r="K55" s="38">
        <f t="shared" si="35"/>
        <v>3.0558636872892579</v>
      </c>
      <c r="L55" s="51">
        <f t="shared" si="34"/>
        <v>6.8764721186614315</v>
      </c>
      <c r="M55" s="52"/>
      <c r="N55" s="53"/>
      <c r="O55" s="11">
        <f t="shared" si="36"/>
        <v>2.7383737619390711</v>
      </c>
      <c r="P55" s="52"/>
      <c r="Q55" s="53"/>
      <c r="S55" s="12"/>
      <c r="T55" s="12"/>
      <c r="Y55" s="9"/>
    </row>
    <row r="56" spans="1:25" x14ac:dyDescent="0.2">
      <c r="D56" s="35"/>
      <c r="E56" s="36"/>
      <c r="F56" s="35"/>
      <c r="G56" s="52"/>
      <c r="H56" s="56"/>
    </row>
    <row r="57" spans="1:25" x14ac:dyDescent="0.2">
      <c r="B57" s="52"/>
      <c r="C57" s="52"/>
      <c r="D57" s="35"/>
      <c r="E57" s="36"/>
      <c r="F57" s="35"/>
      <c r="G57" s="52"/>
      <c r="H57" s="56"/>
      <c r="M57" s="11" t="s">
        <v>41</v>
      </c>
      <c r="N57" s="11" t="s">
        <v>42</v>
      </c>
      <c r="O57" s="43" t="s">
        <v>36</v>
      </c>
    </row>
    <row r="58" spans="1:25" ht="15" x14ac:dyDescent="0.3">
      <c r="C58" s="12"/>
      <c r="D58" s="12"/>
      <c r="E58" s="12"/>
      <c r="F58" s="12"/>
      <c r="G58" s="12"/>
      <c r="H58" s="56"/>
      <c r="M58" s="11" t="s">
        <v>29</v>
      </c>
      <c r="N58" s="52">
        <f>P50</f>
        <v>2.5747557677556525</v>
      </c>
      <c r="O58" s="52">
        <f>Q50</f>
        <v>0.38396826799831052</v>
      </c>
    </row>
    <row r="59" spans="1:25" ht="15" x14ac:dyDescent="0.3">
      <c r="D59" s="12"/>
      <c r="E59" s="12"/>
      <c r="G59" s="12"/>
      <c r="M59" s="11" t="s">
        <v>30</v>
      </c>
      <c r="N59" s="52">
        <f>P53</f>
        <v>2.9172335350505416</v>
      </c>
      <c r="O59" s="52">
        <f>Q53</f>
        <v>0.16434112025658706</v>
      </c>
    </row>
    <row r="60" spans="1:25" x14ac:dyDescent="0.2">
      <c r="G60" s="52"/>
      <c r="H60" s="56"/>
    </row>
    <row r="61" spans="1:25" ht="15" x14ac:dyDescent="0.3">
      <c r="A61" s="57"/>
      <c r="D61" s="12"/>
      <c r="E61" s="12"/>
      <c r="F61" s="12"/>
      <c r="G61" s="52"/>
      <c r="H61" s="56"/>
    </row>
    <row r="62" spans="1:25" ht="15" x14ac:dyDescent="0.3">
      <c r="C62" s="35"/>
      <c r="D62" s="12"/>
      <c r="E62" s="12"/>
      <c r="F62" s="12"/>
      <c r="G62" s="52"/>
      <c r="H62" s="56"/>
    </row>
    <row r="63" spans="1:25" ht="15" x14ac:dyDescent="0.3">
      <c r="C63" s="35"/>
      <c r="D63" s="12"/>
      <c r="E63" s="12"/>
      <c r="F63" s="12"/>
      <c r="G63" s="52"/>
      <c r="H63" s="56"/>
    </row>
    <row r="64" spans="1:25" ht="13.5" thickBot="1" x14ac:dyDescent="0.25">
      <c r="B64" s="58" t="s">
        <v>20</v>
      </c>
      <c r="C64" s="59" t="s">
        <v>43</v>
      </c>
      <c r="D64" s="35"/>
      <c r="E64" s="36"/>
      <c r="F64" s="35"/>
      <c r="G64" s="52"/>
      <c r="H64" s="56"/>
    </row>
    <row r="65" spans="1:8" x14ac:dyDescent="0.2">
      <c r="A65" s="9" t="s">
        <v>37</v>
      </c>
      <c r="B65" s="52">
        <f>M40</f>
        <v>0.78723789213523376</v>
      </c>
      <c r="C65" s="52">
        <f>N40</f>
        <v>0.12110537081328006</v>
      </c>
      <c r="D65" s="35"/>
      <c r="E65" s="36"/>
      <c r="F65" s="35"/>
      <c r="G65" s="52"/>
      <c r="H65" s="56"/>
    </row>
    <row r="66" spans="1:8" x14ac:dyDescent="0.2">
      <c r="A66" s="9" t="s">
        <v>29</v>
      </c>
      <c r="B66" s="52">
        <f>M50</f>
        <v>2.0577263446827634</v>
      </c>
      <c r="C66" s="52">
        <f>N50</f>
        <v>0.63438682439124139</v>
      </c>
      <c r="D66" s="35"/>
      <c r="E66" s="36"/>
      <c r="F66" s="35"/>
      <c r="G66" s="52"/>
      <c r="H66" s="56"/>
    </row>
    <row r="67" spans="1:8" x14ac:dyDescent="0.2">
      <c r="A67" s="9" t="s">
        <v>38</v>
      </c>
      <c r="B67" s="52">
        <f>M43</f>
        <v>2.0906725801514132</v>
      </c>
      <c r="C67" s="52">
        <f>N43</f>
        <v>0.44799234830561308</v>
      </c>
      <c r="D67" s="35"/>
      <c r="E67" s="36"/>
      <c r="F67" s="35"/>
      <c r="G67" s="52"/>
      <c r="H67" s="56"/>
    </row>
    <row r="68" spans="1:8" x14ac:dyDescent="0.2">
      <c r="A68" s="60" t="s">
        <v>30</v>
      </c>
      <c r="B68" s="52">
        <f>M53</f>
        <v>6.07092893215383</v>
      </c>
      <c r="C68" s="52">
        <f>N53</f>
        <v>1.1291306266139842</v>
      </c>
      <c r="D68" s="35"/>
      <c r="E68" s="36"/>
      <c r="F68" s="35"/>
      <c r="G68" s="52"/>
      <c r="H68" s="56"/>
    </row>
    <row r="69" spans="1:8" x14ac:dyDescent="0.2">
      <c r="A69" s="61"/>
      <c r="C69" s="35"/>
      <c r="D69" s="35"/>
      <c r="E69" s="36"/>
      <c r="F69" s="35"/>
      <c r="G69" s="52"/>
      <c r="H69" s="56"/>
    </row>
    <row r="70" spans="1:8" x14ac:dyDescent="0.2">
      <c r="A70" s="61"/>
      <c r="C70" s="35"/>
      <c r="D70" s="35"/>
      <c r="E70" s="36"/>
      <c r="F70" s="35"/>
      <c r="G70" s="52"/>
      <c r="H70" s="56"/>
    </row>
    <row r="71" spans="1:8" x14ac:dyDescent="0.2">
      <c r="A71" s="61"/>
      <c r="B71" s="37"/>
      <c r="C71" s="35"/>
      <c r="D71" s="35"/>
      <c r="E71" s="36"/>
      <c r="F71" s="35"/>
      <c r="G71" s="52"/>
      <c r="H71" s="56"/>
    </row>
    <row r="72" spans="1:8" x14ac:dyDescent="0.2">
      <c r="A72" s="61"/>
      <c r="B72" s="37"/>
      <c r="C72" s="35"/>
      <c r="D72" s="35"/>
      <c r="E72" s="36"/>
      <c r="F72" s="35"/>
      <c r="G72" s="52"/>
      <c r="H72" s="56"/>
    </row>
    <row r="73" spans="1:8" x14ac:dyDescent="0.2">
      <c r="C73" s="35"/>
      <c r="D73" s="35"/>
      <c r="E73" s="36"/>
      <c r="F73" s="35"/>
      <c r="G73" s="52"/>
      <c r="H73" s="56"/>
    </row>
    <row r="74" spans="1:8" x14ac:dyDescent="0.2">
      <c r="C74" s="35"/>
      <c r="D74" s="36"/>
      <c r="H74" s="56"/>
    </row>
    <row r="75" spans="1:8" x14ac:dyDescent="0.2">
      <c r="A75" s="62"/>
      <c r="C75" s="35"/>
      <c r="D75" s="36"/>
      <c r="H75" s="47"/>
    </row>
    <row r="76" spans="1:8" x14ac:dyDescent="0.2">
      <c r="A76" s="62"/>
      <c r="C76" s="35"/>
      <c r="D76" s="36"/>
      <c r="H76" s="47"/>
    </row>
    <row r="77" spans="1:8" x14ac:dyDescent="0.2">
      <c r="A77" s="63"/>
      <c r="B77" s="47"/>
      <c r="C77" s="64"/>
      <c r="D77" s="65"/>
      <c r="E77" s="47"/>
      <c r="F77" s="47"/>
      <c r="G77" s="47"/>
    </row>
    <row r="78" spans="1:8" x14ac:dyDescent="0.2">
      <c r="A78" s="66"/>
      <c r="B78" s="67"/>
      <c r="C78" s="68"/>
      <c r="D78" s="47"/>
      <c r="E78" s="47"/>
      <c r="F78" s="47"/>
      <c r="G78" s="47"/>
    </row>
    <row r="79" spans="1:8" x14ac:dyDescent="0.2">
      <c r="A79" s="66"/>
      <c r="B79" s="69"/>
      <c r="C79" s="64"/>
      <c r="D79" s="47"/>
      <c r="E79" s="47"/>
      <c r="F79" s="47"/>
      <c r="G79" s="47"/>
    </row>
    <row r="80" spans="1:8" x14ac:dyDescent="0.2">
      <c r="A80" s="66"/>
      <c r="B80" s="69"/>
      <c r="C80" s="64"/>
      <c r="D80" s="47"/>
      <c r="E80" s="47"/>
      <c r="F80" s="47"/>
      <c r="G80" s="47"/>
    </row>
    <row r="81" spans="1:7" x14ac:dyDescent="0.2">
      <c r="A81" s="66"/>
      <c r="B81" s="69"/>
      <c r="C81" s="64"/>
      <c r="D81" s="47"/>
      <c r="E81" s="47"/>
      <c r="F81" s="47"/>
      <c r="G81" s="47"/>
    </row>
    <row r="82" spans="1:7" x14ac:dyDescent="0.2">
      <c r="A82" s="66"/>
      <c r="B82" s="69"/>
      <c r="C82" s="64"/>
      <c r="D82" s="47"/>
      <c r="E82" s="47"/>
      <c r="F82" s="47"/>
      <c r="G82" s="47"/>
    </row>
    <row r="83" spans="1:7" x14ac:dyDescent="0.2">
      <c r="A83" s="66"/>
      <c r="B83" s="47"/>
      <c r="C83" s="47"/>
      <c r="D83" s="70"/>
      <c r="E83" s="67"/>
      <c r="F83" s="67"/>
      <c r="G83" s="47"/>
    </row>
    <row r="84" spans="1:7" x14ac:dyDescent="0.2">
      <c r="A84" s="66"/>
      <c r="B84" s="69"/>
      <c r="C84" s="64"/>
      <c r="D84" s="56"/>
      <c r="E84" s="56"/>
      <c r="F84" s="56"/>
      <c r="G84" s="47"/>
    </row>
    <row r="85" spans="1:7" x14ac:dyDescent="0.2">
      <c r="A85" s="66"/>
      <c r="B85" s="69"/>
      <c r="C85" s="64"/>
      <c r="D85" s="56"/>
      <c r="E85" s="56"/>
      <c r="F85" s="56"/>
      <c r="G85" s="47"/>
    </row>
    <row r="86" spans="1:7" x14ac:dyDescent="0.2">
      <c r="A86" s="66"/>
      <c r="B86" s="69"/>
      <c r="C86" s="64"/>
      <c r="D86" s="56"/>
      <c r="E86" s="56"/>
      <c r="F86" s="56"/>
      <c r="G86" s="47"/>
    </row>
    <row r="87" spans="1:7" x14ac:dyDescent="0.2">
      <c r="A87" s="66"/>
      <c r="B87" s="69"/>
      <c r="C87" s="64"/>
      <c r="D87" s="56"/>
      <c r="E87" s="56"/>
      <c r="F87" s="56"/>
      <c r="G87" s="47"/>
    </row>
    <row r="88" spans="1:7" x14ac:dyDescent="0.2">
      <c r="A88" s="66"/>
      <c r="B88" s="47"/>
      <c r="C88" s="56"/>
      <c r="D88" s="56"/>
      <c r="E88" s="56"/>
      <c r="F88" s="56"/>
      <c r="G88" s="47"/>
    </row>
    <row r="89" spans="1:7" x14ac:dyDescent="0.2">
      <c r="A89" s="66"/>
      <c r="B89" s="47"/>
      <c r="C89" s="56"/>
      <c r="D89" s="56"/>
      <c r="E89" s="56"/>
      <c r="F89" s="56"/>
      <c r="G89" s="47"/>
    </row>
    <row r="90" spans="1:7" x14ac:dyDescent="0.2">
      <c r="C90" s="56"/>
      <c r="D90" s="56"/>
      <c r="E90" s="71"/>
      <c r="F90" s="71"/>
    </row>
    <row r="91" spans="1:7" x14ac:dyDescent="0.2">
      <c r="C91" s="56"/>
      <c r="D91" s="56"/>
      <c r="E91" s="71"/>
      <c r="F91" s="71"/>
    </row>
    <row r="92" spans="1:7" x14ac:dyDescent="0.2">
      <c r="C92" s="56"/>
      <c r="D92" s="56"/>
      <c r="E92" s="71"/>
      <c r="F92" s="71"/>
    </row>
    <row r="93" spans="1:7" x14ac:dyDescent="0.2">
      <c r="C93" s="56"/>
      <c r="D93" s="56"/>
      <c r="E93" s="71"/>
      <c r="F93" s="71"/>
    </row>
    <row r="94" spans="1:7" x14ac:dyDescent="0.2">
      <c r="C94" s="56"/>
      <c r="E94" s="71"/>
      <c r="F94" s="71"/>
    </row>
    <row r="95" spans="1:7" x14ac:dyDescent="0.2">
      <c r="C95" s="56"/>
      <c r="E95" s="71"/>
      <c r="F95" s="71"/>
    </row>
    <row r="96" spans="1:7" x14ac:dyDescent="0.2">
      <c r="C96" s="56"/>
      <c r="D96" s="56"/>
      <c r="E96" s="71"/>
      <c r="F96" s="71"/>
    </row>
    <row r="97" spans="2:6" x14ac:dyDescent="0.2">
      <c r="C97" s="56"/>
      <c r="D97" s="56"/>
      <c r="E97" s="71"/>
      <c r="F97" s="71"/>
    </row>
    <row r="98" spans="2:6" x14ac:dyDescent="0.2">
      <c r="C98" s="56"/>
      <c r="D98" s="56"/>
      <c r="E98" s="71"/>
      <c r="F98" s="71"/>
    </row>
    <row r="99" spans="2:6" x14ac:dyDescent="0.2">
      <c r="C99" s="56"/>
      <c r="D99" s="56"/>
      <c r="E99" s="71"/>
      <c r="F99" s="71"/>
    </row>
    <row r="100" spans="2:6" x14ac:dyDescent="0.2">
      <c r="C100" s="56"/>
      <c r="D100" s="56"/>
      <c r="E100" s="71"/>
      <c r="F100" s="71"/>
    </row>
    <row r="101" spans="2:6" x14ac:dyDescent="0.2">
      <c r="C101" s="56"/>
      <c r="D101" s="56"/>
      <c r="E101" s="71"/>
      <c r="F101" s="71"/>
    </row>
    <row r="102" spans="2:6" x14ac:dyDescent="0.2">
      <c r="C102" s="56"/>
      <c r="D102" s="56"/>
      <c r="E102" s="71"/>
      <c r="F102" s="71"/>
    </row>
    <row r="103" spans="2:6" x14ac:dyDescent="0.2">
      <c r="C103" s="56"/>
      <c r="D103" s="56"/>
      <c r="E103" s="71"/>
      <c r="F103" s="71"/>
    </row>
    <row r="104" spans="2:6" x14ac:dyDescent="0.2">
      <c r="C104" s="56"/>
      <c r="D104" s="56"/>
      <c r="E104" s="71"/>
      <c r="F104" s="71"/>
    </row>
    <row r="105" spans="2:6" x14ac:dyDescent="0.2">
      <c r="C105" s="56"/>
      <c r="D105" s="56"/>
      <c r="E105" s="71"/>
      <c r="F105" s="71"/>
    </row>
    <row r="106" spans="2:6" x14ac:dyDescent="0.2">
      <c r="C106" s="56"/>
    </row>
    <row r="107" spans="2:6" x14ac:dyDescent="0.2">
      <c r="C107" s="56"/>
    </row>
    <row r="108" spans="2:6" ht="13.5" thickBot="1" x14ac:dyDescent="0.25">
      <c r="B108" s="72"/>
      <c r="C108" s="72"/>
      <c r="D108" s="72"/>
      <c r="E108" s="72"/>
    </row>
    <row r="109" spans="2:6" x14ac:dyDescent="0.2">
      <c r="B109" s="71"/>
      <c r="C109" s="71"/>
      <c r="D109" s="71"/>
      <c r="E109" s="71"/>
    </row>
    <row r="110" spans="2:6" x14ac:dyDescent="0.2">
      <c r="B110" s="71"/>
      <c r="C110" s="71"/>
      <c r="D110" s="71"/>
      <c r="E110" s="71"/>
    </row>
    <row r="111" spans="2:6" x14ac:dyDescent="0.2">
      <c r="B111" s="71"/>
      <c r="C111" s="71"/>
      <c r="D111" s="71"/>
      <c r="E111" s="71"/>
    </row>
    <row r="112" spans="2:6" x14ac:dyDescent="0.2">
      <c r="B112" s="71"/>
      <c r="C112" s="71"/>
      <c r="D112" s="71"/>
      <c r="E112" s="71"/>
    </row>
    <row r="113" spans="2:5" x14ac:dyDescent="0.2">
      <c r="B113" s="71"/>
      <c r="C113" s="71"/>
      <c r="D113" s="71"/>
      <c r="E113" s="71"/>
    </row>
    <row r="114" spans="2:5" x14ac:dyDescent="0.2">
      <c r="B114" s="71"/>
      <c r="C114" s="71"/>
      <c r="D114" s="71"/>
      <c r="E114" s="71"/>
    </row>
    <row r="115" spans="2:5" x14ac:dyDescent="0.2">
      <c r="B115" s="71"/>
      <c r="C115" s="71"/>
      <c r="D115" s="71"/>
      <c r="E115" s="71"/>
    </row>
    <row r="116" spans="2:5" x14ac:dyDescent="0.2">
      <c r="B116" s="71"/>
      <c r="C116" s="71"/>
      <c r="D116" s="71"/>
      <c r="E116" s="71"/>
    </row>
    <row r="117" spans="2:5" x14ac:dyDescent="0.2">
      <c r="B117" s="71"/>
      <c r="C117" s="71"/>
      <c r="D117" s="71"/>
      <c r="E117" s="71"/>
    </row>
    <row r="118" spans="2:5" x14ac:dyDescent="0.2">
      <c r="B118" s="71"/>
      <c r="C118" s="71"/>
      <c r="D118" s="71"/>
      <c r="E118" s="7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5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9" customWidth="1"/>
    <col min="2" max="2" width="9" style="11" bestFit="1" customWidth="1"/>
    <col min="3" max="3" width="11.875" style="11" bestFit="1" customWidth="1"/>
    <col min="4" max="5" width="6" style="11" bestFit="1" customWidth="1"/>
    <col min="6" max="8" width="11" style="11" bestFit="1" customWidth="1"/>
    <col min="9" max="9" width="12.125" style="11" bestFit="1" customWidth="1"/>
    <col min="10" max="10" width="12" style="11" bestFit="1" customWidth="1"/>
    <col min="11" max="11" width="12.125" style="11" bestFit="1" customWidth="1"/>
    <col min="12" max="12" width="13" style="11" bestFit="1" customWidth="1"/>
    <col min="13" max="13" width="14.875" style="11" bestFit="1" customWidth="1"/>
    <col min="14" max="14" width="13.75" style="11" bestFit="1" customWidth="1"/>
    <col min="15" max="15" width="14" style="11" customWidth="1"/>
    <col min="16" max="16" width="11.375" style="11" customWidth="1"/>
    <col min="17" max="17" width="10.375" style="11" bestFit="1" customWidth="1"/>
    <col min="18" max="16384" width="8.75" style="11"/>
  </cols>
  <sheetData>
    <row r="1" spans="1:20" s="3" customFormat="1" x14ac:dyDescent="0.2">
      <c r="A1" s="1" t="s">
        <v>0</v>
      </c>
      <c r="B1" s="2">
        <v>42346</v>
      </c>
    </row>
    <row r="2" spans="1:20" s="3" customFormat="1" x14ac:dyDescent="0.2">
      <c r="A2" s="1" t="s">
        <v>1</v>
      </c>
      <c r="B2" s="3">
        <v>76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">
        <v>236192</v>
      </c>
      <c r="F3" s="7">
        <v>226024</v>
      </c>
    </row>
    <row r="4" spans="1:20" s="3" customFormat="1" ht="15" x14ac:dyDescent="0.3">
      <c r="A4" s="1"/>
      <c r="D4" s="6" t="s">
        <v>6</v>
      </c>
      <c r="E4" s="7">
        <v>246216</v>
      </c>
      <c r="F4" s="7">
        <v>240608</v>
      </c>
    </row>
    <row r="5" spans="1:20" s="3" customFormat="1" x14ac:dyDescent="0.2">
      <c r="A5" s="1"/>
      <c r="D5" s="8"/>
      <c r="F5" s="8"/>
    </row>
    <row r="6" spans="1:20" ht="15" x14ac:dyDescent="0.3">
      <c r="B6" s="10"/>
      <c r="C6" s="10"/>
      <c r="D6" s="10"/>
      <c r="N6" s="12"/>
      <c r="O6" s="12"/>
      <c r="P6" s="12"/>
    </row>
    <row r="7" spans="1:20" ht="15" x14ac:dyDescent="0.3">
      <c r="A7" s="13" t="s">
        <v>7</v>
      </c>
      <c r="B7" s="14" t="s">
        <v>8</v>
      </c>
      <c r="C7" s="15" t="s">
        <v>9</v>
      </c>
      <c r="D7" s="15"/>
      <c r="E7" s="16" t="s">
        <v>10</v>
      </c>
      <c r="F7" s="17" t="s">
        <v>11</v>
      </c>
      <c r="G7" s="18" t="s">
        <v>12</v>
      </c>
      <c r="H7" s="18" t="s">
        <v>13</v>
      </c>
      <c r="N7" s="12"/>
      <c r="O7" s="12"/>
      <c r="P7" s="12"/>
    </row>
    <row r="8" spans="1:20" ht="15" x14ac:dyDescent="0.3">
      <c r="A8" s="77">
        <v>0</v>
      </c>
      <c r="B8" s="18">
        <v>0</v>
      </c>
      <c r="C8">
        <v>4.9000000000000002E-2</v>
      </c>
      <c r="D8">
        <v>4.9000000000000002E-2</v>
      </c>
      <c r="E8" s="19">
        <f t="shared" ref="E8:E13" si="0">AVERAGE(C8:D8)</f>
        <v>4.9000000000000002E-2</v>
      </c>
      <c r="F8" s="20"/>
      <c r="G8" s="18"/>
      <c r="H8" s="18"/>
      <c r="N8" s="12"/>
      <c r="O8" s="12"/>
      <c r="P8" s="12"/>
    </row>
    <row r="9" spans="1:20" ht="15" x14ac:dyDescent="0.3">
      <c r="A9" s="77">
        <v>3</v>
      </c>
      <c r="B9" s="20">
        <f>A9/23</f>
        <v>0.13043478260869565</v>
      </c>
      <c r="C9">
        <v>7.0999999999999994E-2</v>
      </c>
      <c r="D9">
        <v>7.0999999999999994E-2</v>
      </c>
      <c r="E9" s="19">
        <f t="shared" si="0"/>
        <v>7.0999999999999994E-2</v>
      </c>
      <c r="F9" s="20">
        <f>(E9-$E$8)</f>
        <v>2.1999999999999992E-2</v>
      </c>
      <c r="G9" s="20">
        <f>LOG(B9)</f>
        <v>-0.88460658129793046</v>
      </c>
      <c r="H9" s="20">
        <f>LOG(F9)</f>
        <v>-1.6575773191777938</v>
      </c>
      <c r="N9" s="12"/>
      <c r="O9" s="12"/>
      <c r="P9" s="12"/>
    </row>
    <row r="10" spans="1:20" ht="15" x14ac:dyDescent="0.3">
      <c r="A10" s="77">
        <v>9.74</v>
      </c>
      <c r="B10" s="20">
        <f t="shared" ref="B10:B13" si="1">A10/23</f>
        <v>0.42347826086956525</v>
      </c>
      <c r="C10">
        <v>0.123</v>
      </c>
      <c r="D10">
        <v>0.127</v>
      </c>
      <c r="E10" s="19">
        <f t="shared" si="0"/>
        <v>0.125</v>
      </c>
      <c r="F10" s="20">
        <f>(E10-$E$8)</f>
        <v>7.5999999999999998E-2</v>
      </c>
      <c r="G10" s="20">
        <f>LOG(B10)</f>
        <v>-0.37316887913897734</v>
      </c>
      <c r="H10" s="20">
        <f>LOG(F10)</f>
        <v>-1.1191864077192086</v>
      </c>
      <c r="N10" s="12"/>
      <c r="O10" s="12"/>
      <c r="P10" s="12"/>
    </row>
    <row r="11" spans="1:20" ht="15" x14ac:dyDescent="0.3">
      <c r="A11" s="77">
        <v>29.8</v>
      </c>
      <c r="B11" s="20">
        <f t="shared" si="1"/>
        <v>1.2956521739130435</v>
      </c>
      <c r="C11">
        <v>0.28599999999999998</v>
      </c>
      <c r="D11">
        <v>0.28399999999999997</v>
      </c>
      <c r="E11" s="19">
        <f t="shared" si="0"/>
        <v>0.28499999999999998</v>
      </c>
      <c r="F11" s="20">
        <f>(E11-$E$8)</f>
        <v>0.23599999999999999</v>
      </c>
      <c r="G11" s="20">
        <f>LOG(B11)</f>
        <v>0.11248842805866238</v>
      </c>
      <c r="H11" s="20">
        <f>LOG(F11)</f>
        <v>-0.62708799702989348</v>
      </c>
      <c r="N11" s="12"/>
      <c r="O11" s="12"/>
      <c r="P11" s="12"/>
      <c r="Q11" s="12"/>
      <c r="R11" s="12"/>
      <c r="S11" s="12"/>
      <c r="T11" s="12"/>
    </row>
    <row r="12" spans="1:20" ht="15" x14ac:dyDescent="0.3">
      <c r="A12" s="77">
        <v>104</v>
      </c>
      <c r="B12" s="20">
        <f t="shared" si="1"/>
        <v>4.5217391304347823</v>
      </c>
      <c r="C12">
        <v>0.874</v>
      </c>
      <c r="D12">
        <v>0.88</v>
      </c>
      <c r="E12" s="19">
        <f t="shared" si="0"/>
        <v>0.877</v>
      </c>
      <c r="F12" s="20">
        <f>(E12-$E$8)</f>
        <v>0.82799999999999996</v>
      </c>
      <c r="G12" s="20">
        <f>LOG(B12)</f>
        <v>0.65530550328118742</v>
      </c>
      <c r="H12" s="20">
        <f>LOG(F12)</f>
        <v>-8.1969663215119878E-2</v>
      </c>
      <c r="N12" s="12"/>
      <c r="O12" s="12"/>
      <c r="P12" s="12"/>
      <c r="Q12" s="12"/>
      <c r="R12" s="12"/>
      <c r="S12" s="12"/>
      <c r="T12" s="12"/>
    </row>
    <row r="13" spans="1:20" ht="15" x14ac:dyDescent="0.3">
      <c r="A13" s="77">
        <v>207</v>
      </c>
      <c r="B13" s="20">
        <f t="shared" si="1"/>
        <v>9</v>
      </c>
      <c r="C13">
        <v>1.6140000000000001</v>
      </c>
      <c r="D13">
        <v>1.663</v>
      </c>
      <c r="E13" s="19">
        <f t="shared" si="0"/>
        <v>1.6385000000000001</v>
      </c>
      <c r="F13" s="20">
        <f>(E13-$E$8)</f>
        <v>1.5895000000000001</v>
      </c>
      <c r="G13" s="20">
        <f>LOG(B13)</f>
        <v>0.95424250943932487</v>
      </c>
      <c r="H13" s="20">
        <f>LOG(F13)</f>
        <v>0.20126053225079174</v>
      </c>
      <c r="N13" s="12"/>
    </row>
    <row r="14" spans="1:20" ht="15" x14ac:dyDescent="0.3">
      <c r="N14" s="12"/>
    </row>
    <row r="15" spans="1:20" ht="15" x14ac:dyDescent="0.3">
      <c r="A15" s="13" t="s">
        <v>14</v>
      </c>
      <c r="B15" s="19">
        <f>SLOPE(H9:H13,G9:G13)</f>
        <v>1.0113789299449296</v>
      </c>
      <c r="N15" s="12"/>
    </row>
    <row r="16" spans="1:20" ht="15" x14ac:dyDescent="0.25">
      <c r="A16" s="13" t="s">
        <v>15</v>
      </c>
      <c r="B16" s="19">
        <f>INTERCEPT(H9:H13,G9:G13)</f>
        <v>-0.7508209256809939</v>
      </c>
      <c r="C16" s="21"/>
      <c r="G16" s="21"/>
      <c r="H16" s="21"/>
    </row>
    <row r="17" spans="1:17" ht="15" x14ac:dyDescent="0.3">
      <c r="B17" s="12"/>
      <c r="C17" s="12"/>
      <c r="D17" s="12"/>
      <c r="E17" s="12"/>
      <c r="F17" s="12"/>
      <c r="G17" s="12"/>
    </row>
    <row r="18" spans="1:17" ht="15" x14ac:dyDescent="0.3">
      <c r="B18" s="12"/>
      <c r="C18" s="12"/>
      <c r="D18" s="12"/>
      <c r="E18" s="12"/>
      <c r="F18" s="12"/>
      <c r="G18" s="12"/>
    </row>
    <row r="19" spans="1:17" ht="23.25" x14ac:dyDescent="0.35">
      <c r="A19" s="22" t="s">
        <v>16</v>
      </c>
      <c r="B19" s="23"/>
      <c r="C19" s="23"/>
      <c r="K19" s="24"/>
      <c r="L19" s="25" t="s">
        <v>17</v>
      </c>
      <c r="M19" s="26"/>
    </row>
    <row r="20" spans="1:17" s="25" customFormat="1" x14ac:dyDescent="0.2">
      <c r="A20" s="27" t="s">
        <v>18</v>
      </c>
      <c r="B20" s="17" t="s">
        <v>19</v>
      </c>
      <c r="C20" s="17" t="s">
        <v>19</v>
      </c>
      <c r="D20" s="17" t="s">
        <v>20</v>
      </c>
      <c r="E20" s="28" t="s">
        <v>21</v>
      </c>
      <c r="F20" s="29" t="s">
        <v>13</v>
      </c>
      <c r="G20" s="29" t="s">
        <v>22</v>
      </c>
      <c r="H20" s="29" t="s">
        <v>23</v>
      </c>
      <c r="I20" s="17" t="s">
        <v>24</v>
      </c>
      <c r="J20" s="29" t="s">
        <v>25</v>
      </c>
      <c r="K20" s="29" t="s">
        <v>26</v>
      </c>
      <c r="L20" s="29" t="s">
        <v>27</v>
      </c>
      <c r="M20" s="30" t="s">
        <v>28</v>
      </c>
    </row>
    <row r="21" spans="1:17" s="32" customFormat="1" x14ac:dyDescent="0.2">
      <c r="A21" s="31"/>
      <c r="L21" s="33"/>
      <c r="M21" s="34"/>
    </row>
    <row r="22" spans="1:17" ht="15" x14ac:dyDescent="0.3">
      <c r="A22" s="9" t="s">
        <v>29</v>
      </c>
      <c r="B22">
        <v>0.35199999999999998</v>
      </c>
      <c r="C22">
        <v>0.36799999999999999</v>
      </c>
      <c r="D22" s="35">
        <f t="shared" ref="D22:D27" si="2">AVERAGE(B22:C22)</f>
        <v>0.36</v>
      </c>
      <c r="E22" s="35">
        <f t="shared" ref="E22:E27" si="3">D22-E$8</f>
        <v>0.311</v>
      </c>
      <c r="F22" s="35">
        <f>LOG(E22)</f>
        <v>-0.5072396109731625</v>
      </c>
      <c r="G22" s="36">
        <f>(F22-$B$16)/$B$15</f>
        <v>0.24084080407043343</v>
      </c>
      <c r="H22" s="36">
        <f>10^G22</f>
        <v>1.7411685098840244</v>
      </c>
      <c r="I22" s="37">
        <v>500</v>
      </c>
      <c r="J22" s="38">
        <f>(H22*I22)</f>
        <v>870.58425494201219</v>
      </c>
      <c r="K22" s="38">
        <f>(0.05*J22/1000)*1000</f>
        <v>43.529212747100615</v>
      </c>
      <c r="L22" s="39">
        <f>K22+K40+K50</f>
        <v>44.564126959916379</v>
      </c>
      <c r="M22" s="40">
        <f>(L22*1000000/50000)/1000</f>
        <v>0.89128253919832756</v>
      </c>
      <c r="N22" s="41"/>
    </row>
    <row r="23" spans="1:17" ht="15" x14ac:dyDescent="0.3">
      <c r="B23">
        <v>0.39700000000000002</v>
      </c>
      <c r="C23">
        <v>0.39500000000000002</v>
      </c>
      <c r="D23" s="35">
        <f t="shared" si="2"/>
        <v>0.39600000000000002</v>
      </c>
      <c r="E23" s="35">
        <f t="shared" si="3"/>
        <v>0.34700000000000003</v>
      </c>
      <c r="F23" s="35">
        <f t="shared" ref="F23:F27" si="4">LOG(E23)</f>
        <v>-0.45967052520912627</v>
      </c>
      <c r="G23" s="36">
        <f t="shared" ref="G23:G27" si="5">(F23-$B$16)/$B$15</f>
        <v>0.28787469449034397</v>
      </c>
      <c r="H23" s="36">
        <f t="shared" ref="H23:H27" si="6">10^G23</f>
        <v>1.9403259611715125</v>
      </c>
      <c r="I23" s="37">
        <v>500</v>
      </c>
      <c r="J23" s="38">
        <f t="shared" ref="J23:J27" si="7">(H23*I23)</f>
        <v>970.16298058575626</v>
      </c>
      <c r="K23" s="38">
        <f t="shared" ref="K23:K27" si="8">(0.05*J23/1000)*1000</f>
        <v>48.508149029287814</v>
      </c>
      <c r="L23" s="39">
        <f>K23+K41+K51</f>
        <v>49.72475240455929</v>
      </c>
      <c r="M23" s="40">
        <f t="shared" ref="M23:M27" si="9">(L23*1000000/50000)/1000</f>
        <v>0.99449504809118583</v>
      </c>
      <c r="N23" s="41"/>
    </row>
    <row r="24" spans="1:17" ht="15" x14ac:dyDescent="0.3">
      <c r="B24">
        <v>0.40799999999999997</v>
      </c>
      <c r="C24">
        <v>0.41</v>
      </c>
      <c r="D24" s="35">
        <f t="shared" si="2"/>
        <v>0.40899999999999997</v>
      </c>
      <c r="E24" s="35">
        <f t="shared" si="3"/>
        <v>0.36</v>
      </c>
      <c r="F24" s="35">
        <f t="shared" si="4"/>
        <v>-0.44369749923271273</v>
      </c>
      <c r="G24" s="36">
        <f t="shared" si="5"/>
        <v>0.30366800944232075</v>
      </c>
      <c r="H24" s="36">
        <f t="shared" si="6"/>
        <v>2.0121854737497329</v>
      </c>
      <c r="I24" s="37">
        <v>500</v>
      </c>
      <c r="J24" s="38">
        <f t="shared" si="7"/>
        <v>1006.0927368748664</v>
      </c>
      <c r="K24" s="38">
        <f t="shared" si="8"/>
        <v>50.304636843743324</v>
      </c>
      <c r="L24" s="39">
        <f t="shared" ref="L24:L27" si="10">K24+K42+K52</f>
        <v>51.736590569700056</v>
      </c>
      <c r="M24" s="40">
        <f t="shared" si="9"/>
        <v>1.0347318113940012</v>
      </c>
      <c r="N24" s="41"/>
    </row>
    <row r="25" spans="1:17" ht="15" x14ac:dyDescent="0.3">
      <c r="A25" s="9" t="s">
        <v>30</v>
      </c>
      <c r="B25">
        <v>0.314</v>
      </c>
      <c r="C25">
        <v>0.314</v>
      </c>
      <c r="D25" s="35">
        <f t="shared" si="2"/>
        <v>0.314</v>
      </c>
      <c r="E25" s="35">
        <f t="shared" si="3"/>
        <v>0.26500000000000001</v>
      </c>
      <c r="F25" s="35">
        <f t="shared" si="4"/>
        <v>-0.5767541260631921</v>
      </c>
      <c r="G25" s="36">
        <f t="shared" si="5"/>
        <v>0.172108390301625</v>
      </c>
      <c r="H25" s="36">
        <f t="shared" si="6"/>
        <v>1.4863065452560318</v>
      </c>
      <c r="I25" s="37">
        <v>500</v>
      </c>
      <c r="J25" s="38">
        <f t="shared" si="7"/>
        <v>743.15327262801588</v>
      </c>
      <c r="K25" s="38">
        <f t="shared" si="8"/>
        <v>37.157663631400794</v>
      </c>
      <c r="L25" s="39">
        <f t="shared" si="10"/>
        <v>41.43847102482809</v>
      </c>
      <c r="M25" s="40">
        <f t="shared" si="9"/>
        <v>0.82876942049656177</v>
      </c>
      <c r="N25" s="41"/>
    </row>
    <row r="26" spans="1:17" ht="15" x14ac:dyDescent="0.3">
      <c r="B26">
        <v>0.32400000000000001</v>
      </c>
      <c r="C26">
        <v>0.315</v>
      </c>
      <c r="D26" s="35">
        <f t="shared" si="2"/>
        <v>0.31950000000000001</v>
      </c>
      <c r="E26" s="35">
        <f t="shared" si="3"/>
        <v>0.27050000000000002</v>
      </c>
      <c r="F26" s="35">
        <f t="shared" si="4"/>
        <v>-0.56783273055741168</v>
      </c>
      <c r="G26" s="36">
        <f t="shared" si="5"/>
        <v>0.18092941201923801</v>
      </c>
      <c r="H26" s="36">
        <f t="shared" si="6"/>
        <v>1.5168038139696591</v>
      </c>
      <c r="I26" s="37">
        <v>500</v>
      </c>
      <c r="J26" s="38">
        <f t="shared" si="7"/>
        <v>758.40190698482957</v>
      </c>
      <c r="K26" s="38">
        <f t="shared" si="8"/>
        <v>37.920095349241478</v>
      </c>
      <c r="L26" s="39">
        <f t="shared" si="10"/>
        <v>42.344559199288938</v>
      </c>
      <c r="M26" s="40">
        <f t="shared" si="9"/>
        <v>0.84689118398577867</v>
      </c>
      <c r="N26" s="41"/>
    </row>
    <row r="27" spans="1:17" ht="15" x14ac:dyDescent="0.3">
      <c r="B27">
        <v>0.33300000000000002</v>
      </c>
      <c r="C27">
        <v>0.32100000000000001</v>
      </c>
      <c r="D27" s="35">
        <f t="shared" si="2"/>
        <v>0.32700000000000001</v>
      </c>
      <c r="E27" s="35">
        <f t="shared" si="3"/>
        <v>0.27800000000000002</v>
      </c>
      <c r="F27" s="35">
        <f t="shared" si="4"/>
        <v>-0.55595520408192367</v>
      </c>
      <c r="G27" s="36">
        <f t="shared" si="5"/>
        <v>0.19267330555292547</v>
      </c>
      <c r="H27" s="36">
        <f t="shared" si="6"/>
        <v>1.558379783441042</v>
      </c>
      <c r="I27" s="37">
        <v>500</v>
      </c>
      <c r="J27" s="38">
        <f t="shared" si="7"/>
        <v>779.18989172052102</v>
      </c>
      <c r="K27" s="38">
        <f t="shared" si="8"/>
        <v>38.959494586026054</v>
      </c>
      <c r="L27" s="39">
        <f t="shared" si="10"/>
        <v>43.309987601274194</v>
      </c>
      <c r="M27" s="40">
        <f t="shared" si="9"/>
        <v>0.86619975202548383</v>
      </c>
      <c r="N27" s="41"/>
    </row>
    <row r="28" spans="1:17" ht="23.25" x14ac:dyDescent="0.35">
      <c r="A28" s="22" t="s">
        <v>16</v>
      </c>
      <c r="B28" s="73"/>
      <c r="C28" s="73"/>
      <c r="I28" s="37"/>
      <c r="J28" s="37"/>
      <c r="K28" s="42"/>
      <c r="L28" s="25" t="s">
        <v>17</v>
      </c>
      <c r="M28" s="26"/>
    </row>
    <row r="29" spans="1:17" s="25" customFormat="1" x14ac:dyDescent="0.2">
      <c r="A29" s="27" t="s">
        <v>18</v>
      </c>
      <c r="B29" s="74" t="s">
        <v>19</v>
      </c>
      <c r="C29" s="74" t="s">
        <v>19</v>
      </c>
      <c r="D29" s="17" t="s">
        <v>20</v>
      </c>
      <c r="E29" s="28" t="s">
        <v>21</v>
      </c>
      <c r="F29" s="29" t="s">
        <v>13</v>
      </c>
      <c r="G29" s="29" t="s">
        <v>22</v>
      </c>
      <c r="H29" s="29" t="s">
        <v>23</v>
      </c>
      <c r="I29" s="28" t="s">
        <v>24</v>
      </c>
      <c r="J29" s="43" t="s">
        <v>25</v>
      </c>
      <c r="K29" s="43" t="s">
        <v>26</v>
      </c>
      <c r="L29" s="29" t="s">
        <v>27</v>
      </c>
      <c r="M29" s="30" t="s">
        <v>28</v>
      </c>
    </row>
    <row r="30" spans="1:17" s="32" customFormat="1" x14ac:dyDescent="0.2">
      <c r="A30" s="31"/>
      <c r="B30" s="75"/>
      <c r="C30" s="75"/>
      <c r="L30" s="33"/>
      <c r="M30" s="34"/>
    </row>
    <row r="31" spans="1:17" ht="15" x14ac:dyDescent="0.3">
      <c r="A31" s="9" t="s">
        <v>29</v>
      </c>
      <c r="B31">
        <v>0.35199999999999998</v>
      </c>
      <c r="C31">
        <v>0.36799999999999999</v>
      </c>
      <c r="D31" s="35">
        <f t="shared" ref="D31:D36" si="11">AVERAGE(B31:C31)</f>
        <v>0.36</v>
      </c>
      <c r="E31" s="35">
        <f t="shared" ref="E31:E36" si="12">D31-E$8</f>
        <v>0.311</v>
      </c>
      <c r="F31" s="35">
        <f>LOG(E31)</f>
        <v>-0.5072396109731625</v>
      </c>
      <c r="G31" s="36">
        <f>(F31-$B$16)/$B$15</f>
        <v>0.24084080407043343</v>
      </c>
      <c r="H31" s="36">
        <f>10^G31</f>
        <v>1.7411685098840244</v>
      </c>
      <c r="I31" s="37">
        <v>500</v>
      </c>
      <c r="J31" s="38">
        <f>(H31*I31)</f>
        <v>870.58425494201219</v>
      </c>
      <c r="K31" s="38">
        <f>(0.05*J31/1000)*1000</f>
        <v>43.529212747100615</v>
      </c>
      <c r="L31" s="39">
        <f>K31+K50</f>
        <v>44.297323838213146</v>
      </c>
      <c r="M31" s="40">
        <f>(L31*1000000/50000)/1000</f>
        <v>0.88594647676426286</v>
      </c>
      <c r="N31" s="44"/>
      <c r="Q31" s="12"/>
    </row>
    <row r="32" spans="1:17" ht="15" x14ac:dyDescent="0.3">
      <c r="B32">
        <v>0.39700000000000002</v>
      </c>
      <c r="C32">
        <v>0.39500000000000002</v>
      </c>
      <c r="D32" s="35">
        <f t="shared" si="11"/>
        <v>0.39600000000000002</v>
      </c>
      <c r="E32" s="35">
        <f t="shared" si="12"/>
        <v>0.34700000000000003</v>
      </c>
      <c r="F32" s="35">
        <f t="shared" ref="F32:F36" si="13">LOG(E32)</f>
        <v>-0.45967052520912627</v>
      </c>
      <c r="G32" s="36">
        <f t="shared" ref="G32:G36" si="14">(F32-$B$16)/$B$15</f>
        <v>0.28787469449034397</v>
      </c>
      <c r="H32" s="36">
        <f t="shared" ref="H32:H36" si="15">10^G32</f>
        <v>1.9403259611715125</v>
      </c>
      <c r="I32" s="37">
        <v>500</v>
      </c>
      <c r="J32" s="38">
        <f t="shared" ref="J32:J36" si="16">(H32*I32)</f>
        <v>970.16298058575626</v>
      </c>
      <c r="K32" s="38">
        <f t="shared" ref="K32:K36" si="17">(0.05*J32/1000)*1000</f>
        <v>48.508149029287814</v>
      </c>
      <c r="L32" s="39">
        <f>K32+K51</f>
        <v>49.204318138026636</v>
      </c>
      <c r="M32" s="40">
        <f t="shared" ref="M32:M36" si="18">(L32*1000000/50000)/1000</f>
        <v>0.98408636276053274</v>
      </c>
      <c r="N32" s="45"/>
      <c r="Q32" s="12"/>
    </row>
    <row r="33" spans="1:19" ht="15" x14ac:dyDescent="0.3">
      <c r="B33">
        <v>0.40799999999999997</v>
      </c>
      <c r="C33">
        <v>0.41</v>
      </c>
      <c r="D33" s="35">
        <f t="shared" si="11"/>
        <v>0.40899999999999997</v>
      </c>
      <c r="E33" s="35">
        <f t="shared" si="12"/>
        <v>0.36</v>
      </c>
      <c r="F33" s="35">
        <f t="shared" si="13"/>
        <v>-0.44369749923271273</v>
      </c>
      <c r="G33" s="36">
        <f t="shared" si="14"/>
        <v>0.30366800944232075</v>
      </c>
      <c r="H33" s="36">
        <f t="shared" si="15"/>
        <v>2.0121854737497329</v>
      </c>
      <c r="I33" s="37">
        <v>500</v>
      </c>
      <c r="J33" s="38">
        <f t="shared" si="16"/>
        <v>1006.0927368748664</v>
      </c>
      <c r="K33" s="38">
        <f t="shared" si="17"/>
        <v>50.304636843743324</v>
      </c>
      <c r="L33" s="39">
        <f t="shared" ref="L33:L36" si="19">K33+K52</f>
        <v>51.252281708861311</v>
      </c>
      <c r="M33" s="40">
        <f t="shared" si="18"/>
        <v>1.0250456341772263</v>
      </c>
      <c r="N33" s="45"/>
      <c r="Q33" s="12"/>
    </row>
    <row r="34" spans="1:19" ht="15" x14ac:dyDescent="0.3">
      <c r="A34" s="9" t="s">
        <v>30</v>
      </c>
      <c r="B34">
        <v>0.314</v>
      </c>
      <c r="C34">
        <v>0.314</v>
      </c>
      <c r="D34" s="35">
        <f t="shared" si="11"/>
        <v>0.314</v>
      </c>
      <c r="E34" s="35">
        <f t="shared" si="12"/>
        <v>0.26500000000000001</v>
      </c>
      <c r="F34" s="35">
        <f t="shared" si="13"/>
        <v>-0.5767541260631921</v>
      </c>
      <c r="G34" s="36">
        <f t="shared" si="14"/>
        <v>0.172108390301625</v>
      </c>
      <c r="H34" s="36">
        <f t="shared" si="15"/>
        <v>1.4863065452560318</v>
      </c>
      <c r="I34" s="37">
        <v>500</v>
      </c>
      <c r="J34" s="38">
        <f t="shared" si="16"/>
        <v>743.15327262801588</v>
      </c>
      <c r="K34" s="38">
        <f t="shared" si="17"/>
        <v>37.157663631400794</v>
      </c>
      <c r="L34" s="39">
        <f t="shared" si="19"/>
        <v>40.235645608042695</v>
      </c>
      <c r="M34" s="40">
        <f t="shared" si="18"/>
        <v>0.80471291216085383</v>
      </c>
      <c r="N34" s="45"/>
      <c r="Q34" s="12"/>
    </row>
    <row r="35" spans="1:19" ht="15" x14ac:dyDescent="0.3">
      <c r="B35">
        <v>0.32400000000000001</v>
      </c>
      <c r="C35">
        <v>0.315</v>
      </c>
      <c r="D35" s="35">
        <f t="shared" si="11"/>
        <v>0.31950000000000001</v>
      </c>
      <c r="E35" s="35">
        <f t="shared" si="12"/>
        <v>0.27050000000000002</v>
      </c>
      <c r="F35" s="35">
        <f t="shared" si="13"/>
        <v>-0.56783273055741168</v>
      </c>
      <c r="G35" s="36">
        <f t="shared" si="14"/>
        <v>0.18092941201923801</v>
      </c>
      <c r="H35" s="36">
        <f t="shared" si="15"/>
        <v>1.5168038139696591</v>
      </c>
      <c r="I35" s="37">
        <v>500</v>
      </c>
      <c r="J35" s="38">
        <f t="shared" si="16"/>
        <v>758.40190698482957</v>
      </c>
      <c r="K35" s="38">
        <f t="shared" si="17"/>
        <v>37.920095349241478</v>
      </c>
      <c r="L35" s="39">
        <f t="shared" si="19"/>
        <v>40.922867683069818</v>
      </c>
      <c r="M35" s="40">
        <f t="shared" si="18"/>
        <v>0.81845735366139638</v>
      </c>
      <c r="N35" s="45"/>
      <c r="Q35" s="12"/>
      <c r="S35" s="12"/>
    </row>
    <row r="36" spans="1:19" ht="15" x14ac:dyDescent="0.3">
      <c r="B36">
        <v>0.33300000000000002</v>
      </c>
      <c r="C36">
        <v>0.32100000000000001</v>
      </c>
      <c r="D36" s="35">
        <f t="shared" si="11"/>
        <v>0.32700000000000001</v>
      </c>
      <c r="E36" s="35">
        <f t="shared" si="12"/>
        <v>0.27800000000000002</v>
      </c>
      <c r="F36" s="35">
        <f t="shared" si="13"/>
        <v>-0.55595520408192367</v>
      </c>
      <c r="G36" s="36">
        <f t="shared" si="14"/>
        <v>0.19267330555292547</v>
      </c>
      <c r="H36" s="36">
        <f t="shared" si="15"/>
        <v>1.558379783441042</v>
      </c>
      <c r="I36" s="37">
        <v>500</v>
      </c>
      <c r="J36" s="38">
        <f t="shared" si="16"/>
        <v>779.18989172052102</v>
      </c>
      <c r="K36" s="38">
        <f t="shared" si="17"/>
        <v>38.959494586026054</v>
      </c>
      <c r="L36" s="39">
        <f t="shared" si="19"/>
        <v>42.201096555371954</v>
      </c>
      <c r="M36" s="40">
        <f t="shared" si="18"/>
        <v>0.84402193110743906</v>
      </c>
      <c r="N36" s="46"/>
      <c r="Q36" s="12"/>
      <c r="S36" s="12"/>
    </row>
    <row r="37" spans="1:19" ht="15" x14ac:dyDescent="0.3">
      <c r="B37" s="3"/>
      <c r="C37" s="3"/>
      <c r="I37" s="37"/>
      <c r="J37" s="37"/>
      <c r="K37" s="37"/>
      <c r="R37" s="12"/>
      <c r="S37" s="12"/>
    </row>
    <row r="38" spans="1:19" ht="23.25" x14ac:dyDescent="0.35">
      <c r="A38" s="22" t="s">
        <v>31</v>
      </c>
      <c r="B38" s="3"/>
      <c r="C38" s="3"/>
      <c r="E38" s="36"/>
      <c r="F38" s="35"/>
      <c r="H38" s="47"/>
      <c r="I38" s="37"/>
      <c r="J38" s="37"/>
      <c r="K38" s="37"/>
      <c r="M38" s="48" t="s">
        <v>32</v>
      </c>
      <c r="R38" s="12"/>
      <c r="S38" s="12"/>
    </row>
    <row r="39" spans="1:19" ht="15" x14ac:dyDescent="0.3">
      <c r="A39" s="27" t="s">
        <v>18</v>
      </c>
      <c r="B39" s="76" t="s">
        <v>19</v>
      </c>
      <c r="C39" s="76" t="s">
        <v>19</v>
      </c>
      <c r="D39" s="17" t="s">
        <v>20</v>
      </c>
      <c r="E39" s="28" t="s">
        <v>21</v>
      </c>
      <c r="F39" s="29" t="s">
        <v>13</v>
      </c>
      <c r="G39" s="29" t="s">
        <v>22</v>
      </c>
      <c r="H39" s="29" t="s">
        <v>23</v>
      </c>
      <c r="I39" s="28" t="s">
        <v>24</v>
      </c>
      <c r="J39" s="43" t="s">
        <v>25</v>
      </c>
      <c r="K39" s="43" t="s">
        <v>33</v>
      </c>
      <c r="L39" s="29" t="s">
        <v>34</v>
      </c>
      <c r="M39" s="25" t="s">
        <v>35</v>
      </c>
      <c r="N39" s="43" t="s">
        <v>36</v>
      </c>
      <c r="R39" s="12"/>
      <c r="S39" s="12"/>
    </row>
    <row r="40" spans="1:19" ht="15" x14ac:dyDescent="0.3">
      <c r="A40" s="9" t="s">
        <v>37</v>
      </c>
      <c r="B40">
        <v>7.5999999999999998E-2</v>
      </c>
      <c r="C40">
        <v>0.08</v>
      </c>
      <c r="D40" s="35">
        <f>AVERAGE(B40,C40)</f>
        <v>7.8E-2</v>
      </c>
      <c r="E40" s="35">
        <f t="shared" ref="E40:E45" si="20">D40-E$8</f>
        <v>2.8999999999999998E-2</v>
      </c>
      <c r="F40" s="35">
        <f t="shared" ref="F40:F45" si="21">LOG(E40)</f>
        <v>-1.5376020021010439</v>
      </c>
      <c r="G40" s="36">
        <f t="shared" ref="G40:G45" si="22">(F40-$B$16)/$B$15</f>
        <v>-0.77792907596254834</v>
      </c>
      <c r="H40" s="35">
        <f t="shared" ref="H40:H45" si="23">10^G40</f>
        <v>0.16675195106452109</v>
      </c>
      <c r="I40" s="49">
        <v>16</v>
      </c>
      <c r="J40" s="50">
        <f t="shared" ref="J40:J45" si="24">H40*I40</f>
        <v>2.6680312170323375</v>
      </c>
      <c r="K40" s="38">
        <f>(0.1*J40/1000)*1000</f>
        <v>0.26680312170323378</v>
      </c>
      <c r="L40" s="51">
        <f>K40*100/L22</f>
        <v>0.59869482452379774</v>
      </c>
      <c r="M40" s="52">
        <f>AVERAGE(L40:L42)</f>
        <v>0.8604767008145523</v>
      </c>
      <c r="N40" s="53">
        <f>STDEV(L40:L42)</f>
        <v>0.23334794131520228</v>
      </c>
      <c r="R40" s="12"/>
      <c r="S40" s="12"/>
    </row>
    <row r="41" spans="1:19" ht="15" x14ac:dyDescent="0.3">
      <c r="B41">
        <v>0.11</v>
      </c>
      <c r="C41">
        <v>0.10199999999999999</v>
      </c>
      <c r="D41" s="35">
        <f>AVERAGE(B41,C41)</f>
        <v>0.106</v>
      </c>
      <c r="E41" s="35">
        <f t="shared" si="20"/>
        <v>5.6999999999999995E-2</v>
      </c>
      <c r="F41" s="35">
        <f t="shared" si="21"/>
        <v>-1.2441251443275085</v>
      </c>
      <c r="G41" s="36">
        <f t="shared" si="22"/>
        <v>-0.4877540989245005</v>
      </c>
      <c r="H41" s="35">
        <f t="shared" si="23"/>
        <v>0.32527141658291059</v>
      </c>
      <c r="I41" s="49">
        <v>16</v>
      </c>
      <c r="J41" s="50">
        <f t="shared" si="24"/>
        <v>5.2043426653265694</v>
      </c>
      <c r="K41" s="38">
        <f t="shared" ref="K41:K45" si="25">(0.1*J41/1000)*1000</f>
        <v>0.52043426653265701</v>
      </c>
      <c r="L41" s="51">
        <f t="shared" ref="L41:L45" si="26">K41*100/L23</f>
        <v>1.0466301818828927</v>
      </c>
      <c r="M41" s="52"/>
      <c r="N41" s="53"/>
      <c r="R41" s="12"/>
      <c r="S41" s="12"/>
    </row>
    <row r="42" spans="1:19" s="25" customFormat="1" ht="15" x14ac:dyDescent="0.3">
      <c r="A42" s="9"/>
      <c r="B42">
        <v>0.10299999999999999</v>
      </c>
      <c r="C42">
        <v>0.10100000000000001</v>
      </c>
      <c r="D42" s="35">
        <f>AVERAGE(B42,C42)</f>
        <v>0.10200000000000001</v>
      </c>
      <c r="E42" s="35">
        <f t="shared" si="20"/>
        <v>5.3000000000000005E-2</v>
      </c>
      <c r="F42" s="35">
        <f t="shared" si="21"/>
        <v>-1.2757241303992108</v>
      </c>
      <c r="G42" s="36">
        <f t="shared" si="22"/>
        <v>-0.51899756775316486</v>
      </c>
      <c r="H42" s="35">
        <f t="shared" si="23"/>
        <v>0.30269303802421416</v>
      </c>
      <c r="I42" s="49">
        <v>16</v>
      </c>
      <c r="J42" s="50">
        <f t="shared" si="24"/>
        <v>4.8430886083874265</v>
      </c>
      <c r="K42" s="38">
        <f t="shared" si="25"/>
        <v>0.48430886083874269</v>
      </c>
      <c r="L42" s="51">
        <f t="shared" si="26"/>
        <v>0.93610509603696623</v>
      </c>
      <c r="M42" s="52"/>
      <c r="N42" s="53"/>
      <c r="R42" s="12"/>
      <c r="S42" s="12"/>
    </row>
    <row r="43" spans="1:19" ht="15" x14ac:dyDescent="0.3">
      <c r="A43" s="9" t="s">
        <v>38</v>
      </c>
      <c r="B43">
        <v>0.17499999999999999</v>
      </c>
      <c r="C43">
        <v>0.189</v>
      </c>
      <c r="D43" s="35">
        <f t="shared" ref="D43:D45" si="27">AVERAGE(B43,C43)</f>
        <v>0.182</v>
      </c>
      <c r="E43" s="35">
        <f t="shared" si="20"/>
        <v>0.13300000000000001</v>
      </c>
      <c r="F43" s="35">
        <f t="shared" si="21"/>
        <v>-0.87614835903291421</v>
      </c>
      <c r="G43" s="36">
        <f t="shared" si="22"/>
        <v>-0.12391738609656866</v>
      </c>
      <c r="H43" s="35">
        <f t="shared" si="23"/>
        <v>0.75176588549087087</v>
      </c>
      <c r="I43" s="49">
        <v>16</v>
      </c>
      <c r="J43" s="50">
        <f t="shared" si="24"/>
        <v>12.028254167853934</v>
      </c>
      <c r="K43" s="38">
        <f t="shared" si="25"/>
        <v>1.2028254167853936</v>
      </c>
      <c r="L43" s="51">
        <f t="shared" si="26"/>
        <v>2.9026780840072841</v>
      </c>
      <c r="M43" s="52">
        <f>AVERAGE(L43:L45)</f>
        <v>2.9401576354248253</v>
      </c>
      <c r="N43" s="53">
        <f>STDEV(L43:L45)</f>
        <v>0.3998582533123084</v>
      </c>
      <c r="R43" s="12"/>
      <c r="S43" s="12"/>
    </row>
    <row r="44" spans="1:19" ht="15" x14ac:dyDescent="0.3">
      <c r="A44" s="54"/>
      <c r="B44">
        <v>0.214</v>
      </c>
      <c r="C44">
        <v>0.19900000000000001</v>
      </c>
      <c r="D44" s="35">
        <f t="shared" si="27"/>
        <v>0.20650000000000002</v>
      </c>
      <c r="E44" s="35">
        <f t="shared" si="20"/>
        <v>0.15750000000000003</v>
      </c>
      <c r="F44" s="35">
        <f t="shared" si="21"/>
        <v>-0.8027194418743806</v>
      </c>
      <c r="G44" s="36">
        <f t="shared" si="22"/>
        <v>-5.1314610831582792E-2</v>
      </c>
      <c r="H44" s="35">
        <f t="shared" si="23"/>
        <v>0.88855719763694918</v>
      </c>
      <c r="I44" s="49">
        <v>16</v>
      </c>
      <c r="J44" s="50">
        <f t="shared" si="24"/>
        <v>14.216915162191187</v>
      </c>
      <c r="K44" s="38">
        <f t="shared" si="25"/>
        <v>1.4216915162191188</v>
      </c>
      <c r="L44" s="51">
        <f t="shared" si="26"/>
        <v>3.3574360982909752</v>
      </c>
      <c r="M44" s="52"/>
      <c r="N44" s="53"/>
    </row>
    <row r="45" spans="1:19" ht="15" x14ac:dyDescent="0.3">
      <c r="A45" s="55"/>
      <c r="B45">
        <v>0.17199999999999999</v>
      </c>
      <c r="C45">
        <v>0.17100000000000001</v>
      </c>
      <c r="D45" s="35">
        <f t="shared" si="27"/>
        <v>0.17149999999999999</v>
      </c>
      <c r="E45" s="35">
        <f t="shared" si="20"/>
        <v>0.12249999999999998</v>
      </c>
      <c r="F45" s="35">
        <f t="shared" si="21"/>
        <v>-0.91186391129944877</v>
      </c>
      <c r="G45" s="36">
        <f t="shared" si="22"/>
        <v>-0.15923110601802212</v>
      </c>
      <c r="H45" s="35">
        <f t="shared" si="23"/>
        <v>0.69305690368890083</v>
      </c>
      <c r="I45" s="49">
        <v>16</v>
      </c>
      <c r="J45" s="50">
        <f t="shared" si="24"/>
        <v>11.088910459022413</v>
      </c>
      <c r="K45" s="38">
        <f t="shared" si="25"/>
        <v>1.1088910459022414</v>
      </c>
      <c r="L45" s="51">
        <f t="shared" si="26"/>
        <v>2.5603587239762162</v>
      </c>
      <c r="M45" s="52"/>
      <c r="N45" s="53"/>
    </row>
    <row r="46" spans="1:19" x14ac:dyDescent="0.2">
      <c r="B46" s="3"/>
      <c r="C46" s="3"/>
      <c r="E46" s="36"/>
      <c r="F46" s="35"/>
      <c r="G46" s="52"/>
      <c r="H46" s="56"/>
      <c r="I46" s="37"/>
      <c r="J46" s="37"/>
      <c r="K46" s="37"/>
    </row>
    <row r="47" spans="1:19" x14ac:dyDescent="0.2">
      <c r="B47" s="3"/>
      <c r="C47" s="3"/>
      <c r="E47" s="36"/>
      <c r="F47" s="35"/>
      <c r="G47" s="52"/>
      <c r="H47" s="56"/>
      <c r="I47" s="37"/>
      <c r="J47" s="37"/>
      <c r="K47" s="37"/>
    </row>
    <row r="48" spans="1:19" ht="23.25" x14ac:dyDescent="0.35">
      <c r="A48" s="22" t="s">
        <v>39</v>
      </c>
      <c r="B48" s="3"/>
      <c r="C48" s="3"/>
      <c r="E48" s="36"/>
      <c r="F48" s="35"/>
      <c r="H48" s="47"/>
      <c r="I48" s="37"/>
      <c r="J48" s="37"/>
      <c r="K48" s="37"/>
      <c r="M48" s="48" t="s">
        <v>32</v>
      </c>
    </row>
    <row r="49" spans="1:25" x14ac:dyDescent="0.2">
      <c r="A49" s="27" t="s">
        <v>18</v>
      </c>
      <c r="B49" s="76" t="s">
        <v>19</v>
      </c>
      <c r="C49" s="76" t="s">
        <v>19</v>
      </c>
      <c r="D49" s="17" t="s">
        <v>20</v>
      </c>
      <c r="E49" s="28" t="s">
        <v>21</v>
      </c>
      <c r="F49" s="29" t="s">
        <v>13</v>
      </c>
      <c r="G49" s="29" t="s">
        <v>22</v>
      </c>
      <c r="H49" s="29" t="s">
        <v>23</v>
      </c>
      <c r="I49" s="28" t="s">
        <v>24</v>
      </c>
      <c r="J49" s="43" t="s">
        <v>25</v>
      </c>
      <c r="K49" s="43" t="s">
        <v>33</v>
      </c>
      <c r="L49" s="29" t="s">
        <v>34</v>
      </c>
      <c r="M49" s="25" t="s">
        <v>35</v>
      </c>
      <c r="N49" s="43" t="s">
        <v>36</v>
      </c>
      <c r="O49" s="11" t="s">
        <v>40</v>
      </c>
      <c r="P49" s="25" t="s">
        <v>35</v>
      </c>
      <c r="Q49" s="43" t="s">
        <v>36</v>
      </c>
    </row>
    <row r="50" spans="1:25" ht="15" x14ac:dyDescent="0.3">
      <c r="A50" s="9" t="s">
        <v>29</v>
      </c>
      <c r="B50">
        <v>0.13100000000000001</v>
      </c>
      <c r="C50">
        <v>0.13600000000000001</v>
      </c>
      <c r="D50" s="35">
        <f t="shared" ref="D50:D52" si="28">AVERAGE(B50,C50)</f>
        <v>0.13350000000000001</v>
      </c>
      <c r="E50" s="35">
        <f t="shared" ref="E50:E55" si="29">D50-E$8</f>
        <v>8.4500000000000006E-2</v>
      </c>
      <c r="F50" s="35">
        <f t="shared" ref="F50:F55" si="30">LOG(E50)</f>
        <v>-1.0731432910503076</v>
      </c>
      <c r="G50" s="36">
        <f t="shared" ref="G50:G55" si="31">(F50-$B$16)/$B$15</f>
        <v>-0.31869594652012811</v>
      </c>
      <c r="H50" s="35">
        <f t="shared" ref="H50:H55" si="32">10^G50</f>
        <v>0.48006943194533358</v>
      </c>
      <c r="I50" s="49">
        <v>16</v>
      </c>
      <c r="J50" s="50">
        <f t="shared" ref="J50:J55" si="33">H50*I50</f>
        <v>7.6811109111253373</v>
      </c>
      <c r="K50" s="38">
        <f>(0.1*J50/1000)*1000</f>
        <v>0.76811109111253373</v>
      </c>
      <c r="L50" s="51">
        <f t="shared" ref="L50:L55" si="34">K50*100/L31</f>
        <v>1.7339898317963887</v>
      </c>
      <c r="M50" s="52">
        <f>AVERAGE(L50:L52)</f>
        <v>1.665941450091978</v>
      </c>
      <c r="N50" s="53">
        <f>STDEV(L50:L52)</f>
        <v>0.22492116755107822</v>
      </c>
      <c r="O50" s="11">
        <f>L50/L40</f>
        <v>2.8962833162548303</v>
      </c>
      <c r="P50" s="52">
        <f>AVERAGE(O50:O52)</f>
        <v>2.0744288566771281</v>
      </c>
      <c r="Q50" s="53">
        <f>STDEV(O50:O52)</f>
        <v>0.77700073913052103</v>
      </c>
      <c r="S50" s="12"/>
      <c r="T50" s="12"/>
    </row>
    <row r="51" spans="1:25" ht="15" x14ac:dyDescent="0.3">
      <c r="B51">
        <v>0.126</v>
      </c>
      <c r="C51">
        <v>0.125</v>
      </c>
      <c r="D51" s="35">
        <f t="shared" si="28"/>
        <v>0.1255</v>
      </c>
      <c r="E51" s="35">
        <f t="shared" si="29"/>
        <v>7.6499999999999999E-2</v>
      </c>
      <c r="F51" s="35">
        <f t="shared" si="30"/>
        <v>-1.1163385648463824</v>
      </c>
      <c r="G51" s="36">
        <f t="shared" si="31"/>
        <v>-0.36140523432230409</v>
      </c>
      <c r="H51" s="35">
        <f t="shared" si="32"/>
        <v>0.43510569296176238</v>
      </c>
      <c r="I51" s="49">
        <v>16</v>
      </c>
      <c r="J51" s="50">
        <f t="shared" si="33"/>
        <v>6.9616910873881981</v>
      </c>
      <c r="K51" s="38">
        <f t="shared" ref="K51:K55" si="35">(0.1*J51/1000)*1000</f>
        <v>0.69616910873881988</v>
      </c>
      <c r="L51" s="51">
        <f t="shared" si="34"/>
        <v>1.4148536857800671</v>
      </c>
      <c r="M51" s="52"/>
      <c r="N51" s="53"/>
      <c r="O51" s="11">
        <f t="shared" ref="O51:O55" si="36">L51/L41</f>
        <v>1.35181815914647</v>
      </c>
      <c r="P51" s="52"/>
      <c r="Q51" s="53"/>
      <c r="S51" s="12"/>
      <c r="T51" s="12"/>
    </row>
    <row r="52" spans="1:25" ht="15" x14ac:dyDescent="0.3">
      <c r="B52">
        <v>0.154</v>
      </c>
      <c r="C52">
        <v>0.153</v>
      </c>
      <c r="D52" s="35">
        <f t="shared" si="28"/>
        <v>0.1535</v>
      </c>
      <c r="E52" s="35">
        <f t="shared" si="29"/>
        <v>0.1045</v>
      </c>
      <c r="F52" s="35">
        <f t="shared" si="30"/>
        <v>-0.98088370955292725</v>
      </c>
      <c r="G52" s="36">
        <f t="shared" si="31"/>
        <v>-0.22747436896323364</v>
      </c>
      <c r="H52" s="35">
        <f t="shared" si="32"/>
        <v>0.59227804069874146</v>
      </c>
      <c r="I52" s="49">
        <v>16</v>
      </c>
      <c r="J52" s="50">
        <f t="shared" si="33"/>
        <v>9.4764486511798633</v>
      </c>
      <c r="K52" s="38">
        <f t="shared" si="35"/>
        <v>0.9476448651179864</v>
      </c>
      <c r="L52" s="51">
        <f t="shared" si="34"/>
        <v>1.8489808326994785</v>
      </c>
      <c r="M52" s="52"/>
      <c r="N52" s="53"/>
      <c r="O52" s="11">
        <f t="shared" si="36"/>
        <v>1.9751850946300835</v>
      </c>
      <c r="P52" s="52"/>
      <c r="Q52" s="53"/>
      <c r="S52" s="12"/>
      <c r="T52" s="12"/>
    </row>
    <row r="53" spans="1:25" ht="15" x14ac:dyDescent="0.3">
      <c r="A53" s="9" t="s">
        <v>30</v>
      </c>
      <c r="B53">
        <v>0.39200000000000002</v>
      </c>
      <c r="C53">
        <v>0.39400000000000002</v>
      </c>
      <c r="D53" s="35">
        <f>AVERAGE(B53:C53)</f>
        <v>0.39300000000000002</v>
      </c>
      <c r="E53" s="35">
        <f t="shared" si="29"/>
        <v>0.34400000000000003</v>
      </c>
      <c r="F53" s="35">
        <f t="shared" si="30"/>
        <v>-0.46344155742846987</v>
      </c>
      <c r="G53" s="36">
        <f t="shared" si="31"/>
        <v>0.28414608980253531</v>
      </c>
      <c r="H53" s="35">
        <f t="shared" si="32"/>
        <v>1.9237387354011872</v>
      </c>
      <c r="I53" s="49">
        <v>16</v>
      </c>
      <c r="J53" s="50">
        <f t="shared" si="33"/>
        <v>30.779819766418996</v>
      </c>
      <c r="K53" s="38">
        <f t="shared" si="35"/>
        <v>3.0779819766418997</v>
      </c>
      <c r="L53" s="51">
        <f t="shared" si="34"/>
        <v>7.6498883766553565</v>
      </c>
      <c r="M53" s="52">
        <f>AVERAGE(L53:L55)</f>
        <v>7.55628303967785</v>
      </c>
      <c r="N53" s="53">
        <f>STDEV(L53:L55)</f>
        <v>0.19000236041050955</v>
      </c>
      <c r="O53" s="11">
        <f t="shared" si="36"/>
        <v>2.6354587574845105</v>
      </c>
      <c r="P53" s="52">
        <f>AVERAGE(O53:O55)</f>
        <v>2.6070144884117843</v>
      </c>
      <c r="Q53" s="53">
        <f>STDEV(O53:O55)</f>
        <v>0.40804775353000799</v>
      </c>
      <c r="S53" s="12"/>
      <c r="T53" s="12"/>
    </row>
    <row r="54" spans="1:25" ht="15" x14ac:dyDescent="0.3">
      <c r="A54" s="54"/>
      <c r="B54">
        <v>0.38400000000000001</v>
      </c>
      <c r="C54">
        <v>0.38500000000000001</v>
      </c>
      <c r="D54" s="35">
        <f>AVERAGE(B54:C54)</f>
        <v>0.38450000000000001</v>
      </c>
      <c r="E54" s="35">
        <f t="shared" si="29"/>
        <v>0.33550000000000002</v>
      </c>
      <c r="F54" s="35">
        <f t="shared" si="30"/>
        <v>-0.47430747549498908</v>
      </c>
      <c r="G54" s="36">
        <f t="shared" si="31"/>
        <v>0.27340242316602464</v>
      </c>
      <c r="H54" s="35">
        <f t="shared" si="32"/>
        <v>1.8767327086427132</v>
      </c>
      <c r="I54" s="49">
        <v>16</v>
      </c>
      <c r="J54" s="50">
        <f t="shared" si="33"/>
        <v>30.027723338283412</v>
      </c>
      <c r="K54" s="38">
        <f t="shared" si="35"/>
        <v>3.0027723338283412</v>
      </c>
      <c r="L54" s="51">
        <f t="shared" si="34"/>
        <v>7.337639085030732</v>
      </c>
      <c r="M54" s="52"/>
      <c r="N54" s="53"/>
      <c r="O54" s="11">
        <f t="shared" si="36"/>
        <v>2.1854888284443557</v>
      </c>
      <c r="P54" s="52"/>
      <c r="Q54" s="53"/>
      <c r="S54" s="12"/>
      <c r="T54" s="12"/>
    </row>
    <row r="55" spans="1:25" ht="15" x14ac:dyDescent="0.3">
      <c r="A55" s="55"/>
      <c r="B55">
        <v>0.41</v>
      </c>
      <c r="C55">
        <v>0.41299999999999998</v>
      </c>
      <c r="D55" s="35">
        <f>AVERAGE(B55:C55)</f>
        <v>0.41149999999999998</v>
      </c>
      <c r="E55" s="35">
        <f t="shared" si="29"/>
        <v>0.36249999999999999</v>
      </c>
      <c r="F55" s="35">
        <f t="shared" si="30"/>
        <v>-0.44069198909298751</v>
      </c>
      <c r="G55" s="36">
        <f t="shared" si="31"/>
        <v>0.30663970486797976</v>
      </c>
      <c r="H55" s="35">
        <f t="shared" si="32"/>
        <v>2.0260012308411866</v>
      </c>
      <c r="I55" s="49">
        <v>16</v>
      </c>
      <c r="J55" s="50">
        <f t="shared" si="33"/>
        <v>32.416019693458985</v>
      </c>
      <c r="K55" s="38">
        <f t="shared" si="35"/>
        <v>3.2416019693458988</v>
      </c>
      <c r="L55" s="51">
        <f t="shared" si="34"/>
        <v>7.6813216573474596</v>
      </c>
      <c r="M55" s="52"/>
      <c r="N55" s="53"/>
      <c r="O55" s="11">
        <f t="shared" si="36"/>
        <v>3.0000958793064862</v>
      </c>
      <c r="P55" s="52"/>
      <c r="Q55" s="53"/>
      <c r="S55" s="12"/>
      <c r="T55" s="12"/>
      <c r="Y55" s="9"/>
    </row>
    <row r="56" spans="1:25" x14ac:dyDescent="0.2">
      <c r="D56" s="35"/>
      <c r="E56" s="36"/>
      <c r="F56" s="35"/>
      <c r="G56" s="52"/>
      <c r="H56" s="56"/>
    </row>
    <row r="57" spans="1:25" x14ac:dyDescent="0.2">
      <c r="B57" s="52"/>
      <c r="C57" s="52"/>
      <c r="D57" s="35"/>
      <c r="E57" s="36"/>
      <c r="F57" s="35"/>
      <c r="G57" s="52"/>
      <c r="H57" s="56"/>
      <c r="M57" s="11" t="s">
        <v>41</v>
      </c>
      <c r="N57" s="11" t="s">
        <v>42</v>
      </c>
      <c r="O57" s="43" t="s">
        <v>36</v>
      </c>
    </row>
    <row r="58" spans="1:25" ht="15" x14ac:dyDescent="0.3">
      <c r="C58" s="12"/>
      <c r="D58" s="12"/>
      <c r="E58" s="12"/>
      <c r="F58" s="12"/>
      <c r="G58" s="12"/>
      <c r="H58" s="56"/>
      <c r="M58" s="11" t="s">
        <v>29</v>
      </c>
      <c r="N58" s="52">
        <f>P50</f>
        <v>2.0744288566771281</v>
      </c>
      <c r="O58" s="52">
        <f>Q50</f>
        <v>0.77700073913052103</v>
      </c>
    </row>
    <row r="59" spans="1:25" ht="15" x14ac:dyDescent="0.3">
      <c r="D59" s="12"/>
      <c r="E59" s="12"/>
      <c r="G59" s="12"/>
      <c r="M59" s="11" t="s">
        <v>30</v>
      </c>
      <c r="N59" s="52">
        <f>P53</f>
        <v>2.6070144884117843</v>
      </c>
      <c r="O59" s="52">
        <f>Q53</f>
        <v>0.40804775353000799</v>
      </c>
    </row>
    <row r="60" spans="1:25" x14ac:dyDescent="0.2">
      <c r="G60" s="52"/>
      <c r="H60" s="56"/>
    </row>
    <row r="61" spans="1:25" ht="15" x14ac:dyDescent="0.3">
      <c r="A61" s="57"/>
      <c r="D61" s="12"/>
      <c r="E61" s="12"/>
      <c r="F61" s="12"/>
      <c r="G61" s="52"/>
      <c r="H61" s="56"/>
    </row>
    <row r="62" spans="1:25" ht="15" x14ac:dyDescent="0.3">
      <c r="C62" s="35"/>
      <c r="D62" s="12"/>
      <c r="E62" s="12"/>
      <c r="F62" s="12"/>
      <c r="G62" s="52"/>
      <c r="H62" s="56"/>
    </row>
    <row r="63" spans="1:25" ht="15" x14ac:dyDescent="0.3">
      <c r="C63" s="35"/>
      <c r="D63" s="12"/>
      <c r="E63" s="12"/>
      <c r="F63" s="12"/>
      <c r="G63" s="52"/>
      <c r="H63" s="56"/>
    </row>
    <row r="64" spans="1:25" ht="13.5" thickBot="1" x14ac:dyDescent="0.25">
      <c r="B64" s="58" t="s">
        <v>20</v>
      </c>
      <c r="C64" s="59" t="s">
        <v>43</v>
      </c>
      <c r="D64" s="35"/>
      <c r="E64" s="36"/>
      <c r="F64" s="35"/>
      <c r="G64" s="52"/>
      <c r="H64" s="56"/>
    </row>
    <row r="65" spans="1:8" x14ac:dyDescent="0.2">
      <c r="A65" s="9" t="s">
        <v>37</v>
      </c>
      <c r="B65" s="52">
        <f>M40</f>
        <v>0.8604767008145523</v>
      </c>
      <c r="C65" s="52">
        <f>N40</f>
        <v>0.23334794131520228</v>
      </c>
      <c r="D65" s="35"/>
      <c r="E65" s="36"/>
      <c r="F65" s="35"/>
      <c r="G65" s="52"/>
      <c r="H65" s="56"/>
    </row>
    <row r="66" spans="1:8" x14ac:dyDescent="0.2">
      <c r="A66" s="9" t="s">
        <v>29</v>
      </c>
      <c r="B66" s="52">
        <f>M50</f>
        <v>1.665941450091978</v>
      </c>
      <c r="C66" s="52">
        <f>N50</f>
        <v>0.22492116755107822</v>
      </c>
      <c r="D66" s="35"/>
      <c r="E66" s="36"/>
      <c r="F66" s="35"/>
      <c r="G66" s="52"/>
      <c r="H66" s="56"/>
    </row>
    <row r="67" spans="1:8" x14ac:dyDescent="0.2">
      <c r="A67" s="9" t="s">
        <v>38</v>
      </c>
      <c r="B67" s="52">
        <f>M43</f>
        <v>2.9401576354248253</v>
      </c>
      <c r="C67" s="52">
        <f>N43</f>
        <v>0.3998582533123084</v>
      </c>
      <c r="D67" s="35"/>
      <c r="E67" s="36"/>
      <c r="F67" s="35"/>
      <c r="G67" s="52"/>
      <c r="H67" s="56"/>
    </row>
    <row r="68" spans="1:8" x14ac:dyDescent="0.2">
      <c r="A68" s="60" t="s">
        <v>30</v>
      </c>
      <c r="B68" s="52">
        <f>M53</f>
        <v>7.55628303967785</v>
      </c>
      <c r="C68" s="52">
        <f>N53</f>
        <v>0.19000236041050955</v>
      </c>
      <c r="D68" s="35"/>
      <c r="E68" s="36"/>
      <c r="F68" s="35"/>
      <c r="G68" s="52"/>
      <c r="H68" s="56"/>
    </row>
    <row r="69" spans="1:8" x14ac:dyDescent="0.2">
      <c r="A69" s="61"/>
      <c r="C69" s="35"/>
      <c r="D69" s="35"/>
      <c r="E69" s="36"/>
      <c r="F69" s="35"/>
      <c r="G69" s="52"/>
      <c r="H69" s="56"/>
    </row>
    <row r="70" spans="1:8" x14ac:dyDescent="0.2">
      <c r="A70" s="61"/>
      <c r="C70" s="35"/>
      <c r="D70" s="35"/>
      <c r="E70" s="36"/>
      <c r="F70" s="35"/>
      <c r="G70" s="52"/>
      <c r="H70" s="56"/>
    </row>
    <row r="71" spans="1:8" x14ac:dyDescent="0.2">
      <c r="A71" s="61"/>
      <c r="B71" s="37"/>
      <c r="C71" s="35"/>
      <c r="D71" s="35"/>
      <c r="E71" s="36"/>
      <c r="F71" s="35"/>
      <c r="G71" s="52"/>
      <c r="H71" s="56"/>
    </row>
    <row r="72" spans="1:8" x14ac:dyDescent="0.2">
      <c r="A72" s="61"/>
      <c r="B72" s="37"/>
      <c r="C72" s="35"/>
      <c r="D72" s="35"/>
      <c r="E72" s="36"/>
      <c r="F72" s="35"/>
      <c r="G72" s="52"/>
      <c r="H72" s="56"/>
    </row>
    <row r="73" spans="1:8" x14ac:dyDescent="0.2">
      <c r="C73" s="35"/>
      <c r="D73" s="35"/>
      <c r="E73" s="36"/>
      <c r="F73" s="35"/>
      <c r="G73" s="52"/>
      <c r="H73" s="56"/>
    </row>
    <row r="74" spans="1:8" x14ac:dyDescent="0.2">
      <c r="C74" s="35"/>
      <c r="D74" s="36"/>
      <c r="H74" s="56"/>
    </row>
    <row r="75" spans="1:8" x14ac:dyDescent="0.2">
      <c r="A75" s="62"/>
      <c r="C75" s="35"/>
      <c r="D75" s="36"/>
      <c r="H75" s="47"/>
    </row>
    <row r="76" spans="1:8" x14ac:dyDescent="0.2">
      <c r="A76" s="62"/>
      <c r="C76" s="35"/>
      <c r="D76" s="36"/>
      <c r="H76" s="47"/>
    </row>
    <row r="77" spans="1:8" x14ac:dyDescent="0.2">
      <c r="A77" s="63"/>
      <c r="B77" s="47"/>
      <c r="C77" s="64"/>
      <c r="D77" s="65"/>
      <c r="E77" s="47"/>
      <c r="F77" s="47"/>
      <c r="G77" s="47"/>
    </row>
    <row r="78" spans="1:8" x14ac:dyDescent="0.2">
      <c r="A78" s="66"/>
      <c r="B78" s="67"/>
      <c r="C78" s="68"/>
      <c r="D78" s="47"/>
      <c r="E78" s="47"/>
      <c r="F78" s="47"/>
      <c r="G78" s="47"/>
    </row>
    <row r="79" spans="1:8" x14ac:dyDescent="0.2">
      <c r="A79" s="66"/>
      <c r="B79" s="69"/>
      <c r="C79" s="64"/>
      <c r="D79" s="47"/>
      <c r="E79" s="47"/>
      <c r="F79" s="47"/>
      <c r="G79" s="47"/>
    </row>
    <row r="80" spans="1:8" x14ac:dyDescent="0.2">
      <c r="A80" s="66"/>
      <c r="B80" s="69"/>
      <c r="C80" s="64"/>
      <c r="D80" s="47"/>
      <c r="E80" s="47"/>
      <c r="F80" s="47"/>
      <c r="G80" s="47"/>
    </row>
    <row r="81" spans="1:7" x14ac:dyDescent="0.2">
      <c r="A81" s="66"/>
      <c r="B81" s="69"/>
      <c r="C81" s="64"/>
      <c r="D81" s="47"/>
      <c r="E81" s="47"/>
      <c r="F81" s="47"/>
      <c r="G81" s="47"/>
    </row>
    <row r="82" spans="1:7" x14ac:dyDescent="0.2">
      <c r="A82" s="66"/>
      <c r="B82" s="69"/>
      <c r="C82" s="64"/>
      <c r="D82" s="47"/>
      <c r="E82" s="47"/>
      <c r="F82" s="47"/>
      <c r="G82" s="47"/>
    </row>
    <row r="83" spans="1:7" x14ac:dyDescent="0.2">
      <c r="A83" s="66"/>
      <c r="B83" s="47"/>
      <c r="C83" s="47"/>
      <c r="D83" s="70"/>
      <c r="E83" s="67"/>
      <c r="F83" s="67"/>
      <c r="G83" s="47"/>
    </row>
    <row r="84" spans="1:7" x14ac:dyDescent="0.2">
      <c r="A84" s="66"/>
      <c r="B84" s="69"/>
      <c r="C84" s="64"/>
      <c r="D84" s="56"/>
      <c r="E84" s="56"/>
      <c r="F84" s="56"/>
      <c r="G84" s="47"/>
    </row>
    <row r="85" spans="1:7" x14ac:dyDescent="0.2">
      <c r="A85" s="66"/>
      <c r="B85" s="69"/>
      <c r="C85" s="64"/>
      <c r="D85" s="56"/>
      <c r="E85" s="56"/>
      <c r="F85" s="56"/>
      <c r="G85" s="47"/>
    </row>
    <row r="86" spans="1:7" x14ac:dyDescent="0.2">
      <c r="A86" s="66"/>
      <c r="B86" s="69"/>
      <c r="C86" s="64"/>
      <c r="D86" s="56"/>
      <c r="E86" s="56"/>
      <c r="F86" s="56"/>
      <c r="G86" s="47"/>
    </row>
    <row r="87" spans="1:7" x14ac:dyDescent="0.2">
      <c r="A87" s="66"/>
      <c r="B87" s="69"/>
      <c r="C87" s="64"/>
      <c r="D87" s="56"/>
      <c r="E87" s="56"/>
      <c r="F87" s="56"/>
      <c r="G87" s="47"/>
    </row>
    <row r="88" spans="1:7" x14ac:dyDescent="0.2">
      <c r="A88" s="66"/>
      <c r="B88" s="47"/>
      <c r="C88" s="56"/>
      <c r="D88" s="56"/>
      <c r="E88" s="56"/>
      <c r="F88" s="56"/>
      <c r="G88" s="47"/>
    </row>
    <row r="89" spans="1:7" x14ac:dyDescent="0.2">
      <c r="A89" s="66"/>
      <c r="B89" s="47"/>
      <c r="C89" s="56"/>
      <c r="D89" s="56"/>
      <c r="E89" s="56"/>
      <c r="F89" s="56"/>
      <c r="G89" s="47"/>
    </row>
    <row r="90" spans="1:7" x14ac:dyDescent="0.2">
      <c r="C90" s="56"/>
      <c r="D90" s="56"/>
      <c r="E90" s="71"/>
      <c r="F90" s="71"/>
    </row>
    <row r="91" spans="1:7" x14ac:dyDescent="0.2">
      <c r="C91" s="56"/>
      <c r="D91" s="56"/>
      <c r="E91" s="71"/>
      <c r="F91" s="71"/>
    </row>
    <row r="92" spans="1:7" x14ac:dyDescent="0.2">
      <c r="C92" s="56"/>
      <c r="D92" s="56"/>
      <c r="E92" s="71"/>
      <c r="F92" s="71"/>
    </row>
    <row r="93" spans="1:7" x14ac:dyDescent="0.2">
      <c r="C93" s="56"/>
      <c r="D93" s="56"/>
      <c r="E93" s="71"/>
      <c r="F93" s="71"/>
    </row>
    <row r="94" spans="1:7" x14ac:dyDescent="0.2">
      <c r="C94" s="56"/>
      <c r="E94" s="71"/>
      <c r="F94" s="71"/>
    </row>
    <row r="95" spans="1:7" x14ac:dyDescent="0.2">
      <c r="C95" s="56"/>
      <c r="E95" s="71"/>
      <c r="F95" s="71"/>
    </row>
    <row r="96" spans="1:7" x14ac:dyDescent="0.2">
      <c r="C96" s="56"/>
      <c r="D96" s="56"/>
      <c r="E96" s="71"/>
      <c r="F96" s="71"/>
    </row>
    <row r="97" spans="2:6" x14ac:dyDescent="0.2">
      <c r="C97" s="56"/>
      <c r="D97" s="56"/>
      <c r="E97" s="71"/>
      <c r="F97" s="71"/>
    </row>
    <row r="98" spans="2:6" x14ac:dyDescent="0.2">
      <c r="C98" s="56"/>
      <c r="D98" s="56"/>
      <c r="E98" s="71"/>
      <c r="F98" s="71"/>
    </row>
    <row r="99" spans="2:6" x14ac:dyDescent="0.2">
      <c r="C99" s="56"/>
      <c r="D99" s="56"/>
      <c r="E99" s="71"/>
      <c r="F99" s="71"/>
    </row>
    <row r="100" spans="2:6" x14ac:dyDescent="0.2">
      <c r="C100" s="56"/>
      <c r="D100" s="56"/>
      <c r="E100" s="71"/>
      <c r="F100" s="71"/>
    </row>
    <row r="101" spans="2:6" x14ac:dyDescent="0.2">
      <c r="C101" s="56"/>
      <c r="D101" s="56"/>
      <c r="E101" s="71"/>
      <c r="F101" s="71"/>
    </row>
    <row r="102" spans="2:6" x14ac:dyDescent="0.2">
      <c r="C102" s="56"/>
      <c r="D102" s="56"/>
      <c r="E102" s="71"/>
      <c r="F102" s="71"/>
    </row>
    <row r="103" spans="2:6" x14ac:dyDescent="0.2">
      <c r="C103" s="56"/>
      <c r="D103" s="56"/>
      <c r="E103" s="71"/>
      <c r="F103" s="71"/>
    </row>
    <row r="104" spans="2:6" x14ac:dyDescent="0.2">
      <c r="C104" s="56"/>
      <c r="D104" s="56"/>
      <c r="E104" s="71"/>
      <c r="F104" s="71"/>
    </row>
    <row r="105" spans="2:6" x14ac:dyDescent="0.2">
      <c r="C105" s="56"/>
      <c r="D105" s="56"/>
      <c r="E105" s="71"/>
      <c r="F105" s="71"/>
    </row>
    <row r="106" spans="2:6" x14ac:dyDescent="0.2">
      <c r="C106" s="56"/>
    </row>
    <row r="107" spans="2:6" x14ac:dyDescent="0.2">
      <c r="C107" s="56"/>
    </row>
    <row r="108" spans="2:6" ht="13.5" thickBot="1" x14ac:dyDescent="0.25">
      <c r="B108" s="72"/>
      <c r="C108" s="72"/>
      <c r="D108" s="72"/>
      <c r="E108" s="72"/>
    </row>
    <row r="109" spans="2:6" x14ac:dyDescent="0.2">
      <c r="B109" s="71"/>
      <c r="C109" s="71"/>
      <c r="D109" s="71"/>
      <c r="E109" s="71"/>
    </row>
    <row r="110" spans="2:6" x14ac:dyDescent="0.2">
      <c r="B110" s="71"/>
      <c r="C110" s="71"/>
      <c r="D110" s="71"/>
      <c r="E110" s="71"/>
    </row>
    <row r="111" spans="2:6" x14ac:dyDescent="0.2">
      <c r="B111" s="71"/>
      <c r="C111" s="71"/>
      <c r="D111" s="71"/>
      <c r="E111" s="71"/>
    </row>
    <row r="112" spans="2:6" x14ac:dyDescent="0.2">
      <c r="B112" s="71"/>
      <c r="C112" s="71"/>
      <c r="D112" s="71"/>
      <c r="E112" s="71"/>
    </row>
    <row r="113" spans="2:5" x14ac:dyDescent="0.2">
      <c r="B113" s="71"/>
      <c r="C113" s="71"/>
      <c r="D113" s="71"/>
      <c r="E113" s="71"/>
    </row>
    <row r="114" spans="2:5" x14ac:dyDescent="0.2">
      <c r="B114" s="71"/>
      <c r="C114" s="71"/>
      <c r="D114" s="71"/>
      <c r="E114" s="71"/>
    </row>
    <row r="115" spans="2:5" x14ac:dyDescent="0.2">
      <c r="B115" s="71"/>
      <c r="C115" s="71"/>
      <c r="D115" s="71"/>
      <c r="E115" s="71"/>
    </row>
    <row r="116" spans="2:5" x14ac:dyDescent="0.2">
      <c r="B116" s="71"/>
      <c r="C116" s="71"/>
      <c r="D116" s="71"/>
      <c r="E116" s="71"/>
    </row>
    <row r="117" spans="2:5" x14ac:dyDescent="0.2">
      <c r="B117" s="71"/>
      <c r="C117" s="71"/>
      <c r="D117" s="71"/>
      <c r="E117" s="71"/>
    </row>
    <row r="118" spans="2:5" x14ac:dyDescent="0.2">
      <c r="B118" s="71"/>
      <c r="C118" s="71"/>
      <c r="D118" s="71"/>
      <c r="E118" s="7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25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9" customWidth="1"/>
    <col min="2" max="2" width="9" style="11" bestFit="1" customWidth="1"/>
    <col min="3" max="3" width="11.875" style="11" bestFit="1" customWidth="1"/>
    <col min="4" max="5" width="6" style="11" bestFit="1" customWidth="1"/>
    <col min="6" max="8" width="11" style="11" bestFit="1" customWidth="1"/>
    <col min="9" max="9" width="12.125" style="11" bestFit="1" customWidth="1"/>
    <col min="10" max="10" width="12" style="11" bestFit="1" customWidth="1"/>
    <col min="11" max="11" width="12.125" style="11" bestFit="1" customWidth="1"/>
    <col min="12" max="12" width="13" style="11" bestFit="1" customWidth="1"/>
    <col min="13" max="13" width="14.875" style="11" bestFit="1" customWidth="1"/>
    <col min="14" max="14" width="13.75" style="11" bestFit="1" customWidth="1"/>
    <col min="15" max="15" width="14" style="11" customWidth="1"/>
    <col min="16" max="16" width="11.375" style="11" customWidth="1"/>
    <col min="17" max="17" width="10.375" style="11" bestFit="1" customWidth="1"/>
    <col min="18" max="16384" width="8.75" style="11"/>
  </cols>
  <sheetData>
    <row r="1" spans="1:20" s="3" customFormat="1" x14ac:dyDescent="0.2">
      <c r="A1" s="1" t="s">
        <v>0</v>
      </c>
      <c r="B1" s="2">
        <v>42346</v>
      </c>
    </row>
    <row r="2" spans="1:20" s="3" customFormat="1" x14ac:dyDescent="0.2">
      <c r="A2" s="1" t="s">
        <v>1</v>
      </c>
      <c r="B2" s="3">
        <v>76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">
        <v>226624</v>
      </c>
      <c r="F3" s="7">
        <v>221632</v>
      </c>
    </row>
    <row r="4" spans="1:20" s="3" customFormat="1" ht="15" x14ac:dyDescent="0.3">
      <c r="A4" s="1"/>
      <c r="D4" s="6" t="s">
        <v>6</v>
      </c>
      <c r="E4" s="7">
        <v>199800</v>
      </c>
      <c r="F4" s="7">
        <v>190440</v>
      </c>
    </row>
    <row r="5" spans="1:20" s="3" customFormat="1" x14ac:dyDescent="0.2">
      <c r="A5" s="1"/>
      <c r="D5" s="8"/>
      <c r="F5" s="8"/>
    </row>
    <row r="6" spans="1:20" ht="15" x14ac:dyDescent="0.3">
      <c r="B6" s="10"/>
      <c r="C6" s="10"/>
      <c r="D6" s="10"/>
      <c r="N6" s="12"/>
      <c r="O6" s="12"/>
      <c r="P6" s="12"/>
    </row>
    <row r="7" spans="1:20" ht="15" x14ac:dyDescent="0.3">
      <c r="A7" s="13" t="s">
        <v>7</v>
      </c>
      <c r="B7" s="14" t="s">
        <v>8</v>
      </c>
      <c r="C7" s="15" t="s">
        <v>9</v>
      </c>
      <c r="D7" s="15"/>
      <c r="E7" s="16" t="s">
        <v>10</v>
      </c>
      <c r="F7" s="17" t="s">
        <v>11</v>
      </c>
      <c r="G7" s="18" t="s">
        <v>12</v>
      </c>
      <c r="H7" s="18" t="s">
        <v>13</v>
      </c>
      <c r="N7" s="12"/>
      <c r="O7" s="12"/>
      <c r="P7" s="12"/>
    </row>
    <row r="8" spans="1:20" ht="15" x14ac:dyDescent="0.3">
      <c r="A8" s="77">
        <v>0</v>
      </c>
      <c r="B8" s="18">
        <v>0</v>
      </c>
      <c r="C8">
        <v>4.9000000000000002E-2</v>
      </c>
      <c r="D8">
        <v>4.9000000000000002E-2</v>
      </c>
      <c r="E8" s="19">
        <f t="shared" ref="E8:E13" si="0">AVERAGE(C8:D8)</f>
        <v>4.9000000000000002E-2</v>
      </c>
      <c r="F8" s="20"/>
      <c r="G8" s="18"/>
      <c r="H8" s="18"/>
      <c r="N8" s="12"/>
      <c r="O8" s="12"/>
      <c r="P8" s="12"/>
    </row>
    <row r="9" spans="1:20" ht="15" x14ac:dyDescent="0.3">
      <c r="A9" s="77">
        <v>3</v>
      </c>
      <c r="B9" s="20">
        <f>A9/23</f>
        <v>0.13043478260869565</v>
      </c>
      <c r="C9">
        <v>7.0999999999999994E-2</v>
      </c>
      <c r="D9">
        <v>7.0999999999999994E-2</v>
      </c>
      <c r="E9" s="19">
        <f t="shared" si="0"/>
        <v>7.0999999999999994E-2</v>
      </c>
      <c r="F9" s="20">
        <f>(E9-$E$8)</f>
        <v>2.1999999999999992E-2</v>
      </c>
      <c r="G9" s="20">
        <f>LOG(B9)</f>
        <v>-0.88460658129793046</v>
      </c>
      <c r="H9" s="20">
        <f>LOG(F9)</f>
        <v>-1.6575773191777938</v>
      </c>
      <c r="N9" s="12"/>
      <c r="O9" s="12"/>
      <c r="P9" s="12"/>
    </row>
    <row r="10" spans="1:20" ht="15" x14ac:dyDescent="0.3">
      <c r="A10" s="77">
        <v>9.74</v>
      </c>
      <c r="B10" s="20">
        <f t="shared" ref="B10:B13" si="1">A10/23</f>
        <v>0.42347826086956525</v>
      </c>
      <c r="C10">
        <v>0.123</v>
      </c>
      <c r="D10">
        <v>0.127</v>
      </c>
      <c r="E10" s="19">
        <f t="shared" si="0"/>
        <v>0.125</v>
      </c>
      <c r="F10" s="20">
        <f>(E10-$E$8)</f>
        <v>7.5999999999999998E-2</v>
      </c>
      <c r="G10" s="20">
        <f>LOG(B10)</f>
        <v>-0.37316887913897734</v>
      </c>
      <c r="H10" s="20">
        <f>LOG(F10)</f>
        <v>-1.1191864077192086</v>
      </c>
      <c r="N10" s="12"/>
      <c r="O10" s="12"/>
      <c r="P10" s="12"/>
    </row>
    <row r="11" spans="1:20" ht="15" x14ac:dyDescent="0.3">
      <c r="A11" s="77">
        <v>29.8</v>
      </c>
      <c r="B11" s="20">
        <f t="shared" si="1"/>
        <v>1.2956521739130435</v>
      </c>
      <c r="C11">
        <v>0.28599999999999998</v>
      </c>
      <c r="D11">
        <v>0.28399999999999997</v>
      </c>
      <c r="E11" s="19">
        <f t="shared" si="0"/>
        <v>0.28499999999999998</v>
      </c>
      <c r="F11" s="20">
        <f>(E11-$E$8)</f>
        <v>0.23599999999999999</v>
      </c>
      <c r="G11" s="20">
        <f>LOG(B11)</f>
        <v>0.11248842805866238</v>
      </c>
      <c r="H11" s="20">
        <f>LOG(F11)</f>
        <v>-0.62708799702989348</v>
      </c>
      <c r="N11" s="12"/>
      <c r="O11" s="12"/>
      <c r="P11" s="12"/>
      <c r="Q11" s="12"/>
      <c r="R11" s="12"/>
      <c r="S11" s="12"/>
      <c r="T11" s="12"/>
    </row>
    <row r="12" spans="1:20" ht="15" x14ac:dyDescent="0.3">
      <c r="A12" s="77">
        <v>104</v>
      </c>
      <c r="B12" s="20">
        <f t="shared" si="1"/>
        <v>4.5217391304347823</v>
      </c>
      <c r="C12">
        <v>0.874</v>
      </c>
      <c r="D12">
        <v>0.88</v>
      </c>
      <c r="E12" s="19">
        <f t="shared" si="0"/>
        <v>0.877</v>
      </c>
      <c r="F12" s="20">
        <f>(E12-$E$8)</f>
        <v>0.82799999999999996</v>
      </c>
      <c r="G12" s="20">
        <f>LOG(B12)</f>
        <v>0.65530550328118742</v>
      </c>
      <c r="H12" s="20">
        <f>LOG(F12)</f>
        <v>-8.1969663215119878E-2</v>
      </c>
      <c r="N12" s="12"/>
      <c r="O12" s="12"/>
      <c r="P12" s="12"/>
      <c r="Q12" s="12"/>
      <c r="R12" s="12"/>
      <c r="S12" s="12"/>
      <c r="T12" s="12"/>
    </row>
    <row r="13" spans="1:20" ht="15" x14ac:dyDescent="0.3">
      <c r="A13" s="77">
        <v>207</v>
      </c>
      <c r="B13" s="20">
        <f t="shared" si="1"/>
        <v>9</v>
      </c>
      <c r="C13">
        <v>1.6140000000000001</v>
      </c>
      <c r="D13">
        <v>1.663</v>
      </c>
      <c r="E13" s="19">
        <f t="shared" si="0"/>
        <v>1.6385000000000001</v>
      </c>
      <c r="F13" s="20">
        <f>(E13-$E$8)</f>
        <v>1.5895000000000001</v>
      </c>
      <c r="G13" s="20">
        <f>LOG(B13)</f>
        <v>0.95424250943932487</v>
      </c>
      <c r="H13" s="20">
        <f>LOG(F13)</f>
        <v>0.20126053225079174</v>
      </c>
      <c r="N13" s="12"/>
    </row>
    <row r="14" spans="1:20" ht="15" x14ac:dyDescent="0.3">
      <c r="N14" s="12"/>
    </row>
    <row r="15" spans="1:20" ht="15" x14ac:dyDescent="0.3">
      <c r="A15" s="13" t="s">
        <v>14</v>
      </c>
      <c r="B15" s="19">
        <f>SLOPE(H9:H13,G9:G13)</f>
        <v>1.0113789299449296</v>
      </c>
      <c r="N15" s="12"/>
    </row>
    <row r="16" spans="1:20" ht="15" x14ac:dyDescent="0.25">
      <c r="A16" s="13" t="s">
        <v>15</v>
      </c>
      <c r="B16" s="19">
        <f>INTERCEPT(H9:H13,G9:G13)</f>
        <v>-0.7508209256809939</v>
      </c>
      <c r="C16" s="21"/>
      <c r="G16" s="21"/>
      <c r="H16" s="21"/>
    </row>
    <row r="17" spans="1:17" ht="15" x14ac:dyDescent="0.3">
      <c r="B17" s="12"/>
      <c r="C17" s="12"/>
      <c r="D17" s="12"/>
      <c r="E17" s="12"/>
      <c r="F17" s="12"/>
      <c r="G17" s="12"/>
    </row>
    <row r="18" spans="1:17" ht="15" x14ac:dyDescent="0.3">
      <c r="B18" s="12"/>
      <c r="C18" s="12"/>
      <c r="D18" s="12"/>
      <c r="E18" s="12"/>
      <c r="F18" s="12"/>
      <c r="G18" s="12"/>
    </row>
    <row r="19" spans="1:17" ht="23.25" x14ac:dyDescent="0.35">
      <c r="A19" s="22" t="s">
        <v>16</v>
      </c>
      <c r="B19" s="23"/>
      <c r="C19" s="23"/>
      <c r="K19" s="24"/>
      <c r="L19" s="25" t="s">
        <v>17</v>
      </c>
      <c r="M19" s="26"/>
    </row>
    <row r="20" spans="1:17" s="25" customFormat="1" x14ac:dyDescent="0.2">
      <c r="A20" s="27" t="s">
        <v>18</v>
      </c>
      <c r="B20" s="17" t="s">
        <v>19</v>
      </c>
      <c r="C20" s="17" t="s">
        <v>19</v>
      </c>
      <c r="D20" s="17" t="s">
        <v>20</v>
      </c>
      <c r="E20" s="28" t="s">
        <v>21</v>
      </c>
      <c r="F20" s="29" t="s">
        <v>13</v>
      </c>
      <c r="G20" s="29" t="s">
        <v>22</v>
      </c>
      <c r="H20" s="29" t="s">
        <v>23</v>
      </c>
      <c r="I20" s="17" t="s">
        <v>24</v>
      </c>
      <c r="J20" s="29" t="s">
        <v>25</v>
      </c>
      <c r="K20" s="29" t="s">
        <v>26</v>
      </c>
      <c r="L20" s="29" t="s">
        <v>27</v>
      </c>
      <c r="M20" s="30" t="s">
        <v>28</v>
      </c>
    </row>
    <row r="21" spans="1:17" s="32" customFormat="1" x14ac:dyDescent="0.2">
      <c r="A21" s="31"/>
      <c r="L21" s="33"/>
      <c r="M21" s="34"/>
    </row>
    <row r="22" spans="1:17" ht="15" x14ac:dyDescent="0.3">
      <c r="A22" s="9" t="s">
        <v>29</v>
      </c>
      <c r="B22">
        <v>0.32800000000000001</v>
      </c>
      <c r="C22">
        <v>0.35499999999999998</v>
      </c>
      <c r="D22" s="35">
        <f t="shared" ref="D22:D27" si="2">AVERAGE(B22:C22)</f>
        <v>0.34150000000000003</v>
      </c>
      <c r="E22" s="35">
        <f t="shared" ref="E22:E27" si="3">D22-E$8</f>
        <v>0.29250000000000004</v>
      </c>
      <c r="F22" s="35">
        <f>LOG(E22)</f>
        <v>-0.53387412958180069</v>
      </c>
      <c r="G22" s="36">
        <f>(F22-$B$16)/$B$15</f>
        <v>0.21450594794475908</v>
      </c>
      <c r="H22" s="36">
        <f>10^G22</f>
        <v>1.6387245045264631</v>
      </c>
      <c r="I22" s="37">
        <v>500</v>
      </c>
      <c r="J22" s="38">
        <f>(H22*I22)</f>
        <v>819.36225226323154</v>
      </c>
      <c r="K22" s="38">
        <f>(0.05*J22/1000)*1000</f>
        <v>40.96811261316158</v>
      </c>
      <c r="L22" s="39">
        <f>K22+K40+K50</f>
        <v>41.760021768257772</v>
      </c>
      <c r="M22" s="40">
        <f>(L22*1000000/50000)/1000</f>
        <v>0.83520043536515554</v>
      </c>
      <c r="N22" s="41"/>
    </row>
    <row r="23" spans="1:17" ht="15" x14ac:dyDescent="0.3">
      <c r="B23">
        <v>0.34300000000000003</v>
      </c>
      <c r="C23">
        <v>0.35899999999999999</v>
      </c>
      <c r="D23" s="35">
        <f t="shared" si="2"/>
        <v>0.35099999999999998</v>
      </c>
      <c r="E23" s="35">
        <f t="shared" si="3"/>
        <v>0.30199999999999999</v>
      </c>
      <c r="F23" s="35">
        <f t="shared" ref="F23:F27" si="4">LOG(E23)</f>
        <v>-0.51999305704284937</v>
      </c>
      <c r="G23" s="36">
        <f t="shared" ref="G23:G27" si="5">(F23-$B$16)/$B$15</f>
        <v>0.22823084583214848</v>
      </c>
      <c r="H23" s="36">
        <f t="shared" ref="H23:H27" si="6">10^G23</f>
        <v>1.6913397111359534</v>
      </c>
      <c r="I23" s="37">
        <v>500</v>
      </c>
      <c r="J23" s="38">
        <f t="shared" ref="J23:J27" si="7">(H23*I23)</f>
        <v>845.6698555679767</v>
      </c>
      <c r="K23" s="38">
        <f t="shared" ref="K23:K27" si="8">(0.05*J23/1000)*1000</f>
        <v>42.283492778398838</v>
      </c>
      <c r="L23" s="39">
        <f>K23+K41+K51</f>
        <v>43.143328136871659</v>
      </c>
      <c r="M23" s="40">
        <f t="shared" ref="M23:M27" si="9">(L23*1000000/50000)/1000</f>
        <v>0.86286656273743312</v>
      </c>
      <c r="N23" s="41"/>
    </row>
    <row r="24" spans="1:17" ht="15" x14ac:dyDescent="0.3">
      <c r="B24">
        <v>0.36599999999999999</v>
      </c>
      <c r="C24">
        <v>0.377</v>
      </c>
      <c r="D24" s="35">
        <f t="shared" si="2"/>
        <v>0.3715</v>
      </c>
      <c r="E24" s="35">
        <f t="shared" si="3"/>
        <v>0.32250000000000001</v>
      </c>
      <c r="F24" s="35">
        <f t="shared" si="4"/>
        <v>-0.49147028102871343</v>
      </c>
      <c r="G24" s="36">
        <f t="shared" si="5"/>
        <v>0.25643271475548962</v>
      </c>
      <c r="H24" s="36">
        <f t="shared" si="6"/>
        <v>1.8048150954651627</v>
      </c>
      <c r="I24" s="37">
        <v>500</v>
      </c>
      <c r="J24" s="38">
        <f t="shared" si="7"/>
        <v>902.40754773258141</v>
      </c>
      <c r="K24" s="38">
        <f t="shared" si="8"/>
        <v>45.120377386629073</v>
      </c>
      <c r="L24" s="39">
        <f t="shared" ref="L24:L27" si="10">K24+K42+K52</f>
        <v>45.95335303671439</v>
      </c>
      <c r="M24" s="40">
        <f t="shared" si="9"/>
        <v>0.91906706073428779</v>
      </c>
      <c r="N24" s="41"/>
    </row>
    <row r="25" spans="1:17" ht="15" x14ac:dyDescent="0.3">
      <c r="A25" s="9" t="s">
        <v>30</v>
      </c>
      <c r="B25">
        <v>0.311</v>
      </c>
      <c r="C25">
        <v>0.32</v>
      </c>
      <c r="D25" s="35">
        <f t="shared" si="2"/>
        <v>0.3155</v>
      </c>
      <c r="E25" s="35">
        <f t="shared" si="3"/>
        <v>0.26650000000000001</v>
      </c>
      <c r="F25" s="35">
        <f t="shared" si="4"/>
        <v>-0.57430278663740886</v>
      </c>
      <c r="G25" s="36">
        <f t="shared" si="5"/>
        <v>0.17453214993632168</v>
      </c>
      <c r="H25" s="36">
        <f t="shared" si="6"/>
        <v>1.4946246822935298</v>
      </c>
      <c r="I25" s="37">
        <v>500</v>
      </c>
      <c r="J25" s="38">
        <f t="shared" si="7"/>
        <v>747.31234114676488</v>
      </c>
      <c r="K25" s="38">
        <f t="shared" si="8"/>
        <v>37.365617057338248</v>
      </c>
      <c r="L25" s="39">
        <f t="shared" si="10"/>
        <v>39.925388968479886</v>
      </c>
      <c r="M25" s="40">
        <f t="shared" si="9"/>
        <v>0.79850777936959771</v>
      </c>
      <c r="N25" s="41"/>
    </row>
    <row r="26" spans="1:17" ht="15" x14ac:dyDescent="0.3">
      <c r="B26">
        <v>0.35499999999999998</v>
      </c>
      <c r="C26">
        <v>0.33500000000000002</v>
      </c>
      <c r="D26" s="35">
        <f t="shared" si="2"/>
        <v>0.34499999999999997</v>
      </c>
      <c r="E26" s="35">
        <f t="shared" si="3"/>
        <v>0.29599999999999999</v>
      </c>
      <c r="F26" s="35">
        <f t="shared" si="4"/>
        <v>-0.52870828894106148</v>
      </c>
      <c r="G26" s="36">
        <f t="shared" si="5"/>
        <v>0.21961366819459707</v>
      </c>
      <c r="H26" s="36">
        <f t="shared" si="6"/>
        <v>1.6581112586656102</v>
      </c>
      <c r="I26" s="37">
        <v>500</v>
      </c>
      <c r="J26" s="38">
        <f t="shared" si="7"/>
        <v>829.0556293328051</v>
      </c>
      <c r="K26" s="38">
        <f t="shared" si="8"/>
        <v>41.452781466640261</v>
      </c>
      <c r="L26" s="39">
        <f t="shared" si="10"/>
        <v>44.140014838915157</v>
      </c>
      <c r="M26" s="40">
        <f t="shared" si="9"/>
        <v>0.88280029677830307</v>
      </c>
      <c r="N26" s="41"/>
    </row>
    <row r="27" spans="1:17" ht="15" x14ac:dyDescent="0.3">
      <c r="B27">
        <v>0.309</v>
      </c>
      <c r="C27">
        <v>0.30599999999999999</v>
      </c>
      <c r="D27" s="35">
        <f t="shared" si="2"/>
        <v>0.3075</v>
      </c>
      <c r="E27" s="35">
        <f t="shared" si="3"/>
        <v>0.25850000000000001</v>
      </c>
      <c r="F27" s="35">
        <f t="shared" si="4"/>
        <v>-0.5875394525700387</v>
      </c>
      <c r="G27" s="36">
        <f t="shared" si="5"/>
        <v>0.16144440849667099</v>
      </c>
      <c r="H27" s="36">
        <f t="shared" si="6"/>
        <v>1.4502551237243748</v>
      </c>
      <c r="I27" s="37">
        <v>500</v>
      </c>
      <c r="J27" s="38">
        <f t="shared" si="7"/>
        <v>725.12756186218746</v>
      </c>
      <c r="K27" s="38">
        <f t="shared" si="8"/>
        <v>36.256378093109376</v>
      </c>
      <c r="L27" s="39">
        <f t="shared" si="10"/>
        <v>39.03918643445428</v>
      </c>
      <c r="M27" s="40">
        <f t="shared" si="9"/>
        <v>0.78078372868908563</v>
      </c>
      <c r="N27" s="41"/>
    </row>
    <row r="28" spans="1:17" ht="23.25" x14ac:dyDescent="0.35">
      <c r="A28" s="22" t="s">
        <v>16</v>
      </c>
      <c r="B28" s="73"/>
      <c r="C28" s="73"/>
      <c r="I28" s="37"/>
      <c r="J28" s="37"/>
      <c r="K28" s="42"/>
      <c r="L28" s="25" t="s">
        <v>17</v>
      </c>
      <c r="M28" s="26"/>
    </row>
    <row r="29" spans="1:17" s="25" customFormat="1" x14ac:dyDescent="0.2">
      <c r="A29" s="27" t="s">
        <v>18</v>
      </c>
      <c r="B29" s="74" t="s">
        <v>19</v>
      </c>
      <c r="C29" s="74" t="s">
        <v>19</v>
      </c>
      <c r="D29" s="17" t="s">
        <v>20</v>
      </c>
      <c r="E29" s="28" t="s">
        <v>21</v>
      </c>
      <c r="F29" s="29" t="s">
        <v>13</v>
      </c>
      <c r="G29" s="29" t="s">
        <v>22</v>
      </c>
      <c r="H29" s="29" t="s">
        <v>23</v>
      </c>
      <c r="I29" s="28" t="s">
        <v>24</v>
      </c>
      <c r="J29" s="43" t="s">
        <v>25</v>
      </c>
      <c r="K29" s="43" t="s">
        <v>26</v>
      </c>
      <c r="L29" s="29" t="s">
        <v>27</v>
      </c>
      <c r="M29" s="30" t="s">
        <v>28</v>
      </c>
    </row>
    <row r="30" spans="1:17" s="32" customFormat="1" x14ac:dyDescent="0.2">
      <c r="A30" s="31"/>
      <c r="B30" s="75"/>
      <c r="C30" s="75"/>
      <c r="L30" s="33"/>
      <c r="M30" s="34"/>
    </row>
    <row r="31" spans="1:17" ht="15" x14ac:dyDescent="0.3">
      <c r="A31" s="9" t="s">
        <v>29</v>
      </c>
      <c r="B31">
        <v>0.32800000000000001</v>
      </c>
      <c r="C31">
        <v>0.35499999999999998</v>
      </c>
      <c r="D31" s="35">
        <f t="shared" ref="D31:D36" si="11">AVERAGE(B31:C31)</f>
        <v>0.34150000000000003</v>
      </c>
      <c r="E31" s="35">
        <f t="shared" ref="E31:E36" si="12">D31-E$8</f>
        <v>0.29250000000000004</v>
      </c>
      <c r="F31" s="35">
        <f>LOG(E31)</f>
        <v>-0.53387412958180069</v>
      </c>
      <c r="G31" s="36">
        <f>(F31-$B$16)/$B$15</f>
        <v>0.21450594794475908</v>
      </c>
      <c r="H31" s="36">
        <f>10^G31</f>
        <v>1.6387245045264631</v>
      </c>
      <c r="I31" s="37">
        <v>500</v>
      </c>
      <c r="J31" s="38">
        <f>(H31*I31)</f>
        <v>819.36225226323154</v>
      </c>
      <c r="K31" s="38">
        <f>(0.05*J31/1000)*1000</f>
        <v>40.96811261316158</v>
      </c>
      <c r="L31" s="39">
        <f>K31+K50</f>
        <v>41.470487872608082</v>
      </c>
      <c r="M31" s="40">
        <f>(L31*1000000/50000)/1000</f>
        <v>0.82940975745216161</v>
      </c>
      <c r="N31" s="44"/>
      <c r="Q31" s="12"/>
    </row>
    <row r="32" spans="1:17" ht="15" x14ac:dyDescent="0.3">
      <c r="B32">
        <v>0.34300000000000003</v>
      </c>
      <c r="C32">
        <v>0.35899999999999999</v>
      </c>
      <c r="D32" s="35">
        <f t="shared" si="11"/>
        <v>0.35099999999999998</v>
      </c>
      <c r="E32" s="35">
        <f t="shared" si="12"/>
        <v>0.30199999999999999</v>
      </c>
      <c r="F32" s="35">
        <f t="shared" ref="F32:F36" si="13">LOG(E32)</f>
        <v>-0.51999305704284937</v>
      </c>
      <c r="G32" s="36">
        <f t="shared" ref="G32:G36" si="14">(F32-$B$16)/$B$15</f>
        <v>0.22823084583214848</v>
      </c>
      <c r="H32" s="36">
        <f t="shared" ref="H32:H36" si="15">10^G32</f>
        <v>1.6913397111359534</v>
      </c>
      <c r="I32" s="37">
        <v>500</v>
      </c>
      <c r="J32" s="38">
        <f t="shared" ref="J32:J36" si="16">(H32*I32)</f>
        <v>845.6698555679767</v>
      </c>
      <c r="K32" s="38">
        <f t="shared" ref="K32:K36" si="17">(0.05*J32/1000)*1000</f>
        <v>42.283492778398838</v>
      </c>
      <c r="L32" s="39">
        <f>K32+K51</f>
        <v>42.817466608056591</v>
      </c>
      <c r="M32" s="40">
        <f t="shared" ref="M32:M36" si="18">(L32*1000000/50000)/1000</f>
        <v>0.85634933216113174</v>
      </c>
      <c r="N32" s="45"/>
      <c r="Q32" s="12"/>
    </row>
    <row r="33" spans="1:19" ht="15" x14ac:dyDescent="0.3">
      <c r="B33">
        <v>0.36599999999999999</v>
      </c>
      <c r="C33">
        <v>0.377</v>
      </c>
      <c r="D33" s="35">
        <f t="shared" si="11"/>
        <v>0.3715</v>
      </c>
      <c r="E33" s="35">
        <f t="shared" si="12"/>
        <v>0.32250000000000001</v>
      </c>
      <c r="F33" s="35">
        <f t="shared" si="13"/>
        <v>-0.49147028102871343</v>
      </c>
      <c r="G33" s="36">
        <f t="shared" si="14"/>
        <v>0.25643271475548962</v>
      </c>
      <c r="H33" s="36">
        <f t="shared" si="15"/>
        <v>1.8048150954651627</v>
      </c>
      <c r="I33" s="37">
        <v>500</v>
      </c>
      <c r="J33" s="38">
        <f t="shared" si="16"/>
        <v>902.40754773258141</v>
      </c>
      <c r="K33" s="38">
        <f t="shared" si="17"/>
        <v>45.120377386629073</v>
      </c>
      <c r="L33" s="39">
        <f t="shared" ref="L33:L36" si="19">K33+K52</f>
        <v>45.527814586548033</v>
      </c>
      <c r="M33" s="40">
        <f t="shared" si="18"/>
        <v>0.91055629173096064</v>
      </c>
      <c r="N33" s="45"/>
      <c r="Q33" s="12"/>
    </row>
    <row r="34" spans="1:19" ht="15" x14ac:dyDescent="0.3">
      <c r="A34" s="9" t="s">
        <v>30</v>
      </c>
      <c r="B34">
        <v>0.311</v>
      </c>
      <c r="C34">
        <v>0.32</v>
      </c>
      <c r="D34" s="35">
        <f t="shared" si="11"/>
        <v>0.3155</v>
      </c>
      <c r="E34" s="35">
        <f t="shared" si="12"/>
        <v>0.26650000000000001</v>
      </c>
      <c r="F34" s="35">
        <f t="shared" si="13"/>
        <v>-0.57430278663740886</v>
      </c>
      <c r="G34" s="36">
        <f t="shared" si="14"/>
        <v>0.17453214993632168</v>
      </c>
      <c r="H34" s="36">
        <f t="shared" si="15"/>
        <v>1.4946246822935298</v>
      </c>
      <c r="I34" s="37">
        <v>500</v>
      </c>
      <c r="J34" s="38">
        <f t="shared" si="16"/>
        <v>747.31234114676488</v>
      </c>
      <c r="K34" s="38">
        <f t="shared" si="17"/>
        <v>37.365617057338248</v>
      </c>
      <c r="L34" s="39">
        <f t="shared" si="19"/>
        <v>39.148290672811534</v>
      </c>
      <c r="M34" s="40">
        <f t="shared" si="18"/>
        <v>0.78296581345623062</v>
      </c>
      <c r="N34" s="45"/>
      <c r="Q34" s="12"/>
    </row>
    <row r="35" spans="1:19" ht="15" x14ac:dyDescent="0.3">
      <c r="B35">
        <v>0.35499999999999998</v>
      </c>
      <c r="C35">
        <v>0.33500000000000002</v>
      </c>
      <c r="D35" s="35">
        <f t="shared" si="11"/>
        <v>0.34499999999999997</v>
      </c>
      <c r="E35" s="35">
        <f t="shared" si="12"/>
        <v>0.29599999999999999</v>
      </c>
      <c r="F35" s="35">
        <f t="shared" si="13"/>
        <v>-0.52870828894106148</v>
      </c>
      <c r="G35" s="36">
        <f t="shared" si="14"/>
        <v>0.21961366819459707</v>
      </c>
      <c r="H35" s="36">
        <f t="shared" si="15"/>
        <v>1.6581112586656102</v>
      </c>
      <c r="I35" s="37">
        <v>500</v>
      </c>
      <c r="J35" s="38">
        <f t="shared" si="16"/>
        <v>829.0556293328051</v>
      </c>
      <c r="K35" s="38">
        <f t="shared" si="17"/>
        <v>41.452781466640261</v>
      </c>
      <c r="L35" s="39">
        <f t="shared" si="19"/>
        <v>43.497857388148297</v>
      </c>
      <c r="M35" s="40">
        <f t="shared" si="18"/>
        <v>0.86995714776296595</v>
      </c>
      <c r="N35" s="45"/>
      <c r="Q35" s="12"/>
      <c r="S35" s="12"/>
    </row>
    <row r="36" spans="1:19" ht="15" x14ac:dyDescent="0.3">
      <c r="B36">
        <v>0.309</v>
      </c>
      <c r="C36">
        <v>0.30599999999999999</v>
      </c>
      <c r="D36" s="35">
        <f t="shared" si="11"/>
        <v>0.3075</v>
      </c>
      <c r="E36" s="35">
        <f t="shared" si="12"/>
        <v>0.25850000000000001</v>
      </c>
      <c r="F36" s="35">
        <f t="shared" si="13"/>
        <v>-0.5875394525700387</v>
      </c>
      <c r="G36" s="36">
        <f t="shared" si="14"/>
        <v>0.16144440849667099</v>
      </c>
      <c r="H36" s="36">
        <f t="shared" si="15"/>
        <v>1.4502551237243748</v>
      </c>
      <c r="I36" s="37">
        <v>500</v>
      </c>
      <c r="J36" s="38">
        <f t="shared" si="16"/>
        <v>725.12756186218746</v>
      </c>
      <c r="K36" s="38">
        <f t="shared" si="17"/>
        <v>36.256378093109376</v>
      </c>
      <c r="L36" s="39">
        <f t="shared" si="19"/>
        <v>38.199210066356571</v>
      </c>
      <c r="M36" s="40">
        <f t="shared" si="18"/>
        <v>0.76398420132713141</v>
      </c>
      <c r="N36" s="46"/>
      <c r="Q36" s="12"/>
      <c r="S36" s="12"/>
    </row>
    <row r="37" spans="1:19" ht="15" x14ac:dyDescent="0.3">
      <c r="B37" s="3"/>
      <c r="C37" s="3"/>
      <c r="I37" s="37"/>
      <c r="J37" s="37"/>
      <c r="K37" s="37"/>
      <c r="R37" s="12"/>
      <c r="S37" s="12"/>
    </row>
    <row r="38" spans="1:19" ht="23.25" x14ac:dyDescent="0.35">
      <c r="A38" s="22" t="s">
        <v>31</v>
      </c>
      <c r="B38" s="3"/>
      <c r="C38" s="3"/>
      <c r="E38" s="36"/>
      <c r="F38" s="35"/>
      <c r="H38" s="47"/>
      <c r="I38" s="37"/>
      <c r="J38" s="37"/>
      <c r="K38" s="37"/>
      <c r="M38" s="48" t="s">
        <v>32</v>
      </c>
      <c r="R38" s="12"/>
      <c r="S38" s="12"/>
    </row>
    <row r="39" spans="1:19" ht="15" x14ac:dyDescent="0.3">
      <c r="A39" s="27" t="s">
        <v>18</v>
      </c>
      <c r="B39" s="76" t="s">
        <v>19</v>
      </c>
      <c r="C39" s="76" t="s">
        <v>19</v>
      </c>
      <c r="D39" s="17" t="s">
        <v>20</v>
      </c>
      <c r="E39" s="28" t="s">
        <v>21</v>
      </c>
      <c r="F39" s="29" t="s">
        <v>13</v>
      </c>
      <c r="G39" s="29" t="s">
        <v>22</v>
      </c>
      <c r="H39" s="29" t="s">
        <v>23</v>
      </c>
      <c r="I39" s="28" t="s">
        <v>24</v>
      </c>
      <c r="J39" s="43" t="s">
        <v>25</v>
      </c>
      <c r="K39" s="43" t="s">
        <v>33</v>
      </c>
      <c r="L39" s="29" t="s">
        <v>34</v>
      </c>
      <c r="M39" s="25" t="s">
        <v>35</v>
      </c>
      <c r="N39" s="43" t="s">
        <v>36</v>
      </c>
      <c r="R39" s="12"/>
      <c r="S39" s="12"/>
    </row>
    <row r="40" spans="1:19" ht="15" x14ac:dyDescent="0.3">
      <c r="A40" s="9" t="s">
        <v>37</v>
      </c>
      <c r="B40">
        <v>7.8E-2</v>
      </c>
      <c r="C40">
        <v>8.3000000000000004E-2</v>
      </c>
      <c r="D40" s="35">
        <f>AVERAGE(B40,C40)</f>
        <v>8.0500000000000002E-2</v>
      </c>
      <c r="E40" s="35">
        <f t="shared" ref="E40:E45" si="20">D40-E$8</f>
        <v>3.15E-2</v>
      </c>
      <c r="F40" s="35">
        <f t="shared" ref="F40:F45" si="21">LOG(E40)</f>
        <v>-1.5016894462103996</v>
      </c>
      <c r="G40" s="36">
        <f t="shared" ref="G40:G45" si="22">(F40-$B$16)/$B$15</f>
        <v>-0.74242056888637287</v>
      </c>
      <c r="H40" s="35">
        <f t="shared" ref="H40:H45" si="23">10^G40</f>
        <v>0.18095868478105837</v>
      </c>
      <c r="I40" s="49">
        <v>16</v>
      </c>
      <c r="J40" s="50">
        <f t="shared" ref="J40:J45" si="24">H40*I40</f>
        <v>2.8953389564969338</v>
      </c>
      <c r="K40" s="38">
        <f>(0.1*J40/1000)*1000</f>
        <v>0.2895338956496934</v>
      </c>
      <c r="L40" s="51">
        <f>K40*100/L22</f>
        <v>0.69332793276887394</v>
      </c>
      <c r="M40" s="52">
        <f>AVERAGE(L40:L42)</f>
        <v>0.79155016679818146</v>
      </c>
      <c r="N40" s="53">
        <f>STDEV(L40:L42)</f>
        <v>0.12050836292910135</v>
      </c>
      <c r="R40" s="12"/>
      <c r="S40" s="12"/>
    </row>
    <row r="41" spans="1:19" ht="15" x14ac:dyDescent="0.3">
      <c r="B41">
        <v>8.7999999999999995E-2</v>
      </c>
      <c r="C41">
        <v>8.1000000000000003E-2</v>
      </c>
      <c r="D41" s="35">
        <f>AVERAGE(B41,C41)</f>
        <v>8.4499999999999992E-2</v>
      </c>
      <c r="E41" s="35">
        <f t="shared" si="20"/>
        <v>3.549999999999999E-2</v>
      </c>
      <c r="F41" s="35">
        <f t="shared" si="21"/>
        <v>-1.449771646944906</v>
      </c>
      <c r="G41" s="36">
        <f t="shared" si="22"/>
        <v>-0.69108689193472772</v>
      </c>
      <c r="H41" s="35">
        <f t="shared" si="23"/>
        <v>0.20366345550941628</v>
      </c>
      <c r="I41" s="49">
        <v>16</v>
      </c>
      <c r="J41" s="50">
        <f t="shared" si="24"/>
        <v>3.2586152881506605</v>
      </c>
      <c r="K41" s="38">
        <f t="shared" ref="K41:K45" si="25">(0.1*J41/1000)*1000</f>
        <v>0.32586152881506608</v>
      </c>
      <c r="L41" s="51">
        <f t="shared" ref="L41:L45" si="26">K41*100/L23</f>
        <v>0.75529993370301551</v>
      </c>
      <c r="M41" s="52"/>
      <c r="N41" s="53"/>
      <c r="R41" s="12"/>
      <c r="S41" s="12"/>
    </row>
    <row r="42" spans="1:19" s="25" customFormat="1" ht="15" x14ac:dyDescent="0.3">
      <c r="A42" s="9"/>
      <c r="B42">
        <v>9.6000000000000002E-2</v>
      </c>
      <c r="C42">
        <v>9.5000000000000001E-2</v>
      </c>
      <c r="D42" s="35">
        <f>AVERAGE(B42,C42)</f>
        <v>9.5500000000000002E-2</v>
      </c>
      <c r="E42" s="35">
        <f t="shared" si="20"/>
        <v>4.65E-2</v>
      </c>
      <c r="F42" s="35">
        <f t="shared" si="21"/>
        <v>-1.332547047110046</v>
      </c>
      <c r="G42" s="36">
        <f t="shared" si="22"/>
        <v>-0.57518117513158751</v>
      </c>
      <c r="H42" s="35">
        <f t="shared" si="23"/>
        <v>0.26596153135397427</v>
      </c>
      <c r="I42" s="49">
        <v>16</v>
      </c>
      <c r="J42" s="50">
        <f t="shared" si="24"/>
        <v>4.2553845016635883</v>
      </c>
      <c r="K42" s="38">
        <f t="shared" si="25"/>
        <v>0.42553845016635883</v>
      </c>
      <c r="L42" s="51">
        <f t="shared" si="26"/>
        <v>0.92602263392265471</v>
      </c>
      <c r="M42" s="52"/>
      <c r="N42" s="53"/>
      <c r="R42" s="12"/>
      <c r="S42" s="12"/>
    </row>
    <row r="43" spans="1:19" ht="15" x14ac:dyDescent="0.3">
      <c r="A43" s="9" t="s">
        <v>38</v>
      </c>
      <c r="B43">
        <v>0.129</v>
      </c>
      <c r="C43">
        <v>0.14000000000000001</v>
      </c>
      <c r="D43" s="35">
        <f t="shared" ref="D43:D45" si="27">AVERAGE(B43,C43)</f>
        <v>0.13450000000000001</v>
      </c>
      <c r="E43" s="35">
        <f t="shared" si="20"/>
        <v>8.5500000000000007E-2</v>
      </c>
      <c r="F43" s="35">
        <f t="shared" si="21"/>
        <v>-1.0680338852718274</v>
      </c>
      <c r="G43" s="36">
        <f t="shared" si="22"/>
        <v>-0.31364402618918114</v>
      </c>
      <c r="H43" s="35">
        <f t="shared" si="23"/>
        <v>0.48568643479271922</v>
      </c>
      <c r="I43" s="49">
        <v>16</v>
      </c>
      <c r="J43" s="50">
        <f t="shared" si="24"/>
        <v>7.7709829566835076</v>
      </c>
      <c r="K43" s="38">
        <f t="shared" si="25"/>
        <v>0.77709829566835076</v>
      </c>
      <c r="L43" s="51">
        <f t="shared" si="26"/>
        <v>1.9463762676973564</v>
      </c>
      <c r="M43" s="52">
        <f>AVERAGE(L43:L45)</f>
        <v>1.8509397361171356</v>
      </c>
      <c r="N43" s="53">
        <f>STDEV(L43:L45)</f>
        <v>0.35807146979667542</v>
      </c>
      <c r="R43" s="12"/>
      <c r="S43" s="12"/>
    </row>
    <row r="44" spans="1:19" ht="15" x14ac:dyDescent="0.3">
      <c r="A44" s="54"/>
      <c r="B44">
        <v>0.127</v>
      </c>
      <c r="C44">
        <v>0.112</v>
      </c>
      <c r="D44" s="35">
        <f t="shared" si="27"/>
        <v>0.1195</v>
      </c>
      <c r="E44" s="35">
        <f t="shared" si="20"/>
        <v>7.0499999999999993E-2</v>
      </c>
      <c r="F44" s="35">
        <f t="shared" si="21"/>
        <v>-1.1518108830086013</v>
      </c>
      <c r="G44" s="36">
        <f t="shared" si="22"/>
        <v>-0.39647845674364768</v>
      </c>
      <c r="H44" s="35">
        <f t="shared" si="23"/>
        <v>0.40134840672928779</v>
      </c>
      <c r="I44" s="49">
        <v>16</v>
      </c>
      <c r="J44" s="50">
        <f t="shared" si="24"/>
        <v>6.4215745076686046</v>
      </c>
      <c r="K44" s="38">
        <f t="shared" si="25"/>
        <v>0.64215745076686048</v>
      </c>
      <c r="L44" s="51">
        <f t="shared" si="26"/>
        <v>1.4548192906376536</v>
      </c>
      <c r="M44" s="52"/>
      <c r="N44" s="53"/>
    </row>
    <row r="45" spans="1:19" ht="15" x14ac:dyDescent="0.3">
      <c r="A45" s="55"/>
      <c r="B45">
        <v>0.14599999999999999</v>
      </c>
      <c r="C45">
        <v>0.13700000000000001</v>
      </c>
      <c r="D45" s="35">
        <f t="shared" si="27"/>
        <v>0.14150000000000001</v>
      </c>
      <c r="E45" s="35">
        <f t="shared" si="20"/>
        <v>9.2500000000000013E-2</v>
      </c>
      <c r="F45" s="35">
        <f t="shared" si="21"/>
        <v>-1.0338582672609673</v>
      </c>
      <c r="G45" s="36">
        <f t="shared" si="22"/>
        <v>-0.27985291486681951</v>
      </c>
      <c r="H45" s="35">
        <f t="shared" si="23"/>
        <v>0.52498523006106934</v>
      </c>
      <c r="I45" s="49">
        <v>16</v>
      </c>
      <c r="J45" s="50">
        <f t="shared" si="24"/>
        <v>8.3997636809771095</v>
      </c>
      <c r="K45" s="38">
        <f t="shared" si="25"/>
        <v>0.83997636809771103</v>
      </c>
      <c r="L45" s="51">
        <f t="shared" si="26"/>
        <v>2.1516236500163965</v>
      </c>
      <c r="M45" s="52"/>
      <c r="N45" s="53"/>
    </row>
    <row r="46" spans="1:19" x14ac:dyDescent="0.2">
      <c r="B46" s="3"/>
      <c r="C46" s="3"/>
      <c r="E46" s="36"/>
      <c r="F46" s="35"/>
      <c r="G46" s="52"/>
      <c r="H46" s="56"/>
      <c r="I46" s="37"/>
      <c r="J46" s="37"/>
      <c r="K46" s="37"/>
    </row>
    <row r="47" spans="1:19" x14ac:dyDescent="0.2">
      <c r="B47" s="3"/>
      <c r="C47" s="3"/>
      <c r="E47" s="36"/>
      <c r="F47" s="35"/>
      <c r="G47" s="52"/>
      <c r="H47" s="56"/>
      <c r="I47" s="37"/>
      <c r="J47" s="37"/>
      <c r="K47" s="37"/>
    </row>
    <row r="48" spans="1:19" ht="23.25" x14ac:dyDescent="0.35">
      <c r="A48" s="22" t="s">
        <v>39</v>
      </c>
      <c r="B48" s="3"/>
      <c r="C48" s="3"/>
      <c r="E48" s="36"/>
      <c r="F48" s="35"/>
      <c r="H48" s="47"/>
      <c r="I48" s="37"/>
      <c r="J48" s="37"/>
      <c r="K48" s="37"/>
      <c r="M48" s="48" t="s">
        <v>32</v>
      </c>
    </row>
    <row r="49" spans="1:25" x14ac:dyDescent="0.2">
      <c r="A49" s="27" t="s">
        <v>18</v>
      </c>
      <c r="B49" s="76" t="s">
        <v>19</v>
      </c>
      <c r="C49" s="76" t="s">
        <v>19</v>
      </c>
      <c r="D49" s="17" t="s">
        <v>20</v>
      </c>
      <c r="E49" s="28" t="s">
        <v>21</v>
      </c>
      <c r="F49" s="29" t="s">
        <v>13</v>
      </c>
      <c r="G49" s="29" t="s">
        <v>22</v>
      </c>
      <c r="H49" s="29" t="s">
        <v>23</v>
      </c>
      <c r="I49" s="28" t="s">
        <v>24</v>
      </c>
      <c r="J49" s="43" t="s">
        <v>25</v>
      </c>
      <c r="K49" s="43" t="s">
        <v>33</v>
      </c>
      <c r="L49" s="29" t="s">
        <v>34</v>
      </c>
      <c r="M49" s="25" t="s">
        <v>35</v>
      </c>
      <c r="N49" s="43" t="s">
        <v>36</v>
      </c>
      <c r="O49" s="11" t="s">
        <v>40</v>
      </c>
      <c r="P49" s="25" t="s">
        <v>35</v>
      </c>
      <c r="Q49" s="43" t="s">
        <v>36</v>
      </c>
    </row>
    <row r="50" spans="1:25" ht="15" x14ac:dyDescent="0.3">
      <c r="A50" s="9" t="s">
        <v>29</v>
      </c>
      <c r="B50">
        <v>0.1</v>
      </c>
      <c r="C50">
        <v>0.108</v>
      </c>
      <c r="D50" s="35">
        <f t="shared" ref="D50:D52" si="28">AVERAGE(B50,C50)</f>
        <v>0.10400000000000001</v>
      </c>
      <c r="E50" s="35">
        <f t="shared" ref="E50:E55" si="29">D50-E$8</f>
        <v>5.5000000000000007E-2</v>
      </c>
      <c r="F50" s="35">
        <f t="shared" ref="F50:F55" si="30">LOG(E50)</f>
        <v>-1.2596373105057561</v>
      </c>
      <c r="G50" s="36">
        <f t="shared" ref="G50:G55" si="31">(F50-$B$16)/$B$15</f>
        <v>-0.50309173916888661</v>
      </c>
      <c r="H50" s="35">
        <f t="shared" ref="H50:H55" si="32">10^G50</f>
        <v>0.31398453715406355</v>
      </c>
      <c r="I50" s="49">
        <v>16</v>
      </c>
      <c r="J50" s="50">
        <f t="shared" ref="J50:J55" si="33">H50*I50</f>
        <v>5.0237525944650168</v>
      </c>
      <c r="K50" s="38">
        <f>(0.1*J50/1000)*1000</f>
        <v>0.50237525944650174</v>
      </c>
      <c r="L50" s="51">
        <f t="shared" ref="L50:L55" si="34">K50*100/L31</f>
        <v>1.2114042665466895</v>
      </c>
      <c r="M50" s="52">
        <f>AVERAGE(L50:L52)</f>
        <v>1.1178056787447137</v>
      </c>
      <c r="N50" s="53">
        <f>STDEV(L50:L52)</f>
        <v>0.19384835035003734</v>
      </c>
      <c r="O50" s="11">
        <f>L50/L40</f>
        <v>1.7472313018009045</v>
      </c>
      <c r="P50" s="52">
        <f>AVERAGE(O50:O52)</f>
        <v>1.4549222361880958</v>
      </c>
      <c r="Q50" s="53">
        <f>STDEV(O50:O52)</f>
        <v>0.42578272965002617</v>
      </c>
      <c r="S50" s="12"/>
      <c r="T50" s="12"/>
    </row>
    <row r="51" spans="1:25" ht="15" x14ac:dyDescent="0.3">
      <c r="B51">
        <v>0.109</v>
      </c>
      <c r="C51">
        <v>0.106</v>
      </c>
      <c r="D51" s="35">
        <f t="shared" si="28"/>
        <v>0.1075</v>
      </c>
      <c r="E51" s="35">
        <f t="shared" si="29"/>
        <v>5.8499999999999996E-2</v>
      </c>
      <c r="F51" s="35">
        <f t="shared" si="30"/>
        <v>-1.2328441339178196</v>
      </c>
      <c r="G51" s="36">
        <f t="shared" si="31"/>
        <v>-0.47660001011003084</v>
      </c>
      <c r="H51" s="35">
        <f t="shared" si="32"/>
        <v>0.33373364353609414</v>
      </c>
      <c r="I51" s="49">
        <v>16</v>
      </c>
      <c r="J51" s="50">
        <f t="shared" si="33"/>
        <v>5.3397382965775062</v>
      </c>
      <c r="K51" s="38">
        <f t="shared" ref="K51:K55" si="35">(0.1*J51/1000)*1000</f>
        <v>0.53397382965775064</v>
      </c>
      <c r="L51" s="51">
        <f t="shared" si="34"/>
        <v>1.247093468993977</v>
      </c>
      <c r="M51" s="52"/>
      <c r="N51" s="53"/>
      <c r="O51" s="11">
        <f t="shared" ref="O51:O55" si="36">L51/L41</f>
        <v>1.6511234985548602</v>
      </c>
      <c r="P51" s="52"/>
      <c r="Q51" s="53"/>
      <c r="S51" s="12"/>
      <c r="T51" s="12"/>
    </row>
    <row r="52" spans="1:25" ht="15" x14ac:dyDescent="0.3">
      <c r="B52">
        <v>9.4E-2</v>
      </c>
      <c r="C52">
        <v>9.2999999999999999E-2</v>
      </c>
      <c r="D52" s="35">
        <f t="shared" si="28"/>
        <v>9.35E-2</v>
      </c>
      <c r="E52" s="35">
        <f t="shared" si="29"/>
        <v>4.4499999999999998E-2</v>
      </c>
      <c r="F52" s="35">
        <f t="shared" si="30"/>
        <v>-1.3516399890190685</v>
      </c>
      <c r="G52" s="36">
        <f t="shared" si="31"/>
        <v>-0.59405930413320918</v>
      </c>
      <c r="H52" s="35">
        <f t="shared" si="32"/>
        <v>0.25464824994934837</v>
      </c>
      <c r="I52" s="49">
        <v>16</v>
      </c>
      <c r="J52" s="50">
        <f t="shared" si="33"/>
        <v>4.0743719991895739</v>
      </c>
      <c r="K52" s="38">
        <f t="shared" si="35"/>
        <v>0.40743719991895744</v>
      </c>
      <c r="L52" s="51">
        <f t="shared" si="34"/>
        <v>0.89491930069347481</v>
      </c>
      <c r="M52" s="52"/>
      <c r="N52" s="53"/>
      <c r="O52" s="11">
        <f t="shared" si="36"/>
        <v>0.96641190820852252</v>
      </c>
      <c r="P52" s="52"/>
      <c r="Q52" s="53"/>
      <c r="S52" s="12"/>
      <c r="T52" s="12"/>
    </row>
    <row r="53" spans="1:25" ht="15" x14ac:dyDescent="0.3">
      <c r="A53" s="9" t="s">
        <v>30</v>
      </c>
      <c r="B53">
        <v>0.24099999999999999</v>
      </c>
      <c r="C53">
        <v>0.253</v>
      </c>
      <c r="D53" s="35">
        <f>AVERAGE(B53:C53)</f>
        <v>0.247</v>
      </c>
      <c r="E53" s="35">
        <f t="shared" si="29"/>
        <v>0.19800000000000001</v>
      </c>
      <c r="F53" s="35">
        <f t="shared" si="30"/>
        <v>-0.70333480973846885</v>
      </c>
      <c r="G53" s="36">
        <f t="shared" si="31"/>
        <v>4.6951854084117325E-2</v>
      </c>
      <c r="H53" s="35">
        <f t="shared" si="32"/>
        <v>1.1141710096708028</v>
      </c>
      <c r="I53" s="49">
        <v>16</v>
      </c>
      <c r="J53" s="50">
        <f t="shared" si="33"/>
        <v>17.826736154732846</v>
      </c>
      <c r="K53" s="38">
        <f t="shared" si="35"/>
        <v>1.7826736154732847</v>
      </c>
      <c r="L53" s="51">
        <f t="shared" si="34"/>
        <v>4.5536435559148192</v>
      </c>
      <c r="M53" s="52">
        <f>AVERAGE(L53:L55)</f>
        <v>4.7804172794969606</v>
      </c>
      <c r="N53" s="53">
        <f>STDEV(L53:L55)</f>
        <v>0.27482588672802005</v>
      </c>
      <c r="O53" s="11">
        <f t="shared" si="36"/>
        <v>2.3395494650692426</v>
      </c>
      <c r="P53" s="52">
        <f>AVERAGE(O53:O55)</f>
        <v>2.6450270968402703</v>
      </c>
      <c r="Q53" s="53">
        <f>STDEV(O53:O55)</f>
        <v>0.50822809286787873</v>
      </c>
      <c r="S53" s="12"/>
      <c r="T53" s="12"/>
    </row>
    <row r="54" spans="1:25" ht="15" x14ac:dyDescent="0.3">
      <c r="A54" s="54"/>
      <c r="B54">
        <v>0.27400000000000002</v>
      </c>
      <c r="C54">
        <v>0.27900000000000003</v>
      </c>
      <c r="D54" s="35">
        <f>AVERAGE(B54:C54)</f>
        <v>0.27650000000000002</v>
      </c>
      <c r="E54" s="35">
        <f t="shared" si="29"/>
        <v>0.22750000000000004</v>
      </c>
      <c r="F54" s="35">
        <f t="shared" si="30"/>
        <v>-0.64301859900686875</v>
      </c>
      <c r="G54" s="36">
        <f t="shared" si="31"/>
        <v>0.10658945275831984</v>
      </c>
      <c r="H54" s="35">
        <f t="shared" si="32"/>
        <v>1.2781724509425227</v>
      </c>
      <c r="I54" s="49">
        <v>16</v>
      </c>
      <c r="J54" s="50">
        <f t="shared" si="33"/>
        <v>20.450759215080364</v>
      </c>
      <c r="K54" s="38">
        <f t="shared" si="35"/>
        <v>2.0450759215080363</v>
      </c>
      <c r="L54" s="51">
        <f t="shared" si="34"/>
        <v>4.7015555346991658</v>
      </c>
      <c r="M54" s="52"/>
      <c r="N54" s="53"/>
      <c r="O54" s="11">
        <f t="shared" si="36"/>
        <v>3.2317110207127193</v>
      </c>
      <c r="P54" s="52"/>
      <c r="Q54" s="53"/>
      <c r="S54" s="12"/>
      <c r="T54" s="12"/>
    </row>
    <row r="55" spans="1:25" ht="15" x14ac:dyDescent="0.3">
      <c r="A55" s="55"/>
      <c r="B55">
        <v>0.27</v>
      </c>
      <c r="C55">
        <v>0.26</v>
      </c>
      <c r="D55" s="35">
        <f>AVERAGE(B55:C55)</f>
        <v>0.26500000000000001</v>
      </c>
      <c r="E55" s="35">
        <f t="shared" si="29"/>
        <v>0.21600000000000003</v>
      </c>
      <c r="F55" s="35">
        <f t="shared" si="30"/>
        <v>-0.6655462488490691</v>
      </c>
      <c r="G55" s="36">
        <f t="shared" si="31"/>
        <v>8.4315259401901987E-2</v>
      </c>
      <c r="H55" s="35">
        <f t="shared" si="32"/>
        <v>1.2142699832794979</v>
      </c>
      <c r="I55" s="49">
        <v>16</v>
      </c>
      <c r="J55" s="50">
        <f t="shared" si="33"/>
        <v>19.428319732471966</v>
      </c>
      <c r="K55" s="38">
        <f t="shared" si="35"/>
        <v>1.9428319732471966</v>
      </c>
      <c r="L55" s="51">
        <f t="shared" si="34"/>
        <v>5.0860527478768969</v>
      </c>
      <c r="M55" s="52"/>
      <c r="N55" s="53"/>
      <c r="O55" s="11">
        <f t="shared" si="36"/>
        <v>2.3638208047388485</v>
      </c>
      <c r="P55" s="52"/>
      <c r="Q55" s="53"/>
      <c r="S55" s="12"/>
      <c r="T55" s="12"/>
      <c r="Y55" s="9"/>
    </row>
    <row r="56" spans="1:25" x14ac:dyDescent="0.2">
      <c r="D56" s="35"/>
      <c r="E56" s="36"/>
      <c r="F56" s="35"/>
      <c r="G56" s="52"/>
      <c r="H56" s="56"/>
    </row>
    <row r="57" spans="1:25" x14ac:dyDescent="0.2">
      <c r="B57" s="52"/>
      <c r="C57" s="52"/>
      <c r="D57" s="35"/>
      <c r="E57" s="36"/>
      <c r="F57" s="35"/>
      <c r="G57" s="52"/>
      <c r="H57" s="56"/>
      <c r="M57" s="11" t="s">
        <v>41</v>
      </c>
      <c r="N57" s="11" t="s">
        <v>42</v>
      </c>
      <c r="O57" s="43" t="s">
        <v>36</v>
      </c>
    </row>
    <row r="58" spans="1:25" ht="15" x14ac:dyDescent="0.3">
      <c r="C58" s="12"/>
      <c r="D58" s="12"/>
      <c r="E58" s="12"/>
      <c r="F58" s="12"/>
      <c r="G58" s="12"/>
      <c r="H58" s="56"/>
      <c r="M58" s="11" t="s">
        <v>29</v>
      </c>
      <c r="N58" s="52">
        <f>P50</f>
        <v>1.4549222361880958</v>
      </c>
      <c r="O58" s="52">
        <f>Q50</f>
        <v>0.42578272965002617</v>
      </c>
    </row>
    <row r="59" spans="1:25" ht="15" x14ac:dyDescent="0.3">
      <c r="D59" s="12"/>
      <c r="E59" s="12"/>
      <c r="G59" s="12"/>
      <c r="M59" s="11" t="s">
        <v>30</v>
      </c>
      <c r="N59" s="52">
        <f>P53</f>
        <v>2.6450270968402703</v>
      </c>
      <c r="O59" s="52">
        <f>Q53</f>
        <v>0.50822809286787873</v>
      </c>
    </row>
    <row r="60" spans="1:25" x14ac:dyDescent="0.2">
      <c r="G60" s="52"/>
      <c r="H60" s="56"/>
    </row>
    <row r="61" spans="1:25" ht="15" x14ac:dyDescent="0.3">
      <c r="A61" s="57"/>
      <c r="D61" s="12"/>
      <c r="E61" s="12"/>
      <c r="F61" s="12"/>
      <c r="G61" s="52"/>
      <c r="H61" s="56"/>
    </row>
    <row r="62" spans="1:25" ht="15" x14ac:dyDescent="0.3">
      <c r="C62" s="35"/>
      <c r="D62" s="12"/>
      <c r="E62" s="12"/>
      <c r="F62" s="12"/>
      <c r="G62" s="52"/>
      <c r="H62" s="56"/>
    </row>
    <row r="63" spans="1:25" ht="15" x14ac:dyDescent="0.3">
      <c r="C63" s="35"/>
      <c r="D63" s="12"/>
      <c r="E63" s="12"/>
      <c r="F63" s="12"/>
      <c r="G63" s="52"/>
      <c r="H63" s="56"/>
    </row>
    <row r="64" spans="1:25" ht="13.5" thickBot="1" x14ac:dyDescent="0.25">
      <c r="B64" s="58" t="s">
        <v>20</v>
      </c>
      <c r="C64" s="59" t="s">
        <v>43</v>
      </c>
      <c r="D64" s="35"/>
      <c r="E64" s="36"/>
      <c r="F64" s="35"/>
      <c r="G64" s="52"/>
      <c r="H64" s="56"/>
    </row>
    <row r="65" spans="1:8" x14ac:dyDescent="0.2">
      <c r="A65" s="9" t="s">
        <v>37</v>
      </c>
      <c r="B65" s="52">
        <f>M40</f>
        <v>0.79155016679818146</v>
      </c>
      <c r="C65" s="52">
        <f>N40</f>
        <v>0.12050836292910135</v>
      </c>
      <c r="D65" s="35"/>
      <c r="E65" s="36"/>
      <c r="F65" s="35"/>
      <c r="G65" s="52"/>
      <c r="H65" s="56"/>
    </row>
    <row r="66" spans="1:8" x14ac:dyDescent="0.2">
      <c r="A66" s="9" t="s">
        <v>29</v>
      </c>
      <c r="B66" s="52">
        <f>M50</f>
        <v>1.1178056787447137</v>
      </c>
      <c r="C66" s="52">
        <f>N50</f>
        <v>0.19384835035003734</v>
      </c>
      <c r="D66" s="35"/>
      <c r="E66" s="36"/>
      <c r="F66" s="35"/>
      <c r="G66" s="52"/>
      <c r="H66" s="56"/>
    </row>
    <row r="67" spans="1:8" x14ac:dyDescent="0.2">
      <c r="A67" s="9" t="s">
        <v>38</v>
      </c>
      <c r="B67" s="52">
        <f>M43</f>
        <v>1.8509397361171356</v>
      </c>
      <c r="C67" s="52">
        <f>N43</f>
        <v>0.35807146979667542</v>
      </c>
      <c r="D67" s="35"/>
      <c r="E67" s="36"/>
      <c r="F67" s="35"/>
      <c r="G67" s="52"/>
      <c r="H67" s="56"/>
    </row>
    <row r="68" spans="1:8" x14ac:dyDescent="0.2">
      <c r="A68" s="60" t="s">
        <v>30</v>
      </c>
      <c r="B68" s="52">
        <f>M53</f>
        <v>4.7804172794969606</v>
      </c>
      <c r="C68" s="52">
        <f>N53</f>
        <v>0.27482588672802005</v>
      </c>
      <c r="D68" s="35"/>
      <c r="E68" s="36"/>
      <c r="F68" s="35"/>
      <c r="G68" s="52"/>
      <c r="H68" s="56"/>
    </row>
    <row r="69" spans="1:8" x14ac:dyDescent="0.2">
      <c r="A69" s="61"/>
      <c r="C69" s="35"/>
      <c r="D69" s="35"/>
      <c r="E69" s="36"/>
      <c r="F69" s="35"/>
      <c r="G69" s="52"/>
      <c r="H69" s="56"/>
    </row>
    <row r="70" spans="1:8" x14ac:dyDescent="0.2">
      <c r="A70" s="61"/>
      <c r="C70" s="35"/>
      <c r="D70" s="35"/>
      <c r="E70" s="36"/>
      <c r="F70" s="35"/>
      <c r="G70" s="52"/>
      <c r="H70" s="56"/>
    </row>
    <row r="71" spans="1:8" x14ac:dyDescent="0.2">
      <c r="A71" s="61"/>
      <c r="B71" s="37"/>
      <c r="C71" s="35"/>
      <c r="D71" s="35"/>
      <c r="E71" s="36"/>
      <c r="F71" s="35"/>
      <c r="G71" s="52"/>
      <c r="H71" s="56"/>
    </row>
    <row r="72" spans="1:8" x14ac:dyDescent="0.2">
      <c r="A72" s="61"/>
      <c r="B72" s="37"/>
      <c r="C72" s="35"/>
      <c r="D72" s="35"/>
      <c r="E72" s="36"/>
      <c r="F72" s="35"/>
      <c r="G72" s="52"/>
      <c r="H72" s="56"/>
    </row>
    <row r="73" spans="1:8" x14ac:dyDescent="0.2">
      <c r="C73" s="35"/>
      <c r="D73" s="35"/>
      <c r="E73" s="36"/>
      <c r="F73" s="35"/>
      <c r="G73" s="52"/>
      <c r="H73" s="56"/>
    </row>
    <row r="74" spans="1:8" x14ac:dyDescent="0.2">
      <c r="C74" s="35"/>
      <c r="D74" s="36"/>
      <c r="H74" s="56"/>
    </row>
    <row r="75" spans="1:8" x14ac:dyDescent="0.2">
      <c r="A75" s="62"/>
      <c r="C75" s="35"/>
      <c r="D75" s="36"/>
      <c r="H75" s="47"/>
    </row>
    <row r="76" spans="1:8" x14ac:dyDescent="0.2">
      <c r="A76" s="62"/>
      <c r="C76" s="35"/>
      <c r="D76" s="36"/>
      <c r="H76" s="47"/>
    </row>
    <row r="77" spans="1:8" x14ac:dyDescent="0.2">
      <c r="A77" s="63"/>
      <c r="B77" s="47"/>
      <c r="C77" s="64"/>
      <c r="D77" s="65"/>
      <c r="E77" s="47"/>
      <c r="F77" s="47"/>
      <c r="G77" s="47"/>
    </row>
    <row r="78" spans="1:8" x14ac:dyDescent="0.2">
      <c r="A78" s="66"/>
      <c r="B78" s="67"/>
      <c r="C78" s="68"/>
      <c r="D78" s="47"/>
      <c r="E78" s="47"/>
      <c r="F78" s="47"/>
      <c r="G78" s="47"/>
    </row>
    <row r="79" spans="1:8" x14ac:dyDescent="0.2">
      <c r="A79" s="66"/>
      <c r="B79" s="69"/>
      <c r="C79" s="64"/>
      <c r="D79" s="47"/>
      <c r="E79" s="47"/>
      <c r="F79" s="47"/>
      <c r="G79" s="47"/>
    </row>
    <row r="80" spans="1:8" x14ac:dyDescent="0.2">
      <c r="A80" s="66"/>
      <c r="B80" s="69"/>
      <c r="C80" s="64"/>
      <c r="D80" s="47"/>
      <c r="E80" s="47"/>
      <c r="F80" s="47"/>
      <c r="G80" s="47"/>
    </row>
    <row r="81" spans="1:7" x14ac:dyDescent="0.2">
      <c r="A81" s="66"/>
      <c r="B81" s="69"/>
      <c r="C81" s="64"/>
      <c r="D81" s="47"/>
      <c r="E81" s="47"/>
      <c r="F81" s="47"/>
      <c r="G81" s="47"/>
    </row>
    <row r="82" spans="1:7" x14ac:dyDescent="0.2">
      <c r="A82" s="66"/>
      <c r="B82" s="69"/>
      <c r="C82" s="64"/>
      <c r="D82" s="47"/>
      <c r="E82" s="47"/>
      <c r="F82" s="47"/>
      <c r="G82" s="47"/>
    </row>
    <row r="83" spans="1:7" x14ac:dyDescent="0.2">
      <c r="A83" s="66"/>
      <c r="B83" s="47"/>
      <c r="C83" s="47"/>
      <c r="D83" s="70"/>
      <c r="E83" s="67"/>
      <c r="F83" s="67"/>
      <c r="G83" s="47"/>
    </row>
    <row r="84" spans="1:7" x14ac:dyDescent="0.2">
      <c r="A84" s="66"/>
      <c r="B84" s="69"/>
      <c r="C84" s="64"/>
      <c r="D84" s="56"/>
      <c r="E84" s="56"/>
      <c r="F84" s="56"/>
      <c r="G84" s="47"/>
    </row>
    <row r="85" spans="1:7" x14ac:dyDescent="0.2">
      <c r="A85" s="66"/>
      <c r="B85" s="69"/>
      <c r="C85" s="64"/>
      <c r="D85" s="56"/>
      <c r="E85" s="56"/>
      <c r="F85" s="56"/>
      <c r="G85" s="47"/>
    </row>
    <row r="86" spans="1:7" x14ac:dyDescent="0.2">
      <c r="A86" s="66"/>
      <c r="B86" s="69"/>
      <c r="C86" s="64"/>
      <c r="D86" s="56"/>
      <c r="E86" s="56"/>
      <c r="F86" s="56"/>
      <c r="G86" s="47"/>
    </row>
    <row r="87" spans="1:7" x14ac:dyDescent="0.2">
      <c r="A87" s="66"/>
      <c r="B87" s="69"/>
      <c r="C87" s="64"/>
      <c r="D87" s="56"/>
      <c r="E87" s="56"/>
      <c r="F87" s="56"/>
      <c r="G87" s="47"/>
    </row>
    <row r="88" spans="1:7" x14ac:dyDescent="0.2">
      <c r="A88" s="66"/>
      <c r="B88" s="47"/>
      <c r="C88" s="56"/>
      <c r="D88" s="56"/>
      <c r="E88" s="56"/>
      <c r="F88" s="56"/>
      <c r="G88" s="47"/>
    </row>
    <row r="89" spans="1:7" x14ac:dyDescent="0.2">
      <c r="A89" s="66"/>
      <c r="B89" s="47"/>
      <c r="C89" s="56"/>
      <c r="D89" s="56"/>
      <c r="E89" s="56"/>
      <c r="F89" s="56"/>
      <c r="G89" s="47"/>
    </row>
    <row r="90" spans="1:7" x14ac:dyDescent="0.2">
      <c r="C90" s="56"/>
      <c r="D90" s="56"/>
      <c r="E90" s="71"/>
      <c r="F90" s="71"/>
    </row>
    <row r="91" spans="1:7" x14ac:dyDescent="0.2">
      <c r="C91" s="56"/>
      <c r="D91" s="56"/>
      <c r="E91" s="71"/>
      <c r="F91" s="71"/>
    </row>
    <row r="92" spans="1:7" x14ac:dyDescent="0.2">
      <c r="C92" s="56"/>
      <c r="D92" s="56"/>
      <c r="E92" s="71"/>
      <c r="F92" s="71"/>
    </row>
    <row r="93" spans="1:7" x14ac:dyDescent="0.2">
      <c r="C93" s="56"/>
      <c r="D93" s="56"/>
      <c r="E93" s="71"/>
      <c r="F93" s="71"/>
    </row>
    <row r="94" spans="1:7" x14ac:dyDescent="0.2">
      <c r="C94" s="56"/>
      <c r="E94" s="71"/>
      <c r="F94" s="71"/>
    </row>
    <row r="95" spans="1:7" x14ac:dyDescent="0.2">
      <c r="C95" s="56"/>
      <c r="E95" s="71"/>
      <c r="F95" s="71"/>
    </row>
    <row r="96" spans="1:7" x14ac:dyDescent="0.2">
      <c r="C96" s="56"/>
      <c r="D96" s="56"/>
      <c r="E96" s="71"/>
      <c r="F96" s="71"/>
    </row>
    <row r="97" spans="2:6" x14ac:dyDescent="0.2">
      <c r="C97" s="56"/>
      <c r="D97" s="56"/>
      <c r="E97" s="71"/>
      <c r="F97" s="71"/>
    </row>
    <row r="98" spans="2:6" x14ac:dyDescent="0.2">
      <c r="C98" s="56"/>
      <c r="D98" s="56"/>
      <c r="E98" s="71"/>
      <c r="F98" s="71"/>
    </row>
    <row r="99" spans="2:6" x14ac:dyDescent="0.2">
      <c r="C99" s="56"/>
      <c r="D99" s="56"/>
      <c r="E99" s="71"/>
      <c r="F99" s="71"/>
    </row>
    <row r="100" spans="2:6" x14ac:dyDescent="0.2">
      <c r="C100" s="56"/>
      <c r="D100" s="56"/>
      <c r="E100" s="71"/>
      <c r="F100" s="71"/>
    </row>
    <row r="101" spans="2:6" x14ac:dyDescent="0.2">
      <c r="C101" s="56"/>
      <c r="D101" s="56"/>
      <c r="E101" s="71"/>
      <c r="F101" s="71"/>
    </row>
    <row r="102" spans="2:6" x14ac:dyDescent="0.2">
      <c r="C102" s="56"/>
      <c r="D102" s="56"/>
      <c r="E102" s="71"/>
      <c r="F102" s="71"/>
    </row>
    <row r="103" spans="2:6" x14ac:dyDescent="0.2">
      <c r="C103" s="56"/>
      <c r="D103" s="56"/>
      <c r="E103" s="71"/>
      <c r="F103" s="71"/>
    </row>
    <row r="104" spans="2:6" x14ac:dyDescent="0.2">
      <c r="C104" s="56"/>
      <c r="D104" s="56"/>
      <c r="E104" s="71"/>
      <c r="F104" s="71"/>
    </row>
    <row r="105" spans="2:6" x14ac:dyDescent="0.2">
      <c r="C105" s="56"/>
      <c r="D105" s="56"/>
      <c r="E105" s="71"/>
      <c r="F105" s="71"/>
    </row>
    <row r="106" spans="2:6" x14ac:dyDescent="0.2">
      <c r="C106" s="56"/>
    </row>
    <row r="107" spans="2:6" x14ac:dyDescent="0.2">
      <c r="C107" s="56"/>
    </row>
    <row r="108" spans="2:6" ht="13.5" thickBot="1" x14ac:dyDescent="0.25">
      <c r="B108" s="72"/>
      <c r="C108" s="72"/>
      <c r="D108" s="72"/>
      <c r="E108" s="72"/>
    </row>
    <row r="109" spans="2:6" x14ac:dyDescent="0.2">
      <c r="B109" s="71"/>
      <c r="C109" s="71"/>
      <c r="D109" s="71"/>
      <c r="E109" s="71"/>
    </row>
    <row r="110" spans="2:6" x14ac:dyDescent="0.2">
      <c r="B110" s="71"/>
      <c r="C110" s="71"/>
      <c r="D110" s="71"/>
      <c r="E110" s="71"/>
    </row>
    <row r="111" spans="2:6" x14ac:dyDescent="0.2">
      <c r="B111" s="71"/>
      <c r="C111" s="71"/>
      <c r="D111" s="71"/>
      <c r="E111" s="71"/>
    </row>
    <row r="112" spans="2:6" x14ac:dyDescent="0.2">
      <c r="B112" s="71"/>
      <c r="C112" s="71"/>
      <c r="D112" s="71"/>
      <c r="E112" s="71"/>
    </row>
    <row r="113" spans="2:5" x14ac:dyDescent="0.2">
      <c r="B113" s="71"/>
      <c r="C113" s="71"/>
      <c r="D113" s="71"/>
      <c r="E113" s="71"/>
    </row>
    <row r="114" spans="2:5" x14ac:dyDescent="0.2">
      <c r="B114" s="71"/>
      <c r="C114" s="71"/>
      <c r="D114" s="71"/>
      <c r="E114" s="71"/>
    </row>
    <row r="115" spans="2:5" x14ac:dyDescent="0.2">
      <c r="B115" s="71"/>
      <c r="C115" s="71"/>
      <c r="D115" s="71"/>
      <c r="E115" s="71"/>
    </row>
    <row r="116" spans="2:5" x14ac:dyDescent="0.2">
      <c r="B116" s="71"/>
      <c r="C116" s="71"/>
      <c r="D116" s="71"/>
      <c r="E116" s="71"/>
    </row>
    <row r="117" spans="2:5" x14ac:dyDescent="0.2">
      <c r="B117" s="71"/>
      <c r="C117" s="71"/>
      <c r="D117" s="71"/>
      <c r="E117" s="71"/>
    </row>
    <row r="118" spans="2:5" x14ac:dyDescent="0.2">
      <c r="B118" s="71"/>
      <c r="C118" s="71"/>
      <c r="D118" s="71"/>
      <c r="E118" s="7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siSSR1</vt:lpstr>
      <vt:lpstr>siSLC30A8</vt:lpstr>
      <vt:lpstr>siNTP!Zone_d_impression</vt:lpstr>
      <vt:lpstr>siSLC30A8!Zone_d_impression</vt:lpstr>
      <vt:lpstr>siSSR1!Zone_d_impression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2016-03-18T14:51:48Z</dcterms:modified>
</cp:coreProperties>
</file>