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 activeTab="1"/>
  </bookViews>
  <sheets>
    <sheet name="siNTP" sheetId="5" r:id="rId1"/>
    <sheet name="siSLC30A8" sheetId="4" r:id="rId2"/>
  </sheets>
  <externalReferences>
    <externalReference r:id="rId3"/>
  </externalReferences>
  <definedNames>
    <definedName name="_xlnm.Print_Area" localSheetId="0">siNTP!$A$6:$Q$83</definedName>
    <definedName name="_xlnm.Print_Area" localSheetId="1">siSLC30A8!$A$6:$Q$83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5"/>
  <c r="B12" i="5"/>
  <c r="G12" i="5" s="1"/>
  <c r="B11" i="5"/>
  <c r="G11" i="5" s="1"/>
  <c r="B10" i="5"/>
  <c r="B9" i="5"/>
  <c r="D55" i="5"/>
  <c r="D54" i="5"/>
  <c r="D53" i="5"/>
  <c r="D52" i="5"/>
  <c r="D51" i="5"/>
  <c r="D50" i="5"/>
  <c r="D45" i="5"/>
  <c r="D44" i="5"/>
  <c r="D43" i="5"/>
  <c r="D42" i="5"/>
  <c r="D41" i="5"/>
  <c r="E41" i="5" s="1"/>
  <c r="F41" i="5" s="1"/>
  <c r="D40" i="5"/>
  <c r="D36" i="5"/>
  <c r="D35" i="5"/>
  <c r="D34" i="5"/>
  <c r="D33" i="5"/>
  <c r="D32" i="5"/>
  <c r="D31" i="5"/>
  <c r="D27" i="5"/>
  <c r="D26" i="5"/>
  <c r="D25" i="5"/>
  <c r="D24" i="5"/>
  <c r="D23" i="5"/>
  <c r="E23" i="5" s="1"/>
  <c r="F23" i="5" s="1"/>
  <c r="D22" i="5"/>
  <c r="E13" i="5"/>
  <c r="G13" i="5"/>
  <c r="E12" i="5"/>
  <c r="F12" i="5" s="1"/>
  <c r="H12" i="5" s="1"/>
  <c r="E11" i="5"/>
  <c r="E10" i="5"/>
  <c r="G10" i="5"/>
  <c r="E9" i="5"/>
  <c r="F9" i="5" s="1"/>
  <c r="H9" i="5" s="1"/>
  <c r="G9" i="5"/>
  <c r="E8" i="5"/>
  <c r="F11" i="5" l="1"/>
  <c r="H11" i="5" s="1"/>
  <c r="E26" i="5"/>
  <c r="F26" i="5" s="1"/>
  <c r="E35" i="5"/>
  <c r="F35" i="5" s="1"/>
  <c r="E54" i="5"/>
  <c r="F54" i="5" s="1"/>
  <c r="F13" i="5"/>
  <c r="H13" i="5" s="1"/>
  <c r="E32" i="5"/>
  <c r="F32" i="5" s="1"/>
  <c r="E43" i="5"/>
  <c r="F43" i="5" s="1"/>
  <c r="E51" i="5"/>
  <c r="F51" i="5" s="1"/>
  <c r="E34" i="5"/>
  <c r="F34" i="5" s="1"/>
  <c r="E36" i="5"/>
  <c r="F36" i="5" s="1"/>
  <c r="E55" i="5"/>
  <c r="F55" i="5" s="1"/>
  <c r="E22" i="5"/>
  <c r="F22" i="5" s="1"/>
  <c r="E25" i="5"/>
  <c r="F25" i="5" s="1"/>
  <c r="E31" i="5"/>
  <c r="F31" i="5" s="1"/>
  <c r="E50" i="5"/>
  <c r="F50" i="5" s="1"/>
  <c r="E53" i="5"/>
  <c r="F53" i="5" s="1"/>
  <c r="E33" i="5"/>
  <c r="F33" i="5" s="1"/>
  <c r="E44" i="5"/>
  <c r="F44" i="5" s="1"/>
  <c r="F10" i="5"/>
  <c r="H10" i="5" s="1"/>
  <c r="B15" i="5" s="1"/>
  <c r="E24" i="5"/>
  <c r="F24" i="5" s="1"/>
  <c r="E40" i="5"/>
  <c r="F40" i="5" s="1"/>
  <c r="E42" i="5"/>
  <c r="F42" i="5" s="1"/>
  <c r="E45" i="5"/>
  <c r="F45" i="5" s="1"/>
  <c r="E52" i="5"/>
  <c r="F52" i="5" s="1"/>
  <c r="E27" i="5"/>
  <c r="F27" i="5" s="1"/>
  <c r="B16" i="5" l="1"/>
  <c r="G40" i="5" s="1"/>
  <c r="H40" i="5" s="1"/>
  <c r="J40" i="5" s="1"/>
  <c r="K40" i="5" s="1"/>
  <c r="G25" i="5" l="1"/>
  <c r="H25" i="5" s="1"/>
  <c r="J25" i="5" s="1"/>
  <c r="K25" i="5" s="1"/>
  <c r="G43" i="5"/>
  <c r="H43" i="5" s="1"/>
  <c r="J43" i="5" s="1"/>
  <c r="K43" i="5" s="1"/>
  <c r="G44" i="5"/>
  <c r="H44" i="5" s="1"/>
  <c r="J44" i="5" s="1"/>
  <c r="K44" i="5" s="1"/>
  <c r="G23" i="5"/>
  <c r="H23" i="5" s="1"/>
  <c r="J23" i="5" s="1"/>
  <c r="K23" i="5" s="1"/>
  <c r="G33" i="5"/>
  <c r="H33" i="5" s="1"/>
  <c r="J33" i="5" s="1"/>
  <c r="K33" i="5" s="1"/>
  <c r="G42" i="5"/>
  <c r="H42" i="5" s="1"/>
  <c r="J42" i="5" s="1"/>
  <c r="K42" i="5" s="1"/>
  <c r="G55" i="5"/>
  <c r="H55" i="5" s="1"/>
  <c r="J55" i="5" s="1"/>
  <c r="K55" i="5" s="1"/>
  <c r="G22" i="5"/>
  <c r="H22" i="5" s="1"/>
  <c r="J22" i="5" s="1"/>
  <c r="K22" i="5" s="1"/>
  <c r="G36" i="5"/>
  <c r="H36" i="5" s="1"/>
  <c r="J36" i="5" s="1"/>
  <c r="K36" i="5" s="1"/>
  <c r="G50" i="5"/>
  <c r="H50" i="5" s="1"/>
  <c r="J50" i="5" s="1"/>
  <c r="K50" i="5" s="1"/>
  <c r="L31" i="5" s="1"/>
  <c r="M31" i="5" s="1"/>
  <c r="G34" i="5"/>
  <c r="H34" i="5" s="1"/>
  <c r="J34" i="5" s="1"/>
  <c r="K34" i="5" s="1"/>
  <c r="G41" i="5"/>
  <c r="H41" i="5" s="1"/>
  <c r="J41" i="5" s="1"/>
  <c r="K41" i="5" s="1"/>
  <c r="G31" i="5"/>
  <c r="H31" i="5" s="1"/>
  <c r="J31" i="5" s="1"/>
  <c r="K31" i="5" s="1"/>
  <c r="G27" i="5"/>
  <c r="H27" i="5" s="1"/>
  <c r="J27" i="5" s="1"/>
  <c r="K27" i="5" s="1"/>
  <c r="G35" i="5"/>
  <c r="H35" i="5" s="1"/>
  <c r="J35" i="5" s="1"/>
  <c r="K35" i="5" s="1"/>
  <c r="G24" i="5"/>
  <c r="H24" i="5" s="1"/>
  <c r="J24" i="5" s="1"/>
  <c r="K24" i="5" s="1"/>
  <c r="G52" i="5"/>
  <c r="H52" i="5" s="1"/>
  <c r="J52" i="5" s="1"/>
  <c r="K52" i="5" s="1"/>
  <c r="L33" i="5" s="1"/>
  <c r="G53" i="5"/>
  <c r="H53" i="5" s="1"/>
  <c r="J53" i="5" s="1"/>
  <c r="K53" i="5" s="1"/>
  <c r="G26" i="5"/>
  <c r="H26" i="5" s="1"/>
  <c r="J26" i="5" s="1"/>
  <c r="K26" i="5" s="1"/>
  <c r="G45" i="5"/>
  <c r="H45" i="5" s="1"/>
  <c r="J45" i="5" s="1"/>
  <c r="K45" i="5" s="1"/>
  <c r="G54" i="5"/>
  <c r="H54" i="5" s="1"/>
  <c r="J54" i="5" s="1"/>
  <c r="K54" i="5" s="1"/>
  <c r="G51" i="5"/>
  <c r="H51" i="5" s="1"/>
  <c r="J51" i="5" s="1"/>
  <c r="K51" i="5" s="1"/>
  <c r="G32" i="5"/>
  <c r="H32" i="5" s="1"/>
  <c r="J32" i="5" s="1"/>
  <c r="K32" i="5" s="1"/>
  <c r="L36" i="5"/>
  <c r="M36" i="5" s="1"/>
  <c r="L22" i="5" l="1"/>
  <c r="M22" i="5" s="1"/>
  <c r="L35" i="5"/>
  <c r="M35" i="5" s="1"/>
  <c r="L25" i="5"/>
  <c r="L43" i="5" s="1"/>
  <c r="L40" i="5"/>
  <c r="L32" i="5"/>
  <c r="M32" i="5" s="1"/>
  <c r="L27" i="5"/>
  <c r="M27" i="5" s="1"/>
  <c r="L26" i="5"/>
  <c r="M26" i="5" s="1"/>
  <c r="M33" i="5"/>
  <c r="L52" i="5"/>
  <c r="L54" i="5"/>
  <c r="L34" i="5"/>
  <c r="M34" i="5" s="1"/>
  <c r="L24" i="5"/>
  <c r="M24" i="5" s="1"/>
  <c r="L23" i="5"/>
  <c r="M23" i="5" s="1"/>
  <c r="L51" i="5"/>
  <c r="L50" i="5"/>
  <c r="L55" i="5"/>
  <c r="M25" i="5" l="1"/>
  <c r="L42" i="5"/>
  <c r="O52" i="5" s="1"/>
  <c r="L45" i="5"/>
  <c r="O55" i="5" s="1"/>
  <c r="L44" i="5"/>
  <c r="O54" i="5" s="1"/>
  <c r="L53" i="5"/>
  <c r="L41" i="5"/>
  <c r="N50" i="5"/>
  <c r="C66" i="5" s="1"/>
  <c r="M50" i="5"/>
  <c r="B66" i="5" s="1"/>
  <c r="O50" i="5"/>
  <c r="N43" i="5" l="1"/>
  <c r="C67" i="5" s="1"/>
  <c r="M43" i="5"/>
  <c r="B67" i="5" s="1"/>
  <c r="N53" i="5"/>
  <c r="C68" i="5" s="1"/>
  <c r="O53" i="5"/>
  <c r="M53" i="5"/>
  <c r="B68" i="5" s="1"/>
  <c r="N40" i="5"/>
  <c r="C65" i="5" s="1"/>
  <c r="M40" i="5"/>
  <c r="B65" i="5" s="1"/>
  <c r="O51" i="5"/>
  <c r="P50" i="5" s="1"/>
  <c r="N58" i="5" s="1"/>
  <c r="Q50" i="5" l="1"/>
  <c r="O58" i="5" s="1"/>
  <c r="P53" i="5"/>
  <c r="N59" i="5" s="1"/>
  <c r="Q53" i="5"/>
  <c r="O59" i="5" s="1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F9" i="4" l="1"/>
  <c r="H9" i="4" s="1"/>
  <c r="E40" i="4"/>
  <c r="F40" i="4" s="1"/>
  <c r="E45" i="4"/>
  <c r="F45" i="4" s="1"/>
  <c r="E24" i="4"/>
  <c r="F24" i="4" s="1"/>
  <c r="F13" i="4"/>
  <c r="H13" i="4" s="1"/>
  <c r="E34" i="4"/>
  <c r="F34" i="4" s="1"/>
  <c r="E52" i="4"/>
  <c r="F52" i="4" s="1"/>
  <c r="E42" i="4"/>
  <c r="F42" i="4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B15" i="4" l="1"/>
  <c r="B16" i="4"/>
  <c r="G42" i="4" s="1"/>
  <c r="H42" i="4" s="1"/>
  <c r="J42" i="4" s="1"/>
  <c r="K42" i="4" s="1"/>
  <c r="G33" i="4" l="1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L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L27" i="4" l="1"/>
  <c r="M27" i="4" s="1"/>
  <c r="L31" i="4"/>
  <c r="M31" i="4" s="1"/>
  <c r="L33" i="4"/>
  <c r="M33" i="4" s="1"/>
  <c r="L22" i="4"/>
  <c r="M22" i="4" s="1"/>
  <c r="L34" i="4"/>
  <c r="M34" i="4" s="1"/>
  <c r="L25" i="4"/>
  <c r="M25" i="4" s="1"/>
  <c r="L36" i="4"/>
  <c r="M36" i="4" s="1"/>
  <c r="L26" i="4"/>
  <c r="M26" i="4" s="1"/>
  <c r="L23" i="4"/>
  <c r="M23" i="4" s="1"/>
  <c r="M32" i="4"/>
  <c r="L51" i="4"/>
  <c r="L24" i="4"/>
  <c r="L54" i="4"/>
  <c r="L45" i="4"/>
  <c r="L53" i="4" l="1"/>
  <c r="L44" i="4"/>
  <c r="O54" i="4" s="1"/>
  <c r="L40" i="4"/>
  <c r="L41" i="4"/>
  <c r="O51" i="4" s="1"/>
  <c r="L50" i="4"/>
  <c r="L52" i="4"/>
  <c r="L43" i="4"/>
  <c r="L55" i="4"/>
  <c r="O55" i="4" s="1"/>
  <c r="N50" i="4"/>
  <c r="C66" i="4" s="1"/>
  <c r="M24" i="4"/>
  <c r="L42" i="4"/>
  <c r="N53" i="4" l="1"/>
  <c r="C68" i="4" s="1"/>
  <c r="N40" i="4"/>
  <c r="C65" i="4" s="1"/>
  <c r="N43" i="4"/>
  <c r="C67" i="4" s="1"/>
  <c r="M43" i="4"/>
  <c r="B67" i="4" s="1"/>
  <c r="O50" i="4"/>
  <c r="M50" i="4"/>
  <c r="B66" i="4" s="1"/>
  <c r="M53" i="4"/>
  <c r="B68" i="4" s="1"/>
  <c r="O53" i="4"/>
  <c r="P53" i="4" s="1"/>
  <c r="N59" i="4" s="1"/>
  <c r="O52" i="4"/>
  <c r="Q50" i="4" s="1"/>
  <c r="O58" i="4" s="1"/>
  <c r="M40" i="4"/>
  <c r="B65" i="4" s="1"/>
  <c r="P50" i="4" l="1"/>
  <c r="N58" i="4" s="1"/>
  <c r="Q53" i="4"/>
  <c r="O59" i="4" s="1"/>
</calcChain>
</file>

<file path=xl/sharedStrings.xml><?xml version="1.0" encoding="utf-8"?>
<sst xmlns="http://schemas.openxmlformats.org/spreadsheetml/2006/main" count="200" uniqueCount="44">
  <si>
    <t>Date</t>
  </si>
  <si>
    <t>passage</t>
  </si>
  <si>
    <t>viabilité</t>
  </si>
  <si>
    <t>operateur</t>
  </si>
  <si>
    <t>Marlene</t>
  </si>
  <si>
    <t>J0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</si>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</sst>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79"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6" fillId="0" borderId="0" xfId="1"/>
    <xf numFmtId="0" fontId="3" fillId="0" borderId="1" xfId="1" applyFont="1" applyBorder="1" applyAlignment="1">
      <alignment horizontal="left"/>
    </xf>
    <xf numFmtId="0" fontId="7" fillId="0" borderId="1" xfId="1" applyFont="1" applyBorder="1" applyAlignment="1" applyProtection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4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2" fillId="0" borderId="0" xfId="2" applyFill="1"/>
    <xf numFmtId="0" fontId="8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7" fillId="0" borderId="0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9" fillId="0" borderId="1" xfId="1" applyFont="1" applyBorder="1" applyAlignment="1">
      <alignment horizontal="left"/>
    </xf>
    <xf numFmtId="0" fontId="7" fillId="0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2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9" fillId="0" borderId="0" xfId="1" applyNumberFormat="1" applyFont="1" applyAlignment="1">
      <alignment horizontal="center"/>
    </xf>
    <xf numFmtId="2" fontId="11" fillId="0" borderId="5" xfId="1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1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2" fontId="9" fillId="0" borderId="6" xfId="1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1" fontId="3" fillId="0" borderId="0" xfId="1" applyNumberFormat="1" applyFont="1" applyBorder="1" applyAlignment="1">
      <alignment horizontal="center"/>
    </xf>
    <xf numFmtId="0" fontId="9" fillId="0" borderId="0" xfId="1" applyFont="1" applyFill="1" applyAlignment="1">
      <alignment horizontal="left"/>
    </xf>
    <xf numFmtId="0" fontId="9" fillId="0" borderId="11" xfId="1" applyFont="1" applyBorder="1" applyAlignment="1">
      <alignment horizontal="center"/>
    </xf>
    <xf numFmtId="2" fontId="9" fillId="0" borderId="11" xfId="1" applyNumberFormat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2" fontId="9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4" fontId="9" fillId="0" borderId="0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11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0" fillId="0" borderId="0" xfId="0" applyProtection="1">
      <protection locked="0"/>
    </xf>
  </cellXfs>
  <cellStyles count="4">
    <cellStyle name="Normal" xfId="0" builtinId="0"/>
    <cellStyle name="Normal 2" xfId="3"/>
    <cellStyle name="Normal 2 2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-1.4559319556497243</c:v>
                </c:pt>
                <c:pt idx="1">
                  <c:v>-0.93367407463796215</c:v>
                </c:pt>
                <c:pt idx="2">
                  <c:v>-0.51570016065321422</c:v>
                </c:pt>
                <c:pt idx="3">
                  <c:v>1.9739232674705277E-2</c:v>
                </c:pt>
                <c:pt idx="4">
                  <c:v>0.29874394348240707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072"/>
        <c:axId val="172155464"/>
      </c:scatterChart>
      <c:valAx>
        <c:axId val="172155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2155464"/>
        <c:crosses val="autoZero"/>
        <c:crossBetween val="midCat"/>
      </c:valAx>
      <c:valAx>
        <c:axId val="172155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155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9.8897187453866844E-2</c:v>
                  </c:pt>
                  <c:pt idx="1">
                    <c:v>0.18098469159057612</c:v>
                  </c:pt>
                  <c:pt idx="2">
                    <c:v>0.26885787019826685</c:v>
                  </c:pt>
                  <c:pt idx="3">
                    <c:v>0.3547992949226863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9.8897187453866844E-2</c:v>
                  </c:pt>
                  <c:pt idx="1">
                    <c:v>0.18098469159057612</c:v>
                  </c:pt>
                  <c:pt idx="2">
                    <c:v>0.26885787019826685</c:v>
                  </c:pt>
                  <c:pt idx="3">
                    <c:v>0.3547992949226863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1.060150857848549</c:v>
                </c:pt>
                <c:pt idx="1">
                  <c:v>1.2643332323541632</c:v>
                </c:pt>
                <c:pt idx="2">
                  <c:v>1.9558260722672187</c:v>
                </c:pt>
                <c:pt idx="3">
                  <c:v>3.5765672947404421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0768"/>
        <c:axId val="173661160"/>
      </c:barChart>
      <c:catAx>
        <c:axId val="1736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661160"/>
        <c:crosses val="autoZero"/>
        <c:auto val="1"/>
        <c:lblAlgn val="ctr"/>
        <c:lblOffset val="100"/>
        <c:noMultiLvlLbl val="0"/>
      </c:catAx>
      <c:valAx>
        <c:axId val="173661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660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0.22742761973434633</c:v>
                  </c:pt>
                  <c:pt idx="1">
                    <c:v>0.28712272100166142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0.22742761973434633</c:v>
                  </c:pt>
                  <c:pt idx="1">
                    <c:v>0.28712272100166142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1.2011569874002861</c:v>
                </c:pt>
                <c:pt idx="1">
                  <c:v>1.8480786364311943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1944"/>
        <c:axId val="173662336"/>
      </c:barChart>
      <c:catAx>
        <c:axId val="17366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662336"/>
        <c:crosses val="autoZero"/>
        <c:auto val="1"/>
        <c:lblAlgn val="ctr"/>
        <c:lblOffset val="100"/>
        <c:noMultiLvlLbl val="0"/>
      </c:catAx>
      <c:valAx>
        <c:axId val="173662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661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siSLC30A8!$G$9:$G$13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siSLC30A8!$H$9:$H$13</c:f>
              <c:numCache>
                <c:formatCode>0.00</c:formatCode>
                <c:ptCount val="5"/>
                <c:pt idx="0">
                  <c:v>-1.4559319556497243</c:v>
                </c:pt>
                <c:pt idx="1">
                  <c:v>-0.93367407463796215</c:v>
                </c:pt>
                <c:pt idx="2">
                  <c:v>-0.51570016065321422</c:v>
                </c:pt>
                <c:pt idx="3">
                  <c:v>1.9739232674705277E-2</c:v>
                </c:pt>
                <c:pt idx="4">
                  <c:v>0.29874394348240707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5256"/>
        <c:axId val="174480192"/>
      </c:scatterChart>
      <c:valAx>
        <c:axId val="174255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80192"/>
        <c:crosses val="autoZero"/>
        <c:crossBetween val="midCat"/>
      </c:valAx>
      <c:valAx>
        <c:axId val="1744801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255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siSLC30A8!$C$65:$C$68</c:f>
                <c:numCache>
                  <c:formatCode>General</c:formatCode>
                  <c:ptCount val="4"/>
                  <c:pt idx="0">
                    <c:v>0.11235993106480704</c:v>
                  </c:pt>
                  <c:pt idx="1">
                    <c:v>0.1016011957996357</c:v>
                  </c:pt>
                  <c:pt idx="2">
                    <c:v>0.20201800661832556</c:v>
                  </c:pt>
                  <c:pt idx="3">
                    <c:v>0.32503725872628814</c:v>
                  </c:pt>
                </c:numCache>
              </c:numRef>
            </c:plus>
            <c:minus>
              <c:numRef>
                <c:f>siSLC30A8!$C$65:$C$68</c:f>
                <c:numCache>
                  <c:formatCode>General</c:formatCode>
                  <c:ptCount val="4"/>
                  <c:pt idx="0">
                    <c:v>0.11235993106480704</c:v>
                  </c:pt>
                  <c:pt idx="1">
                    <c:v>0.1016011957996357</c:v>
                  </c:pt>
                  <c:pt idx="2">
                    <c:v>0.20201800661832556</c:v>
                  </c:pt>
                  <c:pt idx="3">
                    <c:v>0.32503725872628814</c:v>
                  </c:pt>
                </c:numCache>
              </c:numRef>
            </c:minus>
          </c:errBars>
          <c:cat>
            <c:strRef>
              <c:f>(siSLC30A8!$A$65,siSLC30A8!$A$66,siSLC30A8!$A$67,siSLC30A8!$A$68)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siSLC30A8!$B$65:$B$68</c:f>
              <c:numCache>
                <c:formatCode>0.0</c:formatCode>
                <c:ptCount val="4"/>
                <c:pt idx="0">
                  <c:v>0.81882255544355986</c:v>
                </c:pt>
                <c:pt idx="1">
                  <c:v>1.0893848881296575</c:v>
                </c:pt>
                <c:pt idx="2">
                  <c:v>1.5271702681557116</c:v>
                </c:pt>
                <c:pt idx="3">
                  <c:v>2.8316187121214025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80976"/>
        <c:axId val="174481368"/>
      </c:barChart>
      <c:catAx>
        <c:axId val="17448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481368"/>
        <c:crosses val="autoZero"/>
        <c:auto val="1"/>
        <c:lblAlgn val="ctr"/>
        <c:lblOffset val="100"/>
        <c:noMultiLvlLbl val="0"/>
      </c:catAx>
      <c:valAx>
        <c:axId val="174481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480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siSLC30A8!$O$58:$O$59</c:f>
                <c:numCache>
                  <c:formatCode>General</c:formatCode>
                  <c:ptCount val="2"/>
                  <c:pt idx="0">
                    <c:v>0.10825841291072788</c:v>
                  </c:pt>
                  <c:pt idx="1">
                    <c:v>0.27313354253293964</c:v>
                  </c:pt>
                </c:numCache>
              </c:numRef>
            </c:plus>
            <c:minus>
              <c:numRef>
                <c:f>siSLC30A8!$O$58:$O$59</c:f>
                <c:numCache>
                  <c:formatCode>General</c:formatCode>
                  <c:ptCount val="2"/>
                  <c:pt idx="0">
                    <c:v>0.10825841291072788</c:v>
                  </c:pt>
                  <c:pt idx="1">
                    <c:v>0.27313354253293964</c:v>
                  </c:pt>
                </c:numCache>
              </c:numRef>
            </c:minus>
          </c:errBars>
          <c:cat>
            <c:strRef>
              <c:f>siSLC30A8!$M$58:$M$59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siSLC30A8!$N$58:$N$59</c:f>
              <c:numCache>
                <c:formatCode>0.0</c:formatCode>
                <c:ptCount val="2"/>
                <c:pt idx="0">
                  <c:v>1.3373995700864221</c:v>
                </c:pt>
                <c:pt idx="1">
                  <c:v>1.8717997477372743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72528"/>
        <c:axId val="173872920"/>
      </c:barChart>
      <c:catAx>
        <c:axId val="17387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872920"/>
        <c:crosses val="autoZero"/>
        <c:auto val="1"/>
        <c:lblAlgn val="ctr"/>
        <c:lblOffset val="100"/>
        <c:noMultiLvlLbl val="0"/>
      </c:catAx>
      <c:valAx>
        <c:axId val="173872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872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42262</v>
      </c>
    </row>
    <row r="2" spans="1:20" s="3" customFormat="1" x14ac:dyDescent="0.2">
      <c r="A2" s="1" t="s">
        <v>1</v>
      </c>
      <c r="B2" s="3">
        <v>86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8">
        <v>196760</v>
      </c>
      <c r="F3" s="78">
        <v>119992</v>
      </c>
    </row>
    <row r="4" spans="1:20" s="3" customFormat="1" ht="15" x14ac:dyDescent="0.3">
      <c r="A4" s="1"/>
      <c r="D4" s="6" t="s">
        <v>43</v>
      </c>
      <c r="E4">
        <v>217624</v>
      </c>
      <c r="F4">
        <v>185056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6">
        <v>0</v>
      </c>
      <c r="B8" s="6">
        <v>0</v>
      </c>
      <c r="C8">
        <v>4.5999999999999999E-2</v>
      </c>
      <c r="D8">
        <v>4.5999999999999999E-2</v>
      </c>
      <c r="E8" s="18">
        <f t="shared" ref="E8:E13" si="0">AVERAGE(C8:D8)</f>
        <v>4.5999999999999999E-2</v>
      </c>
      <c r="F8" s="19"/>
      <c r="G8" s="17"/>
      <c r="H8" s="17"/>
      <c r="N8" s="11"/>
      <c r="O8" s="11"/>
      <c r="P8" s="11"/>
    </row>
    <row r="9" spans="1:20" ht="15" x14ac:dyDescent="0.3">
      <c r="A9" s="76">
        <v>3.18</v>
      </c>
      <c r="B9" s="77">
        <f>A9/23</f>
        <v>0.13826086956521741</v>
      </c>
      <c r="C9">
        <v>0.08</v>
      </c>
      <c r="D9">
        <v>8.2000000000000003E-2</v>
      </c>
      <c r="E9" s="18">
        <f t="shared" si="0"/>
        <v>8.1000000000000003E-2</v>
      </c>
      <c r="F9" s="19">
        <f>(E9-$E$8)</f>
        <v>3.5000000000000003E-2</v>
      </c>
      <c r="G9" s="19">
        <f>LOG(B9)</f>
        <v>-0.85930071603316016</v>
      </c>
      <c r="H9" s="19">
        <f>LOG(F9)</f>
        <v>-1.4559319556497243</v>
      </c>
      <c r="N9" s="11"/>
      <c r="O9" s="11"/>
      <c r="P9" s="11"/>
    </row>
    <row r="10" spans="1:20" ht="15" x14ac:dyDescent="0.3">
      <c r="A10" s="76">
        <v>10.5</v>
      </c>
      <c r="B10" s="77">
        <f t="shared" ref="B10:B13" si="1">A10/23</f>
        <v>0.45652173913043476</v>
      </c>
      <c r="C10">
        <v>0.161</v>
      </c>
      <c r="D10">
        <v>0.16400000000000001</v>
      </c>
      <c r="E10" s="18">
        <f t="shared" si="0"/>
        <v>0.16250000000000001</v>
      </c>
      <c r="F10" s="19">
        <f>(E10-$E$8)</f>
        <v>0.11650000000000001</v>
      </c>
      <c r="G10" s="19">
        <f>LOG(B10)</f>
        <v>-0.34053853694765485</v>
      </c>
      <c r="H10" s="19">
        <f>LOG(F10)</f>
        <v>-0.93367407463796215</v>
      </c>
      <c r="N10" s="11"/>
      <c r="O10" s="11"/>
      <c r="P10" s="11"/>
    </row>
    <row r="11" spans="1:20" ht="15" x14ac:dyDescent="0.3">
      <c r="A11" s="76">
        <v>31.1</v>
      </c>
      <c r="B11" s="77">
        <f t="shared" si="1"/>
        <v>1.3521739130434782</v>
      </c>
      <c r="C11">
        <v>0.35099999999999998</v>
      </c>
      <c r="D11">
        <v>0.35099999999999998</v>
      </c>
      <c r="E11" s="18">
        <f t="shared" si="0"/>
        <v>0.35099999999999998</v>
      </c>
      <c r="F11" s="19">
        <f>(E11-$E$8)</f>
        <v>0.30499999999999999</v>
      </c>
      <c r="G11" s="19">
        <f>LOG(B11)</f>
        <v>0.13103255300924463</v>
      </c>
      <c r="H11" s="19">
        <f>LOG(F11)</f>
        <v>-0.51570016065321422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6">
        <v>103</v>
      </c>
      <c r="B12" s="77">
        <f t="shared" si="1"/>
        <v>4.4782608695652177</v>
      </c>
      <c r="C12">
        <v>1.08</v>
      </c>
      <c r="D12">
        <v>1.105</v>
      </c>
      <c r="E12" s="18">
        <f t="shared" si="0"/>
        <v>1.0925</v>
      </c>
      <c r="F12" s="19">
        <f>(E12-$E$8)</f>
        <v>1.0465</v>
      </c>
      <c r="G12" s="19">
        <f>LOG(B12)</f>
        <v>0.65110938868757939</v>
      </c>
      <c r="H12" s="19">
        <f>LOG(F12)</f>
        <v>1.9739232674705277E-2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6">
        <v>214</v>
      </c>
      <c r="B13" s="77">
        <f t="shared" si="1"/>
        <v>9.304347826086957</v>
      </c>
      <c r="C13">
        <v>2.0369999999999999</v>
      </c>
      <c r="D13">
        <v>2.0339999999999998</v>
      </c>
      <c r="E13" s="18">
        <f t="shared" si="0"/>
        <v>2.0354999999999999</v>
      </c>
      <c r="F13" s="19">
        <f>(E13-$E$8)</f>
        <v>1.9894999999999998</v>
      </c>
      <c r="G13" s="19">
        <f>LOG(B13)</f>
        <v>0.96868593733159802</v>
      </c>
      <c r="H13" s="19">
        <f>LOG(F13)</f>
        <v>0.29874394348240707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0.9611862613781853</v>
      </c>
      <c r="N15" s="11"/>
    </row>
    <row r="16" spans="1:20" ht="15" x14ac:dyDescent="0.25">
      <c r="A16" s="12" t="s">
        <v>14</v>
      </c>
      <c r="B16" s="18">
        <f>INTERCEPT(H9:H13,G9:G13)</f>
        <v>-0.62328514246327815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0.59</v>
      </c>
      <c r="C22">
        <v>0.61</v>
      </c>
      <c r="D22" s="34">
        <f t="shared" ref="D22:D27" si="2">AVERAGE(B22:C22)</f>
        <v>0.6</v>
      </c>
      <c r="E22" s="34">
        <f t="shared" ref="E22:E27" si="3">D22-E$8</f>
        <v>0.55399999999999994</v>
      </c>
      <c r="F22" s="34">
        <f>LOG(E22)</f>
        <v>-0.25649023527157028</v>
      </c>
      <c r="G22" s="35">
        <f>(F22-$B$16)/$B$15</f>
        <v>0.3816064814178507</v>
      </c>
      <c r="H22" s="35">
        <f>10^G22</f>
        <v>2.4077227782378814</v>
      </c>
      <c r="I22" s="36">
        <v>500</v>
      </c>
      <c r="J22" s="37">
        <f>(H22*I22)</f>
        <v>1203.8613891189407</v>
      </c>
      <c r="K22" s="37">
        <f>(0.05*J22/1000)*1000</f>
        <v>60.19306945594704</v>
      </c>
      <c r="L22" s="38">
        <f>K22+K40+K50</f>
        <v>61.664450739500062</v>
      </c>
      <c r="M22" s="39">
        <f>(L22*1000000/50000)/1000</f>
        <v>1.2332890147900011</v>
      </c>
      <c r="N22" s="40"/>
    </row>
    <row r="23" spans="1:17" ht="15" x14ac:dyDescent="0.3">
      <c r="B23">
        <v>0.65400000000000003</v>
      </c>
      <c r="C23">
        <v>0.63900000000000001</v>
      </c>
      <c r="D23" s="34">
        <f t="shared" si="2"/>
        <v>0.64650000000000007</v>
      </c>
      <c r="E23" s="34">
        <f t="shared" si="3"/>
        <v>0.60050000000000003</v>
      </c>
      <c r="F23" s="34">
        <f t="shared" ref="F23:F27" si="4">LOG(E23)</f>
        <v>-0.22148698826107513</v>
      </c>
      <c r="G23" s="35">
        <f t="shared" ref="G23:G27" si="5">(F23-$B$16)/$B$15</f>
        <v>0.41802319732087051</v>
      </c>
      <c r="H23" s="35">
        <f t="shared" ref="H23:H27" si="6">10^G23</f>
        <v>2.6183228590712031</v>
      </c>
      <c r="I23" s="36">
        <v>500</v>
      </c>
      <c r="J23" s="37">
        <f t="shared" ref="J23:J27" si="7">(H23*I23)</f>
        <v>1309.1614295356017</v>
      </c>
      <c r="K23" s="37">
        <f t="shared" ref="K23:K27" si="8">(0.05*J23/1000)*1000</f>
        <v>65.458071476780091</v>
      </c>
      <c r="L23" s="38">
        <f>K23+K41+K51</f>
        <v>67.105354725581066</v>
      </c>
      <c r="M23" s="39">
        <f t="shared" ref="M23:M27" si="9">(L23*1000000/50000)/1000</f>
        <v>1.3421070945116211</v>
      </c>
      <c r="N23" s="40"/>
    </row>
    <row r="24" spans="1:17" ht="15" x14ac:dyDescent="0.3">
      <c r="B24">
        <v>0.61099999999999999</v>
      </c>
      <c r="C24">
        <v>0.63200000000000001</v>
      </c>
      <c r="D24" s="34">
        <f t="shared" si="2"/>
        <v>0.62149999999999994</v>
      </c>
      <c r="E24" s="34">
        <f t="shared" si="3"/>
        <v>0.5754999999999999</v>
      </c>
      <c r="F24" s="34">
        <f t="shared" si="4"/>
        <v>-0.23995467203418946</v>
      </c>
      <c r="G24" s="35">
        <f t="shared" si="5"/>
        <v>0.39880976854522965</v>
      </c>
      <c r="H24" s="35">
        <f t="shared" si="6"/>
        <v>2.5050117571344286</v>
      </c>
      <c r="I24" s="36">
        <v>500</v>
      </c>
      <c r="J24" s="37">
        <f t="shared" si="7"/>
        <v>1252.5058785672143</v>
      </c>
      <c r="K24" s="37">
        <f t="shared" si="8"/>
        <v>62.625293928360719</v>
      </c>
      <c r="L24" s="38">
        <f t="shared" ref="L24:L27" si="10">K24+K42+K52</f>
        <v>63.963673915158907</v>
      </c>
      <c r="M24" s="39">
        <f t="shared" si="9"/>
        <v>1.2792734783031781</v>
      </c>
      <c r="N24" s="40"/>
    </row>
    <row r="25" spans="1:17" ht="15" x14ac:dyDescent="0.3">
      <c r="A25" s="8" t="s">
        <v>29</v>
      </c>
      <c r="B25">
        <v>0.60099999999999998</v>
      </c>
      <c r="C25">
        <v>0.626</v>
      </c>
      <c r="D25" s="34">
        <f t="shared" si="2"/>
        <v>0.61349999999999993</v>
      </c>
      <c r="E25" s="34">
        <f t="shared" si="3"/>
        <v>0.56749999999999989</v>
      </c>
      <c r="F25" s="34">
        <f t="shared" si="4"/>
        <v>-0.24603413413483974</v>
      </c>
      <c r="G25" s="35">
        <f t="shared" si="5"/>
        <v>0.39248481120352424</v>
      </c>
      <c r="H25" s="35">
        <f t="shared" si="6"/>
        <v>2.4687937610467645</v>
      </c>
      <c r="I25" s="36">
        <v>500</v>
      </c>
      <c r="J25" s="37">
        <f t="shared" si="7"/>
        <v>1234.3968805233822</v>
      </c>
      <c r="K25" s="37">
        <f t="shared" si="8"/>
        <v>61.719844026169113</v>
      </c>
      <c r="L25" s="38">
        <f t="shared" si="10"/>
        <v>65.20454763604755</v>
      </c>
      <c r="M25" s="39">
        <f t="shared" si="9"/>
        <v>1.304090952720951</v>
      </c>
      <c r="N25" s="40"/>
    </row>
    <row r="26" spans="1:17" ht="15" x14ac:dyDescent="0.3">
      <c r="B26">
        <v>0.55800000000000005</v>
      </c>
      <c r="C26">
        <v>0.53800000000000003</v>
      </c>
      <c r="D26" s="34">
        <f t="shared" si="2"/>
        <v>0.54800000000000004</v>
      </c>
      <c r="E26" s="34">
        <f t="shared" si="3"/>
        <v>0.502</v>
      </c>
      <c r="F26" s="34">
        <f t="shared" si="4"/>
        <v>-0.29929628285498067</v>
      </c>
      <c r="G26" s="35">
        <f t="shared" si="5"/>
        <v>0.3370718794333889</v>
      </c>
      <c r="H26" s="35">
        <f t="shared" si="6"/>
        <v>2.173060809162592</v>
      </c>
      <c r="I26" s="36">
        <v>500</v>
      </c>
      <c r="J26" s="37">
        <f t="shared" si="7"/>
        <v>1086.5304045812961</v>
      </c>
      <c r="K26" s="37">
        <f t="shared" si="8"/>
        <v>54.326520229064812</v>
      </c>
      <c r="L26" s="38">
        <f t="shared" si="10"/>
        <v>57.211098000298996</v>
      </c>
      <c r="M26" s="39">
        <f t="shared" si="9"/>
        <v>1.14422196000598</v>
      </c>
      <c r="N26" s="40"/>
    </row>
    <row r="27" spans="1:17" ht="15" x14ac:dyDescent="0.3">
      <c r="B27">
        <v>0.54700000000000004</v>
      </c>
      <c r="C27">
        <v>0.56699999999999995</v>
      </c>
      <c r="D27" s="34">
        <f t="shared" si="2"/>
        <v>0.55699999999999994</v>
      </c>
      <c r="E27" s="34">
        <f t="shared" si="3"/>
        <v>0.5109999999999999</v>
      </c>
      <c r="F27" s="34">
        <f t="shared" si="4"/>
        <v>-0.29157909986528735</v>
      </c>
      <c r="G27" s="35">
        <f t="shared" si="5"/>
        <v>0.34510069060119325</v>
      </c>
      <c r="H27" s="35">
        <f t="shared" si="6"/>
        <v>2.2136078721725592</v>
      </c>
      <c r="I27" s="36">
        <v>500</v>
      </c>
      <c r="J27" s="37">
        <f t="shared" si="7"/>
        <v>1106.8039360862797</v>
      </c>
      <c r="K27" s="37">
        <f t="shared" si="8"/>
        <v>55.34019680431399</v>
      </c>
      <c r="L27" s="38">
        <f t="shared" si="10"/>
        <v>58.872874045462126</v>
      </c>
      <c r="M27" s="39">
        <f t="shared" si="9"/>
        <v>1.1774574809092426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0.59</v>
      </c>
      <c r="C31">
        <v>0.61</v>
      </c>
      <c r="D31" s="34">
        <f t="shared" ref="D31:D36" si="11">AVERAGE(B31:C31)</f>
        <v>0.6</v>
      </c>
      <c r="E31" s="34">
        <f t="shared" ref="E31:E36" si="12">D31-E$8</f>
        <v>0.55399999999999994</v>
      </c>
      <c r="F31" s="34">
        <f>LOG(E31)</f>
        <v>-0.25649023527157028</v>
      </c>
      <c r="G31" s="35">
        <f>(F31-$B$16)/$B$15</f>
        <v>0.3816064814178507</v>
      </c>
      <c r="H31" s="35">
        <f>10^G31</f>
        <v>2.4077227782378814</v>
      </c>
      <c r="I31" s="36">
        <v>500</v>
      </c>
      <c r="J31" s="37">
        <f>(H31*I31)</f>
        <v>1203.8613891189407</v>
      </c>
      <c r="K31" s="37">
        <f>(0.05*J31/1000)*1000</f>
        <v>60.19306945594704</v>
      </c>
      <c r="L31" s="38">
        <f>K31+K50</f>
        <v>61.062718572149002</v>
      </c>
      <c r="M31" s="39">
        <f>(L31*1000000/50000)/1000</f>
        <v>1.22125437144298</v>
      </c>
      <c r="N31" s="43"/>
      <c r="Q31" s="11"/>
    </row>
    <row r="32" spans="1:17" ht="15" x14ac:dyDescent="0.3">
      <c r="B32">
        <v>0.65400000000000003</v>
      </c>
      <c r="C32">
        <v>0.63900000000000001</v>
      </c>
      <c r="D32" s="34">
        <f t="shared" si="11"/>
        <v>0.64650000000000007</v>
      </c>
      <c r="E32" s="34">
        <f t="shared" si="12"/>
        <v>0.60050000000000003</v>
      </c>
      <c r="F32" s="34">
        <f t="shared" ref="F32:F36" si="13">LOG(E32)</f>
        <v>-0.22148698826107513</v>
      </c>
      <c r="G32" s="35">
        <f t="shared" ref="G32:G36" si="14">(F32-$B$16)/$B$15</f>
        <v>0.41802319732087051</v>
      </c>
      <c r="H32" s="35">
        <f t="shared" ref="H32:H36" si="15">10^G32</f>
        <v>2.6183228590712031</v>
      </c>
      <c r="I32" s="36">
        <v>500</v>
      </c>
      <c r="J32" s="37">
        <f t="shared" ref="J32:J36" si="16">(H32*I32)</f>
        <v>1309.1614295356017</v>
      </c>
      <c r="K32" s="37">
        <f t="shared" ref="K32:K36" si="17">(0.05*J32/1000)*1000</f>
        <v>65.458071476780091</v>
      </c>
      <c r="L32" s="38">
        <f>K32+K51</f>
        <v>66.320893209718477</v>
      </c>
      <c r="M32" s="39">
        <f t="shared" ref="M32:M36" si="18">(L32*1000000/50000)/1000</f>
        <v>1.3264178641943698</v>
      </c>
      <c r="N32" s="44"/>
      <c r="Q32" s="11"/>
    </row>
    <row r="33" spans="1:19" ht="15" x14ac:dyDescent="0.3">
      <c r="B33">
        <v>0.61099999999999999</v>
      </c>
      <c r="C33">
        <v>0.63200000000000001</v>
      </c>
      <c r="D33" s="34">
        <f t="shared" si="11"/>
        <v>0.62149999999999994</v>
      </c>
      <c r="E33" s="34">
        <f t="shared" si="12"/>
        <v>0.5754999999999999</v>
      </c>
      <c r="F33" s="34">
        <f t="shared" si="13"/>
        <v>-0.23995467203418946</v>
      </c>
      <c r="G33" s="35">
        <f t="shared" si="14"/>
        <v>0.39880976854522965</v>
      </c>
      <c r="H33" s="35">
        <f t="shared" si="15"/>
        <v>2.5050117571344286</v>
      </c>
      <c r="I33" s="36">
        <v>500</v>
      </c>
      <c r="J33" s="37">
        <f t="shared" si="16"/>
        <v>1252.5058785672143</v>
      </c>
      <c r="K33" s="37">
        <f t="shared" si="17"/>
        <v>62.625293928360719</v>
      </c>
      <c r="L33" s="38">
        <f t="shared" ref="L33:L36" si="19">K33+K52</f>
        <v>63.301243249965751</v>
      </c>
      <c r="M33" s="39">
        <f t="shared" si="18"/>
        <v>1.2660248649993151</v>
      </c>
      <c r="N33" s="44"/>
      <c r="Q33" s="11"/>
    </row>
    <row r="34" spans="1:19" ht="15" x14ac:dyDescent="0.3">
      <c r="A34" s="8" t="s">
        <v>29</v>
      </c>
      <c r="B34">
        <v>0.60099999999999998</v>
      </c>
      <c r="C34">
        <v>0.626</v>
      </c>
      <c r="D34" s="34">
        <f t="shared" si="11"/>
        <v>0.61349999999999993</v>
      </c>
      <c r="E34" s="34">
        <f t="shared" si="12"/>
        <v>0.56749999999999989</v>
      </c>
      <c r="F34" s="34">
        <f t="shared" si="13"/>
        <v>-0.24603413413483974</v>
      </c>
      <c r="G34" s="35">
        <f t="shared" si="14"/>
        <v>0.39248481120352424</v>
      </c>
      <c r="H34" s="35">
        <f t="shared" si="15"/>
        <v>2.4687937610467645</v>
      </c>
      <c r="I34" s="36">
        <v>500</v>
      </c>
      <c r="J34" s="37">
        <f t="shared" si="16"/>
        <v>1234.3968805233822</v>
      </c>
      <c r="K34" s="37">
        <f t="shared" si="17"/>
        <v>61.719844026169113</v>
      </c>
      <c r="L34" s="38">
        <f t="shared" si="19"/>
        <v>64.094724577474139</v>
      </c>
      <c r="M34" s="39">
        <f t="shared" si="18"/>
        <v>1.2818944915494828</v>
      </c>
      <c r="N34" s="44"/>
      <c r="Q34" s="11"/>
    </row>
    <row r="35" spans="1:19" ht="15" x14ac:dyDescent="0.3">
      <c r="B35">
        <v>0.55800000000000005</v>
      </c>
      <c r="C35">
        <v>0.53800000000000003</v>
      </c>
      <c r="D35" s="34">
        <f t="shared" si="11"/>
        <v>0.54800000000000004</v>
      </c>
      <c r="E35" s="34">
        <f t="shared" si="12"/>
        <v>0.502</v>
      </c>
      <c r="F35" s="34">
        <f t="shared" si="13"/>
        <v>-0.29929628285498067</v>
      </c>
      <c r="G35" s="35">
        <f t="shared" si="14"/>
        <v>0.3370718794333889</v>
      </c>
      <c r="H35" s="35">
        <f t="shared" si="15"/>
        <v>2.173060809162592</v>
      </c>
      <c r="I35" s="36">
        <v>500</v>
      </c>
      <c r="J35" s="37">
        <f t="shared" si="16"/>
        <v>1086.5304045812961</v>
      </c>
      <c r="K35" s="37">
        <f t="shared" si="17"/>
        <v>54.326520229064812</v>
      </c>
      <c r="L35" s="38">
        <f t="shared" si="19"/>
        <v>56.108167475839736</v>
      </c>
      <c r="M35" s="39">
        <f t="shared" si="18"/>
        <v>1.1221633495167946</v>
      </c>
      <c r="N35" s="44"/>
      <c r="Q35" s="11"/>
      <c r="S35" s="11"/>
    </row>
    <row r="36" spans="1:19" ht="15" x14ac:dyDescent="0.3">
      <c r="B36">
        <v>0.54700000000000004</v>
      </c>
      <c r="C36">
        <v>0.56699999999999995</v>
      </c>
      <c r="D36" s="34">
        <f t="shared" si="11"/>
        <v>0.55699999999999994</v>
      </c>
      <c r="E36" s="34">
        <f t="shared" si="12"/>
        <v>0.5109999999999999</v>
      </c>
      <c r="F36" s="34">
        <f t="shared" si="13"/>
        <v>-0.29157909986528735</v>
      </c>
      <c r="G36" s="35">
        <f t="shared" si="14"/>
        <v>0.34510069060119325</v>
      </c>
      <c r="H36" s="35">
        <f t="shared" si="15"/>
        <v>2.2136078721725592</v>
      </c>
      <c r="I36" s="36">
        <v>500</v>
      </c>
      <c r="J36" s="37">
        <f t="shared" si="16"/>
        <v>1106.8039360862797</v>
      </c>
      <c r="K36" s="37">
        <f t="shared" si="17"/>
        <v>55.34019680431399</v>
      </c>
      <c r="L36" s="38">
        <f t="shared" si="19"/>
        <v>57.555541592220564</v>
      </c>
      <c r="M36" s="39">
        <f t="shared" si="18"/>
        <v>1.1511108318444114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0.13600000000000001</v>
      </c>
      <c r="C40">
        <v>0.14199999999999999</v>
      </c>
      <c r="D40" s="34">
        <f>AVERAGE(B40,C40)</f>
        <v>0.13900000000000001</v>
      </c>
      <c r="E40" s="34">
        <f t="shared" ref="E40:E45" si="20">D40-E$8</f>
        <v>9.3000000000000013E-2</v>
      </c>
      <c r="F40" s="34">
        <f t="shared" ref="F40:F45" si="21">LOG(E40)</f>
        <v>-1.0315170514460648</v>
      </c>
      <c r="G40" s="35">
        <f t="shared" ref="G40:G45" si="22">(F40-$B$16)/$B$15</f>
        <v>-0.42471675406330528</v>
      </c>
      <c r="H40" s="34">
        <f t="shared" ref="H40:H45" si="23">10^G40</f>
        <v>0.37608260459441256</v>
      </c>
      <c r="I40" s="48">
        <v>16</v>
      </c>
      <c r="J40" s="49">
        <f t="shared" ref="J40:J45" si="24">H40*I40</f>
        <v>6.017321673510601</v>
      </c>
      <c r="K40" s="37">
        <f>(0.1*J40/1000)*1000</f>
        <v>0.60173216735106017</v>
      </c>
      <c r="L40" s="50">
        <f>K40*100/L22</f>
        <v>0.9758169579634508</v>
      </c>
      <c r="M40" s="51">
        <f>AVERAGE(L40:L42)</f>
        <v>1.060150857848549</v>
      </c>
      <c r="N40" s="52">
        <f>STDEV(L40:L42)</f>
        <v>9.8897187453866844E-2</v>
      </c>
      <c r="R40" s="11"/>
      <c r="S40" s="11"/>
    </row>
    <row r="41" spans="1:19" ht="15" x14ac:dyDescent="0.3">
      <c r="B41">
        <v>0.16600000000000001</v>
      </c>
      <c r="C41">
        <v>0.16600000000000001</v>
      </c>
      <c r="D41" s="34">
        <f>AVERAGE(B41,C41)</f>
        <v>0.16600000000000001</v>
      </c>
      <c r="E41" s="34">
        <f t="shared" si="20"/>
        <v>0.12000000000000001</v>
      </c>
      <c r="F41" s="34">
        <f t="shared" si="21"/>
        <v>-0.92081875395237511</v>
      </c>
      <c r="G41" s="35">
        <f t="shared" si="22"/>
        <v>-0.30954833984256286</v>
      </c>
      <c r="H41" s="34">
        <f t="shared" si="23"/>
        <v>0.49028844741411803</v>
      </c>
      <c r="I41" s="48">
        <v>16</v>
      </c>
      <c r="J41" s="49">
        <f t="shared" si="24"/>
        <v>7.8446151586258885</v>
      </c>
      <c r="K41" s="37">
        <f t="shared" ref="K41:K45" si="25">(0.1*J41/1000)*1000</f>
        <v>0.78446151586258894</v>
      </c>
      <c r="L41" s="50">
        <f t="shared" ref="L41:L45" si="26">K41*100/L23</f>
        <v>1.1689998794739196</v>
      </c>
      <c r="M41" s="51"/>
      <c r="N41" s="52"/>
      <c r="R41" s="11"/>
      <c r="S41" s="11"/>
    </row>
    <row r="42" spans="1:19" s="24" customFormat="1" ht="15" x14ac:dyDescent="0.3">
      <c r="A42" s="8"/>
      <c r="B42">
        <v>0.14699999999999999</v>
      </c>
      <c r="C42">
        <v>0.14899999999999999</v>
      </c>
      <c r="D42" s="34">
        <f>AVERAGE(B42,C42)</f>
        <v>0.14799999999999999</v>
      </c>
      <c r="E42" s="34">
        <f t="shared" si="20"/>
        <v>0.10199999999999999</v>
      </c>
      <c r="F42" s="34">
        <f t="shared" si="21"/>
        <v>-0.99139982823808248</v>
      </c>
      <c r="G42" s="35">
        <f t="shared" si="22"/>
        <v>-0.38297955408454082</v>
      </c>
      <c r="H42" s="34">
        <f t="shared" si="23"/>
        <v>0.41401916574572084</v>
      </c>
      <c r="I42" s="48">
        <v>16</v>
      </c>
      <c r="J42" s="49">
        <f t="shared" si="24"/>
        <v>6.6243066519315335</v>
      </c>
      <c r="K42" s="37">
        <f t="shared" si="25"/>
        <v>0.66243066519315341</v>
      </c>
      <c r="L42" s="50">
        <f t="shared" si="26"/>
        <v>1.0356357361082762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0.21099999999999999</v>
      </c>
      <c r="C43">
        <v>0.216</v>
      </c>
      <c r="D43" s="34">
        <f t="shared" ref="D43:D45" si="27">AVERAGE(B43,C43)</f>
        <v>0.2135</v>
      </c>
      <c r="E43" s="34">
        <f t="shared" si="20"/>
        <v>0.16749999999999998</v>
      </c>
      <c r="F43" s="34">
        <f t="shared" si="21"/>
        <v>-0.77598518862713606</v>
      </c>
      <c r="G43" s="35">
        <f t="shared" si="22"/>
        <v>-0.15886623883378315</v>
      </c>
      <c r="H43" s="34">
        <f t="shared" si="23"/>
        <v>0.69363941160838849</v>
      </c>
      <c r="I43" s="48">
        <v>16</v>
      </c>
      <c r="J43" s="49">
        <f t="shared" si="24"/>
        <v>11.098230585734216</v>
      </c>
      <c r="K43" s="37">
        <f t="shared" si="25"/>
        <v>1.1098230585734217</v>
      </c>
      <c r="L43" s="50">
        <f t="shared" si="26"/>
        <v>1.7020638878872758</v>
      </c>
      <c r="M43" s="51">
        <f>AVERAGE(L43:L45)</f>
        <v>1.9558260722672187</v>
      </c>
      <c r="N43" s="52">
        <f>STDEV(L43:L45)</f>
        <v>0.26885787019826685</v>
      </c>
      <c r="R43" s="11"/>
      <c r="S43" s="11"/>
    </row>
    <row r="44" spans="1:19" ht="15" x14ac:dyDescent="0.3">
      <c r="A44" s="53"/>
      <c r="B44">
        <v>0.21299999999999999</v>
      </c>
      <c r="C44">
        <v>0.21199999999999999</v>
      </c>
      <c r="D44" s="34">
        <f t="shared" si="27"/>
        <v>0.21249999999999999</v>
      </c>
      <c r="E44" s="34">
        <f t="shared" si="20"/>
        <v>0.16649999999999998</v>
      </c>
      <c r="F44" s="34">
        <f t="shared" si="21"/>
        <v>-0.7785857621576614</v>
      </c>
      <c r="G44" s="35">
        <f t="shared" si="22"/>
        <v>-0.16157182633021339</v>
      </c>
      <c r="H44" s="34">
        <f t="shared" si="23"/>
        <v>0.68933157778703813</v>
      </c>
      <c r="I44" s="48">
        <v>16</v>
      </c>
      <c r="J44" s="49">
        <f t="shared" si="24"/>
        <v>11.02930524459261</v>
      </c>
      <c r="K44" s="37">
        <f t="shared" si="25"/>
        <v>1.1029305244592611</v>
      </c>
      <c r="L44" s="50">
        <f t="shared" si="26"/>
        <v>1.9278261788534401</v>
      </c>
      <c r="M44" s="51"/>
      <c r="N44" s="52"/>
    </row>
    <row r="45" spans="1:19" ht="15" x14ac:dyDescent="0.3">
      <c r="A45" s="54"/>
      <c r="B45">
        <v>0.247</v>
      </c>
      <c r="C45">
        <v>0.24</v>
      </c>
      <c r="D45" s="34">
        <f t="shared" si="27"/>
        <v>0.24349999999999999</v>
      </c>
      <c r="E45" s="34">
        <f t="shared" si="20"/>
        <v>0.19750000000000001</v>
      </c>
      <c r="F45" s="34">
        <f t="shared" si="21"/>
        <v>-0.7044329000375209</v>
      </c>
      <c r="G45" s="35">
        <f t="shared" si="22"/>
        <v>-8.4424591606095181E-2</v>
      </c>
      <c r="H45" s="34">
        <f t="shared" si="23"/>
        <v>0.82333278327597692</v>
      </c>
      <c r="I45" s="48">
        <v>16</v>
      </c>
      <c r="J45" s="49">
        <f t="shared" si="24"/>
        <v>13.173324532415631</v>
      </c>
      <c r="K45" s="37">
        <f t="shared" si="25"/>
        <v>1.3173324532415631</v>
      </c>
      <c r="L45" s="50">
        <f t="shared" si="26"/>
        <v>2.2375881500609398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0.17</v>
      </c>
      <c r="C50">
        <v>0.187</v>
      </c>
      <c r="D50" s="34">
        <f t="shared" ref="D50:D52" si="28">AVERAGE(B50,C50)</f>
        <v>0.17849999999999999</v>
      </c>
      <c r="E50" s="34">
        <f t="shared" ref="E50:E55" si="29">D50-E$8</f>
        <v>0.13250000000000001</v>
      </c>
      <c r="F50" s="34">
        <f t="shared" ref="F50:F55" si="30">LOG(E50)</f>
        <v>-0.87778412172717335</v>
      </c>
      <c r="G50" s="35">
        <f t="shared" ref="G50:G55" si="31">(F50-$B$16)/$B$15</f>
        <v>-0.2647759227217677</v>
      </c>
      <c r="H50" s="34">
        <f t="shared" ref="H50:H55" si="32">10^G50</f>
        <v>0.54353069762622541</v>
      </c>
      <c r="I50" s="48">
        <v>16</v>
      </c>
      <c r="J50" s="49">
        <f t="shared" ref="J50:J55" si="33">H50*I50</f>
        <v>8.6964911620196066</v>
      </c>
      <c r="K50" s="37">
        <f>(0.1*J50/1000)*1000</f>
        <v>0.86964911620196073</v>
      </c>
      <c r="L50" s="50">
        <f t="shared" ref="L50:L55" si="34">K50*100/L31</f>
        <v>1.4241899747297067</v>
      </c>
      <c r="M50" s="51">
        <f>AVERAGE(L50:L52)</f>
        <v>1.2643332323541632</v>
      </c>
      <c r="N50" s="52">
        <f>STDEV(L50:L52)</f>
        <v>0.18098469159057612</v>
      </c>
      <c r="O50" s="10">
        <f>L50/L40</f>
        <v>1.4594847559341653</v>
      </c>
      <c r="P50" s="51">
        <f>AVERAGE(O50:O52)</f>
        <v>1.2011569874002861</v>
      </c>
      <c r="Q50" s="52">
        <f>STDEV(O50:O52)</f>
        <v>0.22742761973434633</v>
      </c>
      <c r="S50" s="11"/>
      <c r="T50" s="11"/>
    </row>
    <row r="51" spans="1:25" ht="15" x14ac:dyDescent="0.3">
      <c r="B51">
        <v>0.17899999999999999</v>
      </c>
      <c r="C51">
        <v>0.17599999999999999</v>
      </c>
      <c r="D51" s="34">
        <f t="shared" si="28"/>
        <v>0.17749999999999999</v>
      </c>
      <c r="E51" s="34">
        <f t="shared" si="29"/>
        <v>0.13150000000000001</v>
      </c>
      <c r="F51" s="34">
        <f t="shared" si="30"/>
        <v>-0.88107424717422334</v>
      </c>
      <c r="G51" s="35">
        <f t="shared" si="31"/>
        <v>-0.26819890698533017</v>
      </c>
      <c r="H51" s="34">
        <f t="shared" si="32"/>
        <v>0.5392635830864928</v>
      </c>
      <c r="I51" s="48">
        <v>16</v>
      </c>
      <c r="J51" s="49">
        <f t="shared" si="33"/>
        <v>8.6282173293838849</v>
      </c>
      <c r="K51" s="37">
        <f t="shared" ref="K51:K55" si="35">(0.1*J51/1000)*1000</f>
        <v>0.86282173293838849</v>
      </c>
      <c r="L51" s="50">
        <f t="shared" si="34"/>
        <v>1.3009802660678778</v>
      </c>
      <c r="M51" s="51"/>
      <c r="N51" s="52"/>
      <c r="O51" s="10">
        <f t="shared" ref="O51:O55" si="36">L51/L41</f>
        <v>1.112900256801868</v>
      </c>
      <c r="P51" s="51"/>
      <c r="Q51" s="52"/>
      <c r="S51" s="11"/>
      <c r="T51" s="11"/>
    </row>
    <row r="52" spans="1:25" ht="15" x14ac:dyDescent="0.3">
      <c r="B52">
        <v>0.152</v>
      </c>
      <c r="C52">
        <v>0.14799999999999999</v>
      </c>
      <c r="D52" s="34">
        <f t="shared" si="28"/>
        <v>0.15</v>
      </c>
      <c r="E52" s="34">
        <f t="shared" si="29"/>
        <v>0.104</v>
      </c>
      <c r="F52" s="34">
        <f t="shared" si="30"/>
        <v>-0.98296666070121963</v>
      </c>
      <c r="G52" s="35">
        <f t="shared" si="31"/>
        <v>-0.37420584614080571</v>
      </c>
      <c r="H52" s="34">
        <f t="shared" si="32"/>
        <v>0.42246832600314632</v>
      </c>
      <c r="I52" s="48">
        <v>16</v>
      </c>
      <c r="J52" s="49">
        <f t="shared" si="33"/>
        <v>6.7594932160503411</v>
      </c>
      <c r="K52" s="37">
        <f t="shared" si="35"/>
        <v>0.67594932160503418</v>
      </c>
      <c r="L52" s="50">
        <f t="shared" si="34"/>
        <v>1.0678294562649051</v>
      </c>
      <c r="M52" s="51"/>
      <c r="N52" s="52"/>
      <c r="O52" s="10">
        <f t="shared" si="36"/>
        <v>1.0310859494648252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0.40100000000000002</v>
      </c>
      <c r="C53">
        <v>0.38700000000000001</v>
      </c>
      <c r="D53" s="34">
        <f>AVERAGE(B53:C53)</f>
        <v>0.39400000000000002</v>
      </c>
      <c r="E53" s="34">
        <f t="shared" si="29"/>
        <v>0.34800000000000003</v>
      </c>
      <c r="F53" s="34">
        <f t="shared" si="30"/>
        <v>-0.45842075605341903</v>
      </c>
      <c r="G53" s="35">
        <f t="shared" si="31"/>
        <v>0.17152178826762496</v>
      </c>
      <c r="H53" s="34">
        <f t="shared" si="32"/>
        <v>1.484300344565638</v>
      </c>
      <c r="I53" s="48">
        <v>16</v>
      </c>
      <c r="J53" s="49">
        <f t="shared" si="33"/>
        <v>23.748805513050208</v>
      </c>
      <c r="K53" s="37">
        <f t="shared" si="35"/>
        <v>2.3748805513050208</v>
      </c>
      <c r="L53" s="50">
        <f t="shared" si="34"/>
        <v>3.7052668015359007</v>
      </c>
      <c r="M53" s="51">
        <f>AVERAGE(L53:L55)</f>
        <v>3.5765672947404421</v>
      </c>
      <c r="N53" s="52">
        <f>STDEV(L53:L55)</f>
        <v>0.3547992949226863</v>
      </c>
      <c r="O53" s="10">
        <f t="shared" si="36"/>
        <v>2.1769258063133838</v>
      </c>
      <c r="P53" s="51">
        <f>AVERAGE(O53:O55)</f>
        <v>1.8480786364311943</v>
      </c>
      <c r="Q53" s="52">
        <f>STDEV(O53:O55)</f>
        <v>0.28712272100166142</v>
      </c>
      <c r="S53" s="11"/>
      <c r="T53" s="11"/>
    </row>
    <row r="54" spans="1:25" ht="15" x14ac:dyDescent="0.3">
      <c r="A54" s="53"/>
      <c r="B54">
        <v>0.318</v>
      </c>
      <c r="C54">
        <v>0.30199999999999999</v>
      </c>
      <c r="D54" s="34">
        <f>AVERAGE(B54:C54)</f>
        <v>0.31</v>
      </c>
      <c r="E54" s="34">
        <f t="shared" si="29"/>
        <v>0.26400000000000001</v>
      </c>
      <c r="F54" s="34">
        <f t="shared" si="30"/>
        <v>-0.57839607313016894</v>
      </c>
      <c r="G54" s="35">
        <f t="shared" si="31"/>
        <v>4.6701738400573435E-2</v>
      </c>
      <c r="H54" s="34">
        <f t="shared" si="32"/>
        <v>1.1135295292343288</v>
      </c>
      <c r="I54" s="48">
        <v>16</v>
      </c>
      <c r="J54" s="49">
        <f t="shared" si="33"/>
        <v>17.816472467749261</v>
      </c>
      <c r="K54" s="37">
        <f t="shared" si="35"/>
        <v>1.7816472467749263</v>
      </c>
      <c r="L54" s="50">
        <f t="shared" si="34"/>
        <v>3.1753794980777195</v>
      </c>
      <c r="M54" s="51"/>
      <c r="N54" s="52"/>
      <c r="O54" s="10">
        <f t="shared" si="36"/>
        <v>1.6471295664042971</v>
      </c>
      <c r="P54" s="51"/>
      <c r="Q54" s="52"/>
      <c r="S54" s="11"/>
      <c r="T54" s="11"/>
    </row>
    <row r="55" spans="1:25" ht="15" x14ac:dyDescent="0.3">
      <c r="A55" s="54"/>
      <c r="B55">
        <v>0.371</v>
      </c>
      <c r="C55">
        <v>0.372</v>
      </c>
      <c r="D55" s="34">
        <f>AVERAGE(B55:C55)</f>
        <v>0.3715</v>
      </c>
      <c r="E55" s="34">
        <f t="shared" si="29"/>
        <v>0.32550000000000001</v>
      </c>
      <c r="F55" s="34">
        <f t="shared" si="30"/>
        <v>-0.48744900709578926</v>
      </c>
      <c r="G55" s="35">
        <f t="shared" si="31"/>
        <v>0.14132134511860572</v>
      </c>
      <c r="H55" s="34">
        <f t="shared" si="32"/>
        <v>1.3845904924416104</v>
      </c>
      <c r="I55" s="48">
        <v>16</v>
      </c>
      <c r="J55" s="49">
        <f t="shared" si="33"/>
        <v>22.153447879065766</v>
      </c>
      <c r="K55" s="37">
        <f t="shared" si="35"/>
        <v>2.2153447879065769</v>
      </c>
      <c r="L55" s="50">
        <f t="shared" si="34"/>
        <v>3.8490555846077066</v>
      </c>
      <c r="M55" s="51"/>
      <c r="N55" s="52"/>
      <c r="O55" s="10">
        <f t="shared" si="36"/>
        <v>1.7201805365759018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1.2011569874002861</v>
      </c>
      <c r="O58" s="51">
        <f>Q50</f>
        <v>0.22742761973434633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1.8480786364311943</v>
      </c>
      <c r="O59" s="51">
        <f>Q53</f>
        <v>0.28712272100166142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1.060150857848549</v>
      </c>
      <c r="C65" s="51">
        <f>N40</f>
        <v>9.8897187453866844E-2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1.2643332323541632</v>
      </c>
      <c r="C66" s="51">
        <f>N50</f>
        <v>0.18098469159057612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1.9558260722672187</v>
      </c>
      <c r="C67" s="51">
        <f>N43</f>
        <v>0.26885787019826685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3.5765672947404421</v>
      </c>
      <c r="C68" s="51">
        <f>N53</f>
        <v>0.3547992949226863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42262</v>
      </c>
    </row>
    <row r="2" spans="1:20" s="3" customFormat="1" x14ac:dyDescent="0.2">
      <c r="A2" s="1" t="s">
        <v>1</v>
      </c>
      <c r="B2" s="3">
        <v>86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8">
        <v>210432</v>
      </c>
      <c r="F3" s="78">
        <v>148704</v>
      </c>
    </row>
    <row r="4" spans="1:20" s="3" customFormat="1" ht="15" x14ac:dyDescent="0.3">
      <c r="A4" s="1"/>
      <c r="D4" s="6" t="s">
        <v>43</v>
      </c>
      <c r="E4">
        <v>201400</v>
      </c>
      <c r="F4">
        <v>203240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6">
        <v>0</v>
      </c>
      <c r="B8" s="6">
        <v>0</v>
      </c>
      <c r="C8">
        <v>4.5999999999999999E-2</v>
      </c>
      <c r="D8">
        <v>4.5999999999999999E-2</v>
      </c>
      <c r="E8" s="18">
        <f t="shared" ref="E8:E13" si="0">AVERAGE(C8:D8)</f>
        <v>4.5999999999999999E-2</v>
      </c>
      <c r="F8" s="19"/>
      <c r="G8" s="17"/>
      <c r="H8" s="17"/>
      <c r="N8" s="11"/>
      <c r="O8" s="11"/>
      <c r="P8" s="11"/>
    </row>
    <row r="9" spans="1:20" ht="15" x14ac:dyDescent="0.3">
      <c r="A9" s="76">
        <v>3.18</v>
      </c>
      <c r="B9" s="77">
        <f>A9/23</f>
        <v>0.13826086956521741</v>
      </c>
      <c r="C9">
        <v>0.08</v>
      </c>
      <c r="D9">
        <v>8.2000000000000003E-2</v>
      </c>
      <c r="E9" s="18">
        <f t="shared" si="0"/>
        <v>8.1000000000000003E-2</v>
      </c>
      <c r="F9" s="19">
        <f>(E9-$E$8)</f>
        <v>3.5000000000000003E-2</v>
      </c>
      <c r="G9" s="19">
        <f>LOG(B9)</f>
        <v>-0.85930071603316016</v>
      </c>
      <c r="H9" s="19">
        <f>LOG(F9)</f>
        <v>-1.4559319556497243</v>
      </c>
      <c r="N9" s="11"/>
      <c r="O9" s="11"/>
      <c r="P9" s="11"/>
    </row>
    <row r="10" spans="1:20" ht="15" x14ac:dyDescent="0.3">
      <c r="A10" s="76">
        <v>10.5</v>
      </c>
      <c r="B10" s="77">
        <f t="shared" ref="B10:B13" si="1">A10/23</f>
        <v>0.45652173913043476</v>
      </c>
      <c r="C10">
        <v>0.161</v>
      </c>
      <c r="D10">
        <v>0.16400000000000001</v>
      </c>
      <c r="E10" s="18">
        <f t="shared" si="0"/>
        <v>0.16250000000000001</v>
      </c>
      <c r="F10" s="19">
        <f>(E10-$E$8)</f>
        <v>0.11650000000000001</v>
      </c>
      <c r="G10" s="19">
        <f>LOG(B10)</f>
        <v>-0.34053853694765485</v>
      </c>
      <c r="H10" s="19">
        <f>LOG(F10)</f>
        <v>-0.93367407463796215</v>
      </c>
      <c r="N10" s="11"/>
      <c r="O10" s="11"/>
      <c r="P10" s="11"/>
    </row>
    <row r="11" spans="1:20" ht="15" x14ac:dyDescent="0.3">
      <c r="A11" s="76">
        <v>31.1</v>
      </c>
      <c r="B11" s="77">
        <f t="shared" si="1"/>
        <v>1.3521739130434782</v>
      </c>
      <c r="C11">
        <v>0.35099999999999998</v>
      </c>
      <c r="D11">
        <v>0.35099999999999998</v>
      </c>
      <c r="E11" s="18">
        <f t="shared" si="0"/>
        <v>0.35099999999999998</v>
      </c>
      <c r="F11" s="19">
        <f>(E11-$E$8)</f>
        <v>0.30499999999999999</v>
      </c>
      <c r="G11" s="19">
        <f>LOG(B11)</f>
        <v>0.13103255300924463</v>
      </c>
      <c r="H11" s="19">
        <f>LOG(F11)</f>
        <v>-0.51570016065321422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6">
        <v>103</v>
      </c>
      <c r="B12" s="77">
        <f t="shared" si="1"/>
        <v>4.4782608695652177</v>
      </c>
      <c r="C12">
        <v>1.08</v>
      </c>
      <c r="D12">
        <v>1.105</v>
      </c>
      <c r="E12" s="18">
        <f t="shared" si="0"/>
        <v>1.0925</v>
      </c>
      <c r="F12" s="19">
        <f>(E12-$E$8)</f>
        <v>1.0465</v>
      </c>
      <c r="G12" s="19">
        <f>LOG(B12)</f>
        <v>0.65110938868757939</v>
      </c>
      <c r="H12" s="19">
        <f>LOG(F12)</f>
        <v>1.9739232674705277E-2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6">
        <v>214</v>
      </c>
      <c r="B13" s="77">
        <f t="shared" si="1"/>
        <v>9.304347826086957</v>
      </c>
      <c r="C13">
        <v>2.0369999999999999</v>
      </c>
      <c r="D13">
        <v>2.0339999999999998</v>
      </c>
      <c r="E13" s="18">
        <f t="shared" si="0"/>
        <v>2.0354999999999999</v>
      </c>
      <c r="F13" s="19">
        <f>(E13-$E$8)</f>
        <v>1.9894999999999998</v>
      </c>
      <c r="G13" s="19">
        <f>LOG(B13)</f>
        <v>0.96868593733159802</v>
      </c>
      <c r="H13" s="19">
        <f>LOG(F13)</f>
        <v>0.29874394348240707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0.9611862613781853</v>
      </c>
      <c r="N15" s="11"/>
    </row>
    <row r="16" spans="1:20" ht="15" x14ac:dyDescent="0.25">
      <c r="A16" s="12" t="s">
        <v>14</v>
      </c>
      <c r="B16" s="18">
        <f>INTERCEPT(H9:H13,G9:G13)</f>
        <v>-0.62328514246327815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0.63900000000000001</v>
      </c>
      <c r="C22">
        <v>0.64700000000000002</v>
      </c>
      <c r="D22" s="34">
        <f t="shared" ref="D22:D27" si="2">AVERAGE(B22:C22)</f>
        <v>0.64300000000000002</v>
      </c>
      <c r="E22" s="34">
        <f t="shared" ref="E22:E27" si="3">D22-E$8</f>
        <v>0.59699999999999998</v>
      </c>
      <c r="F22" s="34">
        <f>LOG(E22)</f>
        <v>-0.22402566887063094</v>
      </c>
      <c r="G22" s="35">
        <f>(F22-$B$16)/$B$15</f>
        <v>0.41538200204835829</v>
      </c>
      <c r="H22" s="35">
        <f>10^G22</f>
        <v>2.6024476494370261</v>
      </c>
      <c r="I22" s="36">
        <v>500</v>
      </c>
      <c r="J22" s="37">
        <f>(H22*I22)</f>
        <v>1301.223824718513</v>
      </c>
      <c r="K22" s="37">
        <f>(0.05*J22/1000)*1000</f>
        <v>65.061191235925648</v>
      </c>
      <c r="L22" s="38">
        <f>K22+K40+K50</f>
        <v>66.214563046272858</v>
      </c>
      <c r="M22" s="39">
        <f>(L22*1000000/50000)/1000</f>
        <v>1.3242912609254571</v>
      </c>
      <c r="N22" s="40"/>
    </row>
    <row r="23" spans="1:17" ht="15" x14ac:dyDescent="0.3">
      <c r="B23">
        <v>0.58499999999999996</v>
      </c>
      <c r="C23">
        <v>0.59199999999999997</v>
      </c>
      <c r="D23" s="34">
        <f t="shared" si="2"/>
        <v>0.58850000000000002</v>
      </c>
      <c r="E23" s="34">
        <f t="shared" si="3"/>
        <v>0.54249999999999998</v>
      </c>
      <c r="F23" s="34">
        <f t="shared" ref="F23:F27" si="4">LOG(E23)</f>
        <v>-0.26560025747943289</v>
      </c>
      <c r="G23" s="35">
        <f t="shared" ref="G23:G27" si="5">(F23-$B$16)/$B$15</f>
        <v>0.37212858668098636</v>
      </c>
      <c r="H23" s="35">
        <f t="shared" ref="H23:H27" si="6">10^G23</f>
        <v>2.3557466743049198</v>
      </c>
      <c r="I23" s="36">
        <v>500</v>
      </c>
      <c r="J23" s="37">
        <f t="shared" ref="J23:J27" si="7">(H23*I23)</f>
        <v>1177.87333715246</v>
      </c>
      <c r="K23" s="37">
        <f t="shared" ref="K23:K27" si="8">(0.05*J23/1000)*1000</f>
        <v>58.893666857623003</v>
      </c>
      <c r="L23" s="38">
        <f>K23+K41+K51</f>
        <v>59.9903398860761</v>
      </c>
      <c r="M23" s="39">
        <f t="shared" ref="M23:M27" si="9">(L23*1000000/50000)/1000</f>
        <v>1.1998067977215221</v>
      </c>
      <c r="N23" s="40"/>
    </row>
    <row r="24" spans="1:17" ht="15" x14ac:dyDescent="0.3">
      <c r="B24">
        <v>0.61399999999999999</v>
      </c>
      <c r="C24">
        <v>0.58299999999999996</v>
      </c>
      <c r="D24" s="34">
        <f t="shared" si="2"/>
        <v>0.59850000000000003</v>
      </c>
      <c r="E24" s="34">
        <f t="shared" si="3"/>
        <v>0.55249999999999999</v>
      </c>
      <c r="F24" s="34">
        <f t="shared" si="4"/>
        <v>-0.25766771764285168</v>
      </c>
      <c r="G24" s="35">
        <f t="shared" si="5"/>
        <v>0.38038145103758592</v>
      </c>
      <c r="H24" s="35">
        <f t="shared" si="6"/>
        <v>2.4009407958430522</v>
      </c>
      <c r="I24" s="36">
        <v>500</v>
      </c>
      <c r="J24" s="37">
        <f t="shared" si="7"/>
        <v>1200.470397921526</v>
      </c>
      <c r="K24" s="37">
        <f t="shared" si="8"/>
        <v>60.023519896076301</v>
      </c>
      <c r="L24" s="38">
        <f t="shared" ref="L24:L27" si="10">K24+K42+K52</f>
        <v>61.328416910026071</v>
      </c>
      <c r="M24" s="39">
        <f t="shared" si="9"/>
        <v>1.2265683382005215</v>
      </c>
      <c r="N24" s="40"/>
    </row>
    <row r="25" spans="1:17" ht="15" x14ac:dyDescent="0.3">
      <c r="A25" s="8" t="s">
        <v>29</v>
      </c>
      <c r="B25">
        <v>0.41499999999999998</v>
      </c>
      <c r="C25">
        <v>0.42299999999999999</v>
      </c>
      <c r="D25" s="34">
        <f t="shared" si="2"/>
        <v>0.41899999999999998</v>
      </c>
      <c r="E25" s="34">
        <f t="shared" si="3"/>
        <v>0.373</v>
      </c>
      <c r="F25" s="34">
        <f t="shared" si="4"/>
        <v>-0.42829116819131241</v>
      </c>
      <c r="G25" s="35">
        <f t="shared" si="5"/>
        <v>0.20286804140581036</v>
      </c>
      <c r="H25" s="35">
        <f t="shared" si="6"/>
        <v>1.5953943195740952</v>
      </c>
      <c r="I25" s="36">
        <v>500</v>
      </c>
      <c r="J25" s="37">
        <f t="shared" si="7"/>
        <v>797.69715978704755</v>
      </c>
      <c r="K25" s="37">
        <f t="shared" si="8"/>
        <v>39.884857989352383</v>
      </c>
      <c r="L25" s="38">
        <f t="shared" si="10"/>
        <v>41.878228975615038</v>
      </c>
      <c r="M25" s="39">
        <f t="shared" si="9"/>
        <v>0.83756457951230079</v>
      </c>
      <c r="N25" s="40"/>
    </row>
    <row r="26" spans="1:17" ht="15" x14ac:dyDescent="0.3">
      <c r="B26">
        <v>0.47799999999999998</v>
      </c>
      <c r="C26">
        <v>0.45700000000000002</v>
      </c>
      <c r="D26" s="34">
        <f t="shared" si="2"/>
        <v>0.46750000000000003</v>
      </c>
      <c r="E26" s="34">
        <f t="shared" si="3"/>
        <v>0.42150000000000004</v>
      </c>
      <c r="F26" s="34">
        <f t="shared" si="4"/>
        <v>-0.37520242103923884</v>
      </c>
      <c r="G26" s="35">
        <f t="shared" si="5"/>
        <v>0.25810056946541132</v>
      </c>
      <c r="H26" s="35">
        <f t="shared" si="6"/>
        <v>1.8117595927652941</v>
      </c>
      <c r="I26" s="36">
        <v>500</v>
      </c>
      <c r="J26" s="37">
        <f t="shared" si="7"/>
        <v>905.87979638264699</v>
      </c>
      <c r="K26" s="37">
        <f t="shared" si="8"/>
        <v>45.293989819132349</v>
      </c>
      <c r="L26" s="38">
        <f t="shared" si="10"/>
        <v>47.150371059400314</v>
      </c>
      <c r="M26" s="39">
        <f t="shared" si="9"/>
        <v>0.94300742118800618</v>
      </c>
      <c r="N26" s="40"/>
    </row>
    <row r="27" spans="1:17" ht="15" x14ac:dyDescent="0.3">
      <c r="B27">
        <v>0.41</v>
      </c>
      <c r="C27">
        <v>0.39400000000000002</v>
      </c>
      <c r="D27" s="34">
        <f t="shared" si="2"/>
        <v>0.40200000000000002</v>
      </c>
      <c r="E27" s="34">
        <f t="shared" si="3"/>
        <v>0.35600000000000004</v>
      </c>
      <c r="F27" s="34">
        <f t="shared" si="4"/>
        <v>-0.44855000202712475</v>
      </c>
      <c r="G27" s="35">
        <f t="shared" si="5"/>
        <v>0.18179113399479049</v>
      </c>
      <c r="H27" s="35">
        <f t="shared" si="6"/>
        <v>1.5198164259676179</v>
      </c>
      <c r="I27" s="36">
        <v>500</v>
      </c>
      <c r="J27" s="37">
        <f t="shared" si="7"/>
        <v>759.90821298380899</v>
      </c>
      <c r="K27" s="37">
        <f t="shared" si="8"/>
        <v>37.995410649190454</v>
      </c>
      <c r="L27" s="38">
        <f t="shared" si="10"/>
        <v>39.681573327889723</v>
      </c>
      <c r="M27" s="39">
        <f t="shared" si="9"/>
        <v>0.79363146655779448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0.63900000000000001</v>
      </c>
      <c r="C31">
        <v>0.64700000000000002</v>
      </c>
      <c r="D31" s="34">
        <f t="shared" ref="D31:D36" si="11">AVERAGE(B31:C31)</f>
        <v>0.64300000000000002</v>
      </c>
      <c r="E31" s="34">
        <f t="shared" ref="E31:E36" si="12">D31-E$8</f>
        <v>0.59699999999999998</v>
      </c>
      <c r="F31" s="34">
        <f>LOG(E31)</f>
        <v>-0.22402566887063094</v>
      </c>
      <c r="G31" s="35">
        <f>(F31-$B$16)/$B$15</f>
        <v>0.41538200204835829</v>
      </c>
      <c r="H31" s="35">
        <f>10^G31</f>
        <v>2.6024476494370261</v>
      </c>
      <c r="I31" s="36">
        <v>500</v>
      </c>
      <c r="J31" s="37">
        <f>(H31*I31)</f>
        <v>1301.223824718513</v>
      </c>
      <c r="K31" s="37">
        <f>(0.05*J31/1000)*1000</f>
        <v>65.061191235925648</v>
      </c>
      <c r="L31" s="38">
        <f>K31+K50</f>
        <v>65.710113945023153</v>
      </c>
      <c r="M31" s="39">
        <f>(L31*1000000/50000)/1000</f>
        <v>1.314202278900463</v>
      </c>
      <c r="N31" s="43"/>
      <c r="Q31" s="11"/>
    </row>
    <row r="32" spans="1:17" ht="15" x14ac:dyDescent="0.3">
      <c r="B32">
        <v>0.58499999999999996</v>
      </c>
      <c r="C32">
        <v>0.59199999999999997</v>
      </c>
      <c r="D32" s="34">
        <f t="shared" si="11"/>
        <v>0.58850000000000002</v>
      </c>
      <c r="E32" s="34">
        <f t="shared" si="12"/>
        <v>0.54249999999999998</v>
      </c>
      <c r="F32" s="34">
        <f t="shared" ref="F32:F36" si="13">LOG(E32)</f>
        <v>-0.26560025747943289</v>
      </c>
      <c r="G32" s="35">
        <f t="shared" ref="G32:G36" si="14">(F32-$B$16)/$B$15</f>
        <v>0.37212858668098636</v>
      </c>
      <c r="H32" s="35">
        <f t="shared" ref="H32:H36" si="15">10^G32</f>
        <v>2.3557466743049198</v>
      </c>
      <c r="I32" s="36">
        <v>500</v>
      </c>
      <c r="J32" s="37">
        <f t="shared" ref="J32:J36" si="16">(H32*I32)</f>
        <v>1177.87333715246</v>
      </c>
      <c r="K32" s="37">
        <f t="shared" ref="K32:K36" si="17">(0.05*J32/1000)*1000</f>
        <v>58.893666857623003</v>
      </c>
      <c r="L32" s="38">
        <f>K32+K51</f>
        <v>59.542589566720508</v>
      </c>
      <c r="M32" s="39">
        <f t="shared" ref="M32:M36" si="18">(L32*1000000/50000)/1000</f>
        <v>1.1908517913344101</v>
      </c>
      <c r="N32" s="44"/>
      <c r="Q32" s="11"/>
    </row>
    <row r="33" spans="1:19" ht="15" x14ac:dyDescent="0.3">
      <c r="B33">
        <v>0.61399999999999999</v>
      </c>
      <c r="C33">
        <v>0.58299999999999996</v>
      </c>
      <c r="D33" s="34">
        <f t="shared" si="11"/>
        <v>0.59850000000000003</v>
      </c>
      <c r="E33" s="34">
        <f t="shared" si="12"/>
        <v>0.55249999999999999</v>
      </c>
      <c r="F33" s="34">
        <f t="shared" si="13"/>
        <v>-0.25766771764285168</v>
      </c>
      <c r="G33" s="35">
        <f t="shared" si="14"/>
        <v>0.38038145103758592</v>
      </c>
      <c r="H33" s="35">
        <f t="shared" si="15"/>
        <v>2.4009407958430522</v>
      </c>
      <c r="I33" s="36">
        <v>500</v>
      </c>
      <c r="J33" s="37">
        <f t="shared" si="16"/>
        <v>1200.470397921526</v>
      </c>
      <c r="K33" s="37">
        <f t="shared" si="17"/>
        <v>60.023519896076301</v>
      </c>
      <c r="L33" s="38">
        <f t="shared" ref="L33:L36" si="19">K33+K52</f>
        <v>60.746865992610502</v>
      </c>
      <c r="M33" s="39">
        <f t="shared" si="18"/>
        <v>1.21493731985221</v>
      </c>
      <c r="N33" s="44"/>
      <c r="Q33" s="11"/>
    </row>
    <row r="34" spans="1:19" ht="15" x14ac:dyDescent="0.3">
      <c r="A34" s="8" t="s">
        <v>29</v>
      </c>
      <c r="B34">
        <v>0.41499999999999998</v>
      </c>
      <c r="C34">
        <v>0.42299999999999999</v>
      </c>
      <c r="D34" s="34">
        <f t="shared" si="11"/>
        <v>0.41899999999999998</v>
      </c>
      <c r="E34" s="34">
        <f t="shared" si="12"/>
        <v>0.373</v>
      </c>
      <c r="F34" s="34">
        <f t="shared" si="13"/>
        <v>-0.42829116819131241</v>
      </c>
      <c r="G34" s="35">
        <f t="shared" si="14"/>
        <v>0.20286804140581036</v>
      </c>
      <c r="H34" s="35">
        <f t="shared" si="15"/>
        <v>1.5953943195740952</v>
      </c>
      <c r="I34" s="36">
        <v>500</v>
      </c>
      <c r="J34" s="37">
        <f t="shared" si="16"/>
        <v>797.69715978704755</v>
      </c>
      <c r="K34" s="37">
        <f t="shared" si="17"/>
        <v>39.884857989352383</v>
      </c>
      <c r="L34" s="38">
        <f t="shared" si="19"/>
        <v>41.205660310335048</v>
      </c>
      <c r="M34" s="39">
        <f t="shared" si="18"/>
        <v>0.82411320620670092</v>
      </c>
      <c r="N34" s="44"/>
      <c r="Q34" s="11"/>
    </row>
    <row r="35" spans="1:19" ht="15" x14ac:dyDescent="0.3">
      <c r="B35">
        <v>0.47799999999999998</v>
      </c>
      <c r="C35">
        <v>0.45700000000000002</v>
      </c>
      <c r="D35" s="34">
        <f t="shared" si="11"/>
        <v>0.46750000000000003</v>
      </c>
      <c r="E35" s="34">
        <f t="shared" si="12"/>
        <v>0.42150000000000004</v>
      </c>
      <c r="F35" s="34">
        <f t="shared" si="13"/>
        <v>-0.37520242103923884</v>
      </c>
      <c r="G35" s="35">
        <f t="shared" si="14"/>
        <v>0.25810056946541132</v>
      </c>
      <c r="H35" s="35">
        <f t="shared" si="15"/>
        <v>1.8117595927652941</v>
      </c>
      <c r="I35" s="36">
        <v>500</v>
      </c>
      <c r="J35" s="37">
        <f t="shared" si="16"/>
        <v>905.87979638264699</v>
      </c>
      <c r="K35" s="37">
        <f t="shared" si="17"/>
        <v>45.293989819132349</v>
      </c>
      <c r="L35" s="38">
        <f t="shared" si="19"/>
        <v>46.538538350315967</v>
      </c>
      <c r="M35" s="39">
        <f t="shared" si="18"/>
        <v>0.93077076700631922</v>
      </c>
      <c r="N35" s="44"/>
      <c r="Q35" s="11"/>
      <c r="S35" s="11"/>
    </row>
    <row r="36" spans="1:19" ht="15" x14ac:dyDescent="0.3">
      <c r="B36">
        <v>0.41</v>
      </c>
      <c r="C36">
        <v>0.39400000000000002</v>
      </c>
      <c r="D36" s="34">
        <f t="shared" si="11"/>
        <v>0.40200000000000002</v>
      </c>
      <c r="E36" s="34">
        <f t="shared" si="12"/>
        <v>0.35600000000000004</v>
      </c>
      <c r="F36" s="34">
        <f t="shared" si="13"/>
        <v>-0.44855000202712475</v>
      </c>
      <c r="G36" s="35">
        <f t="shared" si="14"/>
        <v>0.18179113399479049</v>
      </c>
      <c r="H36" s="35">
        <f t="shared" si="15"/>
        <v>1.5198164259676179</v>
      </c>
      <c r="I36" s="36">
        <v>500</v>
      </c>
      <c r="J36" s="37">
        <f t="shared" si="16"/>
        <v>759.90821298380899</v>
      </c>
      <c r="K36" s="37">
        <f t="shared" si="17"/>
        <v>37.995410649190454</v>
      </c>
      <c r="L36" s="38">
        <f t="shared" si="19"/>
        <v>39.015763993901921</v>
      </c>
      <c r="M36" s="39">
        <f t="shared" si="18"/>
        <v>0.7803152798780385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0.124</v>
      </c>
      <c r="C40">
        <v>0.125</v>
      </c>
      <c r="D40" s="34">
        <f>AVERAGE(B40,C40)</f>
        <v>0.1245</v>
      </c>
      <c r="E40" s="34">
        <f t="shared" ref="E40:E45" si="20">D40-E$8</f>
        <v>7.85E-2</v>
      </c>
      <c r="F40" s="34">
        <f t="shared" ref="F40:F45" si="21">LOG(E40)</f>
        <v>-1.1051303432547475</v>
      </c>
      <c r="G40" s="35">
        <f t="shared" ref="G40:G45" si="22">(F40-$B$16)/$B$15</f>
        <v>-0.50130263004444253</v>
      </c>
      <c r="H40" s="34">
        <f t="shared" ref="H40:H45" si="23">10^G40</f>
        <v>0.31528068828106176</v>
      </c>
      <c r="I40" s="48">
        <v>16</v>
      </c>
      <c r="J40" s="49">
        <f t="shared" ref="J40:J45" si="24">H40*I40</f>
        <v>5.0444910124969882</v>
      </c>
      <c r="K40" s="37">
        <f>(0.1*J40/1000)*1000</f>
        <v>0.50444910124969888</v>
      </c>
      <c r="L40" s="50">
        <f>K40*100/L22</f>
        <v>0.76184011196626589</v>
      </c>
      <c r="M40" s="51">
        <f>AVERAGE(L40:L42)</f>
        <v>0.81882255544355986</v>
      </c>
      <c r="N40" s="52">
        <f>STDEV(L40:L42)</f>
        <v>0.11235993106480704</v>
      </c>
      <c r="R40" s="11"/>
      <c r="S40" s="11"/>
    </row>
    <row r="41" spans="1:19" ht="15" x14ac:dyDescent="0.3">
      <c r="B41">
        <v>0.115</v>
      </c>
      <c r="C41">
        <v>0.11700000000000001</v>
      </c>
      <c r="D41" s="34">
        <f>AVERAGE(B41,C41)</f>
        <v>0.11600000000000001</v>
      </c>
      <c r="E41" s="34">
        <f t="shared" si="20"/>
        <v>7.0000000000000007E-2</v>
      </c>
      <c r="F41" s="34">
        <f t="shared" si="21"/>
        <v>-1.1549019599857431</v>
      </c>
      <c r="G41" s="35">
        <f t="shared" si="22"/>
        <v>-0.55308407837645601</v>
      </c>
      <c r="H41" s="34">
        <f t="shared" si="23"/>
        <v>0.27984394959724712</v>
      </c>
      <c r="I41" s="48">
        <v>16</v>
      </c>
      <c r="J41" s="49">
        <f t="shared" si="24"/>
        <v>4.4775031935559539</v>
      </c>
      <c r="K41" s="37">
        <f t="shared" ref="K41:K45" si="25">(0.1*J41/1000)*1000</f>
        <v>0.44775031935559539</v>
      </c>
      <c r="L41" s="50">
        <f t="shared" ref="L41:L45" si="26">K41*100/L23</f>
        <v>0.74637069935908018</v>
      </c>
      <c r="M41" s="51"/>
      <c r="N41" s="52"/>
      <c r="R41" s="11"/>
      <c r="S41" s="11"/>
    </row>
    <row r="42" spans="1:19" s="24" customFormat="1" ht="15" x14ac:dyDescent="0.3">
      <c r="A42" s="8"/>
      <c r="B42">
        <v>0.13800000000000001</v>
      </c>
      <c r="C42">
        <v>0.13400000000000001</v>
      </c>
      <c r="D42" s="34">
        <f>AVERAGE(B42,C42)</f>
        <v>0.13600000000000001</v>
      </c>
      <c r="E42" s="34">
        <f t="shared" si="20"/>
        <v>9.0000000000000011E-2</v>
      </c>
      <c r="F42" s="34">
        <f t="shared" si="21"/>
        <v>-1.045757490560675</v>
      </c>
      <c r="G42" s="35">
        <f t="shared" si="22"/>
        <v>-0.4395322374787588</v>
      </c>
      <c r="H42" s="34">
        <f t="shared" si="23"/>
        <v>0.3634693233847327</v>
      </c>
      <c r="I42" s="48">
        <v>16</v>
      </c>
      <c r="J42" s="49">
        <f t="shared" si="24"/>
        <v>5.8155091741557232</v>
      </c>
      <c r="K42" s="37">
        <f t="shared" si="25"/>
        <v>0.5815509174155723</v>
      </c>
      <c r="L42" s="50">
        <f t="shared" si="26"/>
        <v>0.94825685500533341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0.14399999999999999</v>
      </c>
      <c r="C43">
        <v>0.155</v>
      </c>
      <c r="D43" s="34">
        <f t="shared" ref="D43:D45" si="27">AVERAGE(B43,C43)</f>
        <v>0.14949999999999999</v>
      </c>
      <c r="E43" s="34">
        <f t="shared" si="20"/>
        <v>0.10349999999999999</v>
      </c>
      <c r="F43" s="34">
        <f t="shared" si="21"/>
        <v>-0.98505965020706343</v>
      </c>
      <c r="G43" s="35">
        <f t="shared" si="22"/>
        <v>-0.3763833528218134</v>
      </c>
      <c r="H43" s="34">
        <f t="shared" si="23"/>
        <v>0.4203554157999943</v>
      </c>
      <c r="I43" s="48">
        <v>16</v>
      </c>
      <c r="J43" s="49">
        <f t="shared" si="24"/>
        <v>6.7256866527999088</v>
      </c>
      <c r="K43" s="37">
        <f t="shared" si="25"/>
        <v>0.67256866527999093</v>
      </c>
      <c r="L43" s="50">
        <f t="shared" si="26"/>
        <v>1.6060102868046686</v>
      </c>
      <c r="M43" s="51">
        <f>AVERAGE(L43:L45)</f>
        <v>1.5271702681557116</v>
      </c>
      <c r="N43" s="52">
        <f>STDEV(L43:L45)</f>
        <v>0.20201800661832556</v>
      </c>
      <c r="R43" s="11"/>
      <c r="S43" s="11"/>
    </row>
    <row r="44" spans="1:19" ht="15" x14ac:dyDescent="0.3">
      <c r="A44" s="53"/>
      <c r="B44">
        <v>0.14199999999999999</v>
      </c>
      <c r="C44">
        <v>0.13900000000000001</v>
      </c>
      <c r="D44" s="34">
        <f t="shared" si="27"/>
        <v>0.14050000000000001</v>
      </c>
      <c r="E44" s="34">
        <f t="shared" si="20"/>
        <v>9.4500000000000015E-2</v>
      </c>
      <c r="F44" s="34">
        <f t="shared" si="21"/>
        <v>-1.024568191490737</v>
      </c>
      <c r="G44" s="35">
        <f t="shared" si="22"/>
        <v>-0.4174872916432284</v>
      </c>
      <c r="H44" s="34">
        <f t="shared" si="23"/>
        <v>0.38239544317771668</v>
      </c>
      <c r="I44" s="48">
        <v>16</v>
      </c>
      <c r="J44" s="49">
        <f t="shared" si="24"/>
        <v>6.1183270908434668</v>
      </c>
      <c r="K44" s="37">
        <f t="shared" si="25"/>
        <v>0.61183270908434673</v>
      </c>
      <c r="L44" s="50">
        <f t="shared" si="26"/>
        <v>1.2976201360399822</v>
      </c>
      <c r="M44" s="51"/>
      <c r="N44" s="52"/>
    </row>
    <row r="45" spans="1:19" ht="15" x14ac:dyDescent="0.3">
      <c r="A45" s="54"/>
      <c r="B45">
        <v>0.15</v>
      </c>
      <c r="C45">
        <v>0.14699999999999999</v>
      </c>
      <c r="D45" s="34">
        <f t="shared" si="27"/>
        <v>0.14849999999999999</v>
      </c>
      <c r="E45" s="34">
        <f t="shared" si="20"/>
        <v>0.10249999999999999</v>
      </c>
      <c r="F45" s="34">
        <f t="shared" si="21"/>
        <v>-0.98927613460822694</v>
      </c>
      <c r="G45" s="35">
        <f t="shared" si="22"/>
        <v>-0.38077010341385553</v>
      </c>
      <c r="H45" s="34">
        <f t="shared" si="23"/>
        <v>0.41613083374237608</v>
      </c>
      <c r="I45" s="48">
        <v>16</v>
      </c>
      <c r="J45" s="49">
        <f t="shared" si="24"/>
        <v>6.6580933398780173</v>
      </c>
      <c r="K45" s="37">
        <f t="shared" si="25"/>
        <v>0.66580933398780173</v>
      </c>
      <c r="L45" s="50">
        <f t="shared" si="26"/>
        <v>1.6778803816224837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0.14399999999999999</v>
      </c>
      <c r="C50">
        <v>0.14799999999999999</v>
      </c>
      <c r="D50" s="34">
        <f t="shared" ref="D50:D52" si="28">AVERAGE(B50,C50)</f>
        <v>0.14599999999999999</v>
      </c>
      <c r="E50" s="34">
        <f t="shared" ref="E50:E55" si="29">D50-E$8</f>
        <v>9.9999999999999992E-2</v>
      </c>
      <c r="F50" s="34">
        <f t="shared" ref="F50:F55" si="30">LOG(E50)</f>
        <v>-1</v>
      </c>
      <c r="G50" s="35">
        <f t="shared" ref="G50:G55" si="31">(F50-$B$16)/$B$15</f>
        <v>-0.39192701006418235</v>
      </c>
      <c r="H50" s="34">
        <f t="shared" ref="H50:H55" si="32">10^G50</f>
        <v>0.40557669318594231</v>
      </c>
      <c r="I50" s="48">
        <v>16</v>
      </c>
      <c r="J50" s="49">
        <f t="shared" ref="J50:J55" si="33">H50*I50</f>
        <v>6.4892270909750769</v>
      </c>
      <c r="K50" s="37">
        <f>(0.1*J50/1000)*1000</f>
        <v>0.64892270909750771</v>
      </c>
      <c r="L50" s="50">
        <f t="shared" ref="L50:L55" si="34">K50*100/L31</f>
        <v>0.98755377237731423</v>
      </c>
      <c r="M50" s="51">
        <f>AVERAGE(L50:L52)</f>
        <v>1.0893848881296575</v>
      </c>
      <c r="N50" s="52">
        <f>STDEV(L50:L52)</f>
        <v>0.1016011957996357</v>
      </c>
      <c r="O50" s="10">
        <f>L50/L40</f>
        <v>1.2962743190674146</v>
      </c>
      <c r="P50" s="51">
        <f>AVERAGE(O50:O52)</f>
        <v>1.3373995700864221</v>
      </c>
      <c r="Q50" s="52">
        <f>STDEV(O50:O52)</f>
        <v>0.10825841291072788</v>
      </c>
      <c r="S50" s="11"/>
      <c r="T50" s="11"/>
    </row>
    <row r="51" spans="1:25" ht="15" x14ac:dyDescent="0.3">
      <c r="B51">
        <v>0.14699999999999999</v>
      </c>
      <c r="C51">
        <v>0.14499999999999999</v>
      </c>
      <c r="D51" s="34">
        <f t="shared" si="28"/>
        <v>0.14599999999999999</v>
      </c>
      <c r="E51" s="34">
        <f t="shared" si="29"/>
        <v>9.9999999999999992E-2</v>
      </c>
      <c r="F51" s="34">
        <f t="shared" si="30"/>
        <v>-1</v>
      </c>
      <c r="G51" s="35">
        <f t="shared" si="31"/>
        <v>-0.39192701006418235</v>
      </c>
      <c r="H51" s="34">
        <f t="shared" si="32"/>
        <v>0.40557669318594231</v>
      </c>
      <c r="I51" s="48">
        <v>16</v>
      </c>
      <c r="J51" s="49">
        <f t="shared" si="33"/>
        <v>6.4892270909750769</v>
      </c>
      <c r="K51" s="37">
        <f t="shared" ref="K51:K55" si="35">(0.1*J51/1000)*1000</f>
        <v>0.64892270909750771</v>
      </c>
      <c r="L51" s="50">
        <f t="shared" si="34"/>
        <v>1.089846299631219</v>
      </c>
      <c r="M51" s="51"/>
      <c r="N51" s="52"/>
      <c r="O51" s="10">
        <f t="shared" ref="O51:O55" si="36">L51/L41</f>
        <v>1.4601943787009413</v>
      </c>
      <c r="P51" s="51"/>
      <c r="Q51" s="52"/>
      <c r="S51" s="11"/>
      <c r="T51" s="11"/>
    </row>
    <row r="52" spans="1:25" ht="15" x14ac:dyDescent="0.3">
      <c r="B52">
        <v>0.158</v>
      </c>
      <c r="C52">
        <v>0.156</v>
      </c>
      <c r="D52" s="34">
        <f t="shared" si="28"/>
        <v>0.157</v>
      </c>
      <c r="E52" s="34">
        <f t="shared" si="29"/>
        <v>0.111</v>
      </c>
      <c r="F52" s="34">
        <f t="shared" si="30"/>
        <v>-0.95467702121334252</v>
      </c>
      <c r="G52" s="35">
        <f t="shared" si="31"/>
        <v>-0.3447738404780174</v>
      </c>
      <c r="H52" s="34">
        <f t="shared" si="32"/>
        <v>0.45209131033387545</v>
      </c>
      <c r="I52" s="48">
        <v>16</v>
      </c>
      <c r="J52" s="49">
        <f t="shared" si="33"/>
        <v>7.2334609653420072</v>
      </c>
      <c r="K52" s="37">
        <f t="shared" si="35"/>
        <v>0.72334609653420079</v>
      </c>
      <c r="L52" s="50">
        <f t="shared" si="34"/>
        <v>1.190754592380439</v>
      </c>
      <c r="M52" s="51"/>
      <c r="N52" s="52"/>
      <c r="O52" s="10">
        <f t="shared" si="36"/>
        <v>1.2557300124909108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0.247</v>
      </c>
      <c r="C53">
        <v>0.24099999999999999</v>
      </c>
      <c r="D53" s="34">
        <f>AVERAGE(B53:C53)</f>
        <v>0.24399999999999999</v>
      </c>
      <c r="E53" s="34">
        <f t="shared" si="29"/>
        <v>0.19800000000000001</v>
      </c>
      <c r="F53" s="34">
        <f t="shared" si="30"/>
        <v>-0.70333480973846885</v>
      </c>
      <c r="G53" s="35">
        <f t="shared" si="31"/>
        <v>-8.3282159235622502E-2</v>
      </c>
      <c r="H53" s="34">
        <f t="shared" si="32"/>
        <v>0.82550145061416558</v>
      </c>
      <c r="I53" s="48">
        <v>16</v>
      </c>
      <c r="J53" s="49">
        <f t="shared" si="33"/>
        <v>13.208023209826649</v>
      </c>
      <c r="K53" s="37">
        <f t="shared" si="35"/>
        <v>1.3208023209826649</v>
      </c>
      <c r="L53" s="50">
        <f t="shared" si="34"/>
        <v>3.2053904998371943</v>
      </c>
      <c r="M53" s="51">
        <f>AVERAGE(L53:L55)</f>
        <v>2.8316187121214025</v>
      </c>
      <c r="N53" s="52">
        <f>STDEV(L53:L55)</f>
        <v>0.32503725872628814</v>
      </c>
      <c r="O53" s="10">
        <f t="shared" si="36"/>
        <v>1.9958717115160363</v>
      </c>
      <c r="P53" s="51">
        <f>AVERAGE(O53:O55)</f>
        <v>1.8717997477372743</v>
      </c>
      <c r="Q53" s="52">
        <f>STDEV(O53:O55)</f>
        <v>0.27313354253293964</v>
      </c>
      <c r="S53" s="11"/>
      <c r="T53" s="11"/>
    </row>
    <row r="54" spans="1:25" ht="15" x14ac:dyDescent="0.3">
      <c r="A54" s="53"/>
      <c r="B54">
        <v>0.24</v>
      </c>
      <c r="C54">
        <v>0.22600000000000001</v>
      </c>
      <c r="D54" s="34">
        <f>AVERAGE(B54:C54)</f>
        <v>0.23299999999999998</v>
      </c>
      <c r="E54" s="34">
        <f t="shared" si="29"/>
        <v>0.187</v>
      </c>
      <c r="F54" s="34">
        <f t="shared" si="30"/>
        <v>-0.72815839346350109</v>
      </c>
      <c r="G54" s="35">
        <f t="shared" si="31"/>
        <v>-0.10910814606302392</v>
      </c>
      <c r="H54" s="34">
        <f t="shared" si="32"/>
        <v>0.77784283198976234</v>
      </c>
      <c r="I54" s="48">
        <v>16</v>
      </c>
      <c r="J54" s="49">
        <f t="shared" si="33"/>
        <v>12.445485311836197</v>
      </c>
      <c r="K54" s="37">
        <f t="shared" si="35"/>
        <v>1.2445485311836197</v>
      </c>
      <c r="L54" s="50">
        <f t="shared" si="34"/>
        <v>2.6742320994599305</v>
      </c>
      <c r="M54" s="51"/>
      <c r="N54" s="52"/>
      <c r="O54" s="10">
        <f t="shared" si="36"/>
        <v>2.0608743847186508</v>
      </c>
      <c r="P54" s="51"/>
      <c r="Q54" s="52"/>
      <c r="S54" s="11"/>
      <c r="T54" s="11"/>
    </row>
    <row r="55" spans="1:25" ht="15" x14ac:dyDescent="0.3">
      <c r="A55" s="54"/>
      <c r="B55">
        <v>0.20200000000000001</v>
      </c>
      <c r="C55">
        <v>0.19900000000000001</v>
      </c>
      <c r="D55" s="34">
        <f>AVERAGE(B55:C55)</f>
        <v>0.20050000000000001</v>
      </c>
      <c r="E55" s="34">
        <f t="shared" si="29"/>
        <v>0.15450000000000003</v>
      </c>
      <c r="F55" s="34">
        <f t="shared" si="30"/>
        <v>-0.81107151623914653</v>
      </c>
      <c r="G55" s="35">
        <f t="shared" si="31"/>
        <v>-0.19536939022267458</v>
      </c>
      <c r="H55" s="34">
        <f t="shared" si="32"/>
        <v>0.63772084044466648</v>
      </c>
      <c r="I55" s="48">
        <v>16</v>
      </c>
      <c r="J55" s="49">
        <f t="shared" si="33"/>
        <v>10.203533447114664</v>
      </c>
      <c r="K55" s="37">
        <f t="shared" si="35"/>
        <v>1.0203533447114663</v>
      </c>
      <c r="L55" s="50">
        <f t="shared" si="34"/>
        <v>2.6152335370670823</v>
      </c>
      <c r="M55" s="51"/>
      <c r="N55" s="52"/>
      <c r="O55" s="10">
        <f t="shared" si="36"/>
        <v>1.5586531469771361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1.3373995700864221</v>
      </c>
      <c r="O58" s="51">
        <f>Q50</f>
        <v>0.10825841291072788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1.8717997477372743</v>
      </c>
      <c r="O59" s="51">
        <f>Q53</f>
        <v>0.27313354253293964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0.81882255544355986</v>
      </c>
      <c r="C65" s="51">
        <f>N40</f>
        <v>0.11235993106480704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1.0893848881296575</v>
      </c>
      <c r="C66" s="51">
        <f>N50</f>
        <v>0.1016011957996357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1.5271702681557116</v>
      </c>
      <c r="C67" s="51">
        <f>N43</f>
        <v>0.20201800661832556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2.8316187121214025</v>
      </c>
      <c r="C68" s="51">
        <f>N53</f>
        <v>0.32503725872628814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siNTP</vt:lpstr>
      <vt:lpstr>siSLC30A8</vt:lpstr>
      <vt:lpstr>siNTP!Zone_d_impression</vt:lpstr>
      <vt:lpstr>siSLC30A8!Zone_d_impression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2016-03-18T15:14:23Z</dcterms:modified>
</cp:coreProperties>
</file>