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esktop\"/>
    </mc:Choice>
  </mc:AlternateContent>
  <bookViews>
    <workbookView xWindow="0" yWindow="0" windowWidth="28800" windowHeight="12435"/>
  </bookViews>
  <sheets>
    <sheet name="siNTP" sheetId="5" r:id="rId1"/>
    <sheet name="siGCK" sheetId="1" r:id="rId2"/>
    <sheet name="siSSR1" sheetId="3" r:id="rId3"/>
    <sheet name="siSLC30A8" sheetId="4" r:id="rId4"/>
  </sheets>
  <externalReferences>
    <externalReference r:id="rId5"/>
  </externalReferences>
  <definedNames>
    <definedName name="_xlnm.Print_Area" localSheetId="1">siGCK!$A$6:$Q$83</definedName>
    <definedName name="_xlnm.Print_Area" localSheetId="0">siNTP!$A$6:$Q$83</definedName>
    <definedName name="_xlnm.Print_Area" localSheetId="3">siSLC30A8!$A$6:$Q$83</definedName>
    <definedName name="_xlnm.Print_Area" localSheetId="2">siSSR1!$A$6:$Q$83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13" i="4"/>
  <c r="B12" i="4"/>
  <c r="B11" i="4"/>
  <c r="B10" i="4"/>
  <c r="B9" i="4"/>
  <c r="B13" i="3"/>
  <c r="B12" i="3"/>
  <c r="B11" i="3"/>
  <c r="B10" i="3"/>
  <c r="B9" i="3"/>
  <c r="B13" i="5"/>
  <c r="B12" i="5"/>
  <c r="G12" i="5" s="1"/>
  <c r="B11" i="5"/>
  <c r="G11" i="5" s="1"/>
  <c r="B10" i="5"/>
  <c r="B9" i="5"/>
  <c r="D55" i="5"/>
  <c r="D54" i="5"/>
  <c r="E54" i="5" s="1"/>
  <c r="F54" i="5" s="1"/>
  <c r="D53" i="5"/>
  <c r="D52" i="5"/>
  <c r="D51" i="5"/>
  <c r="E51" i="5" s="1"/>
  <c r="F51" i="5" s="1"/>
  <c r="D50" i="5"/>
  <c r="D45" i="5"/>
  <c r="D44" i="5"/>
  <c r="D43" i="5"/>
  <c r="E43" i="5" s="1"/>
  <c r="F43" i="5" s="1"/>
  <c r="D42" i="5"/>
  <c r="D41" i="5"/>
  <c r="E41" i="5" s="1"/>
  <c r="F41" i="5" s="1"/>
  <c r="D40" i="5"/>
  <c r="D36" i="5"/>
  <c r="D35" i="5"/>
  <c r="E35" i="5" s="1"/>
  <c r="F35" i="5" s="1"/>
  <c r="D34" i="5"/>
  <c r="D33" i="5"/>
  <c r="D32" i="5"/>
  <c r="E32" i="5" s="1"/>
  <c r="F32" i="5" s="1"/>
  <c r="D31" i="5"/>
  <c r="D27" i="5"/>
  <c r="D26" i="5"/>
  <c r="E26" i="5" s="1"/>
  <c r="F26" i="5" s="1"/>
  <c r="D25" i="5"/>
  <c r="D24" i="5"/>
  <c r="D23" i="5"/>
  <c r="E23" i="5" s="1"/>
  <c r="F23" i="5" s="1"/>
  <c r="D22" i="5"/>
  <c r="E13" i="5"/>
  <c r="F13" i="5" s="1"/>
  <c r="H13" i="5" s="1"/>
  <c r="G13" i="5"/>
  <c r="E12" i="5"/>
  <c r="F12" i="5" s="1"/>
  <c r="H12" i="5" s="1"/>
  <c r="E11" i="5"/>
  <c r="F11" i="5" s="1"/>
  <c r="H11" i="5" s="1"/>
  <c r="E10" i="5"/>
  <c r="G10" i="5"/>
  <c r="F9" i="5"/>
  <c r="H9" i="5" s="1"/>
  <c r="E9" i="5"/>
  <c r="G9" i="5"/>
  <c r="E8" i="5"/>
  <c r="E34" i="5" l="1"/>
  <c r="F34" i="5" s="1"/>
  <c r="E36" i="5"/>
  <c r="F36" i="5" s="1"/>
  <c r="E55" i="5"/>
  <c r="F55" i="5" s="1"/>
  <c r="E22" i="5"/>
  <c r="F22" i="5" s="1"/>
  <c r="E25" i="5"/>
  <c r="F25" i="5" s="1"/>
  <c r="E31" i="5"/>
  <c r="F31" i="5" s="1"/>
  <c r="E50" i="5"/>
  <c r="F50" i="5" s="1"/>
  <c r="E53" i="5"/>
  <c r="F53" i="5" s="1"/>
  <c r="E33" i="5"/>
  <c r="F33" i="5" s="1"/>
  <c r="E44" i="5"/>
  <c r="F44" i="5" s="1"/>
  <c r="F10" i="5"/>
  <c r="H10" i="5" s="1"/>
  <c r="B15" i="5" s="1"/>
  <c r="E24" i="5"/>
  <c r="F24" i="5" s="1"/>
  <c r="E40" i="5"/>
  <c r="F40" i="5" s="1"/>
  <c r="E42" i="5"/>
  <c r="F42" i="5" s="1"/>
  <c r="E45" i="5"/>
  <c r="F45" i="5" s="1"/>
  <c r="E52" i="5"/>
  <c r="F52" i="5" s="1"/>
  <c r="E27" i="5"/>
  <c r="F27" i="5" s="1"/>
  <c r="B16" i="5" l="1"/>
  <c r="G40" i="5" s="1"/>
  <c r="H40" i="5" s="1"/>
  <c r="J40" i="5" s="1"/>
  <c r="K40" i="5" s="1"/>
  <c r="G36" i="5"/>
  <c r="H36" i="5" s="1"/>
  <c r="J36" i="5" s="1"/>
  <c r="K36" i="5" s="1"/>
  <c r="G42" i="5"/>
  <c r="H42" i="5" s="1"/>
  <c r="J42" i="5" s="1"/>
  <c r="K42" i="5" s="1"/>
  <c r="G44" i="5"/>
  <c r="H44" i="5" s="1"/>
  <c r="J44" i="5" s="1"/>
  <c r="K44" i="5" s="1"/>
  <c r="G34" i="5"/>
  <c r="H34" i="5" s="1"/>
  <c r="J34" i="5" s="1"/>
  <c r="K34" i="5" s="1"/>
  <c r="G22" i="5"/>
  <c r="H22" i="5" s="1"/>
  <c r="J22" i="5" s="1"/>
  <c r="K22" i="5" s="1"/>
  <c r="G33" i="5"/>
  <c r="H33" i="5" s="1"/>
  <c r="J33" i="5" s="1"/>
  <c r="K33" i="5" s="1"/>
  <c r="G43" i="5"/>
  <c r="H43" i="5" s="1"/>
  <c r="J43" i="5" s="1"/>
  <c r="K43" i="5" s="1"/>
  <c r="G50" i="5"/>
  <c r="H50" i="5" s="1"/>
  <c r="J50" i="5" s="1"/>
  <c r="K50" i="5" s="1"/>
  <c r="G55" i="5"/>
  <c r="H55" i="5" s="1"/>
  <c r="J55" i="5" s="1"/>
  <c r="K55" i="5" s="1"/>
  <c r="G23" i="5"/>
  <c r="H23" i="5" s="1"/>
  <c r="J23" i="5" s="1"/>
  <c r="K23" i="5" s="1"/>
  <c r="G25" i="5"/>
  <c r="H25" i="5" s="1"/>
  <c r="J25" i="5" s="1"/>
  <c r="K25" i="5" s="1"/>
  <c r="L22" i="5" l="1"/>
  <c r="M22" i="5" s="1"/>
  <c r="G41" i="5"/>
  <c r="H41" i="5" s="1"/>
  <c r="J41" i="5" s="1"/>
  <c r="K41" i="5" s="1"/>
  <c r="G31" i="5"/>
  <c r="H31" i="5" s="1"/>
  <c r="J31" i="5" s="1"/>
  <c r="K31" i="5" s="1"/>
  <c r="G27" i="5"/>
  <c r="H27" i="5" s="1"/>
  <c r="J27" i="5" s="1"/>
  <c r="K27" i="5" s="1"/>
  <c r="L27" i="5" s="1"/>
  <c r="M27" i="5" s="1"/>
  <c r="G35" i="5"/>
  <c r="H35" i="5" s="1"/>
  <c r="J35" i="5" s="1"/>
  <c r="K35" i="5" s="1"/>
  <c r="L35" i="5" s="1"/>
  <c r="M35" i="5" s="1"/>
  <c r="G24" i="5"/>
  <c r="H24" i="5" s="1"/>
  <c r="J24" i="5" s="1"/>
  <c r="K24" i="5" s="1"/>
  <c r="G52" i="5"/>
  <c r="H52" i="5" s="1"/>
  <c r="J52" i="5" s="1"/>
  <c r="K52" i="5" s="1"/>
  <c r="L33" i="5" s="1"/>
  <c r="G53" i="5"/>
  <c r="H53" i="5" s="1"/>
  <c r="J53" i="5" s="1"/>
  <c r="K53" i="5" s="1"/>
  <c r="L25" i="5" s="1"/>
  <c r="G26" i="5"/>
  <c r="H26" i="5" s="1"/>
  <c r="J26" i="5" s="1"/>
  <c r="K26" i="5" s="1"/>
  <c r="G45" i="5"/>
  <c r="H45" i="5" s="1"/>
  <c r="J45" i="5" s="1"/>
  <c r="K45" i="5" s="1"/>
  <c r="G54" i="5"/>
  <c r="H54" i="5" s="1"/>
  <c r="J54" i="5" s="1"/>
  <c r="K54" i="5" s="1"/>
  <c r="L26" i="5" s="1"/>
  <c r="M26" i="5" s="1"/>
  <c r="G51" i="5"/>
  <c r="H51" i="5" s="1"/>
  <c r="J51" i="5" s="1"/>
  <c r="K51" i="5" s="1"/>
  <c r="L32" i="5" s="1"/>
  <c r="M32" i="5" s="1"/>
  <c r="G32" i="5"/>
  <c r="H32" i="5" s="1"/>
  <c r="J32" i="5" s="1"/>
  <c r="K32" i="5" s="1"/>
  <c r="L36" i="5"/>
  <c r="M36" i="5" s="1"/>
  <c r="L31" i="5"/>
  <c r="M31" i="5" s="1"/>
  <c r="L40" i="5"/>
  <c r="M33" i="5" l="1"/>
  <c r="L52" i="5"/>
  <c r="L54" i="5"/>
  <c r="L34" i="5"/>
  <c r="M34" i="5" s="1"/>
  <c r="L45" i="5"/>
  <c r="L24" i="5"/>
  <c r="M24" i="5" s="1"/>
  <c r="L23" i="5"/>
  <c r="M23" i="5" s="1"/>
  <c r="M25" i="5"/>
  <c r="L43" i="5"/>
  <c r="M43" i="5" s="1"/>
  <c r="B67" i="5" s="1"/>
  <c r="L42" i="5"/>
  <c r="O52" i="5" s="1"/>
  <c r="N43" i="5"/>
  <c r="C67" i="5" s="1"/>
  <c r="L51" i="5"/>
  <c r="L50" i="5"/>
  <c r="L55" i="5"/>
  <c r="O55" i="5" s="1"/>
  <c r="L44" i="5"/>
  <c r="L53" i="5" l="1"/>
  <c r="O54" i="5"/>
  <c r="L41" i="5"/>
  <c r="N50" i="5"/>
  <c r="C66" i="5" s="1"/>
  <c r="M50" i="5"/>
  <c r="B66" i="5" s="1"/>
  <c r="O50" i="5"/>
  <c r="N53" i="5" l="1"/>
  <c r="C68" i="5" s="1"/>
  <c r="O53" i="5"/>
  <c r="M53" i="5"/>
  <c r="B68" i="5" s="1"/>
  <c r="N40" i="5"/>
  <c r="C65" i="5" s="1"/>
  <c r="M40" i="5"/>
  <c r="B65" i="5" s="1"/>
  <c r="O51" i="5"/>
  <c r="P50" i="5"/>
  <c r="N58" i="5" s="1"/>
  <c r="Q50" i="5"/>
  <c r="O58" i="5" s="1"/>
  <c r="P53" i="5" l="1"/>
  <c r="N59" i="5" s="1"/>
  <c r="Q53" i="5"/>
  <c r="O59" i="5" s="1"/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E40" i="3" s="1"/>
  <c r="F40" i="3" s="1"/>
  <c r="D36" i="3"/>
  <c r="D35" i="3"/>
  <c r="D34" i="3"/>
  <c r="D33" i="3"/>
  <c r="D32" i="3"/>
  <c r="D31" i="3"/>
  <c r="D27" i="3"/>
  <c r="D26" i="3"/>
  <c r="E26" i="3" s="1"/>
  <c r="F26" i="3" s="1"/>
  <c r="D25" i="3"/>
  <c r="D24" i="3"/>
  <c r="D23" i="3"/>
  <c r="D22" i="3"/>
  <c r="G13" i="3"/>
  <c r="E13" i="3"/>
  <c r="G12" i="3"/>
  <c r="E12" i="3"/>
  <c r="E11" i="3"/>
  <c r="G11" i="3"/>
  <c r="E10" i="3"/>
  <c r="G10" i="3"/>
  <c r="G9" i="3"/>
  <c r="E9" i="3"/>
  <c r="F9" i="3" s="1"/>
  <c r="H9" i="3" s="1"/>
  <c r="E8" i="3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G13" i="1"/>
  <c r="E12" i="1"/>
  <c r="G12" i="1"/>
  <c r="G11" i="1"/>
  <c r="E11" i="1"/>
  <c r="E10" i="1"/>
  <c r="G10" i="1"/>
  <c r="E9" i="1"/>
  <c r="G9" i="1"/>
  <c r="E8" i="1"/>
  <c r="F9" i="4" l="1"/>
  <c r="H9" i="4" s="1"/>
  <c r="E40" i="4"/>
  <c r="F40" i="4" s="1"/>
  <c r="F10" i="3"/>
  <c r="H10" i="3" s="1"/>
  <c r="E45" i="4"/>
  <c r="F45" i="4" s="1"/>
  <c r="E24" i="4"/>
  <c r="F24" i="4" s="1"/>
  <c r="E32" i="3"/>
  <c r="F32" i="3" s="1"/>
  <c r="E43" i="3"/>
  <c r="F43" i="3" s="1"/>
  <c r="E51" i="3"/>
  <c r="F51" i="3" s="1"/>
  <c r="E42" i="3"/>
  <c r="F42" i="3" s="1"/>
  <c r="E54" i="3"/>
  <c r="F54" i="3" s="1"/>
  <c r="E54" i="1"/>
  <c r="F54" i="1" s="1"/>
  <c r="E52" i="3"/>
  <c r="F52" i="3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B15" i="4" l="1"/>
  <c r="B16" i="1"/>
  <c r="B15" i="1"/>
  <c r="G53" i="1" s="1"/>
  <c r="H53" i="1" s="1"/>
  <c r="J53" i="1" s="1"/>
  <c r="K53" i="1" s="1"/>
  <c r="B16" i="4"/>
  <c r="G42" i="4" s="1"/>
  <c r="H42" i="4" s="1"/>
  <c r="J42" i="4" s="1"/>
  <c r="K42" i="4" s="1"/>
  <c r="B16" i="3"/>
  <c r="B15" i="3"/>
  <c r="G26" i="1" l="1"/>
  <c r="H26" i="1" s="1"/>
  <c r="J26" i="1" s="1"/>
  <c r="K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G54" i="1"/>
  <c r="H54" i="1" s="1"/>
  <c r="J54" i="1" s="1"/>
  <c r="K54" i="1" s="1"/>
  <c r="G41" i="1"/>
  <c r="H41" i="1" s="1"/>
  <c r="J41" i="1" s="1"/>
  <c r="K41" i="1" s="1"/>
  <c r="G25" i="1"/>
  <c r="H25" i="1" s="1"/>
  <c r="J25" i="1" s="1"/>
  <c r="K25" i="1" s="1"/>
  <c r="G33" i="1"/>
  <c r="H33" i="1" s="1"/>
  <c r="J33" i="1" s="1"/>
  <c r="K33" i="1" s="1"/>
  <c r="G34" i="1"/>
  <c r="H34" i="1" s="1"/>
  <c r="J34" i="1" s="1"/>
  <c r="K34" i="1" s="1"/>
  <c r="L34" i="1" s="1"/>
  <c r="M34" i="1" s="1"/>
  <c r="G31" i="1"/>
  <c r="H31" i="1" s="1"/>
  <c r="J31" i="1" s="1"/>
  <c r="K31" i="1" s="1"/>
  <c r="G52" i="1"/>
  <c r="H52" i="1" s="1"/>
  <c r="J52" i="1" s="1"/>
  <c r="K52" i="1" s="1"/>
  <c r="G35" i="1"/>
  <c r="H35" i="1" s="1"/>
  <c r="J35" i="1" s="1"/>
  <c r="K35" i="1" s="1"/>
  <c r="G55" i="1"/>
  <c r="H55" i="1" s="1"/>
  <c r="J55" i="1" s="1"/>
  <c r="K55" i="1" s="1"/>
  <c r="G50" i="1"/>
  <c r="H50" i="1" s="1"/>
  <c r="J50" i="1" s="1"/>
  <c r="K50" i="1" s="1"/>
  <c r="G51" i="1"/>
  <c r="H51" i="1" s="1"/>
  <c r="J51" i="1" s="1"/>
  <c r="K51" i="1" s="1"/>
  <c r="G32" i="1"/>
  <c r="H32" i="1" s="1"/>
  <c r="J32" i="1" s="1"/>
  <c r="K32" i="1" s="1"/>
  <c r="G40" i="1"/>
  <c r="H40" i="1" s="1"/>
  <c r="J40" i="1" s="1"/>
  <c r="K40" i="1" s="1"/>
  <c r="G36" i="1"/>
  <c r="H36" i="1" s="1"/>
  <c r="J36" i="1" s="1"/>
  <c r="K36" i="1" s="1"/>
  <c r="L36" i="1" s="1"/>
  <c r="M36" i="1" s="1"/>
  <c r="G23" i="1"/>
  <c r="H23" i="1" s="1"/>
  <c r="J23" i="1" s="1"/>
  <c r="K23" i="1" s="1"/>
  <c r="G24" i="1"/>
  <c r="H24" i="1" s="1"/>
  <c r="J24" i="1" s="1"/>
  <c r="K24" i="1" s="1"/>
  <c r="G42" i="1"/>
  <c r="H42" i="1" s="1"/>
  <c r="J42" i="1" s="1"/>
  <c r="K42" i="1" s="1"/>
  <c r="G22" i="1"/>
  <c r="H22" i="1" s="1"/>
  <c r="J22" i="1" s="1"/>
  <c r="K22" i="1" s="1"/>
  <c r="L22" i="1" s="1"/>
  <c r="M22" i="1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L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27" i="1" l="1"/>
  <c r="M27" i="1" s="1"/>
  <c r="L32" i="1"/>
  <c r="M32" i="1" s="1"/>
  <c r="L35" i="1"/>
  <c r="M35" i="1" s="1"/>
  <c r="L31" i="1"/>
  <c r="M31" i="1" s="1"/>
  <c r="L25" i="1"/>
  <c r="M25" i="1" s="1"/>
  <c r="L23" i="1"/>
  <c r="L41" i="1" s="1"/>
  <c r="L27" i="4"/>
  <c r="M27" i="4" s="1"/>
  <c r="L31" i="4"/>
  <c r="M31" i="4" s="1"/>
  <c r="L33" i="4"/>
  <c r="M33" i="4" s="1"/>
  <c r="L22" i="4"/>
  <c r="M22" i="4" s="1"/>
  <c r="L34" i="4"/>
  <c r="M34" i="4" s="1"/>
  <c r="L24" i="1"/>
  <c r="M24" i="1" s="1"/>
  <c r="L33" i="1"/>
  <c r="L26" i="1"/>
  <c r="L25" i="4"/>
  <c r="M25" i="4" s="1"/>
  <c r="L36" i="4"/>
  <c r="M36" i="4" s="1"/>
  <c r="L26" i="4"/>
  <c r="M26" i="4" s="1"/>
  <c r="L23" i="4"/>
  <c r="M23" i="4" s="1"/>
  <c r="M32" i="4"/>
  <c r="L51" i="4"/>
  <c r="L24" i="4"/>
  <c r="L53" i="1"/>
  <c r="L54" i="1"/>
  <c r="L51" i="1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45" i="4"/>
  <c r="L53" i="4"/>
  <c r="L31" i="3"/>
  <c r="M31" i="3" s="1"/>
  <c r="L34" i="3"/>
  <c r="M34" i="3" s="1"/>
  <c r="L32" i="3"/>
  <c r="M32" i="3" s="1"/>
  <c r="L27" i="3"/>
  <c r="M27" i="3" s="1"/>
  <c r="L43" i="3"/>
  <c r="L40" i="1"/>
  <c r="L45" i="1"/>
  <c r="L55" i="1"/>
  <c r="L44" i="4" l="1"/>
  <c r="O54" i="4" s="1"/>
  <c r="L43" i="1"/>
  <c r="L50" i="1"/>
  <c r="M50" i="1" s="1"/>
  <c r="B66" i="1" s="1"/>
  <c r="L40" i="4"/>
  <c r="L41" i="4"/>
  <c r="O51" i="4" s="1"/>
  <c r="M23" i="1"/>
  <c r="L50" i="4"/>
  <c r="L42" i="1"/>
  <c r="N40" i="1" s="1"/>
  <c r="C65" i="1" s="1"/>
  <c r="L52" i="4"/>
  <c r="L43" i="4"/>
  <c r="L55" i="4"/>
  <c r="O55" i="4" s="1"/>
  <c r="M33" i="1"/>
  <c r="L52" i="1"/>
  <c r="O51" i="1"/>
  <c r="M26" i="1"/>
  <c r="L44" i="1"/>
  <c r="O54" i="1" s="1"/>
  <c r="N50" i="4"/>
  <c r="C66" i="4" s="1"/>
  <c r="L53" i="3"/>
  <c r="N53" i="3" s="1"/>
  <c r="C68" i="3" s="1"/>
  <c r="M24" i="4"/>
  <c r="L42" i="4"/>
  <c r="L52" i="3"/>
  <c r="O55" i="1"/>
  <c r="L42" i="3"/>
  <c r="L40" i="3"/>
  <c r="L44" i="3"/>
  <c r="L55" i="3"/>
  <c r="L41" i="3"/>
  <c r="L54" i="3"/>
  <c r="L50" i="3"/>
  <c r="N53" i="4"/>
  <c r="C68" i="4" s="1"/>
  <c r="L45" i="3"/>
  <c r="L51" i="3"/>
  <c r="N53" i="1"/>
  <c r="C68" i="1" s="1"/>
  <c r="M53" i="1"/>
  <c r="B68" i="1" s="1"/>
  <c r="M40" i="1"/>
  <c r="B65" i="1" s="1"/>
  <c r="O53" i="1"/>
  <c r="O50" i="1" l="1"/>
  <c r="Q50" i="1" s="1"/>
  <c r="O58" i="1" s="1"/>
  <c r="M43" i="1"/>
  <c r="B67" i="1" s="1"/>
  <c r="N43" i="1"/>
  <c r="C67" i="1" s="1"/>
  <c r="N40" i="4"/>
  <c r="C65" i="4" s="1"/>
  <c r="N43" i="4"/>
  <c r="C67" i="4" s="1"/>
  <c r="M43" i="4"/>
  <c r="B67" i="4" s="1"/>
  <c r="O50" i="4"/>
  <c r="N50" i="1"/>
  <c r="C66" i="1" s="1"/>
  <c r="M50" i="4"/>
  <c r="B66" i="4" s="1"/>
  <c r="M53" i="4"/>
  <c r="B68" i="4" s="1"/>
  <c r="O53" i="4"/>
  <c r="P53" i="4" s="1"/>
  <c r="N59" i="4" s="1"/>
  <c r="M53" i="3"/>
  <c r="B68" i="3" s="1"/>
  <c r="N40" i="3"/>
  <c r="C65" i="3" s="1"/>
  <c r="O52" i="1"/>
  <c r="O52" i="3"/>
  <c r="O55" i="3"/>
  <c r="O54" i="3"/>
  <c r="P53" i="3" s="1"/>
  <c r="N59" i="3" s="1"/>
  <c r="O53" i="3"/>
  <c r="O52" i="4"/>
  <c r="Q50" i="4" s="1"/>
  <c r="O58" i="4" s="1"/>
  <c r="M40" i="4"/>
  <c r="B65" i="4" s="1"/>
  <c r="N43" i="3"/>
  <c r="C67" i="3" s="1"/>
  <c r="M50" i="3"/>
  <c r="B66" i="3" s="1"/>
  <c r="O50" i="3"/>
  <c r="M40" i="3"/>
  <c r="B65" i="3" s="1"/>
  <c r="O51" i="3"/>
  <c r="N50" i="3"/>
  <c r="C66" i="3" s="1"/>
  <c r="M43" i="3"/>
  <c r="B67" i="3" s="1"/>
  <c r="P50" i="1"/>
  <c r="N58" i="1" s="1"/>
  <c r="Q53" i="1"/>
  <c r="O59" i="1" s="1"/>
  <c r="P53" i="1"/>
  <c r="N59" i="1" s="1"/>
  <c r="P50" i="4" l="1"/>
  <c r="N58" i="4" s="1"/>
  <c r="Q53" i="4"/>
  <c r="O59" i="4" s="1"/>
  <c r="Q53" i="3"/>
  <c r="O59" i="3" s="1"/>
  <c r="Q50" i="3"/>
  <c r="O58" i="3" s="1"/>
  <c r="P50" i="3"/>
  <c r="N58" i="3" s="1"/>
</calcChain>
</file>

<file path=xl/sharedStrings.xml><?xml version="1.0" encoding="utf-8"?>
<sst xmlns="http://schemas.openxmlformats.org/spreadsheetml/2006/main" count="400" uniqueCount="44">
  <si>
    <t>Date</t>
  </si>
  <si>
    <t>passage</t>
  </si>
  <si>
    <t>viabilité</t>
  </si>
  <si>
    <t>operateur</t>
  </si>
  <si>
    <t>Marlene</t>
  </si>
  <si>
    <t>J0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</si>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</sst>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0" borderId="0"/>
  </cellStyleXfs>
  <cellXfs count="86">
    <xf numFmtId="0" fontId="0" fillId="0" borderId="0" xfId="0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6" fillId="0" borderId="0" xfId="1"/>
    <xf numFmtId="0" fontId="3" fillId="0" borderId="1" xfId="1" applyFont="1" applyBorder="1" applyAlignment="1">
      <alignment horizontal="left"/>
    </xf>
    <xf numFmtId="0" fontId="7" fillId="0" borderId="1" xfId="1" applyFont="1" applyBorder="1" applyAlignment="1" applyProtection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4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2" fillId="0" borderId="0" xfId="2" applyFill="1"/>
    <xf numFmtId="0" fontId="8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7" fillId="0" borderId="0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9" fillId="0" borderId="1" xfId="1" applyFont="1" applyBorder="1" applyAlignment="1">
      <alignment horizontal="left"/>
    </xf>
    <xf numFmtId="0" fontId="7" fillId="0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2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9" fillId="0" borderId="0" xfId="1" applyNumberFormat="1" applyFont="1" applyAlignment="1">
      <alignment horizontal="center"/>
    </xf>
    <xf numFmtId="2" fontId="11" fillId="0" borderId="5" xfId="1" applyNumberFormat="1" applyFont="1" applyBorder="1" applyAlignment="1">
      <alignment horizontal="center"/>
    </xf>
    <xf numFmtId="2" fontId="3" fillId="0" borderId="6" xfId="1" applyNumberFormat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1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2" fontId="9" fillId="0" borderId="6" xfId="1" applyNumberFormat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1" fontId="3" fillId="0" borderId="0" xfId="1" applyNumberFormat="1" applyFont="1" applyBorder="1" applyAlignment="1">
      <alignment horizontal="center"/>
    </xf>
    <xf numFmtId="0" fontId="9" fillId="0" borderId="0" xfId="1" applyFont="1" applyFill="1" applyAlignment="1">
      <alignment horizontal="left"/>
    </xf>
    <xf numFmtId="0" fontId="9" fillId="0" borderId="11" xfId="1" applyFont="1" applyBorder="1" applyAlignment="1">
      <alignment horizontal="center"/>
    </xf>
    <xf numFmtId="2" fontId="9" fillId="0" borderId="11" xfId="1" applyNumberFormat="1" applyFont="1" applyBorder="1" applyAlignment="1">
      <alignment horizontal="center"/>
    </xf>
    <xf numFmtId="0" fontId="3" fillId="0" borderId="5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1" applyFont="1" applyFill="1" applyBorder="1" applyAlignment="1">
      <alignment horizontal="left"/>
    </xf>
    <xf numFmtId="2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/>
    </xf>
    <xf numFmtId="2" fontId="9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4" fontId="9" fillId="0" borderId="0" xfId="1" applyNumberFormat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0" fontId="3" fillId="0" borderId="11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</cellXfs>
  <cellStyles count="4">
    <cellStyle name="Normal" xfId="0" builtinId="0"/>
    <cellStyle name="Normal 2" xfId="3"/>
    <cellStyle name="Normal 2 2" xfId="2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-1.4621809049267258</c:v>
                </c:pt>
                <c:pt idx="1">
                  <c:v>-0.93554201077308152</c:v>
                </c:pt>
                <c:pt idx="2">
                  <c:v>-0.49281902273975914</c:v>
                </c:pt>
                <c:pt idx="3">
                  <c:v>1.9116290447072779E-2</c:v>
                </c:pt>
                <c:pt idx="4">
                  <c:v>0.28364038880036752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2824"/>
        <c:axId val="170383208"/>
      </c:scatterChart>
      <c:valAx>
        <c:axId val="1703828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0383208"/>
        <c:crosses val="autoZero"/>
        <c:crossBetween val="midCat"/>
      </c:valAx>
      <c:valAx>
        <c:axId val="1703832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382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siSLC30A8!$G$9:$G$13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siSLC30A8!$H$9:$H$13</c:f>
              <c:numCache>
                <c:formatCode>0.00</c:formatCode>
                <c:ptCount val="5"/>
                <c:pt idx="0">
                  <c:v>-1.4685210829577449</c:v>
                </c:pt>
                <c:pt idx="1">
                  <c:v>-0.98927613460822694</c:v>
                </c:pt>
                <c:pt idx="2">
                  <c:v>-0.55595520408192367</c:v>
                </c:pt>
                <c:pt idx="3">
                  <c:v>-2.4338466818941529E-2</c:v>
                </c:pt>
                <c:pt idx="4">
                  <c:v>0.22595507289601444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2424"/>
        <c:axId val="170272816"/>
      </c:scatterChart>
      <c:valAx>
        <c:axId val="170272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0272816"/>
        <c:crosses val="autoZero"/>
        <c:crossBetween val="midCat"/>
      </c:valAx>
      <c:valAx>
        <c:axId val="1702728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272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siSLC30A8!$C$65:$C$68</c:f>
                <c:numCache>
                  <c:formatCode>General</c:formatCode>
                  <c:ptCount val="4"/>
                  <c:pt idx="0">
                    <c:v>3.7976760763068405E-2</c:v>
                  </c:pt>
                  <c:pt idx="1">
                    <c:v>0.2256344275983285</c:v>
                  </c:pt>
                  <c:pt idx="2">
                    <c:v>0.32287702298771209</c:v>
                  </c:pt>
                  <c:pt idx="3">
                    <c:v>0.2712996740638679</c:v>
                  </c:pt>
                </c:numCache>
              </c:numRef>
            </c:plus>
            <c:minus>
              <c:numRef>
                <c:f>siSLC30A8!$C$65:$C$68</c:f>
                <c:numCache>
                  <c:formatCode>General</c:formatCode>
                  <c:ptCount val="4"/>
                  <c:pt idx="0">
                    <c:v>3.7976760763068405E-2</c:v>
                  </c:pt>
                  <c:pt idx="1">
                    <c:v>0.2256344275983285</c:v>
                  </c:pt>
                  <c:pt idx="2">
                    <c:v>0.32287702298771209</c:v>
                  </c:pt>
                  <c:pt idx="3">
                    <c:v>0.2712996740638679</c:v>
                  </c:pt>
                </c:numCache>
              </c:numRef>
            </c:minus>
          </c:errBars>
          <c:cat>
            <c:strRef>
              <c:f>(siSLC30A8!$A$65,siSLC30A8!$A$66,siSLC30A8!$A$67,siSLC30A8!$A$68)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siSLC30A8!$B$65:$B$68</c:f>
              <c:numCache>
                <c:formatCode>0.0</c:formatCode>
                <c:ptCount val="4"/>
                <c:pt idx="0">
                  <c:v>0.70173026279981998</c:v>
                </c:pt>
                <c:pt idx="1">
                  <c:v>1.1898060271052955</c:v>
                </c:pt>
                <c:pt idx="2">
                  <c:v>1.9748812778858913</c:v>
                </c:pt>
                <c:pt idx="3">
                  <c:v>3.5549090615824297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51768"/>
        <c:axId val="169851376"/>
      </c:barChart>
      <c:catAx>
        <c:axId val="16985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9851376"/>
        <c:crosses val="autoZero"/>
        <c:auto val="1"/>
        <c:lblAlgn val="ctr"/>
        <c:lblOffset val="100"/>
        <c:noMultiLvlLbl val="0"/>
      </c:catAx>
      <c:valAx>
        <c:axId val="169851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9851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siSLC30A8!$O$58:$O$59</c:f>
                <c:numCache>
                  <c:formatCode>General</c:formatCode>
                  <c:ptCount val="2"/>
                  <c:pt idx="0">
                    <c:v>0.22544922356096447</c:v>
                  </c:pt>
                  <c:pt idx="1">
                    <c:v>0.17215482229330212</c:v>
                  </c:pt>
                </c:numCache>
              </c:numRef>
            </c:plus>
            <c:minus>
              <c:numRef>
                <c:f>siSLC30A8!$O$58:$O$59</c:f>
                <c:numCache>
                  <c:formatCode>General</c:formatCode>
                  <c:ptCount val="2"/>
                  <c:pt idx="0">
                    <c:v>0.22544922356096447</c:v>
                  </c:pt>
                  <c:pt idx="1">
                    <c:v>0.17215482229330212</c:v>
                  </c:pt>
                </c:numCache>
              </c:numRef>
            </c:minus>
          </c:errBars>
          <c:cat>
            <c:strRef>
              <c:f>siSLC30A8!$M$58:$M$59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siSLC30A8!$N$58:$N$59</c:f>
              <c:numCache>
                <c:formatCode>0.0</c:formatCode>
                <c:ptCount val="2"/>
                <c:pt idx="0">
                  <c:v>1.6876674759021624</c:v>
                </c:pt>
                <c:pt idx="1">
                  <c:v>1.818174518006046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67888"/>
        <c:axId val="171068280"/>
      </c:barChart>
      <c:catAx>
        <c:axId val="17106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1068280"/>
        <c:crosses val="autoZero"/>
        <c:auto val="1"/>
        <c:lblAlgn val="ctr"/>
        <c:lblOffset val="100"/>
        <c:noMultiLvlLbl val="0"/>
      </c:catAx>
      <c:valAx>
        <c:axId val="171068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siSLC30A8!$M$57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10678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0.20363591934882655</c:v>
                  </c:pt>
                  <c:pt idx="1">
                    <c:v>0.14729756724927362</c:v>
                  </c:pt>
                  <c:pt idx="2">
                    <c:v>0.30423678810031091</c:v>
                  </c:pt>
                  <c:pt idx="3">
                    <c:v>0.54964305286559811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0.20363591934882655</c:v>
                  </c:pt>
                  <c:pt idx="1">
                    <c:v>0.14729756724927362</c:v>
                  </c:pt>
                  <c:pt idx="2">
                    <c:v>0.30423678810031091</c:v>
                  </c:pt>
                  <c:pt idx="3">
                    <c:v>0.54964305286559811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0.79320047340350774</c:v>
                </c:pt>
                <c:pt idx="1">
                  <c:v>1.5360912641540558</c:v>
                </c:pt>
                <c:pt idx="2">
                  <c:v>2.1062582649307302</c:v>
                </c:pt>
                <c:pt idx="3">
                  <c:v>4.0758850669769222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11968"/>
        <c:axId val="170403616"/>
      </c:barChart>
      <c:catAx>
        <c:axId val="1230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403616"/>
        <c:crosses val="autoZero"/>
        <c:auto val="1"/>
        <c:lblAlgn val="ctr"/>
        <c:lblOffset val="100"/>
        <c:noMultiLvlLbl val="0"/>
      </c:catAx>
      <c:valAx>
        <c:axId val="170403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301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0.71481381360108687</c:v>
                  </c:pt>
                  <c:pt idx="1">
                    <c:v>0.55387484667759423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0.71481381360108687</c:v>
                  </c:pt>
                  <c:pt idx="1">
                    <c:v>0.55387484667759423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2.0520213541504151</c:v>
                </c:pt>
                <c:pt idx="1">
                  <c:v>1.9868910845736272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70536"/>
        <c:axId val="170570920"/>
      </c:barChart>
      <c:catAx>
        <c:axId val="17057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570920"/>
        <c:crosses val="autoZero"/>
        <c:auto val="1"/>
        <c:lblAlgn val="ctr"/>
        <c:lblOffset val="100"/>
        <c:noMultiLvlLbl val="0"/>
      </c:catAx>
      <c:valAx>
        <c:axId val="170570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5705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siGCK!$G$9:$G$13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siGCK!$H$9:$H$13</c:f>
              <c:numCache>
                <c:formatCode>0.00</c:formatCode>
                <c:ptCount val="5"/>
                <c:pt idx="0">
                  <c:v>-1.4685210829577449</c:v>
                </c:pt>
                <c:pt idx="1">
                  <c:v>-0.98927613460822694</c:v>
                </c:pt>
                <c:pt idx="2">
                  <c:v>-0.55595520408192367</c:v>
                </c:pt>
                <c:pt idx="3">
                  <c:v>-2.4338466818941529E-2</c:v>
                </c:pt>
                <c:pt idx="4">
                  <c:v>0.22595507289601444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4992"/>
        <c:axId val="170655376"/>
      </c:scatterChart>
      <c:valAx>
        <c:axId val="170654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0655376"/>
        <c:crosses val="autoZero"/>
        <c:crossBetween val="midCat"/>
      </c:valAx>
      <c:valAx>
        <c:axId val="1706553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654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siGCK!$C$65:$C$68</c:f>
                <c:numCache>
                  <c:formatCode>General</c:formatCode>
                  <c:ptCount val="4"/>
                  <c:pt idx="0">
                    <c:v>7.2103039270638075E-2</c:v>
                  </c:pt>
                  <c:pt idx="1">
                    <c:v>9.6580301283973824E-2</c:v>
                  </c:pt>
                  <c:pt idx="2">
                    <c:v>0.27558988088778502</c:v>
                  </c:pt>
                  <c:pt idx="3">
                    <c:v>0.23776608485454748</c:v>
                  </c:pt>
                </c:numCache>
              </c:numRef>
            </c:plus>
            <c:minus>
              <c:numRef>
                <c:f>siGCK!$C$65:$C$68</c:f>
                <c:numCache>
                  <c:formatCode>General</c:formatCode>
                  <c:ptCount val="4"/>
                  <c:pt idx="0">
                    <c:v>7.2103039270638075E-2</c:v>
                  </c:pt>
                  <c:pt idx="1">
                    <c:v>9.6580301283973824E-2</c:v>
                  </c:pt>
                  <c:pt idx="2">
                    <c:v>0.27558988088778502</c:v>
                  </c:pt>
                  <c:pt idx="3">
                    <c:v>0.23776608485454748</c:v>
                  </c:pt>
                </c:numCache>
              </c:numRef>
            </c:minus>
          </c:errBars>
          <c:cat>
            <c:strRef>
              <c:f>(siGCK!$A$65,siGCK!$A$66,siGCK!$A$67,siGCK!$A$68)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siGCK!$B$65:$B$68</c:f>
              <c:numCache>
                <c:formatCode>0.0</c:formatCode>
                <c:ptCount val="4"/>
                <c:pt idx="0">
                  <c:v>0.7787856288862095</c:v>
                </c:pt>
                <c:pt idx="1">
                  <c:v>0.98908594193250654</c:v>
                </c:pt>
                <c:pt idx="2">
                  <c:v>1.97149660891566</c:v>
                </c:pt>
                <c:pt idx="3">
                  <c:v>3.6641103828825812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52944"/>
        <c:axId val="169853336"/>
      </c:barChart>
      <c:catAx>
        <c:axId val="16985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9853336"/>
        <c:crosses val="autoZero"/>
        <c:auto val="1"/>
        <c:lblAlgn val="ctr"/>
        <c:lblOffset val="100"/>
        <c:noMultiLvlLbl val="0"/>
      </c:catAx>
      <c:valAx>
        <c:axId val="169853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siGCK!$M$48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9852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siGCK!$O$58:$O$59</c:f>
                <c:numCache>
                  <c:formatCode>General</c:formatCode>
                  <c:ptCount val="2"/>
                  <c:pt idx="0">
                    <c:v>0.17762472713228347</c:v>
                  </c:pt>
                  <c:pt idx="1">
                    <c:v>0.15226939395550468</c:v>
                  </c:pt>
                </c:numCache>
              </c:numRef>
            </c:plus>
            <c:minus>
              <c:numRef>
                <c:f>siGCK!$O$58:$O$59</c:f>
                <c:numCache>
                  <c:formatCode>General</c:formatCode>
                  <c:ptCount val="2"/>
                  <c:pt idx="0">
                    <c:v>0.17762472713228347</c:v>
                  </c:pt>
                  <c:pt idx="1">
                    <c:v>0.15226939395550468</c:v>
                  </c:pt>
                </c:numCache>
              </c:numRef>
            </c:minus>
          </c:errBars>
          <c:cat>
            <c:strRef>
              <c:f>siGCK!$M$58:$M$59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siGCK!$N$58:$N$59</c:f>
              <c:numCache>
                <c:formatCode>0.0</c:formatCode>
                <c:ptCount val="2"/>
                <c:pt idx="0">
                  <c:v>1.2782980123136833</c:v>
                </c:pt>
                <c:pt idx="1">
                  <c:v>1.871718547126771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54120"/>
        <c:axId val="169854512"/>
      </c:barChart>
      <c:catAx>
        <c:axId val="1698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9854512"/>
        <c:crosses val="autoZero"/>
        <c:auto val="1"/>
        <c:lblAlgn val="ctr"/>
        <c:lblOffset val="100"/>
        <c:noMultiLvlLbl val="0"/>
      </c:catAx>
      <c:valAx>
        <c:axId val="169854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siGCK!$M$57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9854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siSSR1!$G$9:$G$13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siSSR1!$H$9:$H$13</c:f>
              <c:numCache>
                <c:formatCode>0.00</c:formatCode>
                <c:ptCount val="5"/>
                <c:pt idx="0">
                  <c:v>-1.4621809049267258</c:v>
                </c:pt>
                <c:pt idx="1">
                  <c:v>-0.93554201077308152</c:v>
                </c:pt>
                <c:pt idx="2">
                  <c:v>-0.49281902273975914</c:v>
                </c:pt>
                <c:pt idx="3">
                  <c:v>1.9116290447072779E-2</c:v>
                </c:pt>
                <c:pt idx="4">
                  <c:v>0.28364038880036752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9288"/>
        <c:axId val="170269680"/>
      </c:scatterChart>
      <c:valAx>
        <c:axId val="170269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0269680"/>
        <c:crosses val="autoZero"/>
        <c:crossBetween val="midCat"/>
      </c:valAx>
      <c:valAx>
        <c:axId val="1702696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269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siSSR1!$C$65:$C$68</c:f>
                <c:numCache>
                  <c:formatCode>General</c:formatCode>
                  <c:ptCount val="4"/>
                  <c:pt idx="0">
                    <c:v>7.4729662828812979E-2</c:v>
                  </c:pt>
                  <c:pt idx="1">
                    <c:v>0.29382117538929331</c:v>
                  </c:pt>
                  <c:pt idx="2">
                    <c:v>0.38752436987713451</c:v>
                  </c:pt>
                  <c:pt idx="3">
                    <c:v>0.36254188358916178</c:v>
                  </c:pt>
                </c:numCache>
              </c:numRef>
            </c:plus>
            <c:minus>
              <c:numRef>
                <c:f>siSSR1!$C$65:$C$68</c:f>
                <c:numCache>
                  <c:formatCode>General</c:formatCode>
                  <c:ptCount val="4"/>
                  <c:pt idx="0">
                    <c:v>7.4729662828812979E-2</c:v>
                  </c:pt>
                  <c:pt idx="1">
                    <c:v>0.29382117538929331</c:v>
                  </c:pt>
                  <c:pt idx="2">
                    <c:v>0.38752436987713451</c:v>
                  </c:pt>
                  <c:pt idx="3">
                    <c:v>0.36254188358916178</c:v>
                  </c:pt>
                </c:numCache>
              </c:numRef>
            </c:minus>
          </c:errBars>
          <c:cat>
            <c:strRef>
              <c:f>(siSSR1!$A$65,siSSR1!$A$66,siSSR1!$A$67,siSSR1!$A$68)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siSSR1!$B$65:$B$68</c:f>
              <c:numCache>
                <c:formatCode>0.0</c:formatCode>
                <c:ptCount val="4"/>
                <c:pt idx="0">
                  <c:v>0.61155063057000913</c:v>
                </c:pt>
                <c:pt idx="1">
                  <c:v>1.357997932168981</c:v>
                </c:pt>
                <c:pt idx="2">
                  <c:v>2.3572022099116778</c:v>
                </c:pt>
                <c:pt idx="3">
                  <c:v>3.75887109430237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70464"/>
        <c:axId val="170270856"/>
      </c:barChart>
      <c:catAx>
        <c:axId val="1702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270856"/>
        <c:crosses val="autoZero"/>
        <c:auto val="1"/>
        <c:lblAlgn val="ctr"/>
        <c:lblOffset val="100"/>
        <c:noMultiLvlLbl val="0"/>
      </c:catAx>
      <c:valAx>
        <c:axId val="170270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siSSR1!$M$48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2704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siSSR1!$O$58:$O$59</c:f>
                <c:numCache>
                  <c:formatCode>General</c:formatCode>
                  <c:ptCount val="2"/>
                  <c:pt idx="0">
                    <c:v>0.57331363222547971</c:v>
                  </c:pt>
                  <c:pt idx="1">
                    <c:v>0.13463386652278295</c:v>
                  </c:pt>
                </c:numCache>
              </c:numRef>
            </c:plus>
            <c:minus>
              <c:numRef>
                <c:f>siSSR1!$O$58:$O$59</c:f>
                <c:numCache>
                  <c:formatCode>General</c:formatCode>
                  <c:ptCount val="2"/>
                  <c:pt idx="0">
                    <c:v>0.57331363222547971</c:v>
                  </c:pt>
                  <c:pt idx="1">
                    <c:v>0.13463386652278295</c:v>
                  </c:pt>
                </c:numCache>
              </c:numRef>
            </c:minus>
          </c:errBars>
          <c:cat>
            <c:strRef>
              <c:f>siSSR1!$M$58:$M$59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siSSR1!$N$58:$N$59</c:f>
              <c:numCache>
                <c:formatCode>0.0</c:formatCode>
                <c:ptCount val="2"/>
                <c:pt idx="0">
                  <c:v>2.240273005748302</c:v>
                </c:pt>
                <c:pt idx="1">
                  <c:v>1.6075128132999703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52552"/>
        <c:axId val="170271640"/>
      </c:barChart>
      <c:catAx>
        <c:axId val="16985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70271640"/>
        <c:crosses val="autoZero"/>
        <c:auto val="1"/>
        <c:lblAlgn val="ctr"/>
        <c:lblOffset val="100"/>
        <c:noMultiLvlLbl val="0"/>
      </c:catAx>
      <c:valAx>
        <c:axId val="170271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siSSR1!$M$57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98525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C17" sqref="C17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42234</v>
      </c>
    </row>
    <row r="2" spans="1:20" s="3" customFormat="1" x14ac:dyDescent="0.2">
      <c r="A2" s="1" t="s">
        <v>1</v>
      </c>
      <c r="B2" s="3">
        <v>83</v>
      </c>
      <c r="C2" s="4"/>
      <c r="E2" s="5" t="s">
        <v>2</v>
      </c>
    </row>
    <row r="3" spans="1:20" s="3" customFormat="1" ht="15.75" thickBot="1" x14ac:dyDescent="0.35">
      <c r="A3" s="1" t="s">
        <v>3</v>
      </c>
      <c r="B3" s="3" t="s">
        <v>4</v>
      </c>
      <c r="D3" s="6" t="s">
        <v>5</v>
      </c>
      <c r="E3" s="79">
        <v>182864</v>
      </c>
      <c r="F3" s="79">
        <v>198832</v>
      </c>
    </row>
    <row r="4" spans="1:20" s="3" customFormat="1" ht="15" x14ac:dyDescent="0.3">
      <c r="A4" s="1"/>
      <c r="D4" s="6" t="s">
        <v>43</v>
      </c>
      <c r="E4" s="80">
        <v>190128</v>
      </c>
      <c r="F4" s="81">
        <v>156520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6</v>
      </c>
      <c r="B7" s="13" t="s">
        <v>7</v>
      </c>
      <c r="C7" s="14" t="s">
        <v>8</v>
      </c>
      <c r="D7" s="14"/>
      <c r="E7" s="15" t="s">
        <v>9</v>
      </c>
      <c r="F7" s="16" t="s">
        <v>10</v>
      </c>
      <c r="G7" s="17" t="s">
        <v>11</v>
      </c>
      <c r="H7" s="17" t="s">
        <v>12</v>
      </c>
      <c r="N7" s="11"/>
      <c r="O7" s="11"/>
      <c r="P7" s="11"/>
    </row>
    <row r="8" spans="1:20" ht="15" x14ac:dyDescent="0.3">
      <c r="A8" s="76">
        <v>0</v>
      </c>
      <c r="B8" s="6">
        <v>0</v>
      </c>
      <c r="C8">
        <v>4.4999999999999998E-2</v>
      </c>
      <c r="D8">
        <v>5.0999999999999997E-2</v>
      </c>
      <c r="E8" s="18">
        <f t="shared" ref="E8:E13" si="0">AVERAGE(C8:D8)</f>
        <v>4.8000000000000001E-2</v>
      </c>
      <c r="F8" s="19"/>
      <c r="G8" s="17"/>
      <c r="H8" s="17"/>
      <c r="N8" s="11"/>
      <c r="O8" s="11"/>
      <c r="P8" s="11"/>
    </row>
    <row r="9" spans="1:20" ht="15" x14ac:dyDescent="0.3">
      <c r="A9" s="76">
        <v>3.18</v>
      </c>
      <c r="B9" s="77">
        <f>A9/23</f>
        <v>0.13826086956521741</v>
      </c>
      <c r="C9">
        <v>8.1000000000000003E-2</v>
      </c>
      <c r="D9">
        <v>8.4000000000000005E-2</v>
      </c>
      <c r="E9" s="18">
        <f t="shared" si="0"/>
        <v>8.2500000000000004E-2</v>
      </c>
      <c r="F9" s="19">
        <f>(E9-$E$8)</f>
        <v>3.4500000000000003E-2</v>
      </c>
      <c r="G9" s="19">
        <f>LOG(B9)</f>
        <v>-0.85930071603316016</v>
      </c>
      <c r="H9" s="19">
        <f>LOG(F9)</f>
        <v>-1.4621809049267258</v>
      </c>
      <c r="N9" s="11"/>
      <c r="O9" s="11"/>
      <c r="P9" s="11"/>
    </row>
    <row r="10" spans="1:20" ht="15" x14ac:dyDescent="0.3">
      <c r="A10" s="76">
        <v>10.5</v>
      </c>
      <c r="B10" s="77">
        <f t="shared" ref="B10:B13" si="1">A10/23</f>
        <v>0.45652173913043476</v>
      </c>
      <c r="C10">
        <v>0.16500000000000001</v>
      </c>
      <c r="D10">
        <v>0.16300000000000001</v>
      </c>
      <c r="E10" s="18">
        <f t="shared" si="0"/>
        <v>0.16400000000000001</v>
      </c>
      <c r="F10" s="19">
        <f>(E10-$E$8)</f>
        <v>0.11600000000000001</v>
      </c>
      <c r="G10" s="19">
        <f>LOG(B10)</f>
        <v>-0.34053853694765485</v>
      </c>
      <c r="H10" s="19">
        <f>LOG(F10)</f>
        <v>-0.93554201077308152</v>
      </c>
      <c r="N10" s="11"/>
      <c r="O10" s="11"/>
      <c r="P10" s="11"/>
    </row>
    <row r="11" spans="1:20" ht="15" x14ac:dyDescent="0.3">
      <c r="A11" s="76">
        <v>31.1</v>
      </c>
      <c r="B11" s="77">
        <f t="shared" si="1"/>
        <v>1.3521739130434782</v>
      </c>
      <c r="C11">
        <v>0.375</v>
      </c>
      <c r="D11">
        <v>0.36399999999999999</v>
      </c>
      <c r="E11" s="18">
        <f t="shared" si="0"/>
        <v>0.3695</v>
      </c>
      <c r="F11" s="19">
        <f>(E11-$E$8)</f>
        <v>0.32150000000000001</v>
      </c>
      <c r="G11" s="19">
        <f>LOG(B11)</f>
        <v>0.13103255300924463</v>
      </c>
      <c r="H11" s="19">
        <f>LOG(F11)</f>
        <v>-0.49281902273975914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6">
        <v>103</v>
      </c>
      <c r="B12" s="77">
        <f t="shared" si="1"/>
        <v>4.4782608695652177</v>
      </c>
      <c r="C12">
        <v>1.0940000000000001</v>
      </c>
      <c r="D12">
        <v>1.0920000000000001</v>
      </c>
      <c r="E12" s="18">
        <f t="shared" si="0"/>
        <v>1.093</v>
      </c>
      <c r="F12" s="19">
        <f>(E12-$E$8)</f>
        <v>1.0449999999999999</v>
      </c>
      <c r="G12" s="19">
        <f>LOG(B12)</f>
        <v>0.65110938868757939</v>
      </c>
      <c r="H12" s="19">
        <f>LOG(F12)</f>
        <v>1.9116290447072779E-2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6">
        <v>214</v>
      </c>
      <c r="B13" s="77">
        <f t="shared" si="1"/>
        <v>9.304347826086957</v>
      </c>
      <c r="C13">
        <v>1.99</v>
      </c>
      <c r="D13">
        <v>1.9490000000000001</v>
      </c>
      <c r="E13" s="18">
        <f t="shared" si="0"/>
        <v>1.9695</v>
      </c>
      <c r="F13" s="19">
        <f>(E13-$E$8)</f>
        <v>1.9215</v>
      </c>
      <c r="G13" s="19">
        <f>LOG(B13)</f>
        <v>0.96868593733159802</v>
      </c>
      <c r="H13" s="19">
        <f>LOG(F13)</f>
        <v>0.28364038880036752</v>
      </c>
      <c r="N13" s="11"/>
    </row>
    <row r="14" spans="1:20" ht="15" x14ac:dyDescent="0.3">
      <c r="N14" s="11"/>
    </row>
    <row r="15" spans="1:20" ht="15" x14ac:dyDescent="0.3">
      <c r="A15" s="12" t="s">
        <v>13</v>
      </c>
      <c r="B15" s="18">
        <f>SLOPE(H9:H13,G9:G13)</f>
        <v>0.9584592216076262</v>
      </c>
      <c r="N15" s="11"/>
    </row>
    <row r="16" spans="1:20" ht="15" x14ac:dyDescent="0.25">
      <c r="A16" s="12" t="s">
        <v>14</v>
      </c>
      <c r="B16" s="18">
        <f>INTERCEPT(H9:H13,G9:G13)</f>
        <v>-0.62317707776567421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15</v>
      </c>
      <c r="B19" s="22"/>
      <c r="C19" s="22"/>
      <c r="K19" s="23"/>
      <c r="L19" s="24" t="s">
        <v>16</v>
      </c>
      <c r="M19" s="25"/>
    </row>
    <row r="20" spans="1:17" s="24" customFormat="1" x14ac:dyDescent="0.2">
      <c r="A20" s="26" t="s">
        <v>17</v>
      </c>
      <c r="B20" s="16" t="s">
        <v>18</v>
      </c>
      <c r="C20" s="16" t="s">
        <v>18</v>
      </c>
      <c r="D20" s="16" t="s">
        <v>19</v>
      </c>
      <c r="E20" s="27" t="s">
        <v>20</v>
      </c>
      <c r="F20" s="28" t="s">
        <v>12</v>
      </c>
      <c r="G20" s="28" t="s">
        <v>21</v>
      </c>
      <c r="H20" s="28" t="s">
        <v>22</v>
      </c>
      <c r="I20" s="16" t="s">
        <v>23</v>
      </c>
      <c r="J20" s="28" t="s">
        <v>24</v>
      </c>
      <c r="K20" s="28" t="s">
        <v>25</v>
      </c>
      <c r="L20" s="28" t="s">
        <v>26</v>
      </c>
      <c r="M20" s="29" t="s">
        <v>27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28</v>
      </c>
      <c r="B22">
        <v>0.47799999999999998</v>
      </c>
      <c r="C22">
        <v>0.49299999999999999</v>
      </c>
      <c r="D22" s="34">
        <f t="shared" ref="D22:D27" si="2">AVERAGE(B22:C22)</f>
        <v>0.48549999999999999</v>
      </c>
      <c r="E22" s="34">
        <f t="shared" ref="E22:E27" si="3">D22-E$8</f>
        <v>0.4375</v>
      </c>
      <c r="F22" s="34">
        <f>LOG(E22)</f>
        <v>-0.35902194264166792</v>
      </c>
      <c r="G22" s="35">
        <f>(F22-$B$16)/$B$15</f>
        <v>0.27560393720344012</v>
      </c>
      <c r="H22" s="35">
        <f>10^G22</f>
        <v>1.8862703457212981</v>
      </c>
      <c r="I22" s="36">
        <v>500</v>
      </c>
      <c r="J22" s="37">
        <f>(H22*I22)</f>
        <v>943.13517286064905</v>
      </c>
      <c r="K22" s="37">
        <f>(0.05*J22/1000)*1000</f>
        <v>47.156758643032454</v>
      </c>
      <c r="L22" s="38">
        <f>K22+K40+K50</f>
        <v>48.217597465294595</v>
      </c>
      <c r="M22" s="39">
        <f>(L22*1000000/50000)/1000</f>
        <v>0.96435194930589185</v>
      </c>
      <c r="N22" s="40"/>
    </row>
    <row r="23" spans="1:17" ht="15" x14ac:dyDescent="0.3">
      <c r="B23">
        <v>0.496</v>
      </c>
      <c r="C23">
        <v>0.48799999999999999</v>
      </c>
      <c r="D23" s="34">
        <f t="shared" si="2"/>
        <v>0.49199999999999999</v>
      </c>
      <c r="E23" s="34">
        <f t="shared" si="3"/>
        <v>0.44400000000000001</v>
      </c>
      <c r="F23" s="34">
        <f t="shared" ref="F23:F27" si="4">LOG(E23)</f>
        <v>-0.35261702988538018</v>
      </c>
      <c r="G23" s="35">
        <f t="shared" ref="G23:G27" si="5">(F23-$B$16)/$B$15</f>
        <v>0.2822864466017479</v>
      </c>
      <c r="H23" s="35">
        <f t="shared" ref="H23:H27" si="6">10^G23</f>
        <v>1.9155189228216183</v>
      </c>
      <c r="I23" s="36">
        <v>500</v>
      </c>
      <c r="J23" s="37">
        <f t="shared" ref="J23:J27" si="7">(H23*I23)</f>
        <v>957.75946141080919</v>
      </c>
      <c r="K23" s="37">
        <f t="shared" ref="K23:K27" si="8">(0.05*J23/1000)*1000</f>
        <v>47.887973070540461</v>
      </c>
      <c r="L23" s="38">
        <f>K23+K41+K51</f>
        <v>49.143210938045989</v>
      </c>
      <c r="M23" s="39">
        <f t="shared" ref="M23:M27" si="9">(L23*1000000/50000)/1000</f>
        <v>0.98286421876091967</v>
      </c>
      <c r="N23" s="40"/>
    </row>
    <row r="24" spans="1:17" ht="15" x14ac:dyDescent="0.3">
      <c r="B24">
        <v>0.58599999999999997</v>
      </c>
      <c r="C24">
        <v>0.61899999999999999</v>
      </c>
      <c r="D24" s="34">
        <f t="shared" si="2"/>
        <v>0.60250000000000004</v>
      </c>
      <c r="E24" s="34">
        <f t="shared" si="3"/>
        <v>0.55449999999999999</v>
      </c>
      <c r="F24" s="34">
        <f t="shared" si="4"/>
        <v>-0.25609844951482114</v>
      </c>
      <c r="G24" s="35">
        <f t="shared" si="5"/>
        <v>0.38298825862946062</v>
      </c>
      <c r="H24" s="35">
        <f t="shared" si="6"/>
        <v>2.4153955321247609</v>
      </c>
      <c r="I24" s="36">
        <v>500</v>
      </c>
      <c r="J24" s="37">
        <f t="shared" si="7"/>
        <v>1207.6977660623804</v>
      </c>
      <c r="K24" s="37">
        <f t="shared" si="8"/>
        <v>60.384888303119027</v>
      </c>
      <c r="L24" s="38">
        <f t="shared" ref="L24:L27" si="10">K24+K42+K52</f>
        <v>61.741452007446505</v>
      </c>
      <c r="M24" s="39">
        <f t="shared" si="9"/>
        <v>1.2348290401489301</v>
      </c>
      <c r="N24" s="40"/>
    </row>
    <row r="25" spans="1:17" ht="15" x14ac:dyDescent="0.3">
      <c r="A25" s="8" t="s">
        <v>29</v>
      </c>
      <c r="B25">
        <v>0.53300000000000003</v>
      </c>
      <c r="C25">
        <v>0.52</v>
      </c>
      <c r="D25" s="34">
        <f t="shared" si="2"/>
        <v>0.52649999999999997</v>
      </c>
      <c r="E25" s="34">
        <f t="shared" si="3"/>
        <v>0.47849999999999998</v>
      </c>
      <c r="F25" s="34">
        <f t="shared" si="4"/>
        <v>-0.32011805788713765</v>
      </c>
      <c r="G25" s="35">
        <f t="shared" si="5"/>
        <v>0.31619396323425725</v>
      </c>
      <c r="H25" s="35">
        <f t="shared" si="6"/>
        <v>2.0710661152957797</v>
      </c>
      <c r="I25" s="36">
        <v>500</v>
      </c>
      <c r="J25" s="37">
        <f t="shared" si="7"/>
        <v>1035.5330576478898</v>
      </c>
      <c r="K25" s="37">
        <f t="shared" si="8"/>
        <v>51.776652882394494</v>
      </c>
      <c r="L25" s="38">
        <f t="shared" si="10"/>
        <v>55.022653040864896</v>
      </c>
      <c r="M25" s="39">
        <f t="shared" si="9"/>
        <v>1.100453060817298</v>
      </c>
      <c r="N25" s="40"/>
    </row>
    <row r="26" spans="1:17" ht="15" x14ac:dyDescent="0.3">
      <c r="B26">
        <v>0.47599999999999998</v>
      </c>
      <c r="C26">
        <v>0.42499999999999999</v>
      </c>
      <c r="D26" s="34">
        <f t="shared" si="2"/>
        <v>0.45050000000000001</v>
      </c>
      <c r="E26" s="34">
        <f t="shared" si="3"/>
        <v>0.40250000000000002</v>
      </c>
      <c r="F26" s="34">
        <f t="shared" si="4"/>
        <v>-0.39523411529611263</v>
      </c>
      <c r="G26" s="35">
        <f t="shared" si="5"/>
        <v>0.2378222853208426</v>
      </c>
      <c r="H26" s="35">
        <f t="shared" si="6"/>
        <v>1.7291086576823351</v>
      </c>
      <c r="I26" s="36">
        <v>500</v>
      </c>
      <c r="J26" s="37">
        <f t="shared" si="7"/>
        <v>864.5543288411676</v>
      </c>
      <c r="K26" s="37">
        <f t="shared" si="8"/>
        <v>43.22771644205838</v>
      </c>
      <c r="L26" s="38">
        <f t="shared" si="10"/>
        <v>45.973669699730863</v>
      </c>
      <c r="M26" s="39">
        <f t="shared" si="9"/>
        <v>0.91947339399461736</v>
      </c>
      <c r="N26" s="40"/>
    </row>
    <row r="27" spans="1:17" ht="15" x14ac:dyDescent="0.3">
      <c r="B27">
        <v>0.52600000000000002</v>
      </c>
      <c r="C27">
        <v>0.55200000000000005</v>
      </c>
      <c r="D27" s="34">
        <f t="shared" si="2"/>
        <v>0.53900000000000003</v>
      </c>
      <c r="E27" s="34">
        <f t="shared" si="3"/>
        <v>0.49100000000000005</v>
      </c>
      <c r="F27" s="34">
        <f t="shared" si="4"/>
        <v>-0.30891850787703151</v>
      </c>
      <c r="G27" s="35">
        <f t="shared" si="5"/>
        <v>0.32787891524642643</v>
      </c>
      <c r="H27" s="35">
        <f t="shared" si="6"/>
        <v>2.1275457866075933</v>
      </c>
      <c r="I27" s="36">
        <v>500</v>
      </c>
      <c r="J27" s="37">
        <f t="shared" si="7"/>
        <v>1063.7728933037968</v>
      </c>
      <c r="K27" s="37">
        <f t="shared" si="8"/>
        <v>53.188644665189841</v>
      </c>
      <c r="L27" s="38">
        <f t="shared" si="10"/>
        <v>56.8374758143162</v>
      </c>
      <c r="M27" s="39">
        <f t="shared" si="9"/>
        <v>1.1367495162863239</v>
      </c>
      <c r="N27" s="40"/>
    </row>
    <row r="28" spans="1:17" ht="23.25" x14ac:dyDescent="0.35">
      <c r="A28" s="21" t="s">
        <v>15</v>
      </c>
      <c r="B28" s="72"/>
      <c r="C28" s="72"/>
      <c r="I28" s="36"/>
      <c r="J28" s="36"/>
      <c r="K28" s="41"/>
      <c r="L28" s="24" t="s">
        <v>16</v>
      </c>
      <c r="M28" s="25"/>
    </row>
    <row r="29" spans="1:17" s="24" customFormat="1" x14ac:dyDescent="0.2">
      <c r="A29" s="26" t="s">
        <v>17</v>
      </c>
      <c r="B29" s="73" t="s">
        <v>18</v>
      </c>
      <c r="C29" s="73" t="s">
        <v>18</v>
      </c>
      <c r="D29" s="16" t="s">
        <v>19</v>
      </c>
      <c r="E29" s="27" t="s">
        <v>20</v>
      </c>
      <c r="F29" s="28" t="s">
        <v>12</v>
      </c>
      <c r="G29" s="28" t="s">
        <v>21</v>
      </c>
      <c r="H29" s="28" t="s">
        <v>22</v>
      </c>
      <c r="I29" s="27" t="s">
        <v>23</v>
      </c>
      <c r="J29" s="42" t="s">
        <v>24</v>
      </c>
      <c r="K29" s="42" t="s">
        <v>25</v>
      </c>
      <c r="L29" s="28" t="s">
        <v>26</v>
      </c>
      <c r="M29" s="29" t="s">
        <v>27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28</v>
      </c>
      <c r="B31">
        <v>0.47799999999999998</v>
      </c>
      <c r="C31">
        <v>0.49299999999999999</v>
      </c>
      <c r="D31" s="34">
        <f t="shared" ref="D31:D36" si="11">AVERAGE(B31:C31)</f>
        <v>0.48549999999999999</v>
      </c>
      <c r="E31" s="34">
        <f t="shared" ref="E31:E36" si="12">D31-E$8</f>
        <v>0.4375</v>
      </c>
      <c r="F31" s="34">
        <f>LOG(E31)</f>
        <v>-0.35902194264166792</v>
      </c>
      <c r="G31" s="35">
        <f>(F31-$B$16)/$B$15</f>
        <v>0.27560393720344012</v>
      </c>
      <c r="H31" s="35">
        <f>10^G31</f>
        <v>1.8862703457212981</v>
      </c>
      <c r="I31" s="36">
        <v>500</v>
      </c>
      <c r="J31" s="37">
        <f>(H31*I31)</f>
        <v>943.13517286064905</v>
      </c>
      <c r="K31" s="37">
        <f>(0.05*J31/1000)*1000</f>
        <v>47.156758643032454</v>
      </c>
      <c r="L31" s="38">
        <f>K31+K50</f>
        <v>47.942830456337624</v>
      </c>
      <c r="M31" s="39">
        <f>(L31*1000000/50000)/1000</f>
        <v>0.95885660912675241</v>
      </c>
      <c r="N31" s="43"/>
      <c r="Q31" s="11"/>
    </row>
    <row r="32" spans="1:17" ht="15" x14ac:dyDescent="0.3">
      <c r="B32">
        <v>0.496</v>
      </c>
      <c r="C32">
        <v>0.48799999999999999</v>
      </c>
      <c r="D32" s="34">
        <f t="shared" si="11"/>
        <v>0.49199999999999999</v>
      </c>
      <c r="E32" s="34">
        <f t="shared" si="12"/>
        <v>0.44400000000000001</v>
      </c>
      <c r="F32" s="34">
        <f t="shared" ref="F32:F36" si="13">LOG(E32)</f>
        <v>-0.35261702988538018</v>
      </c>
      <c r="G32" s="35">
        <f t="shared" ref="G32:G36" si="14">(F32-$B$16)/$B$15</f>
        <v>0.2822864466017479</v>
      </c>
      <c r="H32" s="35">
        <f t="shared" ref="H32:H36" si="15">10^G32</f>
        <v>1.9155189228216183</v>
      </c>
      <c r="I32" s="36">
        <v>500</v>
      </c>
      <c r="J32" s="37">
        <f t="shared" ref="J32:J36" si="16">(H32*I32)</f>
        <v>957.75946141080919</v>
      </c>
      <c r="K32" s="37">
        <f t="shared" ref="K32:K36" si="17">(0.05*J32/1000)*1000</f>
        <v>47.887973070540461</v>
      </c>
      <c r="L32" s="38">
        <f>K32+K51</f>
        <v>48.667239960789537</v>
      </c>
      <c r="M32" s="39">
        <f t="shared" ref="M32:M36" si="18">(L32*1000000/50000)/1000</f>
        <v>0.97334479921579076</v>
      </c>
      <c r="N32" s="44"/>
      <c r="Q32" s="11"/>
    </row>
    <row r="33" spans="1:19" ht="15" x14ac:dyDescent="0.3">
      <c r="B33">
        <v>0.58599999999999997</v>
      </c>
      <c r="C33">
        <v>0.61899999999999999</v>
      </c>
      <c r="D33" s="34">
        <f t="shared" si="11"/>
        <v>0.60250000000000004</v>
      </c>
      <c r="E33" s="34">
        <f t="shared" si="12"/>
        <v>0.55449999999999999</v>
      </c>
      <c r="F33" s="34">
        <f t="shared" si="13"/>
        <v>-0.25609844951482114</v>
      </c>
      <c r="G33" s="35">
        <f t="shared" si="14"/>
        <v>0.38298825862946062</v>
      </c>
      <c r="H33" s="35">
        <f t="shared" si="15"/>
        <v>2.4153955321247609</v>
      </c>
      <c r="I33" s="36">
        <v>500</v>
      </c>
      <c r="J33" s="37">
        <f t="shared" si="16"/>
        <v>1207.6977660623804</v>
      </c>
      <c r="K33" s="37">
        <f t="shared" si="17"/>
        <v>60.384888303119027</v>
      </c>
      <c r="L33" s="38">
        <f t="shared" ref="L33:L36" si="19">K33+K52</f>
        <v>61.222073768076093</v>
      </c>
      <c r="M33" s="39">
        <f t="shared" si="18"/>
        <v>1.224441475361522</v>
      </c>
      <c r="N33" s="44"/>
      <c r="Q33" s="11"/>
    </row>
    <row r="34" spans="1:19" ht="15" x14ac:dyDescent="0.3">
      <c r="A34" s="8" t="s">
        <v>29</v>
      </c>
      <c r="B34">
        <v>0.53300000000000003</v>
      </c>
      <c r="C34">
        <v>0.52</v>
      </c>
      <c r="D34" s="34">
        <f t="shared" si="11"/>
        <v>0.52649999999999997</v>
      </c>
      <c r="E34" s="34">
        <f t="shared" si="12"/>
        <v>0.47849999999999998</v>
      </c>
      <c r="F34" s="34">
        <f t="shared" si="13"/>
        <v>-0.32011805788713765</v>
      </c>
      <c r="G34" s="35">
        <f t="shared" si="14"/>
        <v>0.31619396323425725</v>
      </c>
      <c r="H34" s="35">
        <f t="shared" si="15"/>
        <v>2.0710661152957797</v>
      </c>
      <c r="I34" s="36">
        <v>500</v>
      </c>
      <c r="J34" s="37">
        <f t="shared" si="16"/>
        <v>1035.5330576478898</v>
      </c>
      <c r="K34" s="37">
        <f t="shared" si="17"/>
        <v>51.776652882394494</v>
      </c>
      <c r="L34" s="38">
        <f t="shared" si="19"/>
        <v>53.872816495649516</v>
      </c>
      <c r="M34" s="39">
        <f t="shared" si="18"/>
        <v>1.0774563299129905</v>
      </c>
      <c r="N34" s="44"/>
      <c r="Q34" s="11"/>
    </row>
    <row r="35" spans="1:19" ht="15" x14ac:dyDescent="0.3">
      <c r="B35">
        <v>0.47599999999999998</v>
      </c>
      <c r="C35">
        <v>0.42499999999999999</v>
      </c>
      <c r="D35" s="34">
        <f t="shared" si="11"/>
        <v>0.45050000000000001</v>
      </c>
      <c r="E35" s="34">
        <f t="shared" si="12"/>
        <v>0.40250000000000002</v>
      </c>
      <c r="F35" s="34">
        <f t="shared" si="13"/>
        <v>-0.39523411529611263</v>
      </c>
      <c r="G35" s="35">
        <f t="shared" si="14"/>
        <v>0.2378222853208426</v>
      </c>
      <c r="H35" s="35">
        <f t="shared" si="15"/>
        <v>1.7291086576823351</v>
      </c>
      <c r="I35" s="36">
        <v>500</v>
      </c>
      <c r="J35" s="37">
        <f t="shared" si="16"/>
        <v>864.5543288411676</v>
      </c>
      <c r="K35" s="37">
        <f t="shared" si="17"/>
        <v>43.22771644205838</v>
      </c>
      <c r="L35" s="38">
        <f t="shared" si="19"/>
        <v>44.861836704327096</v>
      </c>
      <c r="M35" s="39">
        <f t="shared" si="18"/>
        <v>0.89723673408654203</v>
      </c>
      <c r="N35" s="44"/>
      <c r="Q35" s="11"/>
      <c r="S35" s="11"/>
    </row>
    <row r="36" spans="1:19" ht="15" x14ac:dyDescent="0.3">
      <c r="B36">
        <v>0.52600000000000002</v>
      </c>
      <c r="C36">
        <v>0.55200000000000005</v>
      </c>
      <c r="D36" s="34">
        <f t="shared" si="11"/>
        <v>0.53900000000000003</v>
      </c>
      <c r="E36" s="34">
        <f t="shared" si="12"/>
        <v>0.49100000000000005</v>
      </c>
      <c r="F36" s="34">
        <f t="shared" si="13"/>
        <v>-0.30891850787703151</v>
      </c>
      <c r="G36" s="35">
        <f t="shared" si="14"/>
        <v>0.32787891524642643</v>
      </c>
      <c r="H36" s="35">
        <f t="shared" si="15"/>
        <v>2.1275457866075933</v>
      </c>
      <c r="I36" s="36">
        <v>500</v>
      </c>
      <c r="J36" s="37">
        <f t="shared" si="16"/>
        <v>1063.7728933037968</v>
      </c>
      <c r="K36" s="37">
        <f t="shared" si="17"/>
        <v>53.188644665189841</v>
      </c>
      <c r="L36" s="38">
        <f t="shared" si="19"/>
        <v>55.808370189577062</v>
      </c>
      <c r="M36" s="39">
        <f t="shared" si="18"/>
        <v>1.1161674037915412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30</v>
      </c>
      <c r="B38" s="3"/>
      <c r="C38" s="3"/>
      <c r="E38" s="35"/>
      <c r="F38" s="34"/>
      <c r="H38" s="46"/>
      <c r="I38" s="36"/>
      <c r="J38" s="36"/>
      <c r="K38" s="36"/>
      <c r="M38" s="47" t="s">
        <v>31</v>
      </c>
      <c r="R38" s="11"/>
      <c r="S38" s="11"/>
    </row>
    <row r="39" spans="1:19" ht="15" x14ac:dyDescent="0.3">
      <c r="A39" s="26" t="s">
        <v>17</v>
      </c>
      <c r="B39" s="75" t="s">
        <v>18</v>
      </c>
      <c r="C39" s="75" t="s">
        <v>18</v>
      </c>
      <c r="D39" s="16" t="s">
        <v>19</v>
      </c>
      <c r="E39" s="27" t="s">
        <v>20</v>
      </c>
      <c r="F39" s="28" t="s">
        <v>12</v>
      </c>
      <c r="G39" s="28" t="s">
        <v>21</v>
      </c>
      <c r="H39" s="28" t="s">
        <v>22</v>
      </c>
      <c r="I39" s="27" t="s">
        <v>23</v>
      </c>
      <c r="J39" s="42" t="s">
        <v>24</v>
      </c>
      <c r="K39" s="42" t="s">
        <v>32</v>
      </c>
      <c r="L39" s="28" t="s">
        <v>33</v>
      </c>
      <c r="M39" s="24" t="s">
        <v>34</v>
      </c>
      <c r="N39" s="42" t="s">
        <v>35</v>
      </c>
      <c r="R39" s="11"/>
      <c r="S39" s="11"/>
    </row>
    <row r="40" spans="1:19" ht="15" x14ac:dyDescent="0.3">
      <c r="A40" s="8" t="s">
        <v>36</v>
      </c>
      <c r="B40">
        <v>8.8999999999999996E-2</v>
      </c>
      <c r="C40">
        <v>9.5000000000000001E-2</v>
      </c>
      <c r="D40" s="34">
        <f>AVERAGE(B40,C40)</f>
        <v>9.1999999999999998E-2</v>
      </c>
      <c r="E40" s="34">
        <f t="shared" ref="E40:E45" si="20">D40-E$8</f>
        <v>4.3999999999999997E-2</v>
      </c>
      <c r="F40" s="34">
        <f t="shared" ref="F40:F45" si="21">LOG(E40)</f>
        <v>-1.3565473235138126</v>
      </c>
      <c r="G40" s="35">
        <f t="shared" ref="G40:G45" si="22">(F40-$B$16)/$B$15</f>
        <v>-0.76515539651030173</v>
      </c>
      <c r="H40" s="34">
        <f t="shared" ref="H40:H45" si="23">10^G40</f>
        <v>0.17172938059810558</v>
      </c>
      <c r="I40" s="48">
        <v>16</v>
      </c>
      <c r="J40" s="49">
        <f t="shared" ref="J40:J45" si="24">H40*I40</f>
        <v>2.7476700895696893</v>
      </c>
      <c r="K40" s="37">
        <f>(0.1*J40/1000)*1000</f>
        <v>0.27476700895696893</v>
      </c>
      <c r="L40" s="50">
        <f>K40*100/L22</f>
        <v>0.56984798787359114</v>
      </c>
      <c r="M40" s="51">
        <f>AVERAGE(L40:L42)</f>
        <v>0.79320047340350774</v>
      </c>
      <c r="N40" s="52">
        <f>STDEV(L40:L42)</f>
        <v>0.20363591934882655</v>
      </c>
      <c r="R40" s="11"/>
      <c r="S40" s="11"/>
    </row>
    <row r="41" spans="1:19" ht="15" x14ac:dyDescent="0.3">
      <c r="B41">
        <v>0.121</v>
      </c>
      <c r="C41">
        <v>0.124</v>
      </c>
      <c r="D41" s="34">
        <f>AVERAGE(B41,C41)</f>
        <v>0.1225</v>
      </c>
      <c r="E41" s="34">
        <f t="shared" si="20"/>
        <v>7.4499999999999997E-2</v>
      </c>
      <c r="F41" s="34">
        <f t="shared" si="21"/>
        <v>-1.1278437272517072</v>
      </c>
      <c r="G41" s="35">
        <f t="shared" si="22"/>
        <v>-0.52653951061116022</v>
      </c>
      <c r="H41" s="34">
        <f t="shared" si="23"/>
        <v>0.29748186078528338</v>
      </c>
      <c r="I41" s="48">
        <v>16</v>
      </c>
      <c r="J41" s="49">
        <f t="shared" si="24"/>
        <v>4.7597097725645341</v>
      </c>
      <c r="K41" s="37">
        <f t="shared" ref="K41:K45" si="25">(0.1*J41/1000)*1000</f>
        <v>0.47597097725645343</v>
      </c>
      <c r="L41" s="50">
        <f t="shared" ref="L41:L45" si="26">K41*100/L23</f>
        <v>0.96853862043426897</v>
      </c>
      <c r="M41" s="51"/>
      <c r="N41" s="52"/>
      <c r="R41" s="11"/>
      <c r="S41" s="11"/>
    </row>
    <row r="42" spans="1:19" s="24" customFormat="1" ht="15" x14ac:dyDescent="0.3">
      <c r="A42" s="8"/>
      <c r="B42">
        <v>0.13100000000000001</v>
      </c>
      <c r="C42">
        <v>0.127</v>
      </c>
      <c r="D42" s="34">
        <f>AVERAGE(B42,C42)</f>
        <v>0.129</v>
      </c>
      <c r="E42" s="34">
        <f t="shared" si="20"/>
        <v>8.1000000000000003E-2</v>
      </c>
      <c r="F42" s="34">
        <f t="shared" si="21"/>
        <v>-1.0915149811213503</v>
      </c>
      <c r="G42" s="35">
        <f t="shared" si="22"/>
        <v>-0.48863623281763791</v>
      </c>
      <c r="H42" s="34">
        <f t="shared" si="23"/>
        <v>0.32461139960650887</v>
      </c>
      <c r="I42" s="48">
        <v>16</v>
      </c>
      <c r="J42" s="49">
        <f t="shared" si="24"/>
        <v>5.1937823937041419</v>
      </c>
      <c r="K42" s="37">
        <f t="shared" si="25"/>
        <v>0.51937823937041416</v>
      </c>
      <c r="L42" s="50">
        <f t="shared" si="26"/>
        <v>0.84121481190266312</v>
      </c>
      <c r="M42" s="51"/>
      <c r="N42" s="52"/>
      <c r="R42" s="11"/>
      <c r="S42" s="11"/>
    </row>
    <row r="43" spans="1:19" ht="15" x14ac:dyDescent="0.3">
      <c r="A43" s="8" t="s">
        <v>37</v>
      </c>
      <c r="B43">
        <v>0.223</v>
      </c>
      <c r="C43">
        <v>0.22</v>
      </c>
      <c r="D43" s="34">
        <f t="shared" ref="D43:D45" si="27">AVERAGE(B43,C43)</f>
        <v>0.2215</v>
      </c>
      <c r="E43" s="34">
        <f t="shared" si="20"/>
        <v>0.17349999999999999</v>
      </c>
      <c r="F43" s="34">
        <f t="shared" si="21"/>
        <v>-0.76070052087310747</v>
      </c>
      <c r="G43" s="35">
        <f t="shared" si="22"/>
        <v>-0.14348387496002679</v>
      </c>
      <c r="H43" s="34">
        <f t="shared" si="23"/>
        <v>0.71864784075961119</v>
      </c>
      <c r="I43" s="48">
        <v>16</v>
      </c>
      <c r="J43" s="49">
        <f t="shared" si="24"/>
        <v>11.498365452153779</v>
      </c>
      <c r="K43" s="37">
        <f t="shared" si="25"/>
        <v>1.149836545215378</v>
      </c>
      <c r="L43" s="50">
        <f t="shared" si="26"/>
        <v>2.0897511873180732</v>
      </c>
      <c r="M43" s="51">
        <f>AVERAGE(L43:L45)</f>
        <v>2.1062582649307302</v>
      </c>
      <c r="N43" s="52">
        <f>STDEV(L43:L45)</f>
        <v>0.30423678810031091</v>
      </c>
      <c r="R43" s="11"/>
      <c r="S43" s="11"/>
    </row>
    <row r="44" spans="1:19" ht="15" x14ac:dyDescent="0.3">
      <c r="A44" s="53"/>
      <c r="B44">
        <v>0.215</v>
      </c>
      <c r="C44">
        <v>0.217</v>
      </c>
      <c r="D44" s="34">
        <f t="shared" si="27"/>
        <v>0.216</v>
      </c>
      <c r="E44" s="34">
        <f t="shared" si="20"/>
        <v>0.16799999999999998</v>
      </c>
      <c r="F44" s="34">
        <f t="shared" si="21"/>
        <v>-0.77469071827413716</v>
      </c>
      <c r="G44" s="35">
        <f t="shared" si="22"/>
        <v>-0.15808042438605652</v>
      </c>
      <c r="H44" s="34">
        <f t="shared" si="23"/>
        <v>0.69489562212735545</v>
      </c>
      <c r="I44" s="48">
        <v>16</v>
      </c>
      <c r="J44" s="49">
        <f t="shared" si="24"/>
        <v>11.118329954037687</v>
      </c>
      <c r="K44" s="37">
        <f t="shared" si="25"/>
        <v>1.1118329954037687</v>
      </c>
      <c r="L44" s="50">
        <f t="shared" si="26"/>
        <v>2.4184125449752329</v>
      </c>
      <c r="M44" s="51"/>
      <c r="N44" s="52"/>
    </row>
    <row r="45" spans="1:19" ht="15" x14ac:dyDescent="0.3">
      <c r="A45" s="54"/>
      <c r="B45">
        <v>0.2</v>
      </c>
      <c r="C45">
        <v>0.20799999999999999</v>
      </c>
      <c r="D45" s="34">
        <f t="shared" si="27"/>
        <v>0.20400000000000001</v>
      </c>
      <c r="E45" s="34">
        <f t="shared" si="20"/>
        <v>0.15600000000000003</v>
      </c>
      <c r="F45" s="34">
        <f t="shared" si="21"/>
        <v>-0.80687540164553828</v>
      </c>
      <c r="G45" s="35">
        <f t="shared" si="22"/>
        <v>-0.19166003074366209</v>
      </c>
      <c r="H45" s="34">
        <f t="shared" si="23"/>
        <v>0.64319101546196034</v>
      </c>
      <c r="I45" s="48">
        <v>16</v>
      </c>
      <c r="J45" s="49">
        <f t="shared" si="24"/>
        <v>10.291056247391365</v>
      </c>
      <c r="K45" s="37">
        <f t="shared" si="25"/>
        <v>1.0291056247391366</v>
      </c>
      <c r="L45" s="50">
        <f t="shared" si="26"/>
        <v>1.8106110624988836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38</v>
      </c>
      <c r="B48" s="3"/>
      <c r="C48" s="3"/>
      <c r="E48" s="35"/>
      <c r="F48" s="34"/>
      <c r="H48" s="46"/>
      <c r="I48" s="36"/>
      <c r="J48" s="36"/>
      <c r="K48" s="36"/>
      <c r="M48" s="47" t="s">
        <v>31</v>
      </c>
    </row>
    <row r="49" spans="1:25" x14ac:dyDescent="0.2">
      <c r="A49" s="26" t="s">
        <v>17</v>
      </c>
      <c r="B49" s="75" t="s">
        <v>18</v>
      </c>
      <c r="C49" s="75" t="s">
        <v>18</v>
      </c>
      <c r="D49" s="16" t="s">
        <v>19</v>
      </c>
      <c r="E49" s="27" t="s">
        <v>20</v>
      </c>
      <c r="F49" s="28" t="s">
        <v>12</v>
      </c>
      <c r="G49" s="28" t="s">
        <v>21</v>
      </c>
      <c r="H49" s="28" t="s">
        <v>22</v>
      </c>
      <c r="I49" s="27" t="s">
        <v>23</v>
      </c>
      <c r="J49" s="42" t="s">
        <v>24</v>
      </c>
      <c r="K49" s="42" t="s">
        <v>32</v>
      </c>
      <c r="L49" s="28" t="s">
        <v>33</v>
      </c>
      <c r="M49" s="24" t="s">
        <v>34</v>
      </c>
      <c r="N49" s="42" t="s">
        <v>35</v>
      </c>
      <c r="O49" s="10" t="s">
        <v>39</v>
      </c>
      <c r="P49" s="24" t="s">
        <v>34</v>
      </c>
      <c r="Q49" s="42" t="s">
        <v>35</v>
      </c>
    </row>
    <row r="50" spans="1:25" ht="15" x14ac:dyDescent="0.3">
      <c r="A50" s="8" t="s">
        <v>28</v>
      </c>
      <c r="B50">
        <v>0.16300000000000001</v>
      </c>
      <c r="C50">
        <v>0.17399999999999999</v>
      </c>
      <c r="D50" s="34">
        <f t="shared" ref="D50:D52" si="28">AVERAGE(B50,C50)</f>
        <v>0.16849999999999998</v>
      </c>
      <c r="E50" s="34">
        <f t="shared" ref="E50:E55" si="29">D50-E$8</f>
        <v>0.12049999999999998</v>
      </c>
      <c r="F50" s="34">
        <f t="shared" ref="F50:F55" si="30">LOG(E50)</f>
        <v>-0.91901295308911291</v>
      </c>
      <c r="G50" s="35">
        <f t="shared" ref="G50:G55" si="31">(F50-$B$16)/$B$15</f>
        <v>-0.30865775888433977</v>
      </c>
      <c r="H50" s="34">
        <f t="shared" ref="H50:H55" si="32">10^G50</f>
        <v>0.4912948833157334</v>
      </c>
      <c r="I50" s="48">
        <v>16</v>
      </c>
      <c r="J50" s="49">
        <f t="shared" ref="J50:J55" si="33">H50*I50</f>
        <v>7.8607181330517344</v>
      </c>
      <c r="K50" s="37">
        <f>(0.1*J50/1000)*1000</f>
        <v>0.78607181330517351</v>
      </c>
      <c r="L50" s="50">
        <f t="shared" ref="L50:L55" si="34">K50*100/L31</f>
        <v>1.6396024302759156</v>
      </c>
      <c r="M50" s="51">
        <f>AVERAGE(L50:L52)</f>
        <v>1.5360912641540558</v>
      </c>
      <c r="N50" s="52">
        <f>STDEV(L50:L52)</f>
        <v>0.14729756724927362</v>
      </c>
      <c r="O50" s="10">
        <f>L50/L40</f>
        <v>2.8772628230103132</v>
      </c>
      <c r="P50" s="51">
        <f>AVERAGE(O50:O52)</f>
        <v>2.0520213541504151</v>
      </c>
      <c r="Q50" s="52">
        <f>STDEV(O50:O52)</f>
        <v>0.71481381360108687</v>
      </c>
      <c r="S50" s="11"/>
      <c r="T50" s="11"/>
    </row>
    <row r="51" spans="1:25" ht="15" x14ac:dyDescent="0.3">
      <c r="B51">
        <v>0.16800000000000001</v>
      </c>
      <c r="C51">
        <v>0.16700000000000001</v>
      </c>
      <c r="D51" s="34">
        <f t="shared" si="28"/>
        <v>0.16750000000000001</v>
      </c>
      <c r="E51" s="34">
        <f t="shared" si="29"/>
        <v>0.11950000000000001</v>
      </c>
      <c r="F51" s="34">
        <f t="shared" si="30"/>
        <v>-0.92263209471584351</v>
      </c>
      <c r="G51" s="35">
        <f t="shared" si="31"/>
        <v>-0.31243375847320098</v>
      </c>
      <c r="H51" s="34">
        <f t="shared" si="32"/>
        <v>0.48704180640567057</v>
      </c>
      <c r="I51" s="48">
        <v>16</v>
      </c>
      <c r="J51" s="49">
        <f t="shared" si="33"/>
        <v>7.7926689024907292</v>
      </c>
      <c r="K51" s="37">
        <f t="shared" ref="K51:K55" si="35">(0.1*J51/1000)*1000</f>
        <v>0.77926689024907292</v>
      </c>
      <c r="L51" s="50">
        <f t="shared" si="34"/>
        <v>1.6012144737957537</v>
      </c>
      <c r="M51" s="51"/>
      <c r="N51" s="52"/>
      <c r="O51" s="10">
        <f t="shared" ref="O51:O55" si="36">L51/L41</f>
        <v>1.6532272849148837</v>
      </c>
      <c r="P51" s="51"/>
      <c r="Q51" s="52"/>
      <c r="S51" s="11"/>
      <c r="T51" s="11"/>
    </row>
    <row r="52" spans="1:25" ht="15" x14ac:dyDescent="0.3">
      <c r="B52">
        <v>0.17599999999999999</v>
      </c>
      <c r="C52">
        <v>0.17599999999999999</v>
      </c>
      <c r="D52" s="34">
        <f t="shared" si="28"/>
        <v>0.17599999999999999</v>
      </c>
      <c r="E52" s="34">
        <f t="shared" si="29"/>
        <v>0.128</v>
      </c>
      <c r="F52" s="34">
        <f t="shared" si="30"/>
        <v>-0.89279003035213167</v>
      </c>
      <c r="G52" s="35">
        <f t="shared" si="31"/>
        <v>-0.28129830305585141</v>
      </c>
      <c r="H52" s="34">
        <f t="shared" si="32"/>
        <v>0.52324091559816799</v>
      </c>
      <c r="I52" s="48">
        <v>16</v>
      </c>
      <c r="J52" s="49">
        <f t="shared" si="33"/>
        <v>8.3718546495706878</v>
      </c>
      <c r="K52" s="37">
        <f t="shared" si="35"/>
        <v>0.8371854649570688</v>
      </c>
      <c r="L52" s="50">
        <f t="shared" si="34"/>
        <v>1.3674568883904981</v>
      </c>
      <c r="M52" s="51"/>
      <c r="N52" s="52"/>
      <c r="O52" s="10">
        <f t="shared" si="36"/>
        <v>1.6255739545260484</v>
      </c>
      <c r="P52" s="51"/>
      <c r="Q52" s="52"/>
      <c r="S52" s="11"/>
      <c r="T52" s="11"/>
    </row>
    <row r="53" spans="1:25" ht="15" x14ac:dyDescent="0.3">
      <c r="A53" s="8" t="s">
        <v>29</v>
      </c>
      <c r="B53">
        <v>0.35299999999999998</v>
      </c>
      <c r="C53">
        <v>0.36</v>
      </c>
      <c r="D53" s="34">
        <f>AVERAGE(B53:C53)</f>
        <v>0.35649999999999998</v>
      </c>
      <c r="E53" s="34">
        <f t="shared" si="29"/>
        <v>0.3085</v>
      </c>
      <c r="F53" s="34">
        <f t="shared" si="30"/>
        <v>-0.51074483163073947</v>
      </c>
      <c r="G53" s="35">
        <f t="shared" si="31"/>
        <v>0.1173051952553097</v>
      </c>
      <c r="H53" s="34">
        <f t="shared" si="32"/>
        <v>1.31010225828439</v>
      </c>
      <c r="I53" s="48">
        <v>16</v>
      </c>
      <c r="J53" s="49">
        <f t="shared" si="33"/>
        <v>20.96163613255024</v>
      </c>
      <c r="K53" s="37">
        <f t="shared" si="35"/>
        <v>2.0961636132550239</v>
      </c>
      <c r="L53" s="50">
        <f t="shared" si="34"/>
        <v>3.8909486260557755</v>
      </c>
      <c r="M53" s="51">
        <f>AVERAGE(L53:L55)</f>
        <v>4.0758850669769222</v>
      </c>
      <c r="N53" s="52">
        <f>STDEV(L53:L55)</f>
        <v>0.54964305286559811</v>
      </c>
      <c r="O53" s="10">
        <f t="shared" si="36"/>
        <v>1.8619195671085167</v>
      </c>
      <c r="P53" s="51">
        <f>AVERAGE(O53:O55)</f>
        <v>1.9868910845736272</v>
      </c>
      <c r="Q53" s="52">
        <f>STDEV(O53:O55)</f>
        <v>0.55387484667759423</v>
      </c>
      <c r="S53" s="11"/>
      <c r="T53" s="11"/>
    </row>
    <row r="54" spans="1:25" ht="15" x14ac:dyDescent="0.3">
      <c r="A54" s="53"/>
      <c r="B54">
        <v>0.29199999999999998</v>
      </c>
      <c r="C54">
        <v>0.28999999999999998</v>
      </c>
      <c r="D54" s="34">
        <f>AVERAGE(B54:C54)</f>
        <v>0.29099999999999998</v>
      </c>
      <c r="E54" s="34">
        <f t="shared" si="29"/>
        <v>0.24299999999999999</v>
      </c>
      <c r="F54" s="34">
        <f t="shared" si="30"/>
        <v>-0.61439372640168788</v>
      </c>
      <c r="G54" s="35">
        <f t="shared" si="31"/>
        <v>9.1640324032294228E-3</v>
      </c>
      <c r="H54" s="34">
        <f t="shared" si="32"/>
        <v>1.0213251639179488</v>
      </c>
      <c r="I54" s="48">
        <v>16</v>
      </c>
      <c r="J54" s="49">
        <f t="shared" si="33"/>
        <v>16.341202622687181</v>
      </c>
      <c r="K54" s="37">
        <f t="shared" si="35"/>
        <v>1.6341202622687181</v>
      </c>
      <c r="L54" s="50">
        <f t="shared" si="34"/>
        <v>3.6425621024809733</v>
      </c>
      <c r="M54" s="51"/>
      <c r="N54" s="52"/>
      <c r="O54" s="10">
        <f t="shared" si="36"/>
        <v>1.5061789643992594</v>
      </c>
      <c r="P54" s="51"/>
      <c r="Q54" s="52"/>
      <c r="S54" s="11"/>
      <c r="T54" s="11"/>
    </row>
    <row r="55" spans="1:25" ht="15" x14ac:dyDescent="0.3">
      <c r="A55" s="54"/>
      <c r="B55">
        <v>0.42799999999999999</v>
      </c>
      <c r="C55">
        <v>0.432</v>
      </c>
      <c r="D55" s="34">
        <f>AVERAGE(B55:C55)</f>
        <v>0.43</v>
      </c>
      <c r="E55" s="34">
        <f t="shared" si="29"/>
        <v>0.38200000000000001</v>
      </c>
      <c r="F55" s="34">
        <f t="shared" si="30"/>
        <v>-0.41793663708829126</v>
      </c>
      <c r="G55" s="35">
        <f t="shared" si="31"/>
        <v>0.21413580885906927</v>
      </c>
      <c r="H55" s="34">
        <f t="shared" si="32"/>
        <v>1.6373284527420142</v>
      </c>
      <c r="I55" s="48">
        <v>16</v>
      </c>
      <c r="J55" s="49">
        <f t="shared" si="33"/>
        <v>26.197255243872227</v>
      </c>
      <c r="K55" s="37">
        <f t="shared" si="35"/>
        <v>2.6197255243872228</v>
      </c>
      <c r="L55" s="50">
        <f t="shared" si="34"/>
        <v>4.6941444723940187</v>
      </c>
      <c r="M55" s="51"/>
      <c r="N55" s="52"/>
      <c r="O55" s="10">
        <f t="shared" si="36"/>
        <v>2.5925747222131053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40</v>
      </c>
      <c r="N57" s="10" t="s">
        <v>41</v>
      </c>
      <c r="O57" s="42" t="s">
        <v>35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28</v>
      </c>
      <c r="N58" s="51">
        <f>P50</f>
        <v>2.0520213541504151</v>
      </c>
      <c r="O58" s="51">
        <f>Q50</f>
        <v>0.71481381360108687</v>
      </c>
    </row>
    <row r="59" spans="1:25" ht="15" x14ac:dyDescent="0.3">
      <c r="D59" s="11"/>
      <c r="E59" s="11"/>
      <c r="G59" s="11"/>
      <c r="M59" s="10" t="s">
        <v>29</v>
      </c>
      <c r="N59" s="51">
        <f>P53</f>
        <v>1.9868910845736272</v>
      </c>
      <c r="O59" s="51">
        <f>Q53</f>
        <v>0.55387484667759423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19</v>
      </c>
      <c r="C64" s="58" t="s">
        <v>42</v>
      </c>
      <c r="D64" s="34"/>
      <c r="E64" s="35"/>
      <c r="F64" s="34"/>
      <c r="G64" s="51"/>
      <c r="H64" s="55"/>
    </row>
    <row r="65" spans="1:8" x14ac:dyDescent="0.2">
      <c r="A65" s="8" t="s">
        <v>36</v>
      </c>
      <c r="B65" s="51">
        <f>M40</f>
        <v>0.79320047340350774</v>
      </c>
      <c r="C65" s="51">
        <f>N40</f>
        <v>0.20363591934882655</v>
      </c>
      <c r="D65" s="34"/>
      <c r="E65" s="35"/>
      <c r="F65" s="34"/>
      <c r="G65" s="51"/>
      <c r="H65" s="55"/>
    </row>
    <row r="66" spans="1:8" x14ac:dyDescent="0.2">
      <c r="A66" s="8" t="s">
        <v>28</v>
      </c>
      <c r="B66" s="51">
        <f>M50</f>
        <v>1.5360912641540558</v>
      </c>
      <c r="C66" s="51">
        <f>N50</f>
        <v>0.14729756724927362</v>
      </c>
      <c r="D66" s="34"/>
      <c r="E66" s="35"/>
      <c r="F66" s="34"/>
      <c r="G66" s="51"/>
      <c r="H66" s="55"/>
    </row>
    <row r="67" spans="1:8" x14ac:dyDescent="0.2">
      <c r="A67" s="8" t="s">
        <v>37</v>
      </c>
      <c r="B67" s="51">
        <f>M43</f>
        <v>2.1062582649307302</v>
      </c>
      <c r="C67" s="51">
        <f>N43</f>
        <v>0.30423678810031091</v>
      </c>
      <c r="D67" s="34"/>
      <c r="E67" s="35"/>
      <c r="F67" s="34"/>
      <c r="G67" s="51"/>
      <c r="H67" s="55"/>
    </row>
    <row r="68" spans="1:8" x14ac:dyDescent="0.2">
      <c r="A68" s="59" t="s">
        <v>29</v>
      </c>
      <c r="B68" s="51">
        <f>M53</f>
        <v>4.0758850669769222</v>
      </c>
      <c r="C68" s="51">
        <f>N53</f>
        <v>0.54964305286559811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D4" sqref="D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42234</v>
      </c>
    </row>
    <row r="2" spans="1:20" s="3" customFormat="1" x14ac:dyDescent="0.2">
      <c r="A2" s="1" t="s">
        <v>1</v>
      </c>
      <c r="B2" s="3">
        <v>83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9">
        <v>209168</v>
      </c>
      <c r="F3" s="79">
        <v>201520</v>
      </c>
    </row>
    <row r="4" spans="1:20" s="3" customFormat="1" ht="15.75" thickBot="1" x14ac:dyDescent="0.35">
      <c r="A4" s="1"/>
      <c r="D4" s="6" t="s">
        <v>43</v>
      </c>
      <c r="E4" s="84">
        <v>276320</v>
      </c>
      <c r="F4" s="85">
        <v>237296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6</v>
      </c>
      <c r="B7" s="13" t="s">
        <v>7</v>
      </c>
      <c r="C7" s="14" t="s">
        <v>8</v>
      </c>
      <c r="D7" s="14"/>
      <c r="E7" s="15" t="s">
        <v>9</v>
      </c>
      <c r="F7" s="16" t="s">
        <v>10</v>
      </c>
      <c r="G7" s="17" t="s">
        <v>11</v>
      </c>
      <c r="H7" s="17" t="s">
        <v>12</v>
      </c>
      <c r="N7" s="11"/>
      <c r="O7" s="11"/>
      <c r="P7" s="11"/>
    </row>
    <row r="8" spans="1:20" ht="15" x14ac:dyDescent="0.3">
      <c r="A8" s="76">
        <v>0</v>
      </c>
      <c r="B8" s="6">
        <v>0</v>
      </c>
      <c r="C8">
        <v>3.6999999999999998E-2</v>
      </c>
      <c r="D8">
        <v>5.0999999999999997E-2</v>
      </c>
      <c r="E8" s="18">
        <f t="shared" ref="E8:E13" si="0">AVERAGE(C8:D8)</f>
        <v>4.3999999999999997E-2</v>
      </c>
      <c r="F8" s="19"/>
      <c r="G8" s="17"/>
      <c r="H8" s="17"/>
      <c r="N8" s="11"/>
      <c r="O8" s="11"/>
      <c r="P8" s="11"/>
    </row>
    <row r="9" spans="1:20" ht="15" x14ac:dyDescent="0.3">
      <c r="A9" s="76">
        <v>3.18</v>
      </c>
      <c r="B9" s="77">
        <f>A9/23</f>
        <v>0.13826086956521741</v>
      </c>
      <c r="C9">
        <v>7.6999999999999999E-2</v>
      </c>
      <c r="D9">
        <v>7.9000000000000001E-2</v>
      </c>
      <c r="E9" s="18">
        <f t="shared" si="0"/>
        <v>7.8E-2</v>
      </c>
      <c r="F9" s="19">
        <f>(E9-$E$8)</f>
        <v>3.4000000000000002E-2</v>
      </c>
      <c r="G9" s="19">
        <f>LOG(B9)</f>
        <v>-0.85930071603316016</v>
      </c>
      <c r="H9" s="19">
        <f>LOG(F9)</f>
        <v>-1.4685210829577449</v>
      </c>
      <c r="N9" s="11"/>
      <c r="O9" s="11"/>
      <c r="P9" s="11"/>
    </row>
    <row r="10" spans="1:20" ht="15" x14ac:dyDescent="0.3">
      <c r="A10" s="76">
        <v>10.5</v>
      </c>
      <c r="B10" s="77">
        <f t="shared" ref="B10:B13" si="1">A10/23</f>
        <v>0.45652173913043476</v>
      </c>
      <c r="C10">
        <v>0.14499999999999999</v>
      </c>
      <c r="D10">
        <v>0.14799999999999999</v>
      </c>
      <c r="E10" s="18">
        <f t="shared" si="0"/>
        <v>0.14649999999999999</v>
      </c>
      <c r="F10" s="19">
        <f>(E10-$E$8)</f>
        <v>0.10249999999999999</v>
      </c>
      <c r="G10" s="19">
        <f>LOG(B10)</f>
        <v>-0.34053853694765485</v>
      </c>
      <c r="H10" s="19">
        <f>LOG(F10)</f>
        <v>-0.98927613460822694</v>
      </c>
      <c r="N10" s="11"/>
      <c r="O10" s="11"/>
      <c r="P10" s="11"/>
    </row>
    <row r="11" spans="1:20" ht="15" x14ac:dyDescent="0.3">
      <c r="A11" s="76">
        <v>31.1</v>
      </c>
      <c r="B11" s="77">
        <f t="shared" si="1"/>
        <v>1.3521739130434782</v>
      </c>
      <c r="C11">
        <v>0.32700000000000001</v>
      </c>
      <c r="D11">
        <v>0.317</v>
      </c>
      <c r="E11" s="18">
        <f t="shared" si="0"/>
        <v>0.32200000000000001</v>
      </c>
      <c r="F11" s="19">
        <f>(E11-$E$8)</f>
        <v>0.27800000000000002</v>
      </c>
      <c r="G11" s="19">
        <f>LOG(B11)</f>
        <v>0.13103255300924463</v>
      </c>
      <c r="H11" s="19">
        <f>LOG(F11)</f>
        <v>-0.55595520408192367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6">
        <v>103</v>
      </c>
      <c r="B12" s="77">
        <f t="shared" si="1"/>
        <v>4.4782608695652177</v>
      </c>
      <c r="C12">
        <v>0.95199999999999996</v>
      </c>
      <c r="D12">
        <v>1.0269999999999999</v>
      </c>
      <c r="E12" s="18">
        <f t="shared" si="0"/>
        <v>0.98949999999999994</v>
      </c>
      <c r="F12" s="19">
        <f>(E12-$E$8)</f>
        <v>0.9454999999999999</v>
      </c>
      <c r="G12" s="19">
        <f>LOG(B12)</f>
        <v>0.65110938868757939</v>
      </c>
      <c r="H12" s="19">
        <f>LOG(F12)</f>
        <v>-2.4338466818941529E-2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6">
        <v>214</v>
      </c>
      <c r="B13" s="77">
        <f t="shared" si="1"/>
        <v>9.304347826086957</v>
      </c>
      <c r="C13">
        <v>1.6539999999999999</v>
      </c>
      <c r="D13">
        <v>1.7989999999999999</v>
      </c>
      <c r="E13" s="18">
        <f t="shared" si="0"/>
        <v>1.7264999999999999</v>
      </c>
      <c r="F13" s="19">
        <f>(E13-$E$8)</f>
        <v>1.6824999999999999</v>
      </c>
      <c r="G13" s="19">
        <f>LOG(B13)</f>
        <v>0.96868593733159802</v>
      </c>
      <c r="H13" s="19">
        <f>LOG(F13)</f>
        <v>0.22595507289601444</v>
      </c>
      <c r="N13" s="11"/>
    </row>
    <row r="14" spans="1:20" ht="15" x14ac:dyDescent="0.3">
      <c r="N14" s="11"/>
    </row>
    <row r="15" spans="1:20" ht="15" x14ac:dyDescent="0.3">
      <c r="A15" s="12" t="s">
        <v>13</v>
      </c>
      <c r="B15" s="18">
        <f>SLOPE(H9:H13,G9:G13)</f>
        <v>0.93822277235080065</v>
      </c>
      <c r="N15" s="11"/>
    </row>
    <row r="16" spans="1:20" ht="15" x14ac:dyDescent="0.25">
      <c r="A16" s="12" t="s">
        <v>14</v>
      </c>
      <c r="B16" s="18">
        <f>INTERCEPT(H9:H13,G9:G13)</f>
        <v>-0.66581717836699339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15</v>
      </c>
      <c r="B19" s="22"/>
      <c r="C19" s="22"/>
      <c r="K19" s="23"/>
      <c r="L19" s="24" t="s">
        <v>16</v>
      </c>
      <c r="M19" s="25"/>
    </row>
    <row r="20" spans="1:17" s="24" customFormat="1" x14ac:dyDescent="0.2">
      <c r="A20" s="26" t="s">
        <v>17</v>
      </c>
      <c r="B20" s="16" t="s">
        <v>18</v>
      </c>
      <c r="C20" s="16" t="s">
        <v>18</v>
      </c>
      <c r="D20" s="16" t="s">
        <v>19</v>
      </c>
      <c r="E20" s="27" t="s">
        <v>20</v>
      </c>
      <c r="F20" s="28" t="s">
        <v>12</v>
      </c>
      <c r="G20" s="28" t="s">
        <v>21</v>
      </c>
      <c r="H20" s="28" t="s">
        <v>22</v>
      </c>
      <c r="I20" s="16" t="s">
        <v>23</v>
      </c>
      <c r="J20" s="28" t="s">
        <v>24</v>
      </c>
      <c r="K20" s="28" t="s">
        <v>25</v>
      </c>
      <c r="L20" s="28" t="s">
        <v>26</v>
      </c>
      <c r="M20" s="29" t="s">
        <v>27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28</v>
      </c>
      <c r="B22">
        <v>0.60799999999999998</v>
      </c>
      <c r="C22">
        <v>0.61699999999999999</v>
      </c>
      <c r="D22" s="34">
        <f t="shared" ref="D22:D27" si="2">AVERAGE(B22:C22)</f>
        <v>0.61250000000000004</v>
      </c>
      <c r="E22" s="34">
        <f t="shared" ref="E22:E27" si="3">D22-E$8</f>
        <v>0.56850000000000001</v>
      </c>
      <c r="F22" s="34">
        <f>LOG(E22)</f>
        <v>-0.2452695309762464</v>
      </c>
      <c r="G22" s="35">
        <f>(F22-$B$16)/$B$15</f>
        <v>0.44823858446435644</v>
      </c>
      <c r="H22" s="35">
        <f>10^G22</f>
        <v>2.8069752572816142</v>
      </c>
      <c r="I22" s="36">
        <v>500</v>
      </c>
      <c r="J22" s="37">
        <f>(H22*I22)</f>
        <v>1403.4876286408071</v>
      </c>
      <c r="K22" s="37">
        <f>(0.05*J22/1000)*1000</f>
        <v>70.174381432040363</v>
      </c>
      <c r="L22" s="38">
        <f>K22+K40+K50</f>
        <v>71.528067806990492</v>
      </c>
      <c r="M22" s="39">
        <f>(L22*1000000/50000)/1000</f>
        <v>1.4305613561398098</v>
      </c>
      <c r="N22" s="40"/>
    </row>
    <row r="23" spans="1:17" ht="15" x14ac:dyDescent="0.3">
      <c r="B23">
        <v>0.56899999999999995</v>
      </c>
      <c r="C23">
        <v>0.57699999999999996</v>
      </c>
      <c r="D23" s="34">
        <f t="shared" si="2"/>
        <v>0.57299999999999995</v>
      </c>
      <c r="E23" s="34">
        <f t="shared" si="3"/>
        <v>0.52899999999999991</v>
      </c>
      <c r="F23" s="34">
        <f t="shared" ref="F23:F27" si="4">LOG(E23)</f>
        <v>-0.27654432796481432</v>
      </c>
      <c r="G23" s="35">
        <f t="shared" ref="G23:G27" si="5">(F23-$B$16)/$B$15</f>
        <v>0.41490450016132235</v>
      </c>
      <c r="H23" s="35">
        <f t="shared" ref="H23:H27" si="6">10^G23</f>
        <v>2.5995878600251565</v>
      </c>
      <c r="I23" s="36">
        <v>500</v>
      </c>
      <c r="J23" s="37">
        <f t="shared" ref="J23:J27" si="7">(H23*I23)</f>
        <v>1299.7939300125784</v>
      </c>
      <c r="K23" s="37">
        <f t="shared" ref="K23:K27" si="8">(0.05*J23/1000)*1000</f>
        <v>64.989696500628924</v>
      </c>
      <c r="L23" s="38">
        <f>K23+K41+K51</f>
        <v>66.101622041510495</v>
      </c>
      <c r="M23" s="39">
        <f t="shared" ref="M23:M27" si="9">(L23*1000000/50000)/1000</f>
        <v>1.32203244083021</v>
      </c>
      <c r="N23" s="40"/>
    </row>
    <row r="24" spans="1:17" ht="15" x14ac:dyDescent="0.3">
      <c r="B24">
        <v>0.63800000000000001</v>
      </c>
      <c r="C24">
        <v>0.63</v>
      </c>
      <c r="D24" s="34">
        <f t="shared" si="2"/>
        <v>0.63400000000000001</v>
      </c>
      <c r="E24" s="34">
        <f t="shared" si="3"/>
        <v>0.59</v>
      </c>
      <c r="F24" s="34">
        <f t="shared" si="4"/>
        <v>-0.22914798835785583</v>
      </c>
      <c r="G24" s="35">
        <f t="shared" si="5"/>
        <v>0.46542164918361983</v>
      </c>
      <c r="H24" s="35">
        <f t="shared" si="6"/>
        <v>2.9202608701054671</v>
      </c>
      <c r="I24" s="36">
        <v>500</v>
      </c>
      <c r="J24" s="37">
        <f t="shared" si="7"/>
        <v>1460.1304350527334</v>
      </c>
      <c r="K24" s="37">
        <f t="shared" si="8"/>
        <v>73.006521752636672</v>
      </c>
      <c r="L24" s="38">
        <f t="shared" ref="L24:L27" si="10">K24+K42+K52</f>
        <v>74.273513432017523</v>
      </c>
      <c r="M24" s="39">
        <f t="shared" si="9"/>
        <v>1.4854702686403505</v>
      </c>
      <c r="N24" s="40"/>
    </row>
    <row r="25" spans="1:17" ht="15" x14ac:dyDescent="0.3">
      <c r="A25" s="8" t="s">
        <v>29</v>
      </c>
      <c r="B25">
        <v>0.60299999999999998</v>
      </c>
      <c r="C25">
        <v>0.58899999999999997</v>
      </c>
      <c r="D25" s="34">
        <f t="shared" si="2"/>
        <v>0.59599999999999997</v>
      </c>
      <c r="E25" s="34">
        <f t="shared" si="3"/>
        <v>0.55199999999999994</v>
      </c>
      <c r="F25" s="34">
        <f t="shared" si="4"/>
        <v>-0.25806092227080113</v>
      </c>
      <c r="G25" s="35">
        <f t="shared" si="5"/>
        <v>0.43460494470254935</v>
      </c>
      <c r="H25" s="35">
        <f t="shared" si="6"/>
        <v>2.7202257332057633</v>
      </c>
      <c r="I25" s="36">
        <v>500</v>
      </c>
      <c r="J25" s="37">
        <f t="shared" si="7"/>
        <v>1360.1128666028817</v>
      </c>
      <c r="K25" s="37">
        <f t="shared" si="8"/>
        <v>68.005643330144082</v>
      </c>
      <c r="L25" s="38">
        <f t="shared" si="10"/>
        <v>71.738263251103945</v>
      </c>
      <c r="M25" s="39">
        <f t="shared" si="9"/>
        <v>1.4347652650220786</v>
      </c>
      <c r="N25" s="40"/>
    </row>
    <row r="26" spans="1:17" ht="15" x14ac:dyDescent="0.3">
      <c r="B26">
        <v>0.61399999999999999</v>
      </c>
      <c r="C26">
        <v>0.55200000000000005</v>
      </c>
      <c r="D26" s="34">
        <f t="shared" si="2"/>
        <v>0.58299999999999996</v>
      </c>
      <c r="E26" s="34">
        <f t="shared" si="3"/>
        <v>0.53899999999999992</v>
      </c>
      <c r="F26" s="34">
        <f t="shared" si="4"/>
        <v>-0.26841123481326135</v>
      </c>
      <c r="G26" s="35">
        <f t="shared" si="5"/>
        <v>0.42357311639110623</v>
      </c>
      <c r="H26" s="35">
        <f t="shared" si="6"/>
        <v>2.6519975370133664</v>
      </c>
      <c r="I26" s="36">
        <v>500</v>
      </c>
      <c r="J26" s="37">
        <f t="shared" si="7"/>
        <v>1325.9987685066833</v>
      </c>
      <c r="K26" s="37">
        <f t="shared" si="8"/>
        <v>66.299938425334162</v>
      </c>
      <c r="L26" s="38">
        <f t="shared" si="10"/>
        <v>70.619371155324814</v>
      </c>
      <c r="M26" s="39">
        <f t="shared" si="9"/>
        <v>1.4123874231064963</v>
      </c>
      <c r="N26" s="40"/>
    </row>
    <row r="27" spans="1:17" ht="15" x14ac:dyDescent="0.3">
      <c r="B27">
        <v>0.59899999999999998</v>
      </c>
      <c r="C27">
        <v>0.59199999999999997</v>
      </c>
      <c r="D27" s="34">
        <f t="shared" si="2"/>
        <v>0.59549999999999992</v>
      </c>
      <c r="E27" s="34">
        <f t="shared" si="3"/>
        <v>0.55149999999999988</v>
      </c>
      <c r="F27" s="34">
        <f t="shared" si="4"/>
        <v>-0.25845448322379067</v>
      </c>
      <c r="G27" s="35">
        <f t="shared" si="5"/>
        <v>0.43418546974991795</v>
      </c>
      <c r="H27" s="35">
        <f t="shared" si="6"/>
        <v>2.7175995988185182</v>
      </c>
      <c r="I27" s="36">
        <v>500</v>
      </c>
      <c r="J27" s="37">
        <f t="shared" si="7"/>
        <v>1358.7997994092591</v>
      </c>
      <c r="K27" s="37">
        <f t="shared" si="8"/>
        <v>67.93998997046296</v>
      </c>
      <c r="L27" s="38">
        <f t="shared" si="10"/>
        <v>71.794881243775706</v>
      </c>
      <c r="M27" s="39">
        <f t="shared" si="9"/>
        <v>1.4358976248755142</v>
      </c>
      <c r="N27" s="40"/>
    </row>
    <row r="28" spans="1:17" ht="23.25" x14ac:dyDescent="0.35">
      <c r="A28" s="21" t="s">
        <v>15</v>
      </c>
      <c r="B28" s="72"/>
      <c r="C28" s="72"/>
      <c r="I28" s="36"/>
      <c r="J28" s="36"/>
      <c r="K28" s="41"/>
      <c r="L28" s="24" t="s">
        <v>16</v>
      </c>
      <c r="M28" s="25"/>
    </row>
    <row r="29" spans="1:17" s="24" customFormat="1" x14ac:dyDescent="0.2">
      <c r="A29" s="26" t="s">
        <v>17</v>
      </c>
      <c r="B29" s="73" t="s">
        <v>18</v>
      </c>
      <c r="C29" s="73" t="s">
        <v>18</v>
      </c>
      <c r="D29" s="16" t="s">
        <v>19</v>
      </c>
      <c r="E29" s="27" t="s">
        <v>20</v>
      </c>
      <c r="F29" s="28" t="s">
        <v>12</v>
      </c>
      <c r="G29" s="28" t="s">
        <v>21</v>
      </c>
      <c r="H29" s="28" t="s">
        <v>22</v>
      </c>
      <c r="I29" s="27" t="s">
        <v>23</v>
      </c>
      <c r="J29" s="42" t="s">
        <v>24</v>
      </c>
      <c r="K29" s="42" t="s">
        <v>25</v>
      </c>
      <c r="L29" s="28" t="s">
        <v>26</v>
      </c>
      <c r="M29" s="29" t="s">
        <v>27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28</v>
      </c>
      <c r="B31">
        <v>0.60799999999999998</v>
      </c>
      <c r="C31">
        <v>0.61699999999999999</v>
      </c>
      <c r="D31" s="34">
        <f t="shared" ref="D31:D36" si="11">AVERAGE(B31:C31)</f>
        <v>0.61250000000000004</v>
      </c>
      <c r="E31" s="34">
        <f t="shared" ref="E31:E36" si="12">D31-E$8</f>
        <v>0.56850000000000001</v>
      </c>
      <c r="F31" s="34">
        <f>LOG(E31)</f>
        <v>-0.2452695309762464</v>
      </c>
      <c r="G31" s="35">
        <f>(F31-$B$16)/$B$15</f>
        <v>0.44823858446435644</v>
      </c>
      <c r="H31" s="35">
        <f>10^G31</f>
        <v>2.8069752572816142</v>
      </c>
      <c r="I31" s="36">
        <v>500</v>
      </c>
      <c r="J31" s="37">
        <f>(H31*I31)</f>
        <v>1403.4876286408071</v>
      </c>
      <c r="K31" s="37">
        <f>(0.05*J31/1000)*1000</f>
        <v>70.174381432040363</v>
      </c>
      <c r="L31" s="38">
        <f>K31+K50</f>
        <v>70.942972828321132</v>
      </c>
      <c r="M31" s="39">
        <f>(L31*1000000/50000)/1000</f>
        <v>1.4188594565664225</v>
      </c>
      <c r="N31" s="43"/>
      <c r="Q31" s="11"/>
    </row>
    <row r="32" spans="1:17" ht="15" x14ac:dyDescent="0.3">
      <c r="B32">
        <v>0.56899999999999995</v>
      </c>
      <c r="C32">
        <v>0.57699999999999996</v>
      </c>
      <c r="D32" s="34">
        <f t="shared" si="11"/>
        <v>0.57299999999999995</v>
      </c>
      <c r="E32" s="34">
        <f t="shared" si="12"/>
        <v>0.52899999999999991</v>
      </c>
      <c r="F32" s="34">
        <f t="shared" ref="F32:F36" si="13">LOG(E32)</f>
        <v>-0.27654432796481432</v>
      </c>
      <c r="G32" s="35">
        <f t="shared" ref="G32:G36" si="14">(F32-$B$16)/$B$15</f>
        <v>0.41490450016132235</v>
      </c>
      <c r="H32" s="35">
        <f t="shared" ref="H32:H36" si="15">10^G32</f>
        <v>2.5995878600251565</v>
      </c>
      <c r="I32" s="36">
        <v>500</v>
      </c>
      <c r="J32" s="37">
        <f t="shared" ref="J32:J36" si="16">(H32*I32)</f>
        <v>1299.7939300125784</v>
      </c>
      <c r="K32" s="37">
        <f t="shared" ref="K32:K36" si="17">(0.05*J32/1000)*1000</f>
        <v>64.989696500628924</v>
      </c>
      <c r="L32" s="38">
        <f>K32+K51</f>
        <v>65.641836173421822</v>
      </c>
      <c r="M32" s="39">
        <f t="shared" ref="M32:M36" si="18">(L32*1000000/50000)/1000</f>
        <v>1.3128367234684366</v>
      </c>
      <c r="N32" s="44"/>
      <c r="Q32" s="11"/>
    </row>
    <row r="33" spans="1:19" ht="15" x14ac:dyDescent="0.3">
      <c r="B33">
        <v>0.63800000000000001</v>
      </c>
      <c r="C33">
        <v>0.63</v>
      </c>
      <c r="D33" s="34">
        <f t="shared" si="11"/>
        <v>0.63400000000000001</v>
      </c>
      <c r="E33" s="34">
        <f t="shared" si="12"/>
        <v>0.59</v>
      </c>
      <c r="F33" s="34">
        <f t="shared" si="13"/>
        <v>-0.22914798835785583</v>
      </c>
      <c r="G33" s="35">
        <f t="shared" si="14"/>
        <v>0.46542164918361983</v>
      </c>
      <c r="H33" s="35">
        <f t="shared" si="15"/>
        <v>2.9202608701054671</v>
      </c>
      <c r="I33" s="36">
        <v>500</v>
      </c>
      <c r="J33" s="37">
        <f t="shared" si="16"/>
        <v>1460.1304350527334</v>
      </c>
      <c r="K33" s="37">
        <f t="shared" si="17"/>
        <v>73.006521752636672</v>
      </c>
      <c r="L33" s="38">
        <f t="shared" ref="L33:L36" si="19">K33+K52</f>
        <v>73.66239907381501</v>
      </c>
      <c r="M33" s="39">
        <f t="shared" si="18"/>
        <v>1.4732479814763</v>
      </c>
      <c r="N33" s="44"/>
      <c r="Q33" s="11"/>
    </row>
    <row r="34" spans="1:19" ht="15" x14ac:dyDescent="0.3">
      <c r="A34" s="8" t="s">
        <v>29</v>
      </c>
      <c r="B34">
        <v>0.60299999999999998</v>
      </c>
      <c r="C34">
        <v>0.58899999999999997</v>
      </c>
      <c r="D34" s="34">
        <f t="shared" si="11"/>
        <v>0.59599999999999997</v>
      </c>
      <c r="E34" s="34">
        <f t="shared" si="12"/>
        <v>0.55199999999999994</v>
      </c>
      <c r="F34" s="34">
        <f t="shared" si="13"/>
        <v>-0.25806092227080113</v>
      </c>
      <c r="G34" s="35">
        <f t="shared" si="14"/>
        <v>0.43460494470254935</v>
      </c>
      <c r="H34" s="35">
        <f t="shared" si="15"/>
        <v>2.7202257332057633</v>
      </c>
      <c r="I34" s="36">
        <v>500</v>
      </c>
      <c r="J34" s="37">
        <f t="shared" si="16"/>
        <v>1360.1128666028817</v>
      </c>
      <c r="K34" s="37">
        <f t="shared" si="17"/>
        <v>68.005643330144082</v>
      </c>
      <c r="L34" s="38">
        <f t="shared" si="19"/>
        <v>70.431670523305058</v>
      </c>
      <c r="M34" s="39">
        <f t="shared" si="18"/>
        <v>1.4086334104661011</v>
      </c>
      <c r="N34" s="44"/>
      <c r="Q34" s="11"/>
    </row>
    <row r="35" spans="1:19" ht="15" x14ac:dyDescent="0.3">
      <c r="B35">
        <v>0.61399999999999999</v>
      </c>
      <c r="C35">
        <v>0.55200000000000005</v>
      </c>
      <c r="D35" s="34">
        <f t="shared" si="11"/>
        <v>0.58299999999999996</v>
      </c>
      <c r="E35" s="34">
        <f t="shared" si="12"/>
        <v>0.53899999999999992</v>
      </c>
      <c r="F35" s="34">
        <f t="shared" si="13"/>
        <v>-0.26841123481326135</v>
      </c>
      <c r="G35" s="35">
        <f t="shared" si="14"/>
        <v>0.42357311639110623</v>
      </c>
      <c r="H35" s="35">
        <f t="shared" si="15"/>
        <v>2.6519975370133664</v>
      </c>
      <c r="I35" s="36">
        <v>500</v>
      </c>
      <c r="J35" s="37">
        <f t="shared" si="16"/>
        <v>1325.9987685066833</v>
      </c>
      <c r="K35" s="37">
        <f t="shared" si="17"/>
        <v>66.299938425334162</v>
      </c>
      <c r="L35" s="38">
        <f t="shared" si="19"/>
        <v>69.002501336729594</v>
      </c>
      <c r="M35" s="39">
        <f t="shared" si="18"/>
        <v>1.3800500267345919</v>
      </c>
      <c r="N35" s="44"/>
      <c r="Q35" s="11"/>
      <c r="S35" s="11"/>
    </row>
    <row r="36" spans="1:19" ht="15" x14ac:dyDescent="0.3">
      <c r="B36">
        <v>0.59899999999999998</v>
      </c>
      <c r="C36">
        <v>0.59199999999999997</v>
      </c>
      <c r="D36" s="34">
        <f t="shared" si="11"/>
        <v>0.59549999999999992</v>
      </c>
      <c r="E36" s="34">
        <f t="shared" si="12"/>
        <v>0.55149999999999988</v>
      </c>
      <c r="F36" s="34">
        <f t="shared" si="13"/>
        <v>-0.25845448322379067</v>
      </c>
      <c r="G36" s="35">
        <f t="shared" si="14"/>
        <v>0.43418546974991795</v>
      </c>
      <c r="H36" s="35">
        <f t="shared" si="15"/>
        <v>2.7175995988185182</v>
      </c>
      <c r="I36" s="36">
        <v>500</v>
      </c>
      <c r="J36" s="37">
        <f t="shared" si="16"/>
        <v>1358.7997994092591</v>
      </c>
      <c r="K36" s="37">
        <f t="shared" si="17"/>
        <v>67.93998997046296</v>
      </c>
      <c r="L36" s="38">
        <f t="shared" si="19"/>
        <v>70.499988003035838</v>
      </c>
      <c r="M36" s="39">
        <f t="shared" si="18"/>
        <v>1.4099997600607168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30</v>
      </c>
      <c r="B38" s="3"/>
      <c r="C38" s="3"/>
      <c r="E38" s="35"/>
      <c r="F38" s="34"/>
      <c r="H38" s="46"/>
      <c r="I38" s="36"/>
      <c r="J38" s="36"/>
      <c r="K38" s="36"/>
      <c r="M38" s="47" t="s">
        <v>31</v>
      </c>
      <c r="R38" s="11"/>
      <c r="S38" s="11"/>
    </row>
    <row r="39" spans="1:19" ht="15" x14ac:dyDescent="0.3">
      <c r="A39" s="26" t="s">
        <v>17</v>
      </c>
      <c r="B39" s="75" t="s">
        <v>18</v>
      </c>
      <c r="C39" s="75" t="s">
        <v>18</v>
      </c>
      <c r="D39" s="16" t="s">
        <v>19</v>
      </c>
      <c r="E39" s="27" t="s">
        <v>20</v>
      </c>
      <c r="F39" s="28" t="s">
        <v>12</v>
      </c>
      <c r="G39" s="28" t="s">
        <v>21</v>
      </c>
      <c r="H39" s="28" t="s">
        <v>22</v>
      </c>
      <c r="I39" s="27" t="s">
        <v>23</v>
      </c>
      <c r="J39" s="42" t="s">
        <v>24</v>
      </c>
      <c r="K39" s="42" t="s">
        <v>32</v>
      </c>
      <c r="L39" s="28" t="s">
        <v>33</v>
      </c>
      <c r="M39" s="24" t="s">
        <v>34</v>
      </c>
      <c r="N39" s="42" t="s">
        <v>35</v>
      </c>
      <c r="R39" s="11"/>
      <c r="S39" s="11"/>
    </row>
    <row r="40" spans="1:19" ht="15" x14ac:dyDescent="0.3">
      <c r="A40" s="8" t="s">
        <v>36</v>
      </c>
      <c r="B40">
        <v>0.11799999999999999</v>
      </c>
      <c r="C40">
        <v>0.13800000000000001</v>
      </c>
      <c r="D40" s="34">
        <f>AVERAGE(B40,C40)</f>
        <v>0.128</v>
      </c>
      <c r="E40" s="34">
        <f t="shared" ref="E40:E45" si="20">D40-E$8</f>
        <v>8.4000000000000005E-2</v>
      </c>
      <c r="F40" s="34">
        <f t="shared" ref="F40:F45" si="21">LOG(E40)</f>
        <v>-1.0757207139381184</v>
      </c>
      <c r="G40" s="35">
        <f t="shared" ref="G40:G45" si="22">(F40-$B$16)/$B$15</f>
        <v>-0.43689361167825336</v>
      </c>
      <c r="H40" s="34">
        <f t="shared" ref="H40:H45" si="23">10^G40</f>
        <v>0.36568436166835083</v>
      </c>
      <c r="I40" s="48">
        <v>16</v>
      </c>
      <c r="J40" s="49">
        <f t="shared" ref="J40:J45" si="24">H40*I40</f>
        <v>5.8509497866936133</v>
      </c>
      <c r="K40" s="37">
        <f>(0.1*J40/1000)*1000</f>
        <v>0.58509497866936133</v>
      </c>
      <c r="L40" s="50">
        <f>K40*100/L22</f>
        <v>0.81799354660070867</v>
      </c>
      <c r="M40" s="51">
        <f>AVERAGE(L40:L42)</f>
        <v>0.7787856288862095</v>
      </c>
      <c r="N40" s="52">
        <f>STDEV(L40:L42)</f>
        <v>7.2103039270638075E-2</v>
      </c>
      <c r="R40" s="11"/>
      <c r="S40" s="11"/>
    </row>
    <row r="41" spans="1:19" ht="15" x14ac:dyDescent="0.3">
      <c r="B41">
        <v>0.114</v>
      </c>
      <c r="C41">
        <v>0.108</v>
      </c>
      <c r="D41" s="34">
        <f>AVERAGE(B41,C41)</f>
        <v>0.111</v>
      </c>
      <c r="E41" s="34">
        <f t="shared" si="20"/>
        <v>6.7000000000000004E-2</v>
      </c>
      <c r="F41" s="34">
        <f t="shared" si="21"/>
        <v>-1.1739251972991736</v>
      </c>
      <c r="G41" s="35">
        <f t="shared" si="22"/>
        <v>-0.5415643639293366</v>
      </c>
      <c r="H41" s="34">
        <f t="shared" si="23"/>
        <v>0.28736616755541849</v>
      </c>
      <c r="I41" s="48">
        <v>16</v>
      </c>
      <c r="J41" s="49">
        <f t="shared" si="24"/>
        <v>4.5978586808866959</v>
      </c>
      <c r="K41" s="37">
        <f t="shared" ref="K41:K45" si="25">(0.1*J41/1000)*1000</f>
        <v>0.45978586808866961</v>
      </c>
      <c r="L41" s="50">
        <f t="shared" ref="L41:L45" si="26">K41*100/L23</f>
        <v>0.6955742595846337</v>
      </c>
      <c r="M41" s="51"/>
      <c r="N41" s="52"/>
      <c r="R41" s="11"/>
      <c r="S41" s="11"/>
    </row>
    <row r="42" spans="1:19" s="24" customFormat="1" ht="15" x14ac:dyDescent="0.3">
      <c r="A42" s="8"/>
      <c r="B42">
        <v>0.13100000000000001</v>
      </c>
      <c r="C42">
        <v>0.13200000000000001</v>
      </c>
      <c r="D42" s="34">
        <f>AVERAGE(B42,C42)</f>
        <v>0.13150000000000001</v>
      </c>
      <c r="E42" s="34">
        <f t="shared" si="20"/>
        <v>8.7500000000000008E-2</v>
      </c>
      <c r="F42" s="34">
        <f t="shared" si="21"/>
        <v>-1.0579919469776866</v>
      </c>
      <c r="G42" s="35">
        <f t="shared" si="22"/>
        <v>-0.4179974950171636</v>
      </c>
      <c r="H42" s="34">
        <f t="shared" si="23"/>
        <v>0.38194647387656222</v>
      </c>
      <c r="I42" s="48">
        <v>16</v>
      </c>
      <c r="J42" s="49">
        <f t="shared" si="24"/>
        <v>6.1111435820249955</v>
      </c>
      <c r="K42" s="37">
        <f t="shared" si="25"/>
        <v>0.6111143582024996</v>
      </c>
      <c r="L42" s="50">
        <f t="shared" si="26"/>
        <v>0.82278908047328603</v>
      </c>
      <c r="M42" s="51"/>
      <c r="N42" s="52"/>
      <c r="R42" s="11"/>
      <c r="S42" s="11"/>
    </row>
    <row r="43" spans="1:19" ht="15" x14ac:dyDescent="0.3">
      <c r="A43" s="8" t="s">
        <v>37</v>
      </c>
      <c r="B43">
        <v>0.222</v>
      </c>
      <c r="C43">
        <v>0.223</v>
      </c>
      <c r="D43" s="34">
        <f t="shared" ref="D43:D45" si="27">AVERAGE(B43,C43)</f>
        <v>0.2225</v>
      </c>
      <c r="E43" s="34">
        <f t="shared" si="20"/>
        <v>0.17849999999999999</v>
      </c>
      <c r="F43" s="34">
        <f t="shared" si="21"/>
        <v>-0.74836177955178806</v>
      </c>
      <c r="G43" s="35">
        <f t="shared" si="22"/>
        <v>-8.7979745980767271E-2</v>
      </c>
      <c r="H43" s="34">
        <f t="shared" si="23"/>
        <v>0.81662045487430091</v>
      </c>
      <c r="I43" s="48">
        <v>16</v>
      </c>
      <c r="J43" s="49">
        <f t="shared" si="24"/>
        <v>13.065927277988814</v>
      </c>
      <c r="K43" s="37">
        <f t="shared" si="25"/>
        <v>1.3065927277988816</v>
      </c>
      <c r="L43" s="50">
        <f t="shared" si="26"/>
        <v>1.8213330914151664</v>
      </c>
      <c r="M43" s="51">
        <f>AVERAGE(L43:L45)</f>
        <v>1.97149660891566</v>
      </c>
      <c r="N43" s="52">
        <f>STDEV(L43:L45)</f>
        <v>0.27558988088778502</v>
      </c>
      <c r="R43" s="11"/>
      <c r="S43" s="11"/>
    </row>
    <row r="44" spans="1:19" ht="15" x14ac:dyDescent="0.3">
      <c r="A44" s="53"/>
      <c r="B44">
        <v>0.252</v>
      </c>
      <c r="C44">
        <v>0.27200000000000002</v>
      </c>
      <c r="D44" s="34">
        <f t="shared" si="27"/>
        <v>0.26200000000000001</v>
      </c>
      <c r="E44" s="34">
        <f t="shared" si="20"/>
        <v>0.21800000000000003</v>
      </c>
      <c r="F44" s="34">
        <f t="shared" si="21"/>
        <v>-0.66154350639539516</v>
      </c>
      <c r="G44" s="35">
        <f t="shared" si="22"/>
        <v>4.5550716711876002E-3</v>
      </c>
      <c r="H44" s="34">
        <f t="shared" si="23"/>
        <v>1.0105436366220084</v>
      </c>
      <c r="I44" s="48">
        <v>16</v>
      </c>
      <c r="J44" s="49">
        <f t="shared" si="24"/>
        <v>16.168698185952135</v>
      </c>
      <c r="K44" s="37">
        <f t="shared" si="25"/>
        <v>1.6168698185952135</v>
      </c>
      <c r="L44" s="50">
        <f t="shared" si="26"/>
        <v>2.289555673101316</v>
      </c>
      <c r="M44" s="51"/>
      <c r="N44" s="52"/>
    </row>
    <row r="45" spans="1:19" ht="15" x14ac:dyDescent="0.3">
      <c r="A45" s="54"/>
      <c r="B45">
        <v>0.22800000000000001</v>
      </c>
      <c r="C45">
        <v>0.214</v>
      </c>
      <c r="D45" s="34">
        <f t="shared" si="27"/>
        <v>0.221</v>
      </c>
      <c r="E45" s="34">
        <f t="shared" si="20"/>
        <v>0.17699999999999999</v>
      </c>
      <c r="F45" s="34">
        <f t="shared" si="21"/>
        <v>-0.75202673363819339</v>
      </c>
      <c r="G45" s="35">
        <f t="shared" si="22"/>
        <v>-9.1886018770567984E-2</v>
      </c>
      <c r="H45" s="34">
        <f t="shared" si="23"/>
        <v>0.80930827546241446</v>
      </c>
      <c r="I45" s="48">
        <v>16</v>
      </c>
      <c r="J45" s="49">
        <f t="shared" si="24"/>
        <v>12.948932407398631</v>
      </c>
      <c r="K45" s="37">
        <f t="shared" si="25"/>
        <v>1.2948932407398632</v>
      </c>
      <c r="L45" s="50">
        <f t="shared" si="26"/>
        <v>1.8036010622304981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38</v>
      </c>
      <c r="B48" s="3"/>
      <c r="C48" s="3"/>
      <c r="E48" s="35"/>
      <c r="F48" s="34"/>
      <c r="H48" s="46"/>
      <c r="I48" s="36"/>
      <c r="J48" s="36"/>
      <c r="K48" s="36"/>
      <c r="M48" s="47" t="s">
        <v>31</v>
      </c>
    </row>
    <row r="49" spans="1:25" x14ac:dyDescent="0.2">
      <c r="A49" s="26" t="s">
        <v>17</v>
      </c>
      <c r="B49" s="75" t="s">
        <v>18</v>
      </c>
      <c r="C49" s="75" t="s">
        <v>18</v>
      </c>
      <c r="D49" s="16" t="s">
        <v>19</v>
      </c>
      <c r="E49" s="27" t="s">
        <v>20</v>
      </c>
      <c r="F49" s="28" t="s">
        <v>12</v>
      </c>
      <c r="G49" s="28" t="s">
        <v>21</v>
      </c>
      <c r="H49" s="28" t="s">
        <v>22</v>
      </c>
      <c r="I49" s="27" t="s">
        <v>23</v>
      </c>
      <c r="J49" s="42" t="s">
        <v>24</v>
      </c>
      <c r="K49" s="42" t="s">
        <v>32</v>
      </c>
      <c r="L49" s="28" t="s">
        <v>33</v>
      </c>
      <c r="M49" s="24" t="s">
        <v>34</v>
      </c>
      <c r="N49" s="42" t="s">
        <v>35</v>
      </c>
      <c r="O49" s="10" t="s">
        <v>39</v>
      </c>
      <c r="P49" s="24" t="s">
        <v>34</v>
      </c>
      <c r="Q49" s="42" t="s">
        <v>35</v>
      </c>
    </row>
    <row r="50" spans="1:25" ht="15" x14ac:dyDescent="0.3">
      <c r="A50" s="8" t="s">
        <v>28</v>
      </c>
      <c r="B50">
        <v>0.151</v>
      </c>
      <c r="C50">
        <v>0.154</v>
      </c>
      <c r="D50" s="34">
        <f t="shared" ref="D50:D52" si="28">AVERAGE(B50,C50)</f>
        <v>0.1525</v>
      </c>
      <c r="E50" s="34">
        <f t="shared" ref="E50:E55" si="29">D50-E$8</f>
        <v>0.1085</v>
      </c>
      <c r="F50" s="34">
        <f t="shared" ref="F50:F55" si="30">LOG(E50)</f>
        <v>-0.96457026181545169</v>
      </c>
      <c r="G50" s="35">
        <f t="shared" ref="G50:G55" si="31">(F50-$B$16)/$B$15</f>
        <v>-0.31842446405335684</v>
      </c>
      <c r="H50" s="34">
        <f t="shared" ref="H50:H55" si="32">10^G50</f>
        <v>0.48036962267547889</v>
      </c>
      <c r="I50" s="48">
        <v>16</v>
      </c>
      <c r="J50" s="49">
        <f t="shared" ref="J50:J55" si="33">H50*I50</f>
        <v>7.6859139628076623</v>
      </c>
      <c r="K50" s="37">
        <f>(0.1*J50/1000)*1000</f>
        <v>0.76859139628076623</v>
      </c>
      <c r="L50" s="50">
        <f t="shared" ref="L50:L55" si="34">K50*100/L31</f>
        <v>1.0833932743990353</v>
      </c>
      <c r="M50" s="51">
        <f>AVERAGE(L50:L52)</f>
        <v>0.98908594193250654</v>
      </c>
      <c r="N50" s="52">
        <f>STDEV(L50:L52)</f>
        <v>9.6580301283973824E-2</v>
      </c>
      <c r="O50" s="10">
        <f>L50/L40</f>
        <v>1.3244521046666369</v>
      </c>
      <c r="P50" s="51">
        <f>AVERAGE(O50:O52)</f>
        <v>1.2782980123136833</v>
      </c>
      <c r="Q50" s="52">
        <f>STDEV(O50:O52)</f>
        <v>0.17762472713228347</v>
      </c>
      <c r="S50" s="11"/>
      <c r="T50" s="11"/>
    </row>
    <row r="51" spans="1:25" ht="15" x14ac:dyDescent="0.3">
      <c r="B51">
        <v>0.13900000000000001</v>
      </c>
      <c r="C51">
        <v>0.13500000000000001</v>
      </c>
      <c r="D51" s="34">
        <f t="shared" si="28"/>
        <v>0.13700000000000001</v>
      </c>
      <c r="E51" s="34">
        <f t="shared" si="29"/>
        <v>9.3000000000000013E-2</v>
      </c>
      <c r="F51" s="34">
        <f t="shared" si="30"/>
        <v>-1.0315170514460648</v>
      </c>
      <c r="G51" s="35">
        <f t="shared" si="31"/>
        <v>-0.38977936142263719</v>
      </c>
      <c r="H51" s="34">
        <f t="shared" si="32"/>
        <v>0.40758729549555806</v>
      </c>
      <c r="I51" s="48">
        <v>16</v>
      </c>
      <c r="J51" s="49">
        <f t="shared" si="33"/>
        <v>6.5213967279289289</v>
      </c>
      <c r="K51" s="37">
        <f t="shared" ref="K51:K55" si="35">(0.1*J51/1000)*1000</f>
        <v>0.65213967279289298</v>
      </c>
      <c r="L51" s="50">
        <f t="shared" si="34"/>
        <v>0.99348176530281507</v>
      </c>
      <c r="M51" s="51"/>
      <c r="N51" s="52"/>
      <c r="O51" s="10">
        <f t="shared" ref="O51:O55" si="36">L51/L41</f>
        <v>1.4282900087419546</v>
      </c>
      <c r="P51" s="51"/>
      <c r="Q51" s="52"/>
      <c r="S51" s="11"/>
      <c r="T51" s="11"/>
    </row>
    <row r="52" spans="1:25" ht="15" x14ac:dyDescent="0.3">
      <c r="B52">
        <v>0.14000000000000001</v>
      </c>
      <c r="C52">
        <v>0.13500000000000001</v>
      </c>
      <c r="D52" s="34">
        <f t="shared" si="28"/>
        <v>0.13750000000000001</v>
      </c>
      <c r="E52" s="34">
        <f t="shared" si="29"/>
        <v>9.3500000000000014E-2</v>
      </c>
      <c r="F52" s="34">
        <f t="shared" si="30"/>
        <v>-1.0291883891274822</v>
      </c>
      <c r="G52" s="35">
        <f t="shared" si="31"/>
        <v>-0.38729736845976348</v>
      </c>
      <c r="H52" s="34">
        <f t="shared" si="32"/>
        <v>0.40992332573646534</v>
      </c>
      <c r="I52" s="48">
        <v>16</v>
      </c>
      <c r="J52" s="49">
        <f t="shared" si="33"/>
        <v>6.5587732117834454</v>
      </c>
      <c r="K52" s="37">
        <f t="shared" si="35"/>
        <v>0.65587732117834463</v>
      </c>
      <c r="L52" s="50">
        <f t="shared" si="34"/>
        <v>0.89038278609566934</v>
      </c>
      <c r="M52" s="51"/>
      <c r="N52" s="52"/>
      <c r="O52" s="10">
        <f t="shared" si="36"/>
        <v>1.0821519235324586</v>
      </c>
      <c r="P52" s="51"/>
      <c r="Q52" s="52"/>
      <c r="S52" s="11"/>
      <c r="T52" s="11"/>
    </row>
    <row r="53" spans="1:25" ht="15" x14ac:dyDescent="0.3">
      <c r="A53" s="8" t="s">
        <v>29</v>
      </c>
      <c r="B53">
        <v>0.35499999999999998</v>
      </c>
      <c r="C53">
        <v>0.371</v>
      </c>
      <c r="D53" s="34">
        <f>AVERAGE(B53:C53)</f>
        <v>0.36299999999999999</v>
      </c>
      <c r="E53" s="34">
        <f t="shared" si="29"/>
        <v>0.31900000000000001</v>
      </c>
      <c r="F53" s="34">
        <f t="shared" si="30"/>
        <v>-0.49620931694281889</v>
      </c>
      <c r="G53" s="35">
        <f t="shared" si="31"/>
        <v>0.1807756818769245</v>
      </c>
      <c r="H53" s="34">
        <f t="shared" si="32"/>
        <v>1.5162669957256081</v>
      </c>
      <c r="I53" s="48">
        <v>16</v>
      </c>
      <c r="J53" s="49">
        <f t="shared" si="33"/>
        <v>24.260271931609729</v>
      </c>
      <c r="K53" s="37">
        <f t="shared" si="35"/>
        <v>2.4260271931609729</v>
      </c>
      <c r="L53" s="50">
        <f t="shared" si="34"/>
        <v>3.444511787290673</v>
      </c>
      <c r="M53" s="51">
        <f>AVERAGE(L53:L55)</f>
        <v>3.6641103828825812</v>
      </c>
      <c r="N53" s="52">
        <f>STDEV(L53:L55)</f>
        <v>0.23776608485454748</v>
      </c>
      <c r="O53" s="10">
        <f t="shared" si="36"/>
        <v>1.891203648320201</v>
      </c>
      <c r="P53" s="51">
        <f>AVERAGE(O53:O55)</f>
        <v>1.871718547126771</v>
      </c>
      <c r="Q53" s="52">
        <f>STDEV(O53:O55)</f>
        <v>0.15226939395550468</v>
      </c>
      <c r="S53" s="11"/>
      <c r="T53" s="11"/>
    </row>
    <row r="54" spans="1:25" ht="15" x14ac:dyDescent="0.3">
      <c r="A54" s="53"/>
      <c r="B54">
        <v>0.39300000000000002</v>
      </c>
      <c r="C54">
        <v>0.40100000000000002</v>
      </c>
      <c r="D54" s="34">
        <f>AVERAGE(B54:C54)</f>
        <v>0.39700000000000002</v>
      </c>
      <c r="E54" s="34">
        <f t="shared" si="29"/>
        <v>0.35300000000000004</v>
      </c>
      <c r="F54" s="34">
        <f t="shared" si="30"/>
        <v>-0.45222529461217736</v>
      </c>
      <c r="G54" s="35">
        <f t="shared" si="31"/>
        <v>0.22765582977659193</v>
      </c>
      <c r="H54" s="34">
        <f t="shared" si="32"/>
        <v>1.6891018196221428</v>
      </c>
      <c r="I54" s="48">
        <v>16</v>
      </c>
      <c r="J54" s="49">
        <f t="shared" si="33"/>
        <v>27.025629113954285</v>
      </c>
      <c r="K54" s="37">
        <f t="shared" si="35"/>
        <v>2.7025629113954288</v>
      </c>
      <c r="L54" s="50">
        <f t="shared" si="34"/>
        <v>3.9166158603541401</v>
      </c>
      <c r="M54" s="51"/>
      <c r="N54" s="52"/>
      <c r="O54" s="10">
        <f t="shared" si="36"/>
        <v>1.710644517784925</v>
      </c>
      <c r="P54" s="51"/>
      <c r="Q54" s="52"/>
      <c r="S54" s="11"/>
      <c r="T54" s="11"/>
    </row>
    <row r="55" spans="1:25" ht="15" x14ac:dyDescent="0.3">
      <c r="A55" s="54"/>
      <c r="B55">
        <v>0.379</v>
      </c>
      <c r="C55">
        <v>0.38</v>
      </c>
      <c r="D55" s="34">
        <f>AVERAGE(B55:C55)</f>
        <v>0.3795</v>
      </c>
      <c r="E55" s="34">
        <f t="shared" si="29"/>
        <v>0.33550000000000002</v>
      </c>
      <c r="F55" s="34">
        <f t="shared" si="30"/>
        <v>-0.47430747549498908</v>
      </c>
      <c r="G55" s="35">
        <f t="shared" si="31"/>
        <v>0.20411964888910095</v>
      </c>
      <c r="H55" s="34">
        <f t="shared" si="32"/>
        <v>1.5999987703580516</v>
      </c>
      <c r="I55" s="48">
        <v>16</v>
      </c>
      <c r="J55" s="49">
        <f t="shared" si="33"/>
        <v>25.599980325728826</v>
      </c>
      <c r="K55" s="37">
        <f t="shared" si="35"/>
        <v>2.5599980325728828</v>
      </c>
      <c r="L55" s="50">
        <f t="shared" si="34"/>
        <v>3.6312035010029295</v>
      </c>
      <c r="M55" s="51"/>
      <c r="N55" s="52"/>
      <c r="O55" s="10">
        <f t="shared" si="36"/>
        <v>2.0133074752751869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40</v>
      </c>
      <c r="N57" s="10" t="s">
        <v>41</v>
      </c>
      <c r="O57" s="42" t="s">
        <v>35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28</v>
      </c>
      <c r="N58" s="51">
        <f>P50</f>
        <v>1.2782980123136833</v>
      </c>
      <c r="O58" s="51">
        <f>Q50</f>
        <v>0.17762472713228347</v>
      </c>
    </row>
    <row r="59" spans="1:25" ht="15" x14ac:dyDescent="0.3">
      <c r="D59" s="11"/>
      <c r="E59" s="11"/>
      <c r="G59" s="11"/>
      <c r="M59" s="10" t="s">
        <v>29</v>
      </c>
      <c r="N59" s="51">
        <f>P53</f>
        <v>1.871718547126771</v>
      </c>
      <c r="O59" s="51">
        <f>Q53</f>
        <v>0.15226939395550468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19</v>
      </c>
      <c r="C64" s="58" t="s">
        <v>42</v>
      </c>
      <c r="D64" s="34"/>
      <c r="E64" s="35"/>
      <c r="F64" s="34"/>
      <c r="G64" s="51"/>
      <c r="H64" s="55"/>
    </row>
    <row r="65" spans="1:8" x14ac:dyDescent="0.2">
      <c r="A65" s="8" t="s">
        <v>36</v>
      </c>
      <c r="B65" s="51">
        <f>M40</f>
        <v>0.7787856288862095</v>
      </c>
      <c r="C65" s="51">
        <f>N40</f>
        <v>7.2103039270638075E-2</v>
      </c>
      <c r="D65" s="34"/>
      <c r="E65" s="35"/>
      <c r="F65" s="34"/>
      <c r="G65" s="51"/>
      <c r="H65" s="55"/>
    </row>
    <row r="66" spans="1:8" x14ac:dyDescent="0.2">
      <c r="A66" s="8" t="s">
        <v>28</v>
      </c>
      <c r="B66" s="51">
        <f>M50</f>
        <v>0.98908594193250654</v>
      </c>
      <c r="C66" s="51">
        <f>N50</f>
        <v>9.6580301283973824E-2</v>
      </c>
      <c r="D66" s="34"/>
      <c r="E66" s="35"/>
      <c r="F66" s="34"/>
      <c r="G66" s="51"/>
      <c r="H66" s="55"/>
    </row>
    <row r="67" spans="1:8" x14ac:dyDescent="0.2">
      <c r="A67" s="8" t="s">
        <v>37</v>
      </c>
      <c r="B67" s="51">
        <f>M43</f>
        <v>1.97149660891566</v>
      </c>
      <c r="C67" s="51">
        <f>N43</f>
        <v>0.27558988088778502</v>
      </c>
      <c r="D67" s="34"/>
      <c r="E67" s="35"/>
      <c r="F67" s="34"/>
      <c r="G67" s="51"/>
      <c r="H67" s="55"/>
    </row>
    <row r="68" spans="1:8" x14ac:dyDescent="0.2">
      <c r="A68" s="59" t="s">
        <v>29</v>
      </c>
      <c r="B68" s="51">
        <f>M53</f>
        <v>3.6641103828825812</v>
      </c>
      <c r="C68" s="51">
        <f>N53</f>
        <v>0.23776608485454748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D4" sqref="D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7.12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42234</v>
      </c>
    </row>
    <row r="2" spans="1:20" s="3" customFormat="1" x14ac:dyDescent="0.2">
      <c r="A2" s="1" t="s">
        <v>1</v>
      </c>
      <c r="B2" s="3">
        <v>83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9">
        <v>198288</v>
      </c>
      <c r="F3" s="79">
        <v>207320</v>
      </c>
    </row>
    <row r="4" spans="1:20" s="3" customFormat="1" ht="15" x14ac:dyDescent="0.3">
      <c r="A4" s="1"/>
      <c r="D4" s="6" t="s">
        <v>43</v>
      </c>
      <c r="E4" s="82">
        <v>209648</v>
      </c>
      <c r="F4" s="83">
        <v>187296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6</v>
      </c>
      <c r="B7" s="13" t="s">
        <v>7</v>
      </c>
      <c r="C7" s="14" t="s">
        <v>8</v>
      </c>
      <c r="D7" s="14"/>
      <c r="E7" s="15" t="s">
        <v>9</v>
      </c>
      <c r="F7" s="16" t="s">
        <v>10</v>
      </c>
      <c r="G7" s="17" t="s">
        <v>11</v>
      </c>
      <c r="H7" s="17" t="s">
        <v>12</v>
      </c>
      <c r="N7" s="11"/>
      <c r="O7" s="11"/>
      <c r="P7" s="11"/>
    </row>
    <row r="8" spans="1:20" ht="15" x14ac:dyDescent="0.3">
      <c r="A8" s="76">
        <v>0</v>
      </c>
      <c r="B8" s="6">
        <v>0</v>
      </c>
      <c r="C8">
        <v>4.4999999999999998E-2</v>
      </c>
      <c r="D8">
        <v>5.0999999999999997E-2</v>
      </c>
      <c r="E8" s="18">
        <f t="shared" ref="E8:E13" si="0">AVERAGE(C8:D8)</f>
        <v>4.8000000000000001E-2</v>
      </c>
      <c r="F8" s="19"/>
      <c r="G8" s="17"/>
      <c r="H8" s="17"/>
      <c r="N8" s="11"/>
      <c r="O8" s="11"/>
      <c r="P8" s="11"/>
    </row>
    <row r="9" spans="1:20" ht="15" x14ac:dyDescent="0.3">
      <c r="A9" s="76">
        <v>3.18</v>
      </c>
      <c r="B9" s="77">
        <f>A9/23</f>
        <v>0.13826086956521741</v>
      </c>
      <c r="C9">
        <v>8.1000000000000003E-2</v>
      </c>
      <c r="D9">
        <v>8.4000000000000005E-2</v>
      </c>
      <c r="E9" s="18">
        <f t="shared" si="0"/>
        <v>8.2500000000000004E-2</v>
      </c>
      <c r="F9" s="19">
        <f>(E9-$E$8)</f>
        <v>3.4500000000000003E-2</v>
      </c>
      <c r="G9" s="19">
        <f>LOG(B9)</f>
        <v>-0.85930071603316016</v>
      </c>
      <c r="H9" s="19">
        <f>LOG(F9)</f>
        <v>-1.4621809049267258</v>
      </c>
      <c r="N9" s="11"/>
      <c r="O9" s="11"/>
      <c r="P9" s="11"/>
    </row>
    <row r="10" spans="1:20" ht="15" x14ac:dyDescent="0.3">
      <c r="A10" s="76">
        <v>10.5</v>
      </c>
      <c r="B10" s="77">
        <f t="shared" ref="B10:B13" si="1">A10/23</f>
        <v>0.45652173913043476</v>
      </c>
      <c r="C10">
        <v>0.16500000000000001</v>
      </c>
      <c r="D10">
        <v>0.16300000000000001</v>
      </c>
      <c r="E10" s="18">
        <f t="shared" si="0"/>
        <v>0.16400000000000001</v>
      </c>
      <c r="F10" s="19">
        <f>(E10-$E$8)</f>
        <v>0.11600000000000001</v>
      </c>
      <c r="G10" s="19">
        <f>LOG(B10)</f>
        <v>-0.34053853694765485</v>
      </c>
      <c r="H10" s="19">
        <f>LOG(F10)</f>
        <v>-0.93554201077308152</v>
      </c>
      <c r="N10" s="11"/>
      <c r="O10" s="11"/>
      <c r="P10" s="11"/>
    </row>
    <row r="11" spans="1:20" ht="15" x14ac:dyDescent="0.3">
      <c r="A11" s="76">
        <v>31.1</v>
      </c>
      <c r="B11" s="77">
        <f t="shared" si="1"/>
        <v>1.3521739130434782</v>
      </c>
      <c r="C11">
        <v>0.375</v>
      </c>
      <c r="D11">
        <v>0.36399999999999999</v>
      </c>
      <c r="E11" s="18">
        <f t="shared" si="0"/>
        <v>0.3695</v>
      </c>
      <c r="F11" s="19">
        <f>(E11-$E$8)</f>
        <v>0.32150000000000001</v>
      </c>
      <c r="G11" s="19">
        <f>LOG(B11)</f>
        <v>0.13103255300924463</v>
      </c>
      <c r="H11" s="19">
        <f>LOG(F11)</f>
        <v>-0.49281902273975914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6">
        <v>103</v>
      </c>
      <c r="B12" s="77">
        <f t="shared" si="1"/>
        <v>4.4782608695652177</v>
      </c>
      <c r="C12">
        <v>1.0940000000000001</v>
      </c>
      <c r="D12">
        <v>1.0920000000000001</v>
      </c>
      <c r="E12" s="18">
        <f t="shared" si="0"/>
        <v>1.093</v>
      </c>
      <c r="F12" s="19">
        <f>(E12-$E$8)</f>
        <v>1.0449999999999999</v>
      </c>
      <c r="G12" s="19">
        <f>LOG(B12)</f>
        <v>0.65110938868757939</v>
      </c>
      <c r="H12" s="19">
        <f>LOG(F12)</f>
        <v>1.9116290447072779E-2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6">
        <v>214</v>
      </c>
      <c r="B13" s="77">
        <f t="shared" si="1"/>
        <v>9.304347826086957</v>
      </c>
      <c r="C13">
        <v>1.99</v>
      </c>
      <c r="D13">
        <v>1.9490000000000001</v>
      </c>
      <c r="E13" s="18">
        <f t="shared" si="0"/>
        <v>1.9695</v>
      </c>
      <c r="F13" s="19">
        <f>(E13-$E$8)</f>
        <v>1.9215</v>
      </c>
      <c r="G13" s="19">
        <f>LOG(B13)</f>
        <v>0.96868593733159802</v>
      </c>
      <c r="H13" s="19">
        <f>LOG(F13)</f>
        <v>0.28364038880036752</v>
      </c>
      <c r="N13" s="11"/>
    </row>
    <row r="14" spans="1:20" ht="15" x14ac:dyDescent="0.3">
      <c r="N14" s="11"/>
    </row>
    <row r="15" spans="1:20" ht="15" x14ac:dyDescent="0.3">
      <c r="A15" s="12" t="s">
        <v>13</v>
      </c>
      <c r="B15" s="18">
        <f>SLOPE(H9:H13,G9:G13)</f>
        <v>0.9584592216076262</v>
      </c>
      <c r="N15" s="11"/>
    </row>
    <row r="16" spans="1:20" ht="15" x14ac:dyDescent="0.25">
      <c r="A16" s="12" t="s">
        <v>14</v>
      </c>
      <c r="B16" s="18">
        <f>INTERCEPT(H9:H13,G9:G13)</f>
        <v>-0.62317707776567421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15</v>
      </c>
      <c r="B19" s="22"/>
      <c r="C19" s="22"/>
      <c r="K19" s="23"/>
      <c r="L19" s="24" t="s">
        <v>16</v>
      </c>
      <c r="M19" s="25"/>
    </row>
    <row r="20" spans="1:17" s="24" customFormat="1" x14ac:dyDescent="0.2">
      <c r="A20" s="26" t="s">
        <v>17</v>
      </c>
      <c r="B20" s="16" t="s">
        <v>18</v>
      </c>
      <c r="C20" s="16" t="s">
        <v>18</v>
      </c>
      <c r="D20" s="16" t="s">
        <v>19</v>
      </c>
      <c r="E20" s="27" t="s">
        <v>20</v>
      </c>
      <c r="F20" s="28" t="s">
        <v>12</v>
      </c>
      <c r="G20" s="28" t="s">
        <v>21</v>
      </c>
      <c r="H20" s="28" t="s">
        <v>22</v>
      </c>
      <c r="I20" s="16" t="s">
        <v>23</v>
      </c>
      <c r="J20" s="28" t="s">
        <v>24</v>
      </c>
      <c r="K20" s="28" t="s">
        <v>25</v>
      </c>
      <c r="L20" s="28" t="s">
        <v>26</v>
      </c>
      <c r="M20" s="29" t="s">
        <v>27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28</v>
      </c>
      <c r="B22">
        <v>0.53600000000000003</v>
      </c>
      <c r="C22">
        <v>0.50900000000000001</v>
      </c>
      <c r="D22" s="34">
        <f t="shared" ref="D22:D27" si="2">AVERAGE(B22:C22)</f>
        <v>0.52249999999999996</v>
      </c>
      <c r="E22" s="34">
        <f t="shared" ref="E22:E27" si="3">D22-E$8</f>
        <v>0.47449999999999998</v>
      </c>
      <c r="F22" s="34">
        <f>LOG(E22)</f>
        <v>-0.32376378323668853</v>
      </c>
      <c r="G22" s="35">
        <f>(F22-$B$16)/$B$15</f>
        <v>0.31239022775197361</v>
      </c>
      <c r="H22" s="35">
        <f>10^G22</f>
        <v>2.0530060431825614</v>
      </c>
      <c r="I22" s="36">
        <v>500</v>
      </c>
      <c r="J22" s="37">
        <f>(H22*I22)</f>
        <v>1026.5030215912807</v>
      </c>
      <c r="K22" s="37">
        <f>(0.05*J22/1000)*1000</f>
        <v>51.325151079564037</v>
      </c>
      <c r="L22" s="38">
        <f>K22+K40+K50</f>
        <v>52.165493550005749</v>
      </c>
      <c r="M22" s="39">
        <f>(L22*1000000/50000)/1000</f>
        <v>1.043309871000115</v>
      </c>
      <c r="N22" s="40"/>
    </row>
    <row r="23" spans="1:17" ht="15" x14ac:dyDescent="0.3">
      <c r="B23">
        <v>0.54200000000000004</v>
      </c>
      <c r="C23">
        <v>0.52400000000000002</v>
      </c>
      <c r="D23" s="34">
        <f t="shared" si="2"/>
        <v>0.53300000000000003</v>
      </c>
      <c r="E23" s="34">
        <f t="shared" si="3"/>
        <v>0.48500000000000004</v>
      </c>
      <c r="F23" s="34">
        <f t="shared" ref="F23:F27" si="4">LOG(E23)</f>
        <v>-0.31425826139773633</v>
      </c>
      <c r="G23" s="35">
        <f t="shared" ref="G23:G27" si="5">(F23-$B$16)/$B$15</f>
        <v>0.32230773036936045</v>
      </c>
      <c r="H23" s="35">
        <f t="shared" ref="H23:H27" si="6">10^G23</f>
        <v>2.1004276677509357</v>
      </c>
      <c r="I23" s="36">
        <v>500</v>
      </c>
      <c r="J23" s="37">
        <f t="shared" ref="J23:J27" si="7">(H23*I23)</f>
        <v>1050.2138338754678</v>
      </c>
      <c r="K23" s="37">
        <f t="shared" ref="K23:K27" si="8">(0.05*J23/1000)*1000</f>
        <v>52.510691693773396</v>
      </c>
      <c r="L23" s="38">
        <f>K23+K41+K51</f>
        <v>53.67606975963011</v>
      </c>
      <c r="M23" s="39">
        <f t="shared" ref="M23:M27" si="9">(L23*1000000/50000)/1000</f>
        <v>1.0735213951926021</v>
      </c>
      <c r="N23" s="40"/>
    </row>
    <row r="24" spans="1:17" ht="15" x14ac:dyDescent="0.3">
      <c r="B24">
        <v>0.51600000000000001</v>
      </c>
      <c r="C24">
        <v>0.51500000000000001</v>
      </c>
      <c r="D24" s="34">
        <f t="shared" si="2"/>
        <v>0.51550000000000007</v>
      </c>
      <c r="E24" s="34">
        <f t="shared" si="3"/>
        <v>0.46750000000000008</v>
      </c>
      <c r="F24" s="34">
        <f t="shared" si="4"/>
        <v>-0.33021838479146337</v>
      </c>
      <c r="G24" s="35">
        <f t="shared" si="5"/>
        <v>0.30565587598273658</v>
      </c>
      <c r="H24" s="35">
        <f t="shared" si="6"/>
        <v>2.021416824112396</v>
      </c>
      <c r="I24" s="36">
        <v>500</v>
      </c>
      <c r="J24" s="37">
        <f t="shared" si="7"/>
        <v>1010.708412056198</v>
      </c>
      <c r="K24" s="37">
        <f t="shared" si="8"/>
        <v>50.5354206028099</v>
      </c>
      <c r="L24" s="38">
        <f t="shared" ref="L24:L27" si="10">K24+K42+K52</f>
        <v>51.620302833024333</v>
      </c>
      <c r="M24" s="39">
        <f t="shared" si="9"/>
        <v>1.0324060566604867</v>
      </c>
      <c r="N24" s="40"/>
    </row>
    <row r="25" spans="1:17" ht="15" x14ac:dyDescent="0.3">
      <c r="A25" s="8" t="s">
        <v>29</v>
      </c>
      <c r="B25" s="78">
        <v>0.49299999999999999</v>
      </c>
      <c r="C25" s="78">
        <v>0.47599999999999998</v>
      </c>
      <c r="D25" s="34">
        <f t="shared" si="2"/>
        <v>0.48449999999999999</v>
      </c>
      <c r="E25" s="34">
        <f t="shared" si="3"/>
        <v>0.4365</v>
      </c>
      <c r="F25" s="34">
        <f t="shared" si="4"/>
        <v>-0.36001575195841146</v>
      </c>
      <c r="G25" s="35">
        <f t="shared" si="5"/>
        <v>0.27456705499255518</v>
      </c>
      <c r="H25" s="35">
        <f t="shared" si="6"/>
        <v>1.8817722290946899</v>
      </c>
      <c r="I25" s="36">
        <v>500</v>
      </c>
      <c r="J25" s="37">
        <f t="shared" si="7"/>
        <v>940.88611454734496</v>
      </c>
      <c r="K25" s="37">
        <f t="shared" si="8"/>
        <v>47.044305727367252</v>
      </c>
      <c r="L25" s="38">
        <f t="shared" si="10"/>
        <v>49.799229752732835</v>
      </c>
      <c r="M25" s="39">
        <f t="shared" si="9"/>
        <v>0.99598459505465664</v>
      </c>
      <c r="N25" s="40"/>
    </row>
    <row r="26" spans="1:17" ht="15" x14ac:dyDescent="0.3">
      <c r="B26">
        <v>0.46600000000000003</v>
      </c>
      <c r="C26">
        <v>0.46800000000000003</v>
      </c>
      <c r="D26" s="34">
        <f t="shared" si="2"/>
        <v>0.46700000000000003</v>
      </c>
      <c r="E26" s="34">
        <f t="shared" si="3"/>
        <v>0.41900000000000004</v>
      </c>
      <c r="F26" s="34">
        <f t="shared" si="4"/>
        <v>-0.37778597703370465</v>
      </c>
      <c r="G26" s="35">
        <f t="shared" si="5"/>
        <v>0.25602664693483196</v>
      </c>
      <c r="H26" s="35">
        <f t="shared" si="6"/>
        <v>1.8031283717153941</v>
      </c>
      <c r="I26" s="36">
        <v>500</v>
      </c>
      <c r="J26" s="37">
        <f t="shared" si="7"/>
        <v>901.564185857697</v>
      </c>
      <c r="K26" s="37">
        <f t="shared" si="8"/>
        <v>45.07820929288485</v>
      </c>
      <c r="L26" s="38">
        <f t="shared" si="10"/>
        <v>47.803695557468956</v>
      </c>
      <c r="M26" s="39">
        <f t="shared" si="9"/>
        <v>0.95607391114937912</v>
      </c>
      <c r="N26" s="40"/>
    </row>
    <row r="27" spans="1:17" ht="15" x14ac:dyDescent="0.3">
      <c r="B27">
        <v>0.42799999999999999</v>
      </c>
      <c r="C27">
        <v>0.43099999999999999</v>
      </c>
      <c r="D27" s="34">
        <f t="shared" si="2"/>
        <v>0.42949999999999999</v>
      </c>
      <c r="E27" s="34">
        <f t="shared" si="3"/>
        <v>0.38150000000000001</v>
      </c>
      <c r="F27" s="34">
        <f t="shared" si="4"/>
        <v>-0.41850545770910075</v>
      </c>
      <c r="G27" s="35">
        <f t="shared" si="5"/>
        <v>0.21354233486665944</v>
      </c>
      <c r="H27" s="35">
        <f t="shared" si="6"/>
        <v>1.6350925315812384</v>
      </c>
      <c r="I27" s="36">
        <v>500</v>
      </c>
      <c r="J27" s="37">
        <f t="shared" si="7"/>
        <v>817.54626579061915</v>
      </c>
      <c r="K27" s="37">
        <f t="shared" si="8"/>
        <v>40.87731328953096</v>
      </c>
      <c r="L27" s="38">
        <f t="shared" si="10"/>
        <v>43.881575711113534</v>
      </c>
      <c r="M27" s="39">
        <f t="shared" si="9"/>
        <v>0.8776315142222707</v>
      </c>
      <c r="N27" s="40"/>
    </row>
    <row r="28" spans="1:17" ht="23.25" x14ac:dyDescent="0.35">
      <c r="A28" s="21" t="s">
        <v>15</v>
      </c>
      <c r="B28" s="72"/>
      <c r="C28" s="72"/>
      <c r="I28" s="36"/>
      <c r="J28" s="36"/>
      <c r="K28" s="41"/>
      <c r="L28" s="24" t="s">
        <v>16</v>
      </c>
      <c r="M28" s="25"/>
    </row>
    <row r="29" spans="1:17" s="24" customFormat="1" x14ac:dyDescent="0.2">
      <c r="A29" s="26" t="s">
        <v>17</v>
      </c>
      <c r="B29" s="73" t="s">
        <v>18</v>
      </c>
      <c r="C29" s="73" t="s">
        <v>18</v>
      </c>
      <c r="D29" s="16" t="s">
        <v>19</v>
      </c>
      <c r="E29" s="27" t="s">
        <v>20</v>
      </c>
      <c r="F29" s="28" t="s">
        <v>12</v>
      </c>
      <c r="G29" s="28" t="s">
        <v>21</v>
      </c>
      <c r="H29" s="28" t="s">
        <v>22</v>
      </c>
      <c r="I29" s="27" t="s">
        <v>23</v>
      </c>
      <c r="J29" s="42" t="s">
        <v>24</v>
      </c>
      <c r="K29" s="42" t="s">
        <v>25</v>
      </c>
      <c r="L29" s="28" t="s">
        <v>26</v>
      </c>
      <c r="M29" s="29" t="s">
        <v>27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28</v>
      </c>
      <c r="B31">
        <v>0.53600000000000003</v>
      </c>
      <c r="C31">
        <v>0.50900000000000001</v>
      </c>
      <c r="D31" s="34">
        <f t="shared" ref="D31:D36" si="11">AVERAGE(B31:C31)</f>
        <v>0.52249999999999996</v>
      </c>
      <c r="E31" s="34">
        <f t="shared" ref="E31:E36" si="12">D31-E$8</f>
        <v>0.47449999999999998</v>
      </c>
      <c r="F31" s="34">
        <f>LOG(E31)</f>
        <v>-0.32376378323668853</v>
      </c>
      <c r="G31" s="35">
        <f>(F31-$B$16)/$B$15</f>
        <v>0.31239022775197361</v>
      </c>
      <c r="H31" s="35">
        <f>10^G31</f>
        <v>2.0530060431825614</v>
      </c>
      <c r="I31" s="36">
        <v>500</v>
      </c>
      <c r="J31" s="37">
        <f>(H31*I31)</f>
        <v>1026.5030215912807</v>
      </c>
      <c r="K31" s="37">
        <f>(0.05*J31/1000)*1000</f>
        <v>51.325151079564037</v>
      </c>
      <c r="L31" s="38">
        <f>K31+K50</f>
        <v>51.864615193039093</v>
      </c>
      <c r="M31" s="39">
        <f>(L31*1000000/50000)/1000</f>
        <v>1.037292303860782</v>
      </c>
      <c r="N31" s="43"/>
      <c r="Q31" s="11"/>
    </row>
    <row r="32" spans="1:17" ht="15" x14ac:dyDescent="0.3">
      <c r="B32">
        <v>0.54200000000000004</v>
      </c>
      <c r="C32">
        <v>0.52400000000000002</v>
      </c>
      <c r="D32" s="34">
        <f t="shared" si="11"/>
        <v>0.53300000000000003</v>
      </c>
      <c r="E32" s="34">
        <f t="shared" si="12"/>
        <v>0.48500000000000004</v>
      </c>
      <c r="F32" s="34">
        <f t="shared" ref="F32:F36" si="13">LOG(E32)</f>
        <v>-0.31425826139773633</v>
      </c>
      <c r="G32" s="35">
        <f t="shared" ref="G32:G36" si="14">(F32-$B$16)/$B$15</f>
        <v>0.32230773036936045</v>
      </c>
      <c r="H32" s="35">
        <f t="shared" ref="H32:H36" si="15">10^G32</f>
        <v>2.1004276677509357</v>
      </c>
      <c r="I32" s="36">
        <v>500</v>
      </c>
      <c r="J32" s="37">
        <f t="shared" ref="J32:J36" si="16">(H32*I32)</f>
        <v>1050.2138338754678</v>
      </c>
      <c r="K32" s="37">
        <f t="shared" ref="K32:K36" si="17">(0.05*J32/1000)*1000</f>
        <v>52.510691693773396</v>
      </c>
      <c r="L32" s="38">
        <f>K32+K51</f>
        <v>53.375191402663454</v>
      </c>
      <c r="M32" s="39">
        <f t="shared" ref="M32:M36" si="18">(L32*1000000/50000)/1000</f>
        <v>1.0675038280532689</v>
      </c>
      <c r="N32" s="44"/>
      <c r="Q32" s="11"/>
    </row>
    <row r="33" spans="1:19" ht="15" x14ac:dyDescent="0.3">
      <c r="B33">
        <v>0.51600000000000001</v>
      </c>
      <c r="C33">
        <v>0.51500000000000001</v>
      </c>
      <c r="D33" s="34">
        <f t="shared" si="11"/>
        <v>0.51550000000000007</v>
      </c>
      <c r="E33" s="34">
        <f t="shared" si="12"/>
        <v>0.46750000000000008</v>
      </c>
      <c r="F33" s="34">
        <f t="shared" si="13"/>
        <v>-0.33021838479146337</v>
      </c>
      <c r="G33" s="35">
        <f t="shared" si="14"/>
        <v>0.30565587598273658</v>
      </c>
      <c r="H33" s="35">
        <f t="shared" si="15"/>
        <v>2.021416824112396</v>
      </c>
      <c r="I33" s="36">
        <v>500</v>
      </c>
      <c r="J33" s="37">
        <f t="shared" si="16"/>
        <v>1010.708412056198</v>
      </c>
      <c r="K33" s="37">
        <f t="shared" si="17"/>
        <v>50.5354206028099</v>
      </c>
      <c r="L33" s="38">
        <f t="shared" ref="L33:L36" si="19">K33+K52</f>
        <v>51.260338659802464</v>
      </c>
      <c r="M33" s="39">
        <f t="shared" si="18"/>
        <v>1.0252067731960495</v>
      </c>
      <c r="N33" s="44"/>
      <c r="Q33" s="11"/>
    </row>
    <row r="34" spans="1:19" ht="15" x14ac:dyDescent="0.3">
      <c r="A34" s="8" t="s">
        <v>29</v>
      </c>
      <c r="B34" s="78">
        <v>0.49299999999999999</v>
      </c>
      <c r="C34" s="78">
        <v>0.47599999999999998</v>
      </c>
      <c r="D34" s="34">
        <f t="shared" si="11"/>
        <v>0.48449999999999999</v>
      </c>
      <c r="E34" s="34">
        <f t="shared" si="12"/>
        <v>0.4365</v>
      </c>
      <c r="F34" s="34">
        <f t="shared" si="13"/>
        <v>-0.36001575195841146</v>
      </c>
      <c r="G34" s="35">
        <f t="shared" si="14"/>
        <v>0.27456705499255518</v>
      </c>
      <c r="H34" s="35">
        <f t="shared" si="15"/>
        <v>1.8817722290946899</v>
      </c>
      <c r="I34" s="36">
        <v>500</v>
      </c>
      <c r="J34" s="37">
        <f t="shared" si="16"/>
        <v>940.88611454734496</v>
      </c>
      <c r="K34" s="37">
        <f t="shared" si="17"/>
        <v>47.044305727367252</v>
      </c>
      <c r="L34" s="38">
        <f t="shared" si="19"/>
        <v>48.7873249853602</v>
      </c>
      <c r="M34" s="39">
        <f t="shared" si="18"/>
        <v>0.97574649970720395</v>
      </c>
      <c r="N34" s="44"/>
      <c r="Q34" s="11"/>
    </row>
    <row r="35" spans="1:19" ht="15" x14ac:dyDescent="0.3">
      <c r="B35">
        <v>0.46600000000000003</v>
      </c>
      <c r="C35">
        <v>0.46800000000000003</v>
      </c>
      <c r="D35" s="34">
        <f t="shared" si="11"/>
        <v>0.46700000000000003</v>
      </c>
      <c r="E35" s="34">
        <f t="shared" si="12"/>
        <v>0.41900000000000004</v>
      </c>
      <c r="F35" s="34">
        <f t="shared" si="13"/>
        <v>-0.37778597703370465</v>
      </c>
      <c r="G35" s="35">
        <f t="shared" si="14"/>
        <v>0.25602664693483196</v>
      </c>
      <c r="H35" s="35">
        <f t="shared" si="15"/>
        <v>1.8031283717153941</v>
      </c>
      <c r="I35" s="36">
        <v>500</v>
      </c>
      <c r="J35" s="37">
        <f t="shared" si="16"/>
        <v>901.564185857697</v>
      </c>
      <c r="K35" s="37">
        <f t="shared" si="17"/>
        <v>45.07820929288485</v>
      </c>
      <c r="L35" s="38">
        <f t="shared" si="19"/>
        <v>46.726364520602452</v>
      </c>
      <c r="M35" s="39">
        <f t="shared" si="18"/>
        <v>0.93452729041204896</v>
      </c>
      <c r="N35" s="44"/>
      <c r="Q35" s="11"/>
      <c r="S35" s="11"/>
    </row>
    <row r="36" spans="1:19" ht="15" x14ac:dyDescent="0.3">
      <c r="B36">
        <v>0.42799999999999999</v>
      </c>
      <c r="C36">
        <v>0.43099999999999999</v>
      </c>
      <c r="D36" s="34">
        <f t="shared" si="11"/>
        <v>0.42949999999999999</v>
      </c>
      <c r="E36" s="34">
        <f t="shared" si="12"/>
        <v>0.38150000000000001</v>
      </c>
      <c r="F36" s="34">
        <f t="shared" si="13"/>
        <v>-0.41850545770910075</v>
      </c>
      <c r="G36" s="35">
        <f t="shared" si="14"/>
        <v>0.21354233486665944</v>
      </c>
      <c r="H36" s="35">
        <f t="shared" si="15"/>
        <v>1.6350925315812384</v>
      </c>
      <c r="I36" s="36">
        <v>500</v>
      </c>
      <c r="J36" s="37">
        <f t="shared" si="16"/>
        <v>817.54626579061915</v>
      </c>
      <c r="K36" s="37">
        <f t="shared" si="17"/>
        <v>40.87731328953096</v>
      </c>
      <c r="L36" s="38">
        <f t="shared" si="19"/>
        <v>42.659043115207986</v>
      </c>
      <c r="M36" s="39">
        <f t="shared" si="18"/>
        <v>0.85318086230415979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30</v>
      </c>
      <c r="B38" s="3"/>
      <c r="C38" s="3"/>
      <c r="E38" s="35"/>
      <c r="F38" s="34"/>
      <c r="H38" s="46"/>
      <c r="I38" s="36"/>
      <c r="J38" s="36"/>
      <c r="K38" s="36"/>
      <c r="M38" s="47" t="s">
        <v>31</v>
      </c>
      <c r="R38" s="11"/>
      <c r="S38" s="11"/>
    </row>
    <row r="39" spans="1:19" ht="15" x14ac:dyDescent="0.3">
      <c r="A39" s="26" t="s">
        <v>17</v>
      </c>
      <c r="B39" s="75" t="s">
        <v>18</v>
      </c>
      <c r="C39" s="75" t="s">
        <v>18</v>
      </c>
      <c r="D39" s="16" t="s">
        <v>19</v>
      </c>
      <c r="E39" s="27" t="s">
        <v>20</v>
      </c>
      <c r="F39" s="28" t="s">
        <v>12</v>
      </c>
      <c r="G39" s="28" t="s">
        <v>21</v>
      </c>
      <c r="H39" s="28" t="s">
        <v>22</v>
      </c>
      <c r="I39" s="27" t="s">
        <v>23</v>
      </c>
      <c r="J39" s="42" t="s">
        <v>24</v>
      </c>
      <c r="K39" s="42" t="s">
        <v>32</v>
      </c>
      <c r="L39" s="28" t="s">
        <v>33</v>
      </c>
      <c r="M39" s="24" t="s">
        <v>34</v>
      </c>
      <c r="N39" s="42" t="s">
        <v>35</v>
      </c>
      <c r="R39" s="11"/>
      <c r="S39" s="11"/>
    </row>
    <row r="40" spans="1:19" ht="15" x14ac:dyDescent="0.3">
      <c r="A40" s="8" t="s">
        <v>36</v>
      </c>
      <c r="B40">
        <v>9.4E-2</v>
      </c>
      <c r="C40">
        <v>9.8000000000000004E-2</v>
      </c>
      <c r="D40" s="34">
        <f>AVERAGE(B40,C40)</f>
        <v>9.6000000000000002E-2</v>
      </c>
      <c r="E40" s="34">
        <f t="shared" ref="E40:E45" si="20">D40-E$8</f>
        <v>4.8000000000000001E-2</v>
      </c>
      <c r="F40" s="34">
        <f t="shared" ref="F40:F45" si="21">LOG(E40)</f>
        <v>-1.3187587626244128</v>
      </c>
      <c r="G40" s="35">
        <f t="shared" ref="G40:G45" si="22">(F40-$B$16)/$B$15</f>
        <v>-0.725729033825808</v>
      </c>
      <c r="H40" s="34">
        <f t="shared" ref="H40:H45" si="23">10^G40</f>
        <v>0.18804897310416183</v>
      </c>
      <c r="I40" s="48">
        <v>16</v>
      </c>
      <c r="J40" s="49">
        <f t="shared" ref="J40:J45" si="24">H40*I40</f>
        <v>3.0087835696665892</v>
      </c>
      <c r="K40" s="37">
        <f>(0.1*J40/1000)*1000</f>
        <v>0.30087835696665893</v>
      </c>
      <c r="L40" s="50">
        <f>K40*100/L22</f>
        <v>0.57677659404916293</v>
      </c>
      <c r="M40" s="51">
        <f>AVERAGE(L40:L42)</f>
        <v>0.61155063057000913</v>
      </c>
      <c r="N40" s="52">
        <f>STDEV(L40:L42)</f>
        <v>7.4729662828812979E-2</v>
      </c>
      <c r="R40" s="11"/>
      <c r="S40" s="11"/>
    </row>
    <row r="41" spans="1:19" ht="15" x14ac:dyDescent="0.3">
      <c r="B41">
        <v>9.4E-2</v>
      </c>
      <c r="C41">
        <v>9.8000000000000004E-2</v>
      </c>
      <c r="D41" s="34">
        <f>AVERAGE(B41,C41)</f>
        <v>9.6000000000000002E-2</v>
      </c>
      <c r="E41" s="34">
        <f t="shared" si="20"/>
        <v>4.8000000000000001E-2</v>
      </c>
      <c r="F41" s="34">
        <f t="shared" si="21"/>
        <v>-1.3187587626244128</v>
      </c>
      <c r="G41" s="35">
        <f t="shared" si="22"/>
        <v>-0.725729033825808</v>
      </c>
      <c r="H41" s="34">
        <f t="shared" si="23"/>
        <v>0.18804897310416183</v>
      </c>
      <c r="I41" s="48">
        <v>16</v>
      </c>
      <c r="J41" s="49">
        <f t="shared" si="24"/>
        <v>3.0087835696665892</v>
      </c>
      <c r="K41" s="37">
        <f t="shared" ref="K41:K45" si="25">(0.1*J41/1000)*1000</f>
        <v>0.30087835696665893</v>
      </c>
      <c r="L41" s="50">
        <f t="shared" ref="L41:L45" si="26">K41*100/L23</f>
        <v>0.56054468651307665</v>
      </c>
      <c r="M41" s="51"/>
      <c r="N41" s="52"/>
      <c r="R41" s="11"/>
      <c r="S41" s="11"/>
    </row>
    <row r="42" spans="1:19" s="24" customFormat="1" ht="15" x14ac:dyDescent="0.3">
      <c r="A42" s="8"/>
      <c r="B42">
        <v>0.1</v>
      </c>
      <c r="C42">
        <v>0.11</v>
      </c>
      <c r="D42" s="34">
        <f>AVERAGE(B42,C42)</f>
        <v>0.10500000000000001</v>
      </c>
      <c r="E42" s="34">
        <f t="shared" si="20"/>
        <v>5.7000000000000009E-2</v>
      </c>
      <c r="F42" s="34">
        <f t="shared" si="21"/>
        <v>-1.2441251443275085</v>
      </c>
      <c r="G42" s="35">
        <f t="shared" si="22"/>
        <v>-0.64786070451731526</v>
      </c>
      <c r="H42" s="34">
        <f t="shared" si="23"/>
        <v>0.22497760826366708</v>
      </c>
      <c r="I42" s="48">
        <v>16</v>
      </c>
      <c r="J42" s="49">
        <f t="shared" si="24"/>
        <v>3.5996417322186733</v>
      </c>
      <c r="K42" s="37">
        <f t="shared" si="25"/>
        <v>0.35996417322186736</v>
      </c>
      <c r="L42" s="50">
        <f t="shared" si="26"/>
        <v>0.69733061114778772</v>
      </c>
      <c r="M42" s="51"/>
      <c r="N42" s="52"/>
      <c r="R42" s="11"/>
      <c r="S42" s="11"/>
    </row>
    <row r="43" spans="1:19" ht="15" x14ac:dyDescent="0.3">
      <c r="A43" s="8" t="s">
        <v>37</v>
      </c>
      <c r="B43">
        <v>0.19900000000000001</v>
      </c>
      <c r="C43">
        <v>0.20399999999999999</v>
      </c>
      <c r="D43" s="34">
        <f t="shared" ref="D43:D45" si="27">AVERAGE(B43,C43)</f>
        <v>0.20150000000000001</v>
      </c>
      <c r="E43" s="34">
        <f t="shared" si="20"/>
        <v>0.15350000000000003</v>
      </c>
      <c r="F43" s="34">
        <f t="shared" si="21"/>
        <v>-0.81389162018679462</v>
      </c>
      <c r="G43" s="35">
        <f t="shared" si="22"/>
        <v>-0.19898034065678286</v>
      </c>
      <c r="H43" s="34">
        <f t="shared" si="23"/>
        <v>0.63244047960789829</v>
      </c>
      <c r="I43" s="48">
        <v>16</v>
      </c>
      <c r="J43" s="49">
        <f t="shared" si="24"/>
        <v>10.119047673726373</v>
      </c>
      <c r="K43" s="37">
        <f t="shared" si="25"/>
        <v>1.0119047673726373</v>
      </c>
      <c r="L43" s="50">
        <f t="shared" si="26"/>
        <v>2.031968711960062</v>
      </c>
      <c r="M43" s="51">
        <f>AVERAGE(L43:L45)</f>
        <v>2.3572022099116778</v>
      </c>
      <c r="N43" s="52">
        <f>STDEV(L43:L45)</f>
        <v>0.38752436987713451</v>
      </c>
      <c r="R43" s="11"/>
      <c r="S43" s="11"/>
    </row>
    <row r="44" spans="1:19" ht="15" x14ac:dyDescent="0.3">
      <c r="A44" s="53"/>
      <c r="B44">
        <v>0.21199999999999999</v>
      </c>
      <c r="C44">
        <v>0.21</v>
      </c>
      <c r="D44" s="34">
        <f t="shared" si="27"/>
        <v>0.21099999999999999</v>
      </c>
      <c r="E44" s="34">
        <f t="shared" si="20"/>
        <v>0.16299999999999998</v>
      </c>
      <c r="F44" s="34">
        <f t="shared" si="21"/>
        <v>-0.78781239559604221</v>
      </c>
      <c r="G44" s="35">
        <f t="shared" si="22"/>
        <v>-0.17177081102545474</v>
      </c>
      <c r="H44" s="34">
        <f t="shared" si="23"/>
        <v>0.6733318980415629</v>
      </c>
      <c r="I44" s="48">
        <v>16</v>
      </c>
      <c r="J44" s="49">
        <f t="shared" si="24"/>
        <v>10.773310368665006</v>
      </c>
      <c r="K44" s="37">
        <f t="shared" si="25"/>
        <v>1.0773310368665008</v>
      </c>
      <c r="L44" s="50">
        <f t="shared" si="26"/>
        <v>2.2536563843089246</v>
      </c>
      <c r="M44" s="51"/>
      <c r="N44" s="52"/>
    </row>
    <row r="45" spans="1:19" ht="15" x14ac:dyDescent="0.3">
      <c r="A45" s="54"/>
      <c r="B45">
        <v>0.218</v>
      </c>
      <c r="C45">
        <v>0.246</v>
      </c>
      <c r="D45" s="34">
        <f t="shared" si="27"/>
        <v>0.23199999999999998</v>
      </c>
      <c r="E45" s="34">
        <f t="shared" si="20"/>
        <v>0.184</v>
      </c>
      <c r="F45" s="34">
        <f t="shared" si="21"/>
        <v>-0.73518217699046351</v>
      </c>
      <c r="G45" s="35">
        <f t="shared" si="22"/>
        <v>-0.11685953528301689</v>
      </c>
      <c r="H45" s="34">
        <f t="shared" si="23"/>
        <v>0.76408287244096551</v>
      </c>
      <c r="I45" s="48">
        <v>16</v>
      </c>
      <c r="J45" s="49">
        <f t="shared" si="24"/>
        <v>12.225325959055448</v>
      </c>
      <c r="K45" s="37">
        <f t="shared" si="25"/>
        <v>1.2225325959055449</v>
      </c>
      <c r="L45" s="50">
        <f t="shared" si="26"/>
        <v>2.785981533466046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38</v>
      </c>
      <c r="B48" s="3"/>
      <c r="C48" s="3"/>
      <c r="E48" s="35"/>
      <c r="F48" s="34"/>
      <c r="H48" s="46"/>
      <c r="I48" s="36"/>
      <c r="J48" s="36"/>
      <c r="K48" s="36"/>
      <c r="M48" s="47" t="s">
        <v>31</v>
      </c>
    </row>
    <row r="49" spans="1:25" x14ac:dyDescent="0.2">
      <c r="A49" s="26" t="s">
        <v>17</v>
      </c>
      <c r="B49" s="75" t="s">
        <v>18</v>
      </c>
      <c r="C49" s="75" t="s">
        <v>18</v>
      </c>
      <c r="D49" s="16" t="s">
        <v>19</v>
      </c>
      <c r="E49" s="27" t="s">
        <v>20</v>
      </c>
      <c r="F49" s="28" t="s">
        <v>12</v>
      </c>
      <c r="G49" s="28" t="s">
        <v>21</v>
      </c>
      <c r="H49" s="28" t="s">
        <v>22</v>
      </c>
      <c r="I49" s="27" t="s">
        <v>23</v>
      </c>
      <c r="J49" s="42" t="s">
        <v>24</v>
      </c>
      <c r="K49" s="42" t="s">
        <v>32</v>
      </c>
      <c r="L49" s="28" t="s">
        <v>33</v>
      </c>
      <c r="M49" s="24" t="s">
        <v>34</v>
      </c>
      <c r="N49" s="42" t="s">
        <v>35</v>
      </c>
      <c r="O49" s="10" t="s">
        <v>39</v>
      </c>
      <c r="P49" s="24" t="s">
        <v>34</v>
      </c>
      <c r="Q49" s="42" t="s">
        <v>35</v>
      </c>
    </row>
    <row r="50" spans="1:25" ht="15" x14ac:dyDescent="0.3">
      <c r="A50" s="8" t="s">
        <v>28</v>
      </c>
      <c r="B50">
        <v>0.13100000000000001</v>
      </c>
      <c r="C50">
        <v>0.13300000000000001</v>
      </c>
      <c r="D50" s="34">
        <f t="shared" ref="D50:D52" si="28">AVERAGE(B50,C50)</f>
        <v>0.13200000000000001</v>
      </c>
      <c r="E50" s="34">
        <f t="shared" ref="E50:E55" si="29">D50-E$8</f>
        <v>8.4000000000000005E-2</v>
      </c>
      <c r="F50" s="34">
        <f t="shared" ref="F50:F55" si="30">LOG(E50)</f>
        <v>-1.0757207139381184</v>
      </c>
      <c r="G50" s="35">
        <f t="shared" ref="G50:G55" si="31">(F50-$B$16)/$B$15</f>
        <v>-0.47215742304966463</v>
      </c>
      <c r="H50" s="34">
        <f t="shared" ref="H50:H55" si="32">10^G50</f>
        <v>0.33716507092190828</v>
      </c>
      <c r="I50" s="48">
        <v>16</v>
      </c>
      <c r="J50" s="49">
        <f t="shared" ref="J50:J55" si="33">H50*I50</f>
        <v>5.3946411347505325</v>
      </c>
      <c r="K50" s="37">
        <f>(0.1*J50/1000)*1000</f>
        <v>0.5394641134750533</v>
      </c>
      <c r="L50" s="50">
        <f t="shared" ref="L50:L55" si="34">K50*100/L31</f>
        <v>1.0401390456039794</v>
      </c>
      <c r="M50" s="51">
        <f>AVERAGE(L50:L52)</f>
        <v>1.357997932168981</v>
      </c>
      <c r="N50" s="52">
        <f>STDEV(L50:L52)</f>
        <v>0.29382117538929331</v>
      </c>
      <c r="O50" s="10">
        <f>L50/L40</f>
        <v>1.8033655601415073</v>
      </c>
      <c r="P50" s="51">
        <f>AVERAGE(O50:O52)</f>
        <v>2.240273005748302</v>
      </c>
      <c r="Q50" s="52">
        <f>STDEV(O50:O52)</f>
        <v>0.57331363222547971</v>
      </c>
      <c r="S50" s="11"/>
      <c r="T50" s="11"/>
    </row>
    <row r="51" spans="1:25" ht="15" x14ac:dyDescent="0.3">
      <c r="B51">
        <v>0.156</v>
      </c>
      <c r="C51">
        <v>0.20399999999999999</v>
      </c>
      <c r="D51" s="34">
        <f t="shared" si="28"/>
        <v>0.18</v>
      </c>
      <c r="E51" s="34">
        <f t="shared" si="29"/>
        <v>0.13200000000000001</v>
      </c>
      <c r="F51" s="34">
        <f t="shared" si="30"/>
        <v>-0.87942606879415008</v>
      </c>
      <c r="G51" s="35">
        <f t="shared" si="31"/>
        <v>-0.26735513128943428</v>
      </c>
      <c r="H51" s="34">
        <f t="shared" si="32"/>
        <v>0.54031231805628543</v>
      </c>
      <c r="I51" s="48">
        <v>16</v>
      </c>
      <c r="J51" s="49">
        <f t="shared" si="33"/>
        <v>8.644997088900567</v>
      </c>
      <c r="K51" s="37">
        <f t="shared" ref="K51:K55" si="35">(0.1*J51/1000)*1000</f>
        <v>0.86449970889005678</v>
      </c>
      <c r="L51" s="50">
        <f t="shared" si="34"/>
        <v>1.6196657776236429</v>
      </c>
      <c r="M51" s="51"/>
      <c r="N51" s="52"/>
      <c r="O51" s="10">
        <f t="shared" ref="O51:O55" si="36">L51/L41</f>
        <v>2.8894498807917226</v>
      </c>
      <c r="P51" s="51"/>
      <c r="Q51" s="52"/>
      <c r="S51" s="11"/>
      <c r="T51" s="11"/>
    </row>
    <row r="52" spans="1:25" ht="15" x14ac:dyDescent="0.3">
      <c r="B52">
        <v>0.159</v>
      </c>
      <c r="C52">
        <v>0.16</v>
      </c>
      <c r="D52" s="34">
        <f t="shared" si="28"/>
        <v>0.1595</v>
      </c>
      <c r="E52" s="34">
        <f t="shared" si="29"/>
        <v>0.1115</v>
      </c>
      <c r="F52" s="34">
        <f t="shared" si="30"/>
        <v>-0.95272513261582048</v>
      </c>
      <c r="G52" s="35">
        <f t="shared" si="31"/>
        <v>-0.34383106492250598</v>
      </c>
      <c r="H52" s="34">
        <f t="shared" si="32"/>
        <v>0.45307378562035194</v>
      </c>
      <c r="I52" s="48">
        <v>16</v>
      </c>
      <c r="J52" s="49">
        <f t="shared" si="33"/>
        <v>7.2491805699256311</v>
      </c>
      <c r="K52" s="37">
        <f t="shared" si="35"/>
        <v>0.72491805699256318</v>
      </c>
      <c r="L52" s="50">
        <f t="shared" si="34"/>
        <v>1.4141889732793207</v>
      </c>
      <c r="M52" s="51"/>
      <c r="N52" s="52"/>
      <c r="O52" s="10">
        <f t="shared" si="36"/>
        <v>2.0280035763116766</v>
      </c>
      <c r="P52" s="51"/>
      <c r="Q52" s="52"/>
      <c r="S52" s="11"/>
      <c r="T52" s="11"/>
    </row>
    <row r="53" spans="1:25" ht="15" x14ac:dyDescent="0.3">
      <c r="A53" s="8" t="s">
        <v>29</v>
      </c>
      <c r="B53">
        <v>0.32400000000000001</v>
      </c>
      <c r="C53">
        <v>0.28899999999999998</v>
      </c>
      <c r="D53" s="34">
        <f>AVERAGE(B53:C53)</f>
        <v>0.30649999999999999</v>
      </c>
      <c r="E53" s="34">
        <f t="shared" si="29"/>
        <v>0.25850000000000001</v>
      </c>
      <c r="F53" s="34">
        <f t="shared" si="30"/>
        <v>-0.5875394525700387</v>
      </c>
      <c r="G53" s="35">
        <f t="shared" si="31"/>
        <v>3.7182202844123539E-2</v>
      </c>
      <c r="H53" s="34">
        <f t="shared" si="32"/>
        <v>1.0893870362455924</v>
      </c>
      <c r="I53" s="48">
        <v>16</v>
      </c>
      <c r="J53" s="49">
        <f t="shared" si="33"/>
        <v>17.430192579929479</v>
      </c>
      <c r="K53" s="37">
        <f t="shared" si="35"/>
        <v>1.743019257992948</v>
      </c>
      <c r="L53" s="50">
        <f t="shared" si="34"/>
        <v>3.5726887229746298</v>
      </c>
      <c r="M53" s="51">
        <f>AVERAGE(L53:L55)</f>
        <v>3.75887109430237</v>
      </c>
      <c r="N53" s="52">
        <f>STDEV(L53:L55)</f>
        <v>0.36254188358916178</v>
      </c>
      <c r="O53" s="10">
        <f t="shared" si="36"/>
        <v>1.7582400269974483</v>
      </c>
      <c r="P53" s="51">
        <f>AVERAGE(O53:O55)</f>
        <v>1.6075128132999703</v>
      </c>
      <c r="Q53" s="52">
        <f>STDEV(O53:O55)</f>
        <v>0.13463386652278295</v>
      </c>
      <c r="S53" s="11"/>
      <c r="T53" s="11"/>
    </row>
    <row r="54" spans="1:25" ht="15" x14ac:dyDescent="0.3">
      <c r="A54" s="53"/>
      <c r="B54">
        <v>0.3</v>
      </c>
      <c r="C54">
        <v>0.28599999999999998</v>
      </c>
      <c r="D54" s="34">
        <f>AVERAGE(B54:C54)</f>
        <v>0.29299999999999998</v>
      </c>
      <c r="E54" s="34">
        <f t="shared" si="29"/>
        <v>0.245</v>
      </c>
      <c r="F54" s="34">
        <f t="shared" si="30"/>
        <v>-0.61083391563546752</v>
      </c>
      <c r="G54" s="35">
        <f t="shared" si="31"/>
        <v>1.2878129660543594E-2</v>
      </c>
      <c r="H54" s="34">
        <f t="shared" si="32"/>
        <v>1.0300970173235022</v>
      </c>
      <c r="I54" s="48">
        <v>16</v>
      </c>
      <c r="J54" s="49">
        <f t="shared" si="33"/>
        <v>16.481552277176036</v>
      </c>
      <c r="K54" s="37">
        <f t="shared" si="35"/>
        <v>1.6481552277176037</v>
      </c>
      <c r="L54" s="50">
        <f t="shared" si="34"/>
        <v>3.5272490051968495</v>
      </c>
      <c r="M54" s="51"/>
      <c r="N54" s="52"/>
      <c r="O54" s="10">
        <f t="shared" si="36"/>
        <v>1.5651228065446487</v>
      </c>
      <c r="P54" s="51"/>
      <c r="Q54" s="52"/>
      <c r="S54" s="11"/>
      <c r="T54" s="11"/>
    </row>
    <row r="55" spans="1:25" ht="15" x14ac:dyDescent="0.3">
      <c r="A55" s="54"/>
      <c r="B55">
        <v>0.32200000000000001</v>
      </c>
      <c r="C55">
        <v>0.30199999999999999</v>
      </c>
      <c r="D55" s="34">
        <f>AVERAGE(B55:C55)</f>
        <v>0.312</v>
      </c>
      <c r="E55" s="34">
        <f t="shared" si="29"/>
        <v>0.26400000000000001</v>
      </c>
      <c r="F55" s="34">
        <f t="shared" si="30"/>
        <v>-0.57839607313016894</v>
      </c>
      <c r="G55" s="35">
        <f t="shared" si="31"/>
        <v>4.6721867374173699E-2</v>
      </c>
      <c r="H55" s="34">
        <f t="shared" si="32"/>
        <v>1.1135811410481407</v>
      </c>
      <c r="I55" s="48">
        <v>16</v>
      </c>
      <c r="J55" s="49">
        <f t="shared" si="33"/>
        <v>17.81729825677025</v>
      </c>
      <c r="K55" s="37">
        <f t="shared" si="35"/>
        <v>1.7817298256770251</v>
      </c>
      <c r="L55" s="50">
        <f t="shared" si="34"/>
        <v>4.1766755547356311</v>
      </c>
      <c r="M55" s="51"/>
      <c r="N55" s="52"/>
      <c r="O55" s="10">
        <f t="shared" si="36"/>
        <v>1.4991756063578137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40</v>
      </c>
      <c r="N57" s="10" t="s">
        <v>41</v>
      </c>
      <c r="O57" s="42" t="s">
        <v>35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28</v>
      </c>
      <c r="N58" s="51">
        <f>P50</f>
        <v>2.240273005748302</v>
      </c>
      <c r="O58" s="51">
        <f>Q50</f>
        <v>0.57331363222547971</v>
      </c>
    </row>
    <row r="59" spans="1:25" ht="15" x14ac:dyDescent="0.3">
      <c r="D59" s="11"/>
      <c r="E59" s="11"/>
      <c r="G59" s="11"/>
      <c r="M59" s="10" t="s">
        <v>29</v>
      </c>
      <c r="N59" s="51">
        <f>P53</f>
        <v>1.6075128132999703</v>
      </c>
      <c r="O59" s="51">
        <f>Q53</f>
        <v>0.13463386652278295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19</v>
      </c>
      <c r="C64" s="58" t="s">
        <v>42</v>
      </c>
      <c r="D64" s="34"/>
      <c r="E64" s="35"/>
      <c r="F64" s="34"/>
      <c r="G64" s="51"/>
      <c r="H64" s="55"/>
    </row>
    <row r="65" spans="1:8" x14ac:dyDescent="0.2">
      <c r="A65" s="8" t="s">
        <v>36</v>
      </c>
      <c r="B65" s="51">
        <f>M40</f>
        <v>0.61155063057000913</v>
      </c>
      <c r="C65" s="51">
        <f>N40</f>
        <v>7.4729662828812979E-2</v>
      </c>
      <c r="D65" s="34"/>
      <c r="E65" s="35"/>
      <c r="F65" s="34"/>
      <c r="G65" s="51"/>
      <c r="H65" s="55"/>
    </row>
    <row r="66" spans="1:8" x14ac:dyDescent="0.2">
      <c r="A66" s="8" t="s">
        <v>28</v>
      </c>
      <c r="B66" s="51">
        <f>M50</f>
        <v>1.357997932168981</v>
      </c>
      <c r="C66" s="51">
        <f>N50</f>
        <v>0.29382117538929331</v>
      </c>
      <c r="D66" s="34"/>
      <c r="E66" s="35"/>
      <c r="F66" s="34"/>
      <c r="G66" s="51"/>
      <c r="H66" s="55"/>
    </row>
    <row r="67" spans="1:8" x14ac:dyDescent="0.2">
      <c r="A67" s="8" t="s">
        <v>37</v>
      </c>
      <c r="B67" s="51">
        <f>M43</f>
        <v>2.3572022099116778</v>
      </c>
      <c r="C67" s="51">
        <f>N43</f>
        <v>0.38752436987713451</v>
      </c>
      <c r="D67" s="34"/>
      <c r="E67" s="35"/>
      <c r="F67" s="34"/>
      <c r="G67" s="51"/>
      <c r="H67" s="55"/>
    </row>
    <row r="68" spans="1:8" x14ac:dyDescent="0.2">
      <c r="A68" s="59" t="s">
        <v>29</v>
      </c>
      <c r="B68" s="51">
        <f>M53</f>
        <v>3.75887109430237</v>
      </c>
      <c r="C68" s="51">
        <f>N53</f>
        <v>0.36254188358916178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D4" sqref="D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42234</v>
      </c>
    </row>
    <row r="2" spans="1:20" s="3" customFormat="1" x14ac:dyDescent="0.2">
      <c r="A2" s="1" t="s">
        <v>1</v>
      </c>
      <c r="B2" s="3">
        <v>83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79">
        <v>186144</v>
      </c>
      <c r="F3" s="79">
        <v>209464</v>
      </c>
    </row>
    <row r="4" spans="1:20" s="3" customFormat="1" ht="15" x14ac:dyDescent="0.3">
      <c r="A4" s="1"/>
      <c r="D4" s="6" t="s">
        <v>43</v>
      </c>
      <c r="E4" s="82">
        <v>218744</v>
      </c>
      <c r="F4" s="83">
        <v>231496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6</v>
      </c>
      <c r="B7" s="13" t="s">
        <v>7</v>
      </c>
      <c r="C7" s="14" t="s">
        <v>8</v>
      </c>
      <c r="D7" s="14"/>
      <c r="E7" s="15" t="s">
        <v>9</v>
      </c>
      <c r="F7" s="16" t="s">
        <v>10</v>
      </c>
      <c r="G7" s="17" t="s">
        <v>11</v>
      </c>
      <c r="H7" s="17" t="s">
        <v>12</v>
      </c>
      <c r="N7" s="11"/>
      <c r="O7" s="11"/>
      <c r="P7" s="11"/>
    </row>
    <row r="8" spans="1:20" ht="15" x14ac:dyDescent="0.3">
      <c r="A8" s="76">
        <v>0</v>
      </c>
      <c r="B8" s="6">
        <v>0</v>
      </c>
      <c r="C8">
        <v>3.6999999999999998E-2</v>
      </c>
      <c r="D8">
        <v>5.0999999999999997E-2</v>
      </c>
      <c r="E8" s="18">
        <f t="shared" ref="E8:E13" si="0">AVERAGE(C8:D8)</f>
        <v>4.3999999999999997E-2</v>
      </c>
      <c r="F8" s="19"/>
      <c r="G8" s="17"/>
      <c r="H8" s="17"/>
      <c r="N8" s="11"/>
      <c r="O8" s="11"/>
      <c r="P8" s="11"/>
    </row>
    <row r="9" spans="1:20" ht="15" x14ac:dyDescent="0.3">
      <c r="A9" s="76">
        <v>3.18</v>
      </c>
      <c r="B9" s="77">
        <f>A9/23</f>
        <v>0.13826086956521741</v>
      </c>
      <c r="C9">
        <v>7.6999999999999999E-2</v>
      </c>
      <c r="D9">
        <v>7.9000000000000001E-2</v>
      </c>
      <c r="E9" s="18">
        <f t="shared" si="0"/>
        <v>7.8E-2</v>
      </c>
      <c r="F9" s="19">
        <f>(E9-$E$8)</f>
        <v>3.4000000000000002E-2</v>
      </c>
      <c r="G9" s="19">
        <f>LOG(B9)</f>
        <v>-0.85930071603316016</v>
      </c>
      <c r="H9" s="19">
        <f>LOG(F9)</f>
        <v>-1.4685210829577449</v>
      </c>
      <c r="N9" s="11"/>
      <c r="O9" s="11"/>
      <c r="P9" s="11"/>
    </row>
    <row r="10" spans="1:20" ht="15" x14ac:dyDescent="0.3">
      <c r="A10" s="76">
        <v>10.5</v>
      </c>
      <c r="B10" s="77">
        <f t="shared" ref="B10:B13" si="1">A10/23</f>
        <v>0.45652173913043476</v>
      </c>
      <c r="C10">
        <v>0.14499999999999999</v>
      </c>
      <c r="D10">
        <v>0.14799999999999999</v>
      </c>
      <c r="E10" s="18">
        <f t="shared" si="0"/>
        <v>0.14649999999999999</v>
      </c>
      <c r="F10" s="19">
        <f>(E10-$E$8)</f>
        <v>0.10249999999999999</v>
      </c>
      <c r="G10" s="19">
        <f>LOG(B10)</f>
        <v>-0.34053853694765485</v>
      </c>
      <c r="H10" s="19">
        <f>LOG(F10)</f>
        <v>-0.98927613460822694</v>
      </c>
      <c r="N10" s="11"/>
      <c r="O10" s="11"/>
      <c r="P10" s="11"/>
    </row>
    <row r="11" spans="1:20" ht="15" x14ac:dyDescent="0.3">
      <c r="A11" s="76">
        <v>31.1</v>
      </c>
      <c r="B11" s="77">
        <f t="shared" si="1"/>
        <v>1.3521739130434782</v>
      </c>
      <c r="C11">
        <v>0.32700000000000001</v>
      </c>
      <c r="D11">
        <v>0.317</v>
      </c>
      <c r="E11" s="18">
        <f t="shared" si="0"/>
        <v>0.32200000000000001</v>
      </c>
      <c r="F11" s="19">
        <f>(E11-$E$8)</f>
        <v>0.27800000000000002</v>
      </c>
      <c r="G11" s="19">
        <f>LOG(B11)</f>
        <v>0.13103255300924463</v>
      </c>
      <c r="H11" s="19">
        <f>LOG(F11)</f>
        <v>-0.55595520408192367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6">
        <v>103</v>
      </c>
      <c r="B12" s="77">
        <f t="shared" si="1"/>
        <v>4.4782608695652177</v>
      </c>
      <c r="C12">
        <v>0.95199999999999996</v>
      </c>
      <c r="D12">
        <v>1.0269999999999999</v>
      </c>
      <c r="E12" s="18">
        <f t="shared" si="0"/>
        <v>0.98949999999999994</v>
      </c>
      <c r="F12" s="19">
        <f>(E12-$E$8)</f>
        <v>0.9454999999999999</v>
      </c>
      <c r="G12" s="19">
        <f>LOG(B12)</f>
        <v>0.65110938868757939</v>
      </c>
      <c r="H12" s="19">
        <f>LOG(F12)</f>
        <v>-2.4338466818941529E-2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6">
        <v>214</v>
      </c>
      <c r="B13" s="77">
        <f t="shared" si="1"/>
        <v>9.304347826086957</v>
      </c>
      <c r="C13">
        <v>1.6539999999999999</v>
      </c>
      <c r="D13">
        <v>1.7989999999999999</v>
      </c>
      <c r="E13" s="18">
        <f t="shared" si="0"/>
        <v>1.7264999999999999</v>
      </c>
      <c r="F13" s="19">
        <f>(E13-$E$8)</f>
        <v>1.6824999999999999</v>
      </c>
      <c r="G13" s="19">
        <f>LOG(B13)</f>
        <v>0.96868593733159802</v>
      </c>
      <c r="H13" s="19">
        <f>LOG(F13)</f>
        <v>0.22595507289601444</v>
      </c>
      <c r="N13" s="11"/>
    </row>
    <row r="14" spans="1:20" ht="15" x14ac:dyDescent="0.3">
      <c r="N14" s="11"/>
    </row>
    <row r="15" spans="1:20" ht="15" x14ac:dyDescent="0.3">
      <c r="A15" s="12" t="s">
        <v>13</v>
      </c>
      <c r="B15" s="18">
        <f>SLOPE(H9:H13,G9:G13)</f>
        <v>0.93822277235080065</v>
      </c>
      <c r="N15" s="11"/>
    </row>
    <row r="16" spans="1:20" ht="15" x14ac:dyDescent="0.25">
      <c r="A16" s="12" t="s">
        <v>14</v>
      </c>
      <c r="B16" s="18">
        <f>INTERCEPT(H9:H13,G9:G13)</f>
        <v>-0.66581717836699339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15</v>
      </c>
      <c r="B19" s="22"/>
      <c r="C19" s="22"/>
      <c r="K19" s="23"/>
      <c r="L19" s="24" t="s">
        <v>16</v>
      </c>
      <c r="M19" s="25"/>
    </row>
    <row r="20" spans="1:17" s="24" customFormat="1" x14ac:dyDescent="0.2">
      <c r="A20" s="26" t="s">
        <v>17</v>
      </c>
      <c r="B20" s="16" t="s">
        <v>18</v>
      </c>
      <c r="C20" s="16" t="s">
        <v>18</v>
      </c>
      <c r="D20" s="16" t="s">
        <v>19</v>
      </c>
      <c r="E20" s="27" t="s">
        <v>20</v>
      </c>
      <c r="F20" s="28" t="s">
        <v>12</v>
      </c>
      <c r="G20" s="28" t="s">
        <v>21</v>
      </c>
      <c r="H20" s="28" t="s">
        <v>22</v>
      </c>
      <c r="I20" s="16" t="s">
        <v>23</v>
      </c>
      <c r="J20" s="28" t="s">
        <v>24</v>
      </c>
      <c r="K20" s="28" t="s">
        <v>25</v>
      </c>
      <c r="L20" s="28" t="s">
        <v>26</v>
      </c>
      <c r="M20" s="29" t="s">
        <v>27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28</v>
      </c>
      <c r="B22">
        <v>0.54900000000000004</v>
      </c>
      <c r="C22">
        <v>0.58299999999999996</v>
      </c>
      <c r="D22" s="34">
        <f t="shared" ref="D22:D27" si="2">AVERAGE(B22:C22)</f>
        <v>0.56600000000000006</v>
      </c>
      <c r="E22" s="34">
        <f t="shared" ref="E22:E27" si="3">D22-E$8</f>
        <v>0.52200000000000002</v>
      </c>
      <c r="F22" s="34">
        <f>LOG(E22)</f>
        <v>-0.28232949699773785</v>
      </c>
      <c r="G22" s="35">
        <f>(F22-$B$16)/$B$15</f>
        <v>0.40873840698664032</v>
      </c>
      <c r="H22" s="35">
        <f>10^G22</f>
        <v>2.5629398098810814</v>
      </c>
      <c r="I22" s="36">
        <v>500</v>
      </c>
      <c r="J22" s="37">
        <f>(H22*I22)</f>
        <v>1281.4699049405408</v>
      </c>
      <c r="K22" s="37">
        <f>(0.05*J22/1000)*1000</f>
        <v>64.07349524702704</v>
      </c>
      <c r="L22" s="38">
        <f>K22+K40+K50</f>
        <v>65.211892375731722</v>
      </c>
      <c r="M22" s="39">
        <f>(L22*1000000/50000)/1000</f>
        <v>1.3042378475146346</v>
      </c>
      <c r="N22" s="40"/>
    </row>
    <row r="23" spans="1:17" ht="15" x14ac:dyDescent="0.3">
      <c r="B23">
        <v>0.51</v>
      </c>
      <c r="C23">
        <v>0.55100000000000005</v>
      </c>
      <c r="D23" s="34">
        <f t="shared" si="2"/>
        <v>0.53049999999999997</v>
      </c>
      <c r="E23" s="34">
        <f t="shared" si="3"/>
        <v>0.48649999999999999</v>
      </c>
      <c r="F23" s="34">
        <f t="shared" ref="F23:F27" si="4">LOG(E23)</f>
        <v>-0.31291715539562931</v>
      </c>
      <c r="G23" s="35">
        <f t="shared" ref="G23:G27" si="5">(F23-$B$16)/$B$15</f>
        <v>0.37613670587758352</v>
      </c>
      <c r="H23" s="35">
        <f t="shared" ref="H23:H27" si="6">10^G23</f>
        <v>2.3775885788461451</v>
      </c>
      <c r="I23" s="36">
        <v>500</v>
      </c>
      <c r="J23" s="37">
        <f t="shared" ref="J23:J27" si="7">(H23*I23)</f>
        <v>1188.7942894230725</v>
      </c>
      <c r="K23" s="37">
        <f t="shared" ref="K23:K27" si="8">(0.05*J23/1000)*1000</f>
        <v>59.439714471153628</v>
      </c>
      <c r="L23" s="38">
        <f>K23+K41+K51</f>
        <v>60.766916179979127</v>
      </c>
      <c r="M23" s="39">
        <f t="shared" ref="M23:M27" si="9">(L23*1000000/50000)/1000</f>
        <v>1.2153383235995825</v>
      </c>
      <c r="N23" s="40"/>
    </row>
    <row r="24" spans="1:17" ht="15" x14ac:dyDescent="0.3">
      <c r="B24">
        <v>0.55000000000000004</v>
      </c>
      <c r="C24">
        <v>0.58099999999999996</v>
      </c>
      <c r="D24" s="34">
        <f t="shared" si="2"/>
        <v>0.5655</v>
      </c>
      <c r="E24" s="34">
        <f t="shared" si="3"/>
        <v>0.52149999999999996</v>
      </c>
      <c r="F24" s="34">
        <f t="shared" si="4"/>
        <v>-0.28274568723745036</v>
      </c>
      <c r="G24" s="35">
        <f t="shared" si="5"/>
        <v>0.40829481272312684</v>
      </c>
      <c r="H24" s="35">
        <f t="shared" si="6"/>
        <v>2.5603233249449455</v>
      </c>
      <c r="I24" s="36">
        <v>500</v>
      </c>
      <c r="J24" s="37">
        <f t="shared" si="7"/>
        <v>1280.1616624724727</v>
      </c>
      <c r="K24" s="37">
        <f t="shared" si="8"/>
        <v>64.008083123623635</v>
      </c>
      <c r="L24" s="38">
        <f t="shared" ref="L24:L27" si="10">K24+K42+K52</f>
        <v>65.128036149684334</v>
      </c>
      <c r="M24" s="39">
        <f t="shared" si="9"/>
        <v>1.3025607229936866</v>
      </c>
      <c r="N24" s="40"/>
    </row>
    <row r="25" spans="1:17" ht="15" x14ac:dyDescent="0.3">
      <c r="A25" s="8" t="s">
        <v>29</v>
      </c>
      <c r="B25">
        <v>0.46</v>
      </c>
      <c r="C25">
        <v>0.45500000000000002</v>
      </c>
      <c r="D25" s="34">
        <f t="shared" si="2"/>
        <v>0.45750000000000002</v>
      </c>
      <c r="E25" s="34">
        <f t="shared" si="3"/>
        <v>0.41350000000000003</v>
      </c>
      <c r="F25" s="34">
        <f t="shared" si="4"/>
        <v>-0.38352448611143447</v>
      </c>
      <c r="G25" s="35">
        <f t="shared" si="5"/>
        <v>0.30088023929354163</v>
      </c>
      <c r="H25" s="35">
        <f t="shared" si="6"/>
        <v>1.9993104653195364</v>
      </c>
      <c r="I25" s="36">
        <v>500</v>
      </c>
      <c r="J25" s="37">
        <f t="shared" si="7"/>
        <v>999.65523265976822</v>
      </c>
      <c r="K25" s="37">
        <f t="shared" si="8"/>
        <v>49.982761632988414</v>
      </c>
      <c r="L25" s="38">
        <f t="shared" si="10"/>
        <v>52.533713425547134</v>
      </c>
      <c r="M25" s="39">
        <f t="shared" si="9"/>
        <v>1.0506742685109425</v>
      </c>
      <c r="N25" s="40"/>
    </row>
    <row r="26" spans="1:17" ht="15" x14ac:dyDescent="0.3">
      <c r="B26">
        <v>0.48499999999999999</v>
      </c>
      <c r="C26">
        <v>0.44700000000000001</v>
      </c>
      <c r="D26" s="34">
        <f t="shared" si="2"/>
        <v>0.46599999999999997</v>
      </c>
      <c r="E26" s="34">
        <f t="shared" si="3"/>
        <v>0.42199999999999999</v>
      </c>
      <c r="F26" s="34">
        <f t="shared" si="4"/>
        <v>-0.37468754903832613</v>
      </c>
      <c r="G26" s="35">
        <f t="shared" si="5"/>
        <v>0.31029904400978892</v>
      </c>
      <c r="H26" s="35">
        <f t="shared" si="6"/>
        <v>2.0431443170432235</v>
      </c>
      <c r="I26" s="36">
        <v>500</v>
      </c>
      <c r="J26" s="37">
        <f t="shared" si="7"/>
        <v>1021.5721585216118</v>
      </c>
      <c r="K26" s="37">
        <f t="shared" si="8"/>
        <v>51.078607926080593</v>
      </c>
      <c r="L26" s="38">
        <f t="shared" si="10"/>
        <v>54.080135759099932</v>
      </c>
      <c r="M26" s="39">
        <f t="shared" si="9"/>
        <v>1.0816027151819985</v>
      </c>
      <c r="N26" s="40"/>
    </row>
    <row r="27" spans="1:17" ht="15" x14ac:dyDescent="0.3">
      <c r="B27">
        <v>0.48899999999999999</v>
      </c>
      <c r="C27">
        <v>0.46600000000000003</v>
      </c>
      <c r="D27" s="34">
        <f t="shared" si="2"/>
        <v>0.47750000000000004</v>
      </c>
      <c r="E27" s="34">
        <f t="shared" si="3"/>
        <v>0.43350000000000005</v>
      </c>
      <c r="F27" s="34">
        <f t="shared" si="4"/>
        <v>-0.36301089818777083</v>
      </c>
      <c r="G27" s="35">
        <f t="shared" si="5"/>
        <v>0.32274454330341446</v>
      </c>
      <c r="H27" s="35">
        <f t="shared" si="6"/>
        <v>2.1025413384802207</v>
      </c>
      <c r="I27" s="36">
        <v>500</v>
      </c>
      <c r="J27" s="37">
        <f t="shared" si="7"/>
        <v>1051.2706692401105</v>
      </c>
      <c r="K27" s="37">
        <f t="shared" si="8"/>
        <v>52.563533462005523</v>
      </c>
      <c r="L27" s="38">
        <f t="shared" si="10"/>
        <v>55.90151954784092</v>
      </c>
      <c r="M27" s="39">
        <f t="shared" si="9"/>
        <v>1.1180303909568186</v>
      </c>
      <c r="N27" s="40"/>
    </row>
    <row r="28" spans="1:17" ht="23.25" x14ac:dyDescent="0.35">
      <c r="A28" s="21" t="s">
        <v>15</v>
      </c>
      <c r="B28" s="72"/>
      <c r="C28" s="72"/>
      <c r="I28" s="36"/>
      <c r="J28" s="36"/>
      <c r="K28" s="41"/>
      <c r="L28" s="24" t="s">
        <v>16</v>
      </c>
      <c r="M28" s="25"/>
    </row>
    <row r="29" spans="1:17" s="24" customFormat="1" x14ac:dyDescent="0.2">
      <c r="A29" s="26" t="s">
        <v>17</v>
      </c>
      <c r="B29" s="73" t="s">
        <v>18</v>
      </c>
      <c r="C29" s="73" t="s">
        <v>18</v>
      </c>
      <c r="D29" s="16" t="s">
        <v>19</v>
      </c>
      <c r="E29" s="27" t="s">
        <v>20</v>
      </c>
      <c r="F29" s="28" t="s">
        <v>12</v>
      </c>
      <c r="G29" s="28" t="s">
        <v>21</v>
      </c>
      <c r="H29" s="28" t="s">
        <v>22</v>
      </c>
      <c r="I29" s="27" t="s">
        <v>23</v>
      </c>
      <c r="J29" s="42" t="s">
        <v>24</v>
      </c>
      <c r="K29" s="42" t="s">
        <v>25</v>
      </c>
      <c r="L29" s="28" t="s">
        <v>26</v>
      </c>
      <c r="M29" s="29" t="s">
        <v>27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28</v>
      </c>
      <c r="B31">
        <v>0.54900000000000004</v>
      </c>
      <c r="C31">
        <v>0.58299999999999996</v>
      </c>
      <c r="D31" s="34">
        <f t="shared" ref="D31:D36" si="11">AVERAGE(B31:C31)</f>
        <v>0.56600000000000006</v>
      </c>
      <c r="E31" s="34">
        <f t="shared" ref="E31:E36" si="12">D31-E$8</f>
        <v>0.52200000000000002</v>
      </c>
      <c r="F31" s="34">
        <f>LOG(E31)</f>
        <v>-0.28232949699773785</v>
      </c>
      <c r="G31" s="35">
        <f>(F31-$B$16)/$B$15</f>
        <v>0.40873840698664032</v>
      </c>
      <c r="H31" s="35">
        <f>10^G31</f>
        <v>2.5629398098810814</v>
      </c>
      <c r="I31" s="36">
        <v>500</v>
      </c>
      <c r="J31" s="37">
        <f>(H31*I31)</f>
        <v>1281.4699049405408</v>
      </c>
      <c r="K31" s="37">
        <f>(0.05*J31/1000)*1000</f>
        <v>64.07349524702704</v>
      </c>
      <c r="L31" s="38">
        <f>K31+K50</f>
        <v>64.763069866351216</v>
      </c>
      <c r="M31" s="39">
        <f>(L31*1000000/50000)/1000</f>
        <v>1.2952613973270242</v>
      </c>
      <c r="N31" s="43"/>
      <c r="Q31" s="11"/>
    </row>
    <row r="32" spans="1:17" ht="15" x14ac:dyDescent="0.3">
      <c r="B32">
        <v>0.51</v>
      </c>
      <c r="C32">
        <v>0.55100000000000005</v>
      </c>
      <c r="D32" s="34">
        <f t="shared" si="11"/>
        <v>0.53049999999999997</v>
      </c>
      <c r="E32" s="34">
        <f t="shared" si="12"/>
        <v>0.48649999999999999</v>
      </c>
      <c r="F32" s="34">
        <f t="shared" ref="F32:F36" si="13">LOG(E32)</f>
        <v>-0.31291715539562931</v>
      </c>
      <c r="G32" s="35">
        <f t="shared" ref="G32:G36" si="14">(F32-$B$16)/$B$15</f>
        <v>0.37613670587758352</v>
      </c>
      <c r="H32" s="35">
        <f t="shared" ref="H32:H36" si="15">10^G32</f>
        <v>2.3775885788461451</v>
      </c>
      <c r="I32" s="36">
        <v>500</v>
      </c>
      <c r="J32" s="37">
        <f t="shared" ref="J32:J36" si="16">(H32*I32)</f>
        <v>1188.7942894230725</v>
      </c>
      <c r="K32" s="37">
        <f t="shared" ref="K32:K36" si="17">(0.05*J32/1000)*1000</f>
        <v>59.439714471153628</v>
      </c>
      <c r="L32" s="38">
        <f>K32+K51</f>
        <v>60.314441035925995</v>
      </c>
      <c r="M32" s="39">
        <f t="shared" ref="M32:M36" si="18">(L32*1000000/50000)/1000</f>
        <v>1.2062888207185198</v>
      </c>
      <c r="N32" s="44"/>
      <c r="Q32" s="11"/>
    </row>
    <row r="33" spans="1:19" ht="15" x14ac:dyDescent="0.3">
      <c r="B33">
        <v>0.55000000000000004</v>
      </c>
      <c r="C33">
        <v>0.58099999999999996</v>
      </c>
      <c r="D33" s="34">
        <f t="shared" si="11"/>
        <v>0.5655</v>
      </c>
      <c r="E33" s="34">
        <f t="shared" si="12"/>
        <v>0.52149999999999996</v>
      </c>
      <c r="F33" s="34">
        <f t="shared" si="13"/>
        <v>-0.28274568723745036</v>
      </c>
      <c r="G33" s="35">
        <f t="shared" si="14"/>
        <v>0.40829481272312684</v>
      </c>
      <c r="H33" s="35">
        <f t="shared" si="15"/>
        <v>2.5603233249449455</v>
      </c>
      <c r="I33" s="36">
        <v>500</v>
      </c>
      <c r="J33" s="37">
        <f t="shared" si="16"/>
        <v>1280.1616624724727</v>
      </c>
      <c r="K33" s="37">
        <f t="shared" si="17"/>
        <v>64.008083123623635</v>
      </c>
      <c r="L33" s="38">
        <f t="shared" ref="L33:L36" si="19">K33+K52</f>
        <v>64.690160478430798</v>
      </c>
      <c r="M33" s="39">
        <f t="shared" si="18"/>
        <v>1.2938032095686161</v>
      </c>
      <c r="N33" s="44"/>
      <c r="Q33" s="11"/>
    </row>
    <row r="34" spans="1:19" ht="15" x14ac:dyDescent="0.3">
      <c r="A34" s="8" t="s">
        <v>29</v>
      </c>
      <c r="B34">
        <v>0.46</v>
      </c>
      <c r="C34">
        <v>0.45500000000000002</v>
      </c>
      <c r="D34" s="34">
        <f t="shared" si="11"/>
        <v>0.45750000000000002</v>
      </c>
      <c r="E34" s="34">
        <f t="shared" si="12"/>
        <v>0.41350000000000003</v>
      </c>
      <c r="F34" s="34">
        <f t="shared" si="13"/>
        <v>-0.38352448611143447</v>
      </c>
      <c r="G34" s="35">
        <f t="shared" si="14"/>
        <v>0.30088023929354163</v>
      </c>
      <c r="H34" s="35">
        <f t="shared" si="15"/>
        <v>1.9993104653195364</v>
      </c>
      <c r="I34" s="36">
        <v>500</v>
      </c>
      <c r="J34" s="37">
        <f t="shared" si="16"/>
        <v>999.65523265976822</v>
      </c>
      <c r="K34" s="37">
        <f t="shared" si="17"/>
        <v>49.982761632988414</v>
      </c>
      <c r="L34" s="38">
        <f t="shared" si="19"/>
        <v>51.658986860774768</v>
      </c>
      <c r="M34" s="39">
        <f t="shared" si="18"/>
        <v>1.0331797372154954</v>
      </c>
      <c r="N34" s="44"/>
      <c r="Q34" s="11"/>
    </row>
    <row r="35" spans="1:19" ht="15" x14ac:dyDescent="0.3">
      <c r="B35">
        <v>0.48499999999999999</v>
      </c>
      <c r="C35">
        <v>0.44700000000000001</v>
      </c>
      <c r="D35" s="34">
        <f t="shared" si="11"/>
        <v>0.46599999999999997</v>
      </c>
      <c r="E35" s="34">
        <f t="shared" si="12"/>
        <v>0.42199999999999999</v>
      </c>
      <c r="F35" s="34">
        <f t="shared" si="13"/>
        <v>-0.37468754903832613</v>
      </c>
      <c r="G35" s="35">
        <f t="shared" si="14"/>
        <v>0.31029904400978892</v>
      </c>
      <c r="H35" s="35">
        <f t="shared" si="15"/>
        <v>2.0431443170432235</v>
      </c>
      <c r="I35" s="36">
        <v>500</v>
      </c>
      <c r="J35" s="37">
        <f t="shared" si="16"/>
        <v>1021.5721585216118</v>
      </c>
      <c r="K35" s="37">
        <f t="shared" si="17"/>
        <v>51.078607926080593</v>
      </c>
      <c r="L35" s="38">
        <f t="shared" si="19"/>
        <v>53.025487665628098</v>
      </c>
      <c r="M35" s="39">
        <f t="shared" si="18"/>
        <v>1.060509753312562</v>
      </c>
      <c r="N35" s="44"/>
      <c r="Q35" s="11"/>
      <c r="S35" s="11"/>
    </row>
    <row r="36" spans="1:19" ht="15" x14ac:dyDescent="0.3">
      <c r="B36">
        <v>0.48899999999999999</v>
      </c>
      <c r="C36">
        <v>0.46600000000000003</v>
      </c>
      <c r="D36" s="34">
        <f t="shared" si="11"/>
        <v>0.47750000000000004</v>
      </c>
      <c r="E36" s="34">
        <f t="shared" si="12"/>
        <v>0.43350000000000005</v>
      </c>
      <c r="F36" s="34">
        <f t="shared" si="13"/>
        <v>-0.36301089818777083</v>
      </c>
      <c r="G36" s="35">
        <f t="shared" si="14"/>
        <v>0.32274454330341446</v>
      </c>
      <c r="H36" s="35">
        <f t="shared" si="15"/>
        <v>2.1025413384802207</v>
      </c>
      <c r="I36" s="36">
        <v>500</v>
      </c>
      <c r="J36" s="37">
        <f t="shared" si="16"/>
        <v>1051.2706692401105</v>
      </c>
      <c r="K36" s="37">
        <f t="shared" si="17"/>
        <v>52.563533462005523</v>
      </c>
      <c r="L36" s="38">
        <f t="shared" si="19"/>
        <v>54.610524688306462</v>
      </c>
      <c r="M36" s="39">
        <f t="shared" si="18"/>
        <v>1.0922104937661292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30</v>
      </c>
      <c r="B38" s="3"/>
      <c r="C38" s="3"/>
      <c r="E38" s="35"/>
      <c r="F38" s="34"/>
      <c r="H38" s="46"/>
      <c r="I38" s="36"/>
      <c r="J38" s="36"/>
      <c r="K38" s="36"/>
      <c r="M38" s="47" t="s">
        <v>31</v>
      </c>
      <c r="R38" s="11"/>
      <c r="S38" s="11"/>
    </row>
    <row r="39" spans="1:19" ht="15" x14ac:dyDescent="0.3">
      <c r="A39" s="26" t="s">
        <v>17</v>
      </c>
      <c r="B39" s="75" t="s">
        <v>18</v>
      </c>
      <c r="C39" s="75" t="s">
        <v>18</v>
      </c>
      <c r="D39" s="16" t="s">
        <v>19</v>
      </c>
      <c r="E39" s="27" t="s">
        <v>20</v>
      </c>
      <c r="F39" s="28" t="s">
        <v>12</v>
      </c>
      <c r="G39" s="28" t="s">
        <v>21</v>
      </c>
      <c r="H39" s="28" t="s">
        <v>22</v>
      </c>
      <c r="I39" s="27" t="s">
        <v>23</v>
      </c>
      <c r="J39" s="42" t="s">
        <v>24</v>
      </c>
      <c r="K39" s="42" t="s">
        <v>32</v>
      </c>
      <c r="L39" s="28" t="s">
        <v>33</v>
      </c>
      <c r="M39" s="24" t="s">
        <v>34</v>
      </c>
      <c r="N39" s="42" t="s">
        <v>35</v>
      </c>
      <c r="R39" s="11"/>
      <c r="S39" s="11"/>
    </row>
    <row r="40" spans="1:19" ht="15" x14ac:dyDescent="0.3">
      <c r="A40" s="8" t="s">
        <v>36</v>
      </c>
      <c r="B40">
        <v>0.10199999999999999</v>
      </c>
      <c r="C40">
        <v>0.11700000000000001</v>
      </c>
      <c r="D40" s="34">
        <f>AVERAGE(B40,C40)</f>
        <v>0.1095</v>
      </c>
      <c r="E40" s="34">
        <f t="shared" ref="E40:E45" si="20">D40-E$8</f>
        <v>6.5500000000000003E-2</v>
      </c>
      <c r="F40" s="34">
        <f t="shared" ref="F40:F45" si="21">LOG(E40)</f>
        <v>-1.1837587000082168</v>
      </c>
      <c r="G40" s="35">
        <f t="shared" ref="G40:G45" si="22">(F40-$B$16)/$B$15</f>
        <v>-0.55204535309186198</v>
      </c>
      <c r="H40" s="34">
        <f t="shared" ref="H40:H45" si="23">10^G40</f>
        <v>0.28051406836281184</v>
      </c>
      <c r="I40" s="48">
        <v>16</v>
      </c>
      <c r="J40" s="49">
        <f t="shared" ref="J40:J45" si="24">H40*I40</f>
        <v>4.4882250938049895</v>
      </c>
      <c r="K40" s="37">
        <f>(0.1*J40/1000)*1000</f>
        <v>0.44882250938049895</v>
      </c>
      <c r="L40" s="50">
        <f>K40*100/L22</f>
        <v>0.68825254570825178</v>
      </c>
      <c r="M40" s="51">
        <f>AVERAGE(L40:L42)</f>
        <v>0.70173026279981998</v>
      </c>
      <c r="N40" s="52">
        <f>STDEV(L40:L42)</f>
        <v>3.7976760763068405E-2</v>
      </c>
      <c r="R40" s="11"/>
      <c r="S40" s="11"/>
    </row>
    <row r="41" spans="1:19" ht="15" x14ac:dyDescent="0.3">
      <c r="B41">
        <v>0.114</v>
      </c>
      <c r="C41">
        <v>0.106</v>
      </c>
      <c r="D41" s="34">
        <f>AVERAGE(B41,C41)</f>
        <v>0.11</v>
      </c>
      <c r="E41" s="34">
        <f t="shared" si="20"/>
        <v>6.6000000000000003E-2</v>
      </c>
      <c r="F41" s="34">
        <f t="shared" si="21"/>
        <v>-1.1804560644581312</v>
      </c>
      <c r="G41" s="35">
        <f t="shared" si="22"/>
        <v>-0.54852525568278876</v>
      </c>
      <c r="H41" s="34">
        <f t="shared" si="23"/>
        <v>0.28279696503320717</v>
      </c>
      <c r="I41" s="48">
        <v>16</v>
      </c>
      <c r="J41" s="49">
        <f t="shared" si="24"/>
        <v>4.5247514405313147</v>
      </c>
      <c r="K41" s="37">
        <f t="shared" ref="K41:K45" si="25">(0.1*J41/1000)*1000</f>
        <v>0.45247514405313149</v>
      </c>
      <c r="L41" s="50">
        <f t="shared" ref="L41:L45" si="26">K41*100/L23</f>
        <v>0.74460771172424323</v>
      </c>
      <c r="M41" s="51"/>
      <c r="N41" s="52"/>
      <c r="R41" s="11"/>
      <c r="S41" s="11"/>
    </row>
    <row r="42" spans="1:19" s="24" customFormat="1" ht="15" x14ac:dyDescent="0.3">
      <c r="A42" s="8"/>
      <c r="B42">
        <v>0.107</v>
      </c>
      <c r="C42">
        <v>0.109</v>
      </c>
      <c r="D42" s="34">
        <f>AVERAGE(B42,C42)</f>
        <v>0.108</v>
      </c>
      <c r="E42" s="34">
        <f t="shared" si="20"/>
        <v>6.4000000000000001E-2</v>
      </c>
      <c r="F42" s="34">
        <f t="shared" si="21"/>
        <v>-1.1938200260161129</v>
      </c>
      <c r="G42" s="35">
        <f t="shared" si="22"/>
        <v>-0.56276916656601861</v>
      </c>
      <c r="H42" s="34">
        <f t="shared" si="23"/>
        <v>0.27367229453345598</v>
      </c>
      <c r="I42" s="48">
        <v>16</v>
      </c>
      <c r="J42" s="49">
        <f t="shared" si="24"/>
        <v>4.3787567125352957</v>
      </c>
      <c r="K42" s="37">
        <f t="shared" si="25"/>
        <v>0.43787567125352961</v>
      </c>
      <c r="L42" s="50">
        <f t="shared" si="26"/>
        <v>0.67233053096696493</v>
      </c>
      <c r="M42" s="51"/>
      <c r="N42" s="52"/>
      <c r="R42" s="11"/>
      <c r="S42" s="11"/>
    </row>
    <row r="43" spans="1:19" ht="15" x14ac:dyDescent="0.3">
      <c r="A43" s="8" t="s">
        <v>37</v>
      </c>
      <c r="B43">
        <v>0.16600000000000001</v>
      </c>
      <c r="C43">
        <v>0.16700000000000001</v>
      </c>
      <c r="D43" s="34">
        <f t="shared" ref="D43:D45" si="27">AVERAGE(B43,C43)</f>
        <v>0.16650000000000001</v>
      </c>
      <c r="E43" s="34">
        <f t="shared" si="20"/>
        <v>0.12250000000000001</v>
      </c>
      <c r="F43" s="34">
        <f t="shared" si="21"/>
        <v>-0.91186391129944866</v>
      </c>
      <c r="G43" s="35">
        <f t="shared" si="22"/>
        <v>-0.26224766674119759</v>
      </c>
      <c r="H43" s="34">
        <f t="shared" si="23"/>
        <v>0.5467041029827312</v>
      </c>
      <c r="I43" s="48">
        <v>16</v>
      </c>
      <c r="J43" s="49">
        <f t="shared" si="24"/>
        <v>8.7472656477236992</v>
      </c>
      <c r="K43" s="37">
        <f t="shared" si="25"/>
        <v>0.87472656477236999</v>
      </c>
      <c r="L43" s="50">
        <f t="shared" si="26"/>
        <v>1.6650765912675622</v>
      </c>
      <c r="M43" s="51">
        <f>AVERAGE(L43:L45)</f>
        <v>1.9748812778858913</v>
      </c>
      <c r="N43" s="52">
        <f>STDEV(L43:L45)</f>
        <v>0.32287702298771209</v>
      </c>
      <c r="R43" s="11"/>
      <c r="S43" s="11"/>
    </row>
    <row r="44" spans="1:19" ht="15" x14ac:dyDescent="0.3">
      <c r="A44" s="53"/>
      <c r="B44">
        <v>0.19800000000000001</v>
      </c>
      <c r="C44">
        <v>0.182</v>
      </c>
      <c r="D44" s="34">
        <f t="shared" si="27"/>
        <v>0.19</v>
      </c>
      <c r="E44" s="34">
        <f t="shared" si="20"/>
        <v>0.14600000000000002</v>
      </c>
      <c r="F44" s="34">
        <f t="shared" si="21"/>
        <v>-0.83564714421556285</v>
      </c>
      <c r="G44" s="35">
        <f t="shared" si="22"/>
        <v>-0.18101241075511881</v>
      </c>
      <c r="H44" s="34">
        <f t="shared" si="23"/>
        <v>0.65915505841989619</v>
      </c>
      <c r="I44" s="48">
        <v>16</v>
      </c>
      <c r="J44" s="49">
        <f t="shared" si="24"/>
        <v>10.546480934718339</v>
      </c>
      <c r="K44" s="37">
        <f t="shared" si="25"/>
        <v>1.0546480934718339</v>
      </c>
      <c r="L44" s="50">
        <f t="shared" si="26"/>
        <v>1.950157999176936</v>
      </c>
      <c r="M44" s="51"/>
      <c r="N44" s="52"/>
    </row>
    <row r="45" spans="1:19" ht="15" x14ac:dyDescent="0.3">
      <c r="A45" s="54"/>
      <c r="B45">
        <v>0.217</v>
      </c>
      <c r="C45">
        <v>0.224</v>
      </c>
      <c r="D45" s="34">
        <f t="shared" si="27"/>
        <v>0.2205</v>
      </c>
      <c r="E45" s="34">
        <f t="shared" si="20"/>
        <v>0.17649999999999999</v>
      </c>
      <c r="F45" s="34">
        <f t="shared" si="21"/>
        <v>-0.75325529027615867</v>
      </c>
      <c r="G45" s="35">
        <f t="shared" si="22"/>
        <v>-9.3195469653844912E-2</v>
      </c>
      <c r="H45" s="34">
        <f t="shared" si="23"/>
        <v>0.80687178720903674</v>
      </c>
      <c r="I45" s="48">
        <v>16</v>
      </c>
      <c r="J45" s="49">
        <f t="shared" si="24"/>
        <v>12.909948595344588</v>
      </c>
      <c r="K45" s="37">
        <f t="shared" si="25"/>
        <v>1.2909948595344589</v>
      </c>
      <c r="L45" s="50">
        <f t="shared" si="26"/>
        <v>2.3094092432131763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38</v>
      </c>
      <c r="B48" s="3"/>
      <c r="C48" s="3"/>
      <c r="E48" s="35"/>
      <c r="F48" s="34"/>
      <c r="H48" s="46"/>
      <c r="I48" s="36"/>
      <c r="J48" s="36"/>
      <c r="K48" s="36"/>
      <c r="M48" s="47" t="s">
        <v>31</v>
      </c>
    </row>
    <row r="49" spans="1:25" x14ac:dyDescent="0.2">
      <c r="A49" s="26" t="s">
        <v>17</v>
      </c>
      <c r="B49" s="75" t="s">
        <v>18</v>
      </c>
      <c r="C49" s="75" t="s">
        <v>18</v>
      </c>
      <c r="D49" s="16" t="s">
        <v>19</v>
      </c>
      <c r="E49" s="27" t="s">
        <v>20</v>
      </c>
      <c r="F49" s="28" t="s">
        <v>12</v>
      </c>
      <c r="G49" s="28" t="s">
        <v>21</v>
      </c>
      <c r="H49" s="28" t="s">
        <v>22</v>
      </c>
      <c r="I49" s="27" t="s">
        <v>23</v>
      </c>
      <c r="J49" s="42" t="s">
        <v>24</v>
      </c>
      <c r="K49" s="42" t="s">
        <v>32</v>
      </c>
      <c r="L49" s="28" t="s">
        <v>33</v>
      </c>
      <c r="M49" s="24" t="s">
        <v>34</v>
      </c>
      <c r="N49" s="42" t="s">
        <v>35</v>
      </c>
      <c r="O49" s="10" t="s">
        <v>39</v>
      </c>
      <c r="P49" s="24" t="s">
        <v>34</v>
      </c>
      <c r="Q49" s="42" t="s">
        <v>35</v>
      </c>
    </row>
    <row r="50" spans="1:25" ht="15" x14ac:dyDescent="0.3">
      <c r="A50" s="8" t="s">
        <v>28</v>
      </c>
      <c r="B50">
        <v>0.14199999999999999</v>
      </c>
      <c r="C50">
        <v>0.14199999999999999</v>
      </c>
      <c r="D50" s="34">
        <f t="shared" ref="D50:D52" si="28">AVERAGE(B50,C50)</f>
        <v>0.14199999999999999</v>
      </c>
      <c r="E50" s="34">
        <f t="shared" ref="E50:E55" si="29">D50-E$8</f>
        <v>9.799999999999999E-2</v>
      </c>
      <c r="F50" s="34">
        <f t="shared" ref="F50:F55" si="30">LOG(E50)</f>
        <v>-1.0087739243075051</v>
      </c>
      <c r="G50" s="35">
        <f t="shared" ref="G50:G55" si="31">(F50-$B$16)/$B$15</f>
        <v>-0.36553871430897278</v>
      </c>
      <c r="H50" s="34">
        <f t="shared" ref="H50:H55" si="32">10^G50</f>
        <v>0.43098413707760813</v>
      </c>
      <c r="I50" s="48">
        <v>16</v>
      </c>
      <c r="J50" s="49">
        <f t="shared" ref="J50:J55" si="33">H50*I50</f>
        <v>6.8957461932417301</v>
      </c>
      <c r="K50" s="37">
        <f>(0.1*J50/1000)*1000</f>
        <v>0.68957461932417308</v>
      </c>
      <c r="L50" s="50">
        <f t="shared" ref="L50:L55" si="34">K50*100/L31</f>
        <v>1.0647651829155393</v>
      </c>
      <c r="M50" s="51">
        <f>AVERAGE(L50:L52)</f>
        <v>1.1898060271052955</v>
      </c>
      <c r="N50" s="52">
        <f>STDEV(L50:L52)</f>
        <v>0.2256344275983285</v>
      </c>
      <c r="O50" s="10">
        <f>L50/L40</f>
        <v>1.5470559310751757</v>
      </c>
      <c r="P50" s="51">
        <f>AVERAGE(O50:O52)</f>
        <v>1.6876674759021624</v>
      </c>
      <c r="Q50" s="52">
        <f>STDEV(O50:O52)</f>
        <v>0.22544922356096447</v>
      </c>
      <c r="S50" s="11"/>
      <c r="T50" s="11"/>
    </row>
    <row r="51" spans="1:25" ht="15" x14ac:dyDescent="0.3">
      <c r="B51">
        <v>0.16700000000000001</v>
      </c>
      <c r="C51">
        <v>0.16600000000000001</v>
      </c>
      <c r="D51" s="34">
        <f t="shared" si="28"/>
        <v>0.16650000000000001</v>
      </c>
      <c r="E51" s="34">
        <f t="shared" si="29"/>
        <v>0.12250000000000001</v>
      </c>
      <c r="F51" s="34">
        <f t="shared" si="30"/>
        <v>-0.91186391129944866</v>
      </c>
      <c r="G51" s="35">
        <f t="shared" si="31"/>
        <v>-0.26224766674119759</v>
      </c>
      <c r="H51" s="34">
        <f t="shared" si="32"/>
        <v>0.5467041029827312</v>
      </c>
      <c r="I51" s="48">
        <v>16</v>
      </c>
      <c r="J51" s="49">
        <f t="shared" si="33"/>
        <v>8.7472656477236992</v>
      </c>
      <c r="K51" s="37">
        <f t="shared" ref="K51:K55" si="35">(0.1*J51/1000)*1000</f>
        <v>0.87472656477236999</v>
      </c>
      <c r="L51" s="50">
        <f t="shared" si="34"/>
        <v>1.4502771637249252</v>
      </c>
      <c r="M51" s="51"/>
      <c r="N51" s="52"/>
      <c r="O51" s="10">
        <f t="shared" ref="O51:O55" si="36">L51/L41</f>
        <v>1.9477063437425404</v>
      </c>
      <c r="P51" s="51"/>
      <c r="Q51" s="52"/>
      <c r="S51" s="11"/>
      <c r="T51" s="11"/>
    </row>
    <row r="52" spans="1:25" ht="15" x14ac:dyDescent="0.3">
      <c r="B52">
        <v>0.14599999999999999</v>
      </c>
      <c r="C52">
        <v>0.13600000000000001</v>
      </c>
      <c r="D52" s="34">
        <f t="shared" si="28"/>
        <v>0.14100000000000001</v>
      </c>
      <c r="E52" s="34">
        <f t="shared" si="29"/>
        <v>9.7000000000000017E-2</v>
      </c>
      <c r="F52" s="34">
        <f t="shared" si="30"/>
        <v>-1.013228265733755</v>
      </c>
      <c r="G52" s="35">
        <f t="shared" si="31"/>
        <v>-0.37028635160527201</v>
      </c>
      <c r="H52" s="34">
        <f t="shared" si="32"/>
        <v>0.42629834675447748</v>
      </c>
      <c r="I52" s="48">
        <v>16</v>
      </c>
      <c r="J52" s="49">
        <f t="shared" si="33"/>
        <v>6.8207735480716396</v>
      </c>
      <c r="K52" s="37">
        <f t="shared" si="35"/>
        <v>0.68207735480716403</v>
      </c>
      <c r="L52" s="50">
        <f t="shared" si="34"/>
        <v>1.0543757346754219</v>
      </c>
      <c r="M52" s="51"/>
      <c r="N52" s="52"/>
      <c r="O52" s="10">
        <f t="shared" si="36"/>
        <v>1.5682401528887713</v>
      </c>
      <c r="P52" s="51"/>
      <c r="Q52" s="52"/>
      <c r="S52" s="11"/>
      <c r="T52" s="11"/>
    </row>
    <row r="53" spans="1:25" ht="15" x14ac:dyDescent="0.3">
      <c r="A53" s="8" t="s">
        <v>29</v>
      </c>
      <c r="B53">
        <v>0.26200000000000001</v>
      </c>
      <c r="C53">
        <v>0.27700000000000002</v>
      </c>
      <c r="D53" s="34">
        <f>AVERAGE(B53:C53)</f>
        <v>0.26950000000000002</v>
      </c>
      <c r="E53" s="34">
        <f t="shared" si="29"/>
        <v>0.22550000000000003</v>
      </c>
      <c r="F53" s="34">
        <f t="shared" si="30"/>
        <v>-0.64685345378602055</v>
      </c>
      <c r="G53" s="35">
        <f t="shared" si="31"/>
        <v>2.02123899992936E-2</v>
      </c>
      <c r="H53" s="34">
        <f t="shared" si="32"/>
        <v>1.0476407673664716</v>
      </c>
      <c r="I53" s="48">
        <v>16</v>
      </c>
      <c r="J53" s="49">
        <f t="shared" si="33"/>
        <v>16.762252277863546</v>
      </c>
      <c r="K53" s="37">
        <f t="shared" si="35"/>
        <v>1.6762252277863547</v>
      </c>
      <c r="L53" s="50">
        <f t="shared" si="34"/>
        <v>3.2447892025136302</v>
      </c>
      <c r="M53" s="51">
        <f>AVERAGE(L53:L55)</f>
        <v>3.5549090615824297</v>
      </c>
      <c r="N53" s="52">
        <f>STDEV(L53:L55)</f>
        <v>0.2712996740638679</v>
      </c>
      <c r="O53" s="10">
        <f t="shared" si="36"/>
        <v>1.9487327006642321</v>
      </c>
      <c r="P53" s="51">
        <f>AVERAGE(O53:O55)</f>
        <v>1.818174518006046</v>
      </c>
      <c r="Q53" s="52">
        <f>STDEV(O53:O55)</f>
        <v>0.17215482229330212</v>
      </c>
      <c r="S53" s="11"/>
      <c r="T53" s="11"/>
    </row>
    <row r="54" spans="1:25" ht="15" x14ac:dyDescent="0.3">
      <c r="A54" s="53"/>
      <c r="B54">
        <v>0.29899999999999999</v>
      </c>
      <c r="C54">
        <v>0.308</v>
      </c>
      <c r="D54" s="34">
        <f>AVERAGE(B54:C54)</f>
        <v>0.30349999999999999</v>
      </c>
      <c r="E54" s="34">
        <f t="shared" si="29"/>
        <v>0.25950000000000001</v>
      </c>
      <c r="F54" s="34">
        <f t="shared" si="30"/>
        <v>-0.58586263781552328</v>
      </c>
      <c r="G54" s="35">
        <f t="shared" si="31"/>
        <v>8.5219142945269694E-2</v>
      </c>
      <c r="H54" s="34">
        <f t="shared" si="32"/>
        <v>1.2167998372171891</v>
      </c>
      <c r="I54" s="48">
        <v>16</v>
      </c>
      <c r="J54" s="49">
        <f t="shared" si="33"/>
        <v>19.468797395475026</v>
      </c>
      <c r="K54" s="37">
        <f t="shared" si="35"/>
        <v>1.9468797395475026</v>
      </c>
      <c r="L54" s="50">
        <f t="shared" si="34"/>
        <v>3.6715923327745243</v>
      </c>
      <c r="M54" s="51"/>
      <c r="N54" s="52"/>
      <c r="O54" s="10">
        <f t="shared" si="36"/>
        <v>1.8827153155406482</v>
      </c>
      <c r="P54" s="51"/>
      <c r="Q54" s="52"/>
      <c r="S54" s="11"/>
      <c r="T54" s="11"/>
    </row>
    <row r="55" spans="1:25" ht="15" x14ac:dyDescent="0.3">
      <c r="A55" s="54"/>
      <c r="B55">
        <v>0.32300000000000001</v>
      </c>
      <c r="C55">
        <v>0.309</v>
      </c>
      <c r="D55" s="34">
        <f>AVERAGE(B55:C55)</f>
        <v>0.316</v>
      </c>
      <c r="E55" s="34">
        <f t="shared" si="29"/>
        <v>0.27200000000000002</v>
      </c>
      <c r="F55" s="34">
        <f t="shared" si="30"/>
        <v>-0.56543109596580121</v>
      </c>
      <c r="G55" s="35">
        <f t="shared" si="31"/>
        <v>0.10699599856190435</v>
      </c>
      <c r="H55" s="34">
        <f t="shared" si="32"/>
        <v>1.2793695164380885</v>
      </c>
      <c r="I55" s="48">
        <v>16</v>
      </c>
      <c r="J55" s="49">
        <f t="shared" si="33"/>
        <v>20.469912263009416</v>
      </c>
      <c r="K55" s="37">
        <f t="shared" si="35"/>
        <v>2.0469912263009418</v>
      </c>
      <c r="L55" s="50">
        <f t="shared" si="34"/>
        <v>3.7483456494591341</v>
      </c>
      <c r="M55" s="51"/>
      <c r="N55" s="52"/>
      <c r="O55" s="10">
        <f t="shared" si="36"/>
        <v>1.6230755378132575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40</v>
      </c>
      <c r="N57" s="10" t="s">
        <v>41</v>
      </c>
      <c r="O57" s="42" t="s">
        <v>35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28</v>
      </c>
      <c r="N58" s="51">
        <f>P50</f>
        <v>1.6876674759021624</v>
      </c>
      <c r="O58" s="51">
        <f>Q50</f>
        <v>0.22544922356096447</v>
      </c>
    </row>
    <row r="59" spans="1:25" ht="15" x14ac:dyDescent="0.3">
      <c r="D59" s="11"/>
      <c r="E59" s="11"/>
      <c r="G59" s="11"/>
      <c r="M59" s="10" t="s">
        <v>29</v>
      </c>
      <c r="N59" s="51">
        <f>P53</f>
        <v>1.818174518006046</v>
      </c>
      <c r="O59" s="51">
        <f>Q53</f>
        <v>0.17215482229330212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19</v>
      </c>
      <c r="C64" s="58" t="s">
        <v>42</v>
      </c>
      <c r="D64" s="34"/>
      <c r="E64" s="35"/>
      <c r="F64" s="34"/>
      <c r="G64" s="51"/>
      <c r="H64" s="55"/>
    </row>
    <row r="65" spans="1:8" x14ac:dyDescent="0.2">
      <c r="A65" s="8" t="s">
        <v>36</v>
      </c>
      <c r="B65" s="51">
        <f>M40</f>
        <v>0.70173026279981998</v>
      </c>
      <c r="C65" s="51">
        <f>N40</f>
        <v>3.7976760763068405E-2</v>
      </c>
      <c r="D65" s="34"/>
      <c r="E65" s="35"/>
      <c r="F65" s="34"/>
      <c r="G65" s="51"/>
      <c r="H65" s="55"/>
    </row>
    <row r="66" spans="1:8" x14ac:dyDescent="0.2">
      <c r="A66" s="8" t="s">
        <v>28</v>
      </c>
      <c r="B66" s="51">
        <f>M50</f>
        <v>1.1898060271052955</v>
      </c>
      <c r="C66" s="51">
        <f>N50</f>
        <v>0.2256344275983285</v>
      </c>
      <c r="D66" s="34"/>
      <c r="E66" s="35"/>
      <c r="F66" s="34"/>
      <c r="G66" s="51"/>
      <c r="H66" s="55"/>
    </row>
    <row r="67" spans="1:8" x14ac:dyDescent="0.2">
      <c r="A67" s="8" t="s">
        <v>37</v>
      </c>
      <c r="B67" s="51">
        <f>M43</f>
        <v>1.9748812778858913</v>
      </c>
      <c r="C67" s="51">
        <f>N43</f>
        <v>0.32287702298771209</v>
      </c>
      <c r="D67" s="34"/>
      <c r="E67" s="35"/>
      <c r="F67" s="34"/>
      <c r="G67" s="51"/>
      <c r="H67" s="55"/>
    </row>
    <row r="68" spans="1:8" x14ac:dyDescent="0.2">
      <c r="A68" s="59" t="s">
        <v>29</v>
      </c>
      <c r="B68" s="51">
        <f>M53</f>
        <v>3.5549090615824297</v>
      </c>
      <c r="C68" s="51">
        <f>N53</f>
        <v>0.2712996740638679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siGCK</vt:lpstr>
      <vt:lpstr>siSSR1</vt:lpstr>
      <vt:lpstr>siSLC30A8</vt:lpstr>
      <vt:lpstr>siGCK!Zone_d_impression</vt:lpstr>
      <vt:lpstr>siNTP!Zone_d_impression</vt:lpstr>
      <vt:lpstr>siSLC30A8!Zone_d_impression</vt:lpstr>
      <vt:lpstr>siSSR1!Zone_d_impression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2016-03-18T15:15:13Z</dcterms:modified>
</cp:coreProperties>
</file>