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fils\marlene\Desktop\"/>
    </mc:Choice>
  </mc:AlternateContent>
  <bookViews>
    <workbookView xWindow="0" yWindow="0" windowWidth="28800" windowHeight="12435" activeTab="2"/>
  </bookViews>
  <sheets>
    <sheet name="siNTP" sheetId="1" r:id="rId1"/>
    <sheet name="siSSR1" sheetId="3" r:id="rId2"/>
    <sheet name="siSLC30A8" sheetId="4" r:id="rId3"/>
  </sheets>
  <externalReferences>
    <externalReference r:id="rId4"/>
  </externalReferences>
  <definedNames>
    <definedName name="_xlnm.Print_Area" localSheetId="0">siNTP!$A$6:$Q$83</definedName>
    <definedName name="_xlnm.Print_Area" localSheetId="2">siSLC30A8!$A$6:$Q$83</definedName>
    <definedName name="_xlnm.Print_Area" localSheetId="1">siSSR1!$A$6:$Q$83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4" l="1"/>
  <c r="B12" i="4"/>
  <c r="B11" i="4"/>
  <c r="B10" i="4"/>
  <c r="B9" i="4"/>
  <c r="B13" i="3"/>
  <c r="B12" i="3"/>
  <c r="B11" i="3"/>
  <c r="B10" i="3"/>
  <c r="B9" i="3"/>
  <c r="B13" i="1"/>
  <c r="B12" i="1"/>
  <c r="B11" i="1"/>
  <c r="B10" i="1"/>
  <c r="B9" i="1"/>
  <c r="D55" i="4" l="1"/>
  <c r="D54" i="4"/>
  <c r="D53" i="4"/>
  <c r="D52" i="4"/>
  <c r="D51" i="4"/>
  <c r="D50" i="4"/>
  <c r="D45" i="4"/>
  <c r="D44" i="4"/>
  <c r="D43" i="4"/>
  <c r="D42" i="4"/>
  <c r="D41" i="4"/>
  <c r="D40" i="4"/>
  <c r="D36" i="4"/>
  <c r="D35" i="4"/>
  <c r="D34" i="4"/>
  <c r="D33" i="4"/>
  <c r="D32" i="4"/>
  <c r="D31" i="4"/>
  <c r="D27" i="4"/>
  <c r="D26" i="4"/>
  <c r="D25" i="4"/>
  <c r="D24" i="4"/>
  <c r="D23" i="4"/>
  <c r="D22" i="4"/>
  <c r="G13" i="4"/>
  <c r="E13" i="4"/>
  <c r="G12" i="4"/>
  <c r="E12" i="4"/>
  <c r="E11" i="4"/>
  <c r="G11" i="4"/>
  <c r="E10" i="4"/>
  <c r="G10" i="4"/>
  <c r="G9" i="4"/>
  <c r="E9" i="4"/>
  <c r="F9" i="4" s="1"/>
  <c r="H9" i="4" s="1"/>
  <c r="E8" i="4"/>
  <c r="D55" i="3"/>
  <c r="D54" i="3"/>
  <c r="D53" i="3"/>
  <c r="D52" i="3"/>
  <c r="D51" i="3"/>
  <c r="D50" i="3"/>
  <c r="D45" i="3"/>
  <c r="D44" i="3"/>
  <c r="D43" i="3"/>
  <c r="D42" i="3"/>
  <c r="D41" i="3"/>
  <c r="D40" i="3"/>
  <c r="E40" i="3" s="1"/>
  <c r="F40" i="3" s="1"/>
  <c r="D36" i="3"/>
  <c r="D35" i="3"/>
  <c r="D34" i="3"/>
  <c r="D33" i="3"/>
  <c r="D32" i="3"/>
  <c r="D31" i="3"/>
  <c r="D27" i="3"/>
  <c r="D26" i="3"/>
  <c r="E26" i="3" s="1"/>
  <c r="F26" i="3" s="1"/>
  <c r="D25" i="3"/>
  <c r="D24" i="3"/>
  <c r="D23" i="3"/>
  <c r="D22" i="3"/>
  <c r="G13" i="3"/>
  <c r="E13" i="3"/>
  <c r="G12" i="3"/>
  <c r="E12" i="3"/>
  <c r="E11" i="3"/>
  <c r="G11" i="3"/>
  <c r="E10" i="3"/>
  <c r="G10" i="3"/>
  <c r="G9" i="3"/>
  <c r="E9" i="3"/>
  <c r="F9" i="3" s="1"/>
  <c r="H9" i="3" s="1"/>
  <c r="E8" i="3"/>
  <c r="D55" i="1"/>
  <c r="D54" i="1"/>
  <c r="D53" i="1"/>
  <c r="D52" i="1"/>
  <c r="D51" i="1"/>
  <c r="D50" i="1"/>
  <c r="D45" i="1"/>
  <c r="D44" i="1"/>
  <c r="D43" i="1"/>
  <c r="D42" i="1"/>
  <c r="D41" i="1"/>
  <c r="D40" i="1"/>
  <c r="D36" i="1"/>
  <c r="D35" i="1"/>
  <c r="D34" i="1"/>
  <c r="D33" i="1"/>
  <c r="D32" i="1"/>
  <c r="D31" i="1"/>
  <c r="D27" i="1"/>
  <c r="D26" i="1"/>
  <c r="D25" i="1"/>
  <c r="D24" i="1"/>
  <c r="D23" i="1"/>
  <c r="D22" i="1"/>
  <c r="E13" i="1"/>
  <c r="G13" i="1"/>
  <c r="E12" i="1"/>
  <c r="G12" i="1"/>
  <c r="G11" i="1"/>
  <c r="E11" i="1"/>
  <c r="E10" i="1"/>
  <c r="G10" i="1"/>
  <c r="E9" i="1"/>
  <c r="G9" i="1"/>
  <c r="E8" i="1"/>
  <c r="E40" i="4" l="1"/>
  <c r="F40" i="4" s="1"/>
  <c r="F10" i="3"/>
  <c r="H10" i="3" s="1"/>
  <c r="E45" i="4"/>
  <c r="F45" i="4" s="1"/>
  <c r="E24" i="4"/>
  <c r="F24" i="4" s="1"/>
  <c r="E32" i="3"/>
  <c r="F32" i="3" s="1"/>
  <c r="E43" i="3"/>
  <c r="F43" i="3" s="1"/>
  <c r="E51" i="3"/>
  <c r="F51" i="3" s="1"/>
  <c r="E42" i="3"/>
  <c r="F42" i="3" s="1"/>
  <c r="E54" i="3"/>
  <c r="F54" i="3" s="1"/>
  <c r="E54" i="1"/>
  <c r="F54" i="1" s="1"/>
  <c r="E52" i="3"/>
  <c r="F52" i="3" s="1"/>
  <c r="F13" i="4"/>
  <c r="H13" i="4" s="1"/>
  <c r="E34" i="4"/>
  <c r="F34" i="4" s="1"/>
  <c r="E52" i="4"/>
  <c r="F52" i="4" s="1"/>
  <c r="E42" i="4"/>
  <c r="F42" i="4" s="1"/>
  <c r="F13" i="3"/>
  <c r="H13" i="3" s="1"/>
  <c r="E24" i="3"/>
  <c r="F24" i="3" s="1"/>
  <c r="E35" i="3"/>
  <c r="F35" i="3" s="1"/>
  <c r="E45" i="3"/>
  <c r="F45" i="3" s="1"/>
  <c r="E23" i="3"/>
  <c r="F23" i="3" s="1"/>
  <c r="E41" i="3"/>
  <c r="F41" i="3" s="1"/>
  <c r="F10" i="1"/>
  <c r="H10" i="1" s="1"/>
  <c r="F11" i="4"/>
  <c r="H11" i="4" s="1"/>
  <c r="E22" i="4"/>
  <c r="F22" i="4" s="1"/>
  <c r="E25" i="4"/>
  <c r="F25" i="4" s="1"/>
  <c r="E31" i="4"/>
  <c r="F31" i="4" s="1"/>
  <c r="E50" i="4"/>
  <c r="F50" i="4" s="1"/>
  <c r="E53" i="4"/>
  <c r="F53" i="4" s="1"/>
  <c r="E23" i="4"/>
  <c r="F23" i="4" s="1"/>
  <c r="E26" i="4"/>
  <c r="F26" i="4" s="1"/>
  <c r="E32" i="4"/>
  <c r="F32" i="4" s="1"/>
  <c r="E35" i="4"/>
  <c r="F35" i="4" s="1"/>
  <c r="E41" i="4"/>
  <c r="F41" i="4" s="1"/>
  <c r="E43" i="4"/>
  <c r="F43" i="4" s="1"/>
  <c r="E51" i="4"/>
  <c r="F51" i="4" s="1"/>
  <c r="E54" i="4"/>
  <c r="F54" i="4" s="1"/>
  <c r="F10" i="4"/>
  <c r="H10" i="4" s="1"/>
  <c r="F12" i="4"/>
  <c r="H12" i="4" s="1"/>
  <c r="E27" i="4"/>
  <c r="F27" i="4" s="1"/>
  <c r="E33" i="4"/>
  <c r="F33" i="4" s="1"/>
  <c r="E36" i="4"/>
  <c r="F36" i="4" s="1"/>
  <c r="E44" i="4"/>
  <c r="F44" i="4" s="1"/>
  <c r="E55" i="4"/>
  <c r="F55" i="4" s="1"/>
  <c r="F12" i="1"/>
  <c r="H12" i="1" s="1"/>
  <c r="E32" i="1"/>
  <c r="F32" i="1" s="1"/>
  <c r="E55" i="1"/>
  <c r="F55" i="1" s="1"/>
  <c r="E22" i="1"/>
  <c r="F22" i="1" s="1"/>
  <c r="F11" i="1"/>
  <c r="H11" i="1" s="1"/>
  <c r="F13" i="1"/>
  <c r="H13" i="1" s="1"/>
  <c r="E31" i="1"/>
  <c r="F31" i="1" s="1"/>
  <c r="E35" i="1"/>
  <c r="F35" i="1" s="1"/>
  <c r="E36" i="1"/>
  <c r="F36" i="1" s="1"/>
  <c r="E25" i="1"/>
  <c r="F25" i="1" s="1"/>
  <c r="E51" i="1"/>
  <c r="F51" i="1" s="1"/>
  <c r="F9" i="1"/>
  <c r="H9" i="1" s="1"/>
  <c r="E23" i="1"/>
  <c r="F23" i="1" s="1"/>
  <c r="E27" i="1"/>
  <c r="F27" i="1" s="1"/>
  <c r="E34" i="1"/>
  <c r="F34" i="1" s="1"/>
  <c r="E41" i="1"/>
  <c r="F41" i="1" s="1"/>
  <c r="E34" i="3"/>
  <c r="F34" i="3" s="1"/>
  <c r="E27" i="3"/>
  <c r="F27" i="3" s="1"/>
  <c r="E33" i="3"/>
  <c r="F33" i="3" s="1"/>
  <c r="E36" i="3"/>
  <c r="F36" i="3" s="1"/>
  <c r="E44" i="3"/>
  <c r="F44" i="3" s="1"/>
  <c r="E55" i="3"/>
  <c r="F55" i="3" s="1"/>
  <c r="F11" i="3"/>
  <c r="H11" i="3" s="1"/>
  <c r="E22" i="3"/>
  <c r="F22" i="3" s="1"/>
  <c r="E25" i="3"/>
  <c r="F25" i="3" s="1"/>
  <c r="E31" i="3"/>
  <c r="F31" i="3" s="1"/>
  <c r="E50" i="3"/>
  <c r="F50" i="3" s="1"/>
  <c r="E53" i="3"/>
  <c r="F53" i="3" s="1"/>
  <c r="F12" i="3"/>
  <c r="H12" i="3" s="1"/>
  <c r="E24" i="1"/>
  <c r="F24" i="1" s="1"/>
  <c r="E42" i="1"/>
  <c r="F42" i="1" s="1"/>
  <c r="E43" i="1"/>
  <c r="F43" i="1" s="1"/>
  <c r="E52" i="1"/>
  <c r="F52" i="1" s="1"/>
  <c r="E53" i="1"/>
  <c r="F53" i="1" s="1"/>
  <c r="E26" i="1"/>
  <c r="F26" i="1" s="1"/>
  <c r="E33" i="1"/>
  <c r="F33" i="1" s="1"/>
  <c r="E40" i="1"/>
  <c r="F40" i="1" s="1"/>
  <c r="E44" i="1"/>
  <c r="F44" i="1" s="1"/>
  <c r="E45" i="1"/>
  <c r="F45" i="1" s="1"/>
  <c r="E50" i="1"/>
  <c r="F50" i="1" s="1"/>
  <c r="B15" i="4" l="1"/>
  <c r="B16" i="1"/>
  <c r="B15" i="1"/>
  <c r="G53" i="1" s="1"/>
  <c r="H53" i="1" s="1"/>
  <c r="J53" i="1" s="1"/>
  <c r="K53" i="1" s="1"/>
  <c r="B16" i="4"/>
  <c r="G42" i="4" s="1"/>
  <c r="H42" i="4" s="1"/>
  <c r="J42" i="4" s="1"/>
  <c r="K42" i="4" s="1"/>
  <c r="B16" i="3"/>
  <c r="B15" i="3"/>
  <c r="G26" i="1" l="1"/>
  <c r="H26" i="1" s="1"/>
  <c r="J26" i="1" s="1"/>
  <c r="K26" i="1" s="1"/>
  <c r="G43" i="1"/>
  <c r="H43" i="1" s="1"/>
  <c r="J43" i="1" s="1"/>
  <c r="K43" i="1" s="1"/>
  <c r="G44" i="1"/>
  <c r="H44" i="1" s="1"/>
  <c r="J44" i="1" s="1"/>
  <c r="K44" i="1" s="1"/>
  <c r="G45" i="1"/>
  <c r="H45" i="1" s="1"/>
  <c r="J45" i="1" s="1"/>
  <c r="K45" i="1" s="1"/>
  <c r="G27" i="1"/>
  <c r="H27" i="1" s="1"/>
  <c r="J27" i="1" s="1"/>
  <c r="K27" i="1" s="1"/>
  <c r="G54" i="1"/>
  <c r="H54" i="1" s="1"/>
  <c r="J54" i="1" s="1"/>
  <c r="K54" i="1" s="1"/>
  <c r="L35" i="1" s="1"/>
  <c r="M35" i="1" s="1"/>
  <c r="G41" i="1"/>
  <c r="H41" i="1" s="1"/>
  <c r="J41" i="1" s="1"/>
  <c r="K41" i="1" s="1"/>
  <c r="G25" i="1"/>
  <c r="H25" i="1" s="1"/>
  <c r="J25" i="1" s="1"/>
  <c r="K25" i="1" s="1"/>
  <c r="G33" i="1"/>
  <c r="H33" i="1" s="1"/>
  <c r="J33" i="1" s="1"/>
  <c r="K33" i="1" s="1"/>
  <c r="G34" i="1"/>
  <c r="H34" i="1" s="1"/>
  <c r="J34" i="1" s="1"/>
  <c r="K34" i="1" s="1"/>
  <c r="L34" i="1" s="1"/>
  <c r="M34" i="1" s="1"/>
  <c r="G31" i="1"/>
  <c r="H31" i="1" s="1"/>
  <c r="J31" i="1" s="1"/>
  <c r="K31" i="1" s="1"/>
  <c r="G52" i="1"/>
  <c r="H52" i="1" s="1"/>
  <c r="J52" i="1" s="1"/>
  <c r="K52" i="1" s="1"/>
  <c r="G35" i="1"/>
  <c r="H35" i="1" s="1"/>
  <c r="J35" i="1" s="1"/>
  <c r="K35" i="1" s="1"/>
  <c r="G55" i="1"/>
  <c r="H55" i="1" s="1"/>
  <c r="J55" i="1" s="1"/>
  <c r="K55" i="1" s="1"/>
  <c r="L27" i="1" s="1"/>
  <c r="M27" i="1" s="1"/>
  <c r="G50" i="1"/>
  <c r="H50" i="1" s="1"/>
  <c r="J50" i="1" s="1"/>
  <c r="K50" i="1" s="1"/>
  <c r="G51" i="1"/>
  <c r="H51" i="1" s="1"/>
  <c r="J51" i="1" s="1"/>
  <c r="K51" i="1" s="1"/>
  <c r="G32" i="1"/>
  <c r="H32" i="1" s="1"/>
  <c r="J32" i="1" s="1"/>
  <c r="K32" i="1" s="1"/>
  <c r="G40" i="1"/>
  <c r="H40" i="1" s="1"/>
  <c r="J40" i="1" s="1"/>
  <c r="K40" i="1" s="1"/>
  <c r="G36" i="1"/>
  <c r="H36" i="1" s="1"/>
  <c r="J36" i="1" s="1"/>
  <c r="K36" i="1" s="1"/>
  <c r="L36" i="1" s="1"/>
  <c r="M36" i="1" s="1"/>
  <c r="G23" i="1"/>
  <c r="H23" i="1" s="1"/>
  <c r="J23" i="1" s="1"/>
  <c r="K23" i="1" s="1"/>
  <c r="G24" i="1"/>
  <c r="H24" i="1" s="1"/>
  <c r="J24" i="1" s="1"/>
  <c r="K24" i="1" s="1"/>
  <c r="G42" i="1"/>
  <c r="H42" i="1" s="1"/>
  <c r="J42" i="1" s="1"/>
  <c r="K42" i="1" s="1"/>
  <c r="G22" i="1"/>
  <c r="H22" i="1" s="1"/>
  <c r="J22" i="1" s="1"/>
  <c r="K22" i="1" s="1"/>
  <c r="L22" i="1" s="1"/>
  <c r="M22" i="1" s="1"/>
  <c r="G33" i="4"/>
  <c r="H33" i="4" s="1"/>
  <c r="J33" i="4" s="1"/>
  <c r="K33" i="4" s="1"/>
  <c r="G44" i="4"/>
  <c r="H44" i="4" s="1"/>
  <c r="J44" i="4" s="1"/>
  <c r="K44" i="4" s="1"/>
  <c r="G23" i="4"/>
  <c r="H23" i="4" s="1"/>
  <c r="J23" i="4" s="1"/>
  <c r="K23" i="4" s="1"/>
  <c r="G34" i="4"/>
  <c r="H34" i="4" s="1"/>
  <c r="J34" i="4" s="1"/>
  <c r="K34" i="4" s="1"/>
  <c r="G31" i="4"/>
  <c r="H31" i="4" s="1"/>
  <c r="J31" i="4" s="1"/>
  <c r="K31" i="4" s="1"/>
  <c r="G43" i="4"/>
  <c r="H43" i="4" s="1"/>
  <c r="J43" i="4" s="1"/>
  <c r="K43" i="4" s="1"/>
  <c r="G54" i="4"/>
  <c r="H54" i="4" s="1"/>
  <c r="J54" i="4" s="1"/>
  <c r="K54" i="4" s="1"/>
  <c r="G22" i="4"/>
  <c r="H22" i="4" s="1"/>
  <c r="J22" i="4" s="1"/>
  <c r="K22" i="4" s="1"/>
  <c r="G55" i="4"/>
  <c r="H55" i="4" s="1"/>
  <c r="J55" i="4" s="1"/>
  <c r="K55" i="4" s="1"/>
  <c r="G53" i="4"/>
  <c r="H53" i="4" s="1"/>
  <c r="J53" i="4" s="1"/>
  <c r="K53" i="4" s="1"/>
  <c r="G36" i="4"/>
  <c r="H36" i="4" s="1"/>
  <c r="J36" i="4" s="1"/>
  <c r="K36" i="4" s="1"/>
  <c r="G50" i="4"/>
  <c r="H50" i="4" s="1"/>
  <c r="J50" i="4" s="1"/>
  <c r="K50" i="4" s="1"/>
  <c r="G24" i="4"/>
  <c r="H24" i="4" s="1"/>
  <c r="J24" i="4" s="1"/>
  <c r="K24" i="4" s="1"/>
  <c r="G41" i="4"/>
  <c r="H41" i="4" s="1"/>
  <c r="J41" i="4" s="1"/>
  <c r="K41" i="4" s="1"/>
  <c r="G52" i="4"/>
  <c r="H52" i="4" s="1"/>
  <c r="J52" i="4" s="1"/>
  <c r="K52" i="4" s="1"/>
  <c r="G32" i="4"/>
  <c r="H32" i="4" s="1"/>
  <c r="J32" i="4" s="1"/>
  <c r="K32" i="4" s="1"/>
  <c r="L32" i="4" s="1"/>
  <c r="G25" i="4"/>
  <c r="H25" i="4" s="1"/>
  <c r="J25" i="4" s="1"/>
  <c r="K25" i="4" s="1"/>
  <c r="G26" i="4"/>
  <c r="H26" i="4" s="1"/>
  <c r="J26" i="4" s="1"/>
  <c r="K26" i="4" s="1"/>
  <c r="G35" i="4"/>
  <c r="H35" i="4" s="1"/>
  <c r="J35" i="4" s="1"/>
  <c r="K35" i="4" s="1"/>
  <c r="L35" i="4" s="1"/>
  <c r="M35" i="4" s="1"/>
  <c r="G45" i="4"/>
  <c r="H45" i="4" s="1"/>
  <c r="J45" i="4" s="1"/>
  <c r="K45" i="4" s="1"/>
  <c r="G27" i="4"/>
  <c r="H27" i="4" s="1"/>
  <c r="J27" i="4" s="1"/>
  <c r="K27" i="4" s="1"/>
  <c r="G40" i="4"/>
  <c r="H40" i="4" s="1"/>
  <c r="J40" i="4" s="1"/>
  <c r="K40" i="4" s="1"/>
  <c r="G51" i="4"/>
  <c r="H51" i="4" s="1"/>
  <c r="J51" i="4" s="1"/>
  <c r="K51" i="4" s="1"/>
  <c r="G42" i="3"/>
  <c r="H42" i="3" s="1"/>
  <c r="J42" i="3" s="1"/>
  <c r="K42" i="3" s="1"/>
  <c r="L32" i="1"/>
  <c r="M32" i="1" s="1"/>
  <c r="G36" i="3"/>
  <c r="H36" i="3" s="1"/>
  <c r="J36" i="3" s="1"/>
  <c r="K36" i="3" s="1"/>
  <c r="G33" i="3"/>
  <c r="H33" i="3" s="1"/>
  <c r="J33" i="3" s="1"/>
  <c r="K33" i="3" s="1"/>
  <c r="G52" i="3"/>
  <c r="H52" i="3" s="1"/>
  <c r="J52" i="3" s="1"/>
  <c r="K52" i="3" s="1"/>
  <c r="G41" i="3"/>
  <c r="H41" i="3" s="1"/>
  <c r="J41" i="3" s="1"/>
  <c r="K41" i="3" s="1"/>
  <c r="G51" i="3"/>
  <c r="H51" i="3" s="1"/>
  <c r="J51" i="3" s="1"/>
  <c r="K51" i="3" s="1"/>
  <c r="G35" i="3"/>
  <c r="H35" i="3" s="1"/>
  <c r="J35" i="3" s="1"/>
  <c r="K35" i="3" s="1"/>
  <c r="G32" i="3"/>
  <c r="H32" i="3" s="1"/>
  <c r="J32" i="3" s="1"/>
  <c r="K32" i="3" s="1"/>
  <c r="G43" i="3"/>
  <c r="H43" i="3" s="1"/>
  <c r="J43" i="3" s="1"/>
  <c r="K43" i="3" s="1"/>
  <c r="G24" i="3"/>
  <c r="H24" i="3" s="1"/>
  <c r="J24" i="3" s="1"/>
  <c r="K24" i="3" s="1"/>
  <c r="G23" i="3"/>
  <c r="H23" i="3" s="1"/>
  <c r="J23" i="3" s="1"/>
  <c r="K23" i="3" s="1"/>
  <c r="G34" i="3"/>
  <c r="H34" i="3" s="1"/>
  <c r="J34" i="3" s="1"/>
  <c r="K34" i="3" s="1"/>
  <c r="G53" i="3"/>
  <c r="H53" i="3" s="1"/>
  <c r="J53" i="3" s="1"/>
  <c r="K53" i="3" s="1"/>
  <c r="G50" i="3"/>
  <c r="H50" i="3" s="1"/>
  <c r="J50" i="3" s="1"/>
  <c r="K50" i="3" s="1"/>
  <c r="G26" i="3"/>
  <c r="H26" i="3" s="1"/>
  <c r="J26" i="3" s="1"/>
  <c r="K26" i="3" s="1"/>
  <c r="G55" i="3"/>
  <c r="H55" i="3" s="1"/>
  <c r="J55" i="3" s="1"/>
  <c r="K55" i="3" s="1"/>
  <c r="G25" i="3"/>
  <c r="H25" i="3" s="1"/>
  <c r="J25" i="3" s="1"/>
  <c r="K25" i="3" s="1"/>
  <c r="G44" i="3"/>
  <c r="H44" i="3" s="1"/>
  <c r="J44" i="3" s="1"/>
  <c r="K44" i="3" s="1"/>
  <c r="G22" i="3"/>
  <c r="H22" i="3" s="1"/>
  <c r="J22" i="3" s="1"/>
  <c r="K22" i="3" s="1"/>
  <c r="G40" i="3"/>
  <c r="H40" i="3" s="1"/>
  <c r="J40" i="3" s="1"/>
  <c r="K40" i="3" s="1"/>
  <c r="G31" i="3"/>
  <c r="H31" i="3" s="1"/>
  <c r="J31" i="3" s="1"/>
  <c r="K31" i="3" s="1"/>
  <c r="G27" i="3"/>
  <c r="H27" i="3" s="1"/>
  <c r="J27" i="3" s="1"/>
  <c r="K27" i="3" s="1"/>
  <c r="G45" i="3"/>
  <c r="H45" i="3" s="1"/>
  <c r="J45" i="3" s="1"/>
  <c r="K45" i="3" s="1"/>
  <c r="G54" i="3"/>
  <c r="H54" i="3" s="1"/>
  <c r="J54" i="3" s="1"/>
  <c r="K54" i="3" s="1"/>
  <c r="L31" i="1" l="1"/>
  <c r="M31" i="1" s="1"/>
  <c r="L25" i="1"/>
  <c r="M25" i="1" s="1"/>
  <c r="L23" i="1"/>
  <c r="L41" i="1" s="1"/>
  <c r="L27" i="4"/>
  <c r="M27" i="4" s="1"/>
  <c r="L31" i="4"/>
  <c r="M31" i="4" s="1"/>
  <c r="L33" i="4"/>
  <c r="M33" i="4" s="1"/>
  <c r="L22" i="4"/>
  <c r="M22" i="4" s="1"/>
  <c r="L34" i="4"/>
  <c r="M34" i="4" s="1"/>
  <c r="L24" i="1"/>
  <c r="M24" i="1" s="1"/>
  <c r="L33" i="1"/>
  <c r="L26" i="1"/>
  <c r="L25" i="4"/>
  <c r="M25" i="4" s="1"/>
  <c r="L36" i="4"/>
  <c r="M36" i="4" s="1"/>
  <c r="L26" i="4"/>
  <c r="M26" i="4" s="1"/>
  <c r="L23" i="4"/>
  <c r="M23" i="4" s="1"/>
  <c r="M32" i="4"/>
  <c r="L51" i="4"/>
  <c r="L24" i="4"/>
  <c r="L53" i="1"/>
  <c r="L54" i="1"/>
  <c r="L51" i="1"/>
  <c r="L25" i="3"/>
  <c r="M25" i="3" s="1"/>
  <c r="L22" i="3"/>
  <c r="M22" i="3" s="1"/>
  <c r="L26" i="3"/>
  <c r="M26" i="3" s="1"/>
  <c r="L23" i="3"/>
  <c r="M23" i="3" s="1"/>
  <c r="L33" i="3"/>
  <c r="M33" i="3" s="1"/>
  <c r="L24" i="3"/>
  <c r="M24" i="3" s="1"/>
  <c r="L36" i="3"/>
  <c r="M36" i="3" s="1"/>
  <c r="L35" i="3"/>
  <c r="M35" i="3" s="1"/>
  <c r="L54" i="4"/>
  <c r="L45" i="4"/>
  <c r="L53" i="4"/>
  <c r="L44" i="4"/>
  <c r="L31" i="3"/>
  <c r="M31" i="3" s="1"/>
  <c r="L34" i="3"/>
  <c r="M34" i="3" s="1"/>
  <c r="L32" i="3"/>
  <c r="M32" i="3" s="1"/>
  <c r="L27" i="3"/>
  <c r="M27" i="3" s="1"/>
  <c r="L43" i="3"/>
  <c r="L50" i="1"/>
  <c r="L40" i="1"/>
  <c r="L45" i="1"/>
  <c r="L55" i="1"/>
  <c r="L43" i="1"/>
  <c r="L40" i="4" l="1"/>
  <c r="L41" i="4"/>
  <c r="O51" i="4" s="1"/>
  <c r="M23" i="1"/>
  <c r="L50" i="4"/>
  <c r="O50" i="4" s="1"/>
  <c r="L42" i="1"/>
  <c r="N40" i="1" s="1"/>
  <c r="C65" i="1" s="1"/>
  <c r="L52" i="4"/>
  <c r="L43" i="4"/>
  <c r="M43" i="4" s="1"/>
  <c r="B67" i="4" s="1"/>
  <c r="L55" i="4"/>
  <c r="O55" i="4" s="1"/>
  <c r="M33" i="1"/>
  <c r="L52" i="1"/>
  <c r="O51" i="1"/>
  <c r="M26" i="1"/>
  <c r="L44" i="1"/>
  <c r="O54" i="1" s="1"/>
  <c r="N40" i="4"/>
  <c r="C65" i="4" s="1"/>
  <c r="N50" i="4"/>
  <c r="C66" i="4" s="1"/>
  <c r="L53" i="3"/>
  <c r="N53" i="3" s="1"/>
  <c r="C68" i="3" s="1"/>
  <c r="M24" i="4"/>
  <c r="L42" i="4"/>
  <c r="L52" i="3"/>
  <c r="O54" i="4"/>
  <c r="O55" i="1"/>
  <c r="L42" i="3"/>
  <c r="L40" i="3"/>
  <c r="L44" i="3"/>
  <c r="L55" i="3"/>
  <c r="L41" i="3"/>
  <c r="L54" i="3"/>
  <c r="L50" i="3"/>
  <c r="N43" i="4"/>
  <c r="C67" i="4" s="1"/>
  <c r="N53" i="4"/>
  <c r="C68" i="4" s="1"/>
  <c r="L45" i="3"/>
  <c r="L51" i="3"/>
  <c r="N53" i="1"/>
  <c r="C68" i="1" s="1"/>
  <c r="N50" i="1"/>
  <c r="C66" i="1" s="1"/>
  <c r="M50" i="1"/>
  <c r="B66" i="1" s="1"/>
  <c r="O50" i="1"/>
  <c r="M53" i="1"/>
  <c r="B68" i="1" s="1"/>
  <c r="M40" i="1"/>
  <c r="B65" i="1" s="1"/>
  <c r="N43" i="1"/>
  <c r="C67" i="1" s="1"/>
  <c r="M43" i="1"/>
  <c r="B67" i="1" s="1"/>
  <c r="O53" i="1"/>
  <c r="M50" i="4" l="1"/>
  <c r="B66" i="4" s="1"/>
  <c r="M53" i="4"/>
  <c r="B68" i="4" s="1"/>
  <c r="O53" i="4"/>
  <c r="M53" i="3"/>
  <c r="B68" i="3" s="1"/>
  <c r="N40" i="3"/>
  <c r="C65" i="3" s="1"/>
  <c r="O52" i="1"/>
  <c r="O52" i="3"/>
  <c r="O55" i="3"/>
  <c r="O54" i="3"/>
  <c r="O53" i="3"/>
  <c r="Q53" i="3" s="1"/>
  <c r="O59" i="3" s="1"/>
  <c r="O52" i="4"/>
  <c r="Q50" i="4" s="1"/>
  <c r="O58" i="4" s="1"/>
  <c r="M40" i="4"/>
  <c r="B65" i="4" s="1"/>
  <c r="N43" i="3"/>
  <c r="C67" i="3" s="1"/>
  <c r="M50" i="3"/>
  <c r="B66" i="3" s="1"/>
  <c r="O50" i="3"/>
  <c r="P50" i="4"/>
  <c r="N58" i="4" s="1"/>
  <c r="M40" i="3"/>
  <c r="B65" i="3" s="1"/>
  <c r="O51" i="3"/>
  <c r="Q53" i="4"/>
  <c r="O59" i="4" s="1"/>
  <c r="P53" i="4"/>
  <c r="N59" i="4" s="1"/>
  <c r="N50" i="3"/>
  <c r="C66" i="3" s="1"/>
  <c r="P53" i="3"/>
  <c r="N59" i="3" s="1"/>
  <c r="M43" i="3"/>
  <c r="B67" i="3" s="1"/>
  <c r="Q50" i="1"/>
  <c r="O58" i="1" s="1"/>
  <c r="P50" i="1"/>
  <c r="N58" i="1" s="1"/>
  <c r="Q53" i="1"/>
  <c r="O59" i="1" s="1"/>
  <c r="P53" i="1"/>
  <c r="N59" i="1" s="1"/>
  <c r="Q50" i="3" l="1"/>
  <c r="O58" i="3" s="1"/>
  <c r="P50" i="3"/>
  <c r="N58" i="3" s="1"/>
</calcChain>
</file>

<file path=xl/sharedStrings.xml><?xml version="1.0" encoding="utf-8"?>
<sst xmlns="http://schemas.openxmlformats.org/spreadsheetml/2006/main" count="300" uniqueCount="44">
  <si>
    <t>Date</t>
  </si>
  <si>
    <t>passage</t>
  </si>
  <si>
    <t>viabilité</t>
  </si>
  <si>
    <t>operateur</t>
  </si>
  <si>
    <t>Marlene</t>
  </si>
  <si>
    <t>J0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</si>
  <si>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</si>
  <si>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</si>
  <si>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</si>
  <si>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</si>
  <si>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</si>
  <si>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</si>
  <si>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</si>
  <si>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</si>
  <si>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</si>
  <si>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</si>
  <si>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</si>
  <si>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</si>
  <si>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</si>
  <si>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</si>
  <si>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</si>
  <si>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</si>
  <si>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</si>
  <si>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</si>
  <si>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</si>
  <si>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</si>
  <si>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</si>
  <si>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</si>
  <si>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</si>
  <si>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</si>
  <si>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</si>
  <si>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</si>
  <si>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</si>
  <si>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</si>
  <si>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</si>
  <si>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</si>
  <si>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</si>
  <si>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</si>
  <si>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</si>
  <si>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11mM/0,5mM</t>
  </si>
  <si>
    <t>Fold change</t>
  </si>
  <si>
    <t>Mean</t>
  </si>
  <si>
    <t>ectype</t>
  </si>
  <si>
    <t>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</si>
</sst>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3" x14ac:knownFonts="1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sz val="10"/>
      <name val="Comic Sans MS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0" fontId="2" fillId="0" borderId="0"/>
    <xf numFmtId="0" fontId="1" fillId="0" borderId="0"/>
  </cellStyleXfs>
  <cellXfs count="84">
    <xf numFmtId="0" fontId="0" fillId="0" borderId="0" xfId="0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1" applyFont="1" applyAlignment="1">
      <alignment horizontal="left"/>
    </xf>
    <xf numFmtId="0" fontId="3" fillId="0" borderId="2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6" fillId="0" borderId="0" xfId="1"/>
    <xf numFmtId="0" fontId="3" fillId="0" borderId="1" xfId="1" applyFont="1" applyBorder="1" applyAlignment="1">
      <alignment horizontal="left"/>
    </xf>
    <xf numFmtId="0" fontId="7" fillId="0" borderId="1" xfId="1" applyFont="1" applyBorder="1" applyAlignment="1" applyProtection="1">
      <alignment horizontal="center"/>
    </xf>
    <xf numFmtId="0" fontId="7" fillId="0" borderId="3" xfId="1" applyFont="1" applyBorder="1" applyAlignment="1" applyProtection="1">
      <alignment horizontal="center"/>
      <protection locked="0"/>
    </xf>
    <xf numFmtId="0" fontId="7" fillId="0" borderId="4" xfId="1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2" fontId="3" fillId="0" borderId="1" xfId="1" applyNumberFormat="1" applyFont="1" applyBorder="1" applyAlignment="1">
      <alignment horizontal="center"/>
    </xf>
    <xf numFmtId="0" fontId="2" fillId="0" borderId="0" xfId="2" applyFill="1"/>
    <xf numFmtId="0" fontId="8" fillId="0" borderId="0" xfId="0" applyFont="1" applyAlignment="1">
      <alignment horizontal="left"/>
    </xf>
    <xf numFmtId="0" fontId="8" fillId="0" borderId="0" xfId="1" applyFont="1" applyAlignment="1">
      <alignment horizontal="center"/>
    </xf>
    <xf numFmtId="0" fontId="7" fillId="0" borderId="0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10" fillId="0" borderId="0" xfId="1" applyFont="1" applyAlignment="1">
      <alignment horizontal="center"/>
    </xf>
    <xf numFmtId="0" fontId="9" fillId="0" borderId="1" xfId="1" applyFont="1" applyBorder="1" applyAlignment="1">
      <alignment horizontal="left"/>
    </xf>
    <xf numFmtId="0" fontId="7" fillId="0" borderId="1" xfId="1" applyFont="1" applyFill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11" fillId="0" borderId="0" xfId="1" applyFont="1" applyAlignment="1">
      <alignment horizontal="center"/>
    </xf>
    <xf numFmtId="0" fontId="3" fillId="2" borderId="0" xfId="1" applyFont="1" applyFill="1" applyAlignment="1">
      <alignment horizontal="left"/>
    </xf>
    <xf numFmtId="0" fontId="3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0" fontId="11" fillId="2" borderId="0" xfId="1" applyFont="1" applyFill="1" applyAlignment="1">
      <alignment horizontal="center"/>
    </xf>
    <xf numFmtId="2" fontId="3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3" fillId="0" borderId="0" xfId="1" applyFont="1" applyFill="1" applyAlignment="1">
      <alignment horizontal="center"/>
    </xf>
    <xf numFmtId="165" fontId="3" fillId="0" borderId="0" xfId="1" applyNumberFormat="1" applyFont="1" applyFill="1" applyAlignment="1">
      <alignment horizontal="center"/>
    </xf>
    <xf numFmtId="165" fontId="9" fillId="0" borderId="0" xfId="1" applyNumberFormat="1" applyFont="1" applyAlignment="1">
      <alignment horizontal="center"/>
    </xf>
    <xf numFmtId="2" fontId="11" fillId="0" borderId="5" xfId="1" applyNumberFormat="1" applyFont="1" applyBorder="1" applyAlignment="1">
      <alignment horizontal="center"/>
    </xf>
    <xf numFmtId="2" fontId="3" fillId="0" borderId="6" xfId="1" applyNumberFormat="1" applyFont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9" fillId="0" borderId="1" xfId="1" applyFont="1" applyFill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12" fillId="0" borderId="0" xfId="1" applyFont="1" applyBorder="1" applyAlignment="1">
      <alignment horizontal="center"/>
    </xf>
    <xf numFmtId="1" fontId="3" fillId="0" borderId="0" xfId="1" applyNumberFormat="1" applyFont="1" applyFill="1" applyAlignment="1">
      <alignment horizontal="center"/>
    </xf>
    <xf numFmtId="165" fontId="3" fillId="0" borderId="0" xfId="1" applyNumberFormat="1" applyFont="1" applyFill="1" applyBorder="1" applyAlignment="1">
      <alignment horizontal="center"/>
    </xf>
    <xf numFmtId="165" fontId="3" fillId="0" borderId="5" xfId="1" applyNumberFormat="1" applyFont="1" applyBorder="1" applyAlignment="1">
      <alignment horizontal="center"/>
    </xf>
    <xf numFmtId="165" fontId="3" fillId="0" borderId="0" xfId="1" applyNumberFormat="1" applyFont="1" applyAlignment="1">
      <alignment horizontal="center"/>
    </xf>
    <xf numFmtId="2" fontId="9" fillId="0" borderId="6" xfId="1" applyNumberFormat="1" applyFont="1" applyBorder="1" applyAlignment="1">
      <alignment horizontal="center"/>
    </xf>
    <xf numFmtId="0" fontId="3" fillId="0" borderId="9" xfId="1" applyFont="1" applyBorder="1" applyAlignment="1">
      <alignment horizontal="left"/>
    </xf>
    <xf numFmtId="0" fontId="3" fillId="0" borderId="10" xfId="1" applyFont="1" applyBorder="1" applyAlignment="1">
      <alignment horizontal="left"/>
    </xf>
    <xf numFmtId="1" fontId="3" fillId="0" borderId="0" xfId="1" applyNumberFormat="1" applyFont="1" applyBorder="1" applyAlignment="1">
      <alignment horizontal="center"/>
    </xf>
    <xf numFmtId="0" fontId="9" fillId="0" borderId="0" xfId="1" applyFont="1" applyFill="1" applyAlignment="1">
      <alignment horizontal="left"/>
    </xf>
    <xf numFmtId="0" fontId="9" fillId="0" borderId="11" xfId="1" applyFont="1" applyBorder="1" applyAlignment="1">
      <alignment horizontal="center"/>
    </xf>
    <xf numFmtId="2" fontId="9" fillId="0" borderId="11" xfId="1" applyNumberFormat="1" applyFont="1" applyBorder="1" applyAlignment="1">
      <alignment horizontal="center"/>
    </xf>
    <xf numFmtId="0" fontId="3" fillId="0" borderId="5" xfId="1" applyFont="1" applyBorder="1" applyAlignment="1">
      <alignment horizontal="left"/>
    </xf>
    <xf numFmtId="0" fontId="10" fillId="0" borderId="0" xfId="1" applyFont="1" applyAlignment="1">
      <alignment horizontal="left"/>
    </xf>
    <xf numFmtId="0" fontId="3" fillId="0" borderId="0" xfId="1" applyFont="1" applyFill="1" applyAlignment="1">
      <alignment horizontal="left"/>
    </xf>
    <xf numFmtId="0" fontId="3" fillId="0" borderId="0" xfId="1" applyFont="1" applyFill="1" applyBorder="1" applyAlignment="1">
      <alignment horizontal="left"/>
    </xf>
    <xf numFmtId="2" fontId="3" fillId="0" borderId="0" xfId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0" fontId="3" fillId="0" borderId="0" xfId="1" applyFont="1" applyBorder="1" applyAlignment="1">
      <alignment horizontal="left"/>
    </xf>
    <xf numFmtId="0" fontId="9" fillId="0" borderId="0" xfId="1" applyFont="1" applyBorder="1" applyAlignment="1">
      <alignment horizontal="center"/>
    </xf>
    <xf numFmtId="2" fontId="9" fillId="0" borderId="0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4" fontId="9" fillId="0" borderId="0" xfId="1" applyNumberFormat="1" applyFont="1" applyBorder="1" applyAlignment="1">
      <alignment horizontal="center"/>
    </xf>
    <xf numFmtId="1" fontId="3" fillId="0" borderId="0" xfId="1" applyNumberFormat="1" applyFont="1" applyAlignment="1">
      <alignment horizontal="center"/>
    </xf>
    <xf numFmtId="0" fontId="3" fillId="0" borderId="11" xfId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0" xfId="3" applyProtection="1">
      <protection locked="0"/>
    </xf>
    <xf numFmtId="0" fontId="3" fillId="0" borderId="1" xfId="0" applyFont="1" applyBorder="1" applyAlignment="1">
      <alignment horizontal="left"/>
    </xf>
    <xf numFmtId="0" fontId="1" fillId="0" borderId="0" xfId="3" applyProtection="1">
      <protection locked="0"/>
    </xf>
    <xf numFmtId="0" fontId="1" fillId="0" borderId="0" xfId="3" applyProtection="1">
      <protection locked="0"/>
    </xf>
    <xf numFmtId="0" fontId="1" fillId="0" borderId="0" xfId="3" applyProtection="1">
      <protection locked="0"/>
    </xf>
    <xf numFmtId="0" fontId="1" fillId="0" borderId="0" xfId="3" applyProtection="1">
      <protection locked="0"/>
    </xf>
    <xf numFmtId="0" fontId="1" fillId="0" borderId="0" xfId="3" applyProtection="1">
      <protection locked="0"/>
    </xf>
    <xf numFmtId="2" fontId="3" fillId="0" borderId="1" xfId="0" applyNumberFormat="1" applyFont="1" applyBorder="1" applyAlignment="1">
      <alignment horizontal="center"/>
    </xf>
  </cellXfs>
  <cellStyles count="4">
    <cellStyle name="Normal" xfId="0" builtinId="0"/>
    <cellStyle name="Normal 2" xfId="3"/>
    <cellStyle name="Normal 2 2" xfId="2"/>
    <cellStyle name="Normal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-1.8860566476931637</c:v>
                </c:pt>
                <c:pt idx="1">
                  <c:v>-1.0409586076789064</c:v>
                </c:pt>
                <c:pt idx="2">
                  <c:v>-0.59260909552926844</c:v>
                </c:pt>
                <c:pt idx="3">
                  <c:v>-4.4312249686494193E-2</c:v>
                </c:pt>
                <c:pt idx="4">
                  <c:v>0.23095955574856911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85160"/>
        <c:axId val="172443216"/>
      </c:scatterChart>
      <c:valAx>
        <c:axId val="17248516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2443216"/>
        <c:crosses val="autoZero"/>
        <c:crossBetween val="midCat"/>
      </c:valAx>
      <c:valAx>
        <c:axId val="17244321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24851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siNTP!$C$65:$C$68</c:f>
                <c:numCache>
                  <c:formatCode>General</c:formatCode>
                  <c:ptCount val="4"/>
                  <c:pt idx="0">
                    <c:v>0.47816586768943081</c:v>
                  </c:pt>
                  <c:pt idx="1">
                    <c:v>0.38498344930531553</c:v>
                  </c:pt>
                  <c:pt idx="2">
                    <c:v>0.58505209102930533</c:v>
                  </c:pt>
                  <c:pt idx="3">
                    <c:v>0.45206887601972751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0.47816586768943081</c:v>
                  </c:pt>
                  <c:pt idx="1">
                    <c:v>0.38498344930531553</c:v>
                  </c:pt>
                  <c:pt idx="2">
                    <c:v>0.58505209102930533</c:v>
                  </c:pt>
                  <c:pt idx="3">
                    <c:v>0.45206887601972751</c:v>
                  </c:pt>
                </c:numCache>
              </c:numRef>
            </c:minus>
          </c:errBars>
          <c:cat>
            <c:strRef>
              <c:f>(siNTP!$A$65,siNTP!$A$66,siNTP!$A$67,siNTP!$A$68)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siNTP!$B$65:$B$68</c:f>
              <c:numCache>
                <c:formatCode>0.0</c:formatCode>
                <c:ptCount val="4"/>
                <c:pt idx="0">
                  <c:v>1.7892638466628388</c:v>
                </c:pt>
                <c:pt idx="1">
                  <c:v>2.2292097585068067</c:v>
                </c:pt>
                <c:pt idx="2">
                  <c:v>2.9584698245153693</c:v>
                </c:pt>
                <c:pt idx="3">
                  <c:v>4.9577139361426834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426424"/>
        <c:axId val="172426808"/>
      </c:barChart>
      <c:catAx>
        <c:axId val="172426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2426808"/>
        <c:crosses val="autoZero"/>
        <c:auto val="1"/>
        <c:lblAlgn val="ctr"/>
        <c:lblOffset val="100"/>
        <c:noMultiLvlLbl val="0"/>
      </c:catAx>
      <c:valAx>
        <c:axId val="1724268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48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24264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256"/>
          <c:y val="2.720080182307723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siNTP!$O$58:$O$59</c:f>
                <c:numCache>
                  <c:formatCode>General</c:formatCode>
                  <c:ptCount val="2"/>
                  <c:pt idx="0">
                    <c:v>0.60637962127000022</c:v>
                  </c:pt>
                  <c:pt idx="1">
                    <c:v>0.29081721948737893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0.60637962127000022</c:v>
                  </c:pt>
                  <c:pt idx="1">
                    <c:v>0.29081721948737893</c:v>
                  </c:pt>
                </c:numCache>
              </c:numRef>
            </c:minus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1.3478682135394393</c:v>
                </c:pt>
                <c:pt idx="1">
                  <c:v>1.7110120912405069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907224"/>
        <c:axId val="172973808"/>
      </c:barChart>
      <c:catAx>
        <c:axId val="172907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2973808"/>
        <c:crosses val="autoZero"/>
        <c:auto val="1"/>
        <c:lblAlgn val="ctr"/>
        <c:lblOffset val="100"/>
        <c:noMultiLvlLbl val="0"/>
      </c:catAx>
      <c:valAx>
        <c:axId val="1729738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29072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siSSR1!$G$9:$G$13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siSSR1!$H$9:$H$13</c:f>
              <c:numCache>
                <c:formatCode>0.00</c:formatCode>
                <c:ptCount val="5"/>
                <c:pt idx="0">
                  <c:v>-1.8860566476931637</c:v>
                </c:pt>
                <c:pt idx="1">
                  <c:v>-1.0409586076789064</c:v>
                </c:pt>
                <c:pt idx="2">
                  <c:v>-0.59260909552926844</c:v>
                </c:pt>
                <c:pt idx="3">
                  <c:v>-4.4312249686494193E-2</c:v>
                </c:pt>
                <c:pt idx="4">
                  <c:v>0.23095955574856911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44352"/>
        <c:axId val="173244744"/>
      </c:scatterChart>
      <c:valAx>
        <c:axId val="1732443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3244744"/>
        <c:crosses val="autoZero"/>
        <c:crossBetween val="midCat"/>
      </c:valAx>
      <c:valAx>
        <c:axId val="17324474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32443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siSSR1!$C$65:$C$68</c:f>
                <c:numCache>
                  <c:formatCode>General</c:formatCode>
                  <c:ptCount val="4"/>
                  <c:pt idx="0">
                    <c:v>0.22232117928647865</c:v>
                  </c:pt>
                  <c:pt idx="1">
                    <c:v>0.21649988246247964</c:v>
                  </c:pt>
                  <c:pt idx="2">
                    <c:v>0.28412382017212018</c:v>
                  </c:pt>
                  <c:pt idx="3">
                    <c:v>0.44723343623577616</c:v>
                  </c:pt>
                </c:numCache>
              </c:numRef>
            </c:plus>
            <c:minus>
              <c:numRef>
                <c:f>siSSR1!$C$65:$C$68</c:f>
                <c:numCache>
                  <c:formatCode>General</c:formatCode>
                  <c:ptCount val="4"/>
                  <c:pt idx="0">
                    <c:v>0.22232117928647865</c:v>
                  </c:pt>
                  <c:pt idx="1">
                    <c:v>0.21649988246247964</c:v>
                  </c:pt>
                  <c:pt idx="2">
                    <c:v>0.28412382017212018</c:v>
                  </c:pt>
                  <c:pt idx="3">
                    <c:v>0.44723343623577616</c:v>
                  </c:pt>
                </c:numCache>
              </c:numRef>
            </c:minus>
          </c:errBars>
          <c:cat>
            <c:strRef>
              <c:f>(siSSR1!$A$65,siSSR1!$A$66,siSSR1!$A$67,siSSR1!$A$68)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siSSR1!$B$65:$B$68</c:f>
              <c:numCache>
                <c:formatCode>0.0</c:formatCode>
                <c:ptCount val="4"/>
                <c:pt idx="0">
                  <c:v>1.3953913041601858</c:v>
                </c:pt>
                <c:pt idx="1">
                  <c:v>1.5105768367646544</c:v>
                </c:pt>
                <c:pt idx="2">
                  <c:v>3.5818572180099975</c:v>
                </c:pt>
                <c:pt idx="3">
                  <c:v>5.2505273884747501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245528"/>
        <c:axId val="173245920"/>
      </c:barChart>
      <c:catAx>
        <c:axId val="173245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3245920"/>
        <c:crosses val="autoZero"/>
        <c:auto val="1"/>
        <c:lblAlgn val="ctr"/>
        <c:lblOffset val="100"/>
        <c:noMultiLvlLbl val="0"/>
      </c:catAx>
      <c:valAx>
        <c:axId val="1732459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siSSR1!$M$48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48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32455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256"/>
          <c:y val="2.720080182307723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siSSR1!$O$58:$O$59</c:f>
                <c:numCache>
                  <c:formatCode>General</c:formatCode>
                  <c:ptCount val="2"/>
                  <c:pt idx="0">
                    <c:v>0.22711646365620342</c:v>
                  </c:pt>
                  <c:pt idx="1">
                    <c:v>4.5965474008550875E-2</c:v>
                  </c:pt>
                </c:numCache>
              </c:numRef>
            </c:plus>
            <c:minus>
              <c:numRef>
                <c:f>siSSR1!$O$58:$O$59</c:f>
                <c:numCache>
                  <c:formatCode>General</c:formatCode>
                  <c:ptCount val="2"/>
                  <c:pt idx="0">
                    <c:v>0.22711646365620342</c:v>
                  </c:pt>
                  <c:pt idx="1">
                    <c:v>4.5965474008550875E-2</c:v>
                  </c:pt>
                </c:numCache>
              </c:numRef>
            </c:minus>
          </c:errBars>
          <c:cat>
            <c:strRef>
              <c:f>siSSR1!$M$58:$M$59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siSSR1!$N$58:$N$59</c:f>
              <c:numCache>
                <c:formatCode>0.0</c:formatCode>
                <c:ptCount val="2"/>
                <c:pt idx="0">
                  <c:v>1.1019051590171538</c:v>
                </c:pt>
                <c:pt idx="1">
                  <c:v>1.4658162052078596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478584"/>
        <c:axId val="173246704"/>
      </c:barChart>
      <c:catAx>
        <c:axId val="126478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3246704"/>
        <c:crosses val="autoZero"/>
        <c:auto val="1"/>
        <c:lblAlgn val="ctr"/>
        <c:lblOffset val="100"/>
        <c:noMultiLvlLbl val="0"/>
      </c:catAx>
      <c:valAx>
        <c:axId val="1732467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siSSR1!$M$57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64785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siSLC30A8!$G$9:$G$13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siSLC30A8!$H$9:$H$13</c:f>
              <c:numCache>
                <c:formatCode>0.00</c:formatCode>
                <c:ptCount val="5"/>
                <c:pt idx="0">
                  <c:v>-1.8860566476931637</c:v>
                </c:pt>
                <c:pt idx="1">
                  <c:v>-1.0409586076789064</c:v>
                </c:pt>
                <c:pt idx="2">
                  <c:v>-0.59260909552926844</c:v>
                </c:pt>
                <c:pt idx="3">
                  <c:v>-4.4312249686494193E-2</c:v>
                </c:pt>
                <c:pt idx="4">
                  <c:v>0.23095955574856911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52072"/>
        <c:axId val="171051680"/>
      </c:scatterChart>
      <c:valAx>
        <c:axId val="17105207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1051680"/>
        <c:crosses val="autoZero"/>
        <c:crossBetween val="midCat"/>
      </c:valAx>
      <c:valAx>
        <c:axId val="17105168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10520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siSLC30A8!$C$65:$C$68</c:f>
                <c:numCache>
                  <c:formatCode>General</c:formatCode>
                  <c:ptCount val="4"/>
                  <c:pt idx="0">
                    <c:v>0.2834580310578641</c:v>
                  </c:pt>
                  <c:pt idx="1">
                    <c:v>0.12499123429345439</c:v>
                  </c:pt>
                  <c:pt idx="2">
                    <c:v>0.10559512354865742</c:v>
                  </c:pt>
                  <c:pt idx="3">
                    <c:v>0.30804863792567744</c:v>
                  </c:pt>
                </c:numCache>
              </c:numRef>
            </c:plus>
            <c:minus>
              <c:numRef>
                <c:f>siSLC30A8!$C$65:$C$68</c:f>
                <c:numCache>
                  <c:formatCode>General</c:formatCode>
                  <c:ptCount val="4"/>
                  <c:pt idx="0">
                    <c:v>0.2834580310578641</c:v>
                  </c:pt>
                  <c:pt idx="1">
                    <c:v>0.12499123429345439</c:v>
                  </c:pt>
                  <c:pt idx="2">
                    <c:v>0.10559512354865742</c:v>
                  </c:pt>
                  <c:pt idx="3">
                    <c:v>0.30804863792567744</c:v>
                  </c:pt>
                </c:numCache>
              </c:numRef>
            </c:minus>
          </c:errBars>
          <c:cat>
            <c:strRef>
              <c:f>(siSLC30A8!$A$65,siSLC30A8!$A$66,siSLC30A8!$A$67,siSLC30A8!$A$68)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siSLC30A8!$B$65:$B$68</c:f>
              <c:numCache>
                <c:formatCode>0.0</c:formatCode>
                <c:ptCount val="4"/>
                <c:pt idx="0">
                  <c:v>1.2669658324906397</c:v>
                </c:pt>
                <c:pt idx="1">
                  <c:v>1.1646986082883251</c:v>
                </c:pt>
                <c:pt idx="2">
                  <c:v>2.0444509052034192</c:v>
                </c:pt>
                <c:pt idx="3">
                  <c:v>3.7341101009498119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700120"/>
        <c:axId val="173700512"/>
      </c:barChart>
      <c:catAx>
        <c:axId val="173700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3700512"/>
        <c:crosses val="autoZero"/>
        <c:auto val="1"/>
        <c:lblAlgn val="ctr"/>
        <c:lblOffset val="100"/>
        <c:noMultiLvlLbl val="0"/>
      </c:catAx>
      <c:valAx>
        <c:axId val="1737005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siSLC30A8!$M$48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48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370012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256"/>
          <c:y val="2.720080182307723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siSLC30A8!$O$58:$O$59</c:f>
                <c:numCache>
                  <c:formatCode>General</c:formatCode>
                  <c:ptCount val="2"/>
                  <c:pt idx="0">
                    <c:v>0.22700639680660048</c:v>
                  </c:pt>
                  <c:pt idx="1">
                    <c:v>7.2061729510705677E-2</c:v>
                  </c:pt>
                </c:numCache>
              </c:numRef>
            </c:plus>
            <c:minus>
              <c:numRef>
                <c:f>siSLC30A8!$O$58:$O$59</c:f>
                <c:numCache>
                  <c:formatCode>General</c:formatCode>
                  <c:ptCount val="2"/>
                  <c:pt idx="0">
                    <c:v>0.22700639680660048</c:v>
                  </c:pt>
                  <c:pt idx="1">
                    <c:v>7.2061729510705677E-2</c:v>
                  </c:pt>
                </c:numCache>
              </c:numRef>
            </c:minus>
          </c:errBars>
          <c:cat>
            <c:strRef>
              <c:f>siSLC30A8!$M$58:$M$59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siSLC30A8!$N$58:$N$59</c:f>
              <c:numCache>
                <c:formatCode>0.0</c:formatCode>
                <c:ptCount val="2"/>
                <c:pt idx="0">
                  <c:v>0.95145419293227373</c:v>
                </c:pt>
                <c:pt idx="1">
                  <c:v>1.8247865166585988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701296"/>
        <c:axId val="173701688"/>
      </c:barChart>
      <c:catAx>
        <c:axId val="17370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3701688"/>
        <c:crosses val="autoZero"/>
        <c:auto val="1"/>
        <c:lblAlgn val="ctr"/>
        <c:lblOffset val="100"/>
        <c:noMultiLvlLbl val="0"/>
      </c:catAx>
      <c:valAx>
        <c:axId val="1737016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siSLC30A8!$M$57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370129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</xdr:row>
      <xdr:rowOff>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</xdr:row>
      <xdr:rowOff>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</xdr:row>
      <xdr:rowOff>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P10-PC141\Profils\profils\marlene\Mes%20documents\Endo%20cell-betaTrophin\ELISA\Insulin%20secretion%20Human%20beta%20cell%20line%20october%20marianas%20formu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"/>
      <sheetName val="September (2)"/>
      <sheetName val="October"/>
      <sheetName val="October (2)"/>
      <sheetName val="November 7"/>
      <sheetName val="November 7 (3)"/>
      <sheetName val="November 18"/>
      <sheetName val="November 18 (2)"/>
      <sheetName val="February"/>
      <sheetName val="Sheet3"/>
      <sheetName val="February (2)"/>
      <sheetName val="February (3)"/>
      <sheetName val="February (4)"/>
      <sheetName val="juillet P59"/>
      <sheetName val="juillet P66"/>
      <sheetName val="juillet P88"/>
      <sheetName val="sept P64 P73"/>
      <sheetName val="sept P64 P73 (2)"/>
      <sheetName val="sept P64bis"/>
      <sheetName val="multislip P74"/>
      <sheetName val="multislip P82"/>
      <sheetName val="nov P81"/>
      <sheetName val="nov P81 (2)"/>
      <sheetName val="dec2014 P73"/>
      <sheetName val="dec2014 P73 MEL"/>
      <sheetName val="dec2014 P75"/>
      <sheetName val="dec2014 P75 MEL"/>
      <sheetName val="dec2014 P76-77"/>
      <sheetName val="dec2014 P76-77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1">
          <cell r="A51" t="str">
            <v>0,5 mM Glc</v>
          </cell>
        </row>
        <row r="52">
          <cell r="A52" t="str">
            <v>11 mM Glc</v>
          </cell>
        </row>
        <row r="53">
          <cell r="A53" t="str">
            <v>11 mM Glc + FSK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opLeftCell="A25" zoomScale="70" zoomScaleNormal="70" workbookViewId="0">
      <selection activeCell="B22" sqref="B22:C55"/>
    </sheetView>
  </sheetViews>
  <sheetFormatPr baseColWidth="10" defaultColWidth="8.75" defaultRowHeight="12.75" x14ac:dyDescent="0.2"/>
  <cols>
    <col min="1" max="1" width="28.125" style="8" customWidth="1"/>
    <col min="2" max="2" width="9" style="10" bestFit="1" customWidth="1"/>
    <col min="3" max="3" width="11.875" style="10" bestFit="1" customWidth="1"/>
    <col min="4" max="4" width="6" style="10" bestFit="1" customWidth="1"/>
    <col min="5" max="5" width="6.875" style="10" customWidth="1"/>
    <col min="6" max="8" width="11" style="10" bestFit="1" customWidth="1"/>
    <col min="9" max="9" width="12.125" style="10" bestFit="1" customWidth="1"/>
    <col min="10" max="10" width="12" style="10" bestFit="1" customWidth="1"/>
    <col min="11" max="11" width="12.125" style="10" bestFit="1" customWidth="1"/>
    <col min="12" max="12" width="13" style="10" bestFit="1" customWidth="1"/>
    <col min="13" max="13" width="14.875" style="10" bestFit="1" customWidth="1"/>
    <col min="14" max="14" width="13.75" style="10" bestFit="1" customWidth="1"/>
    <col min="15" max="15" width="14" style="10" customWidth="1"/>
    <col min="16" max="16" width="11.375" style="10" customWidth="1"/>
    <col min="17" max="17" width="10.375" style="10" bestFit="1" customWidth="1"/>
    <col min="18" max="16384" width="8.75" style="10"/>
  </cols>
  <sheetData>
    <row r="1" spans="1:20" s="3" customFormat="1" x14ac:dyDescent="0.2">
      <c r="A1" s="1" t="s">
        <v>0</v>
      </c>
      <c r="B1" s="2">
        <v>42388</v>
      </c>
    </row>
    <row r="2" spans="1:20" s="3" customFormat="1" x14ac:dyDescent="0.2">
      <c r="A2" s="1" t="s">
        <v>1</v>
      </c>
      <c r="B2" s="3">
        <v>77</v>
      </c>
      <c r="C2" s="4"/>
      <c r="E2" s="5" t="s">
        <v>2</v>
      </c>
    </row>
    <row r="3" spans="1:20" s="3" customFormat="1" ht="15" x14ac:dyDescent="0.25">
      <c r="A3" s="1" t="s">
        <v>3</v>
      </c>
      <c r="B3" s="3" t="s">
        <v>4</v>
      </c>
      <c r="D3" s="6" t="s">
        <v>5</v>
      </c>
      <c r="E3" s="76">
        <v>171064</v>
      </c>
      <c r="F3" s="76">
        <v>178904</v>
      </c>
    </row>
    <row r="4" spans="1:20" s="3" customFormat="1" ht="15" x14ac:dyDescent="0.25">
      <c r="A4" s="1"/>
      <c r="D4" s="6" t="s">
        <v>43</v>
      </c>
      <c r="E4" s="80">
        <v>167584</v>
      </c>
      <c r="F4" s="80">
        <v>180688</v>
      </c>
    </row>
    <row r="5" spans="1:20" s="3" customFormat="1" x14ac:dyDescent="0.2">
      <c r="A5" s="1"/>
      <c r="D5" s="7"/>
      <c r="F5" s="7"/>
    </row>
    <row r="6" spans="1:20" ht="15" x14ac:dyDescent="0.3">
      <c r="B6" s="9"/>
      <c r="C6" s="9"/>
      <c r="D6" s="9"/>
      <c r="N6" s="11"/>
      <c r="O6" s="11"/>
      <c r="P6" s="11"/>
    </row>
    <row r="7" spans="1:20" ht="15" x14ac:dyDescent="0.3">
      <c r="A7" s="12" t="s">
        <v>6</v>
      </c>
      <c r="B7" s="13" t="s">
        <v>7</v>
      </c>
      <c r="C7" s="14" t="s">
        <v>8</v>
      </c>
      <c r="D7" s="14"/>
      <c r="E7" s="15" t="s">
        <v>9</v>
      </c>
      <c r="F7" s="16" t="s">
        <v>10</v>
      </c>
      <c r="G7" s="17" t="s">
        <v>11</v>
      </c>
      <c r="H7" s="17" t="s">
        <v>12</v>
      </c>
      <c r="N7" s="11"/>
      <c r="O7" s="11"/>
      <c r="P7" s="11"/>
    </row>
    <row r="8" spans="1:20" ht="15" x14ac:dyDescent="0.3">
      <c r="A8" s="77">
        <v>0</v>
      </c>
      <c r="B8" s="6">
        <v>0</v>
      </c>
      <c r="C8">
        <v>5.6000000000000001E-2</v>
      </c>
      <c r="D8">
        <v>7.8E-2</v>
      </c>
      <c r="E8" s="18">
        <f t="shared" ref="E8:E13" si="0">AVERAGE(C8:D8)</f>
        <v>6.7000000000000004E-2</v>
      </c>
      <c r="F8" s="19"/>
      <c r="G8" s="17"/>
      <c r="H8" s="17"/>
      <c r="N8" s="11"/>
      <c r="O8" s="11"/>
      <c r="P8" s="11"/>
    </row>
    <row r="9" spans="1:20" ht="15" x14ac:dyDescent="0.3">
      <c r="A9" s="77">
        <v>3</v>
      </c>
      <c r="B9" s="83">
        <f>A9/23</f>
        <v>0.13043478260869565</v>
      </c>
      <c r="C9">
        <v>8.6999999999999994E-2</v>
      </c>
      <c r="D9">
        <v>7.2999999999999995E-2</v>
      </c>
      <c r="E9" s="18">
        <f t="shared" si="0"/>
        <v>7.9999999999999988E-2</v>
      </c>
      <c r="F9" s="19">
        <f>(E9-$E$8)</f>
        <v>1.2999999999999984E-2</v>
      </c>
      <c r="G9" s="19">
        <f>LOG(B9)</f>
        <v>-0.88460658129793046</v>
      </c>
      <c r="H9" s="19">
        <f>LOG(F9)</f>
        <v>-1.8860566476931637</v>
      </c>
      <c r="N9" s="11"/>
      <c r="O9" s="11"/>
      <c r="P9" s="11"/>
    </row>
    <row r="10" spans="1:20" ht="15" x14ac:dyDescent="0.3">
      <c r="A10" s="77">
        <v>9.74</v>
      </c>
      <c r="B10" s="83">
        <f t="shared" ref="B10:B13" si="1">A10/23</f>
        <v>0.42347826086956525</v>
      </c>
      <c r="C10">
        <v>0.14499999999999999</v>
      </c>
      <c r="D10">
        <v>0.17100000000000001</v>
      </c>
      <c r="E10" s="18">
        <f t="shared" si="0"/>
        <v>0.158</v>
      </c>
      <c r="F10" s="19">
        <f>(E10-$E$8)</f>
        <v>9.0999999999999998E-2</v>
      </c>
      <c r="G10" s="19">
        <f>LOG(B10)</f>
        <v>-0.37316887913897734</v>
      </c>
      <c r="H10" s="19">
        <f>LOG(F10)</f>
        <v>-1.0409586076789064</v>
      </c>
      <c r="N10" s="11"/>
      <c r="O10" s="11"/>
      <c r="P10" s="11"/>
    </row>
    <row r="11" spans="1:20" ht="15" x14ac:dyDescent="0.3">
      <c r="A11" s="77">
        <v>29.8</v>
      </c>
      <c r="B11" s="83">
        <f t="shared" si="1"/>
        <v>1.2956521739130435</v>
      </c>
      <c r="C11">
        <v>0.32</v>
      </c>
      <c r="D11">
        <v>0.32500000000000001</v>
      </c>
      <c r="E11" s="18">
        <f t="shared" si="0"/>
        <v>0.32250000000000001</v>
      </c>
      <c r="F11" s="19">
        <f>(E11-$E$8)</f>
        <v>0.2555</v>
      </c>
      <c r="G11" s="19">
        <f>LOG(B11)</f>
        <v>0.11248842805866238</v>
      </c>
      <c r="H11" s="19">
        <f>LOG(F11)</f>
        <v>-0.59260909552926844</v>
      </c>
      <c r="N11" s="11"/>
      <c r="O11" s="11"/>
      <c r="P11" s="11"/>
      <c r="Q11" s="11"/>
      <c r="R11" s="11"/>
      <c r="S11" s="11"/>
      <c r="T11" s="11"/>
    </row>
    <row r="12" spans="1:20" ht="15" x14ac:dyDescent="0.3">
      <c r="A12" s="77">
        <v>104</v>
      </c>
      <c r="B12" s="83">
        <f t="shared" si="1"/>
        <v>4.5217391304347823</v>
      </c>
      <c r="C12">
        <v>0.98499999999999999</v>
      </c>
      <c r="D12">
        <v>0.95499999999999996</v>
      </c>
      <c r="E12" s="18">
        <f t="shared" si="0"/>
        <v>0.97</v>
      </c>
      <c r="F12" s="19">
        <f>(E12-$E$8)</f>
        <v>0.90300000000000002</v>
      </c>
      <c r="G12" s="19">
        <f>LOG(B12)</f>
        <v>0.65530550328118742</v>
      </c>
      <c r="H12" s="19">
        <f>LOG(F12)</f>
        <v>-4.4312249686494193E-2</v>
      </c>
      <c r="N12" s="11"/>
      <c r="O12" s="11"/>
      <c r="P12" s="11"/>
      <c r="Q12" s="11"/>
      <c r="R12" s="11"/>
      <c r="S12" s="11"/>
      <c r="T12" s="11"/>
    </row>
    <row r="13" spans="1:20" ht="15" x14ac:dyDescent="0.3">
      <c r="A13" s="77">
        <v>207</v>
      </c>
      <c r="B13" s="83">
        <f t="shared" si="1"/>
        <v>9</v>
      </c>
      <c r="C13">
        <v>1.784</v>
      </c>
      <c r="D13">
        <v>1.754</v>
      </c>
      <c r="E13" s="18">
        <f t="shared" si="0"/>
        <v>1.7690000000000001</v>
      </c>
      <c r="F13" s="19">
        <f>(E13-$E$8)</f>
        <v>1.7020000000000002</v>
      </c>
      <c r="G13" s="19">
        <f>LOG(B13)</f>
        <v>0.95424250943932487</v>
      </c>
      <c r="H13" s="19">
        <f>LOG(F13)</f>
        <v>0.23095955574856911</v>
      </c>
      <c r="N13" s="11"/>
    </row>
    <row r="14" spans="1:20" ht="15" x14ac:dyDescent="0.3">
      <c r="N14" s="11"/>
    </row>
    <row r="15" spans="1:20" ht="15" x14ac:dyDescent="0.3">
      <c r="A15" s="12" t="s">
        <v>13</v>
      </c>
      <c r="B15" s="18">
        <f>SLOPE(H9:H13,G9:G13)</f>
        <v>1.1163893666739351</v>
      </c>
      <c r="N15" s="11"/>
    </row>
    <row r="16" spans="1:20" ht="15" x14ac:dyDescent="0.25">
      <c r="A16" s="12" t="s">
        <v>14</v>
      </c>
      <c r="B16" s="18">
        <f>INTERCEPT(H9:H13,G9:G13)</f>
        <v>-0.77025461333099743</v>
      </c>
      <c r="C16" s="20"/>
      <c r="G16" s="20"/>
      <c r="H16" s="20"/>
    </row>
    <row r="17" spans="1:17" ht="15" x14ac:dyDescent="0.3">
      <c r="B17" s="11"/>
      <c r="C17" s="11"/>
      <c r="D17" s="11"/>
      <c r="E17" s="11"/>
      <c r="F17" s="11"/>
      <c r="G17" s="11"/>
    </row>
    <row r="18" spans="1:17" ht="15" x14ac:dyDescent="0.3">
      <c r="B18" s="11"/>
      <c r="C18" s="11"/>
      <c r="D18" s="11"/>
      <c r="E18" s="11"/>
      <c r="F18" s="11"/>
      <c r="G18" s="11"/>
    </row>
    <row r="19" spans="1:17" ht="23.25" x14ac:dyDescent="0.35">
      <c r="A19" s="21" t="s">
        <v>15</v>
      </c>
      <c r="B19" s="22"/>
      <c r="C19" s="22"/>
      <c r="K19" s="23"/>
      <c r="L19" s="24" t="s">
        <v>16</v>
      </c>
      <c r="M19" s="25"/>
    </row>
    <row r="20" spans="1:17" s="24" customFormat="1" x14ac:dyDescent="0.2">
      <c r="A20" s="26" t="s">
        <v>17</v>
      </c>
      <c r="B20" s="16" t="s">
        <v>18</v>
      </c>
      <c r="C20" s="16" t="s">
        <v>18</v>
      </c>
      <c r="D20" s="16" t="s">
        <v>19</v>
      </c>
      <c r="E20" s="27" t="s">
        <v>20</v>
      </c>
      <c r="F20" s="28" t="s">
        <v>12</v>
      </c>
      <c r="G20" s="28" t="s">
        <v>21</v>
      </c>
      <c r="H20" s="28" t="s">
        <v>22</v>
      </c>
      <c r="I20" s="16" t="s">
        <v>23</v>
      </c>
      <c r="J20" s="28" t="s">
        <v>24</v>
      </c>
      <c r="K20" s="28" t="s">
        <v>25</v>
      </c>
      <c r="L20" s="28" t="s">
        <v>26</v>
      </c>
      <c r="M20" s="29" t="s">
        <v>27</v>
      </c>
    </row>
    <row r="21" spans="1:17" s="31" customFormat="1" x14ac:dyDescent="0.2">
      <c r="A21" s="30"/>
      <c r="L21" s="32"/>
      <c r="M21" s="33"/>
    </row>
    <row r="22" spans="1:17" ht="15" x14ac:dyDescent="0.3">
      <c r="A22" s="8" t="s">
        <v>28</v>
      </c>
      <c r="B22">
        <v>0.28000000000000003</v>
      </c>
      <c r="C22">
        <v>0.3</v>
      </c>
      <c r="D22" s="34">
        <f t="shared" ref="D22:D27" si="2">AVERAGE(B22:C22)</f>
        <v>0.29000000000000004</v>
      </c>
      <c r="E22" s="34">
        <f t="shared" ref="E22:E27" si="3">D22-E$8</f>
        <v>0.22300000000000003</v>
      </c>
      <c r="F22" s="34">
        <f>LOG(E22)</f>
        <v>-0.65169513695183923</v>
      </c>
      <c r="G22" s="35">
        <f>(F22-$B$16)/$B$15</f>
        <v>0.10619903764614232</v>
      </c>
      <c r="H22" s="35">
        <f>10^G22</f>
        <v>1.2770239362151725</v>
      </c>
      <c r="I22" s="36">
        <v>500</v>
      </c>
      <c r="J22" s="37">
        <f>(H22*I22)</f>
        <v>638.51196810758631</v>
      </c>
      <c r="K22" s="37">
        <f>(0.05*J22/1000)*1000</f>
        <v>31.925598405379318</v>
      </c>
      <c r="L22" s="38">
        <f>K22+K40+K50</f>
        <v>33.173299446062174</v>
      </c>
      <c r="M22" s="39">
        <f>(L22*1000000/50000)/1000</f>
        <v>0.66346598892124353</v>
      </c>
      <c r="N22" s="40"/>
    </row>
    <row r="23" spans="1:17" ht="15" x14ac:dyDescent="0.3">
      <c r="B23">
        <v>0.28899999999999998</v>
      </c>
      <c r="C23">
        <v>0.28100000000000003</v>
      </c>
      <c r="D23" s="34">
        <f t="shared" si="2"/>
        <v>0.28500000000000003</v>
      </c>
      <c r="E23" s="34">
        <f t="shared" si="3"/>
        <v>0.21800000000000003</v>
      </c>
      <c r="F23" s="34">
        <f t="shared" ref="F23:F27" si="4">LOG(E23)</f>
        <v>-0.66154350639539516</v>
      </c>
      <c r="G23" s="35">
        <f t="shared" ref="G23:G27" si="5">(F23-$B$16)/$B$15</f>
        <v>9.7377411663715371E-2</v>
      </c>
      <c r="H23" s="35">
        <f t="shared" ref="H23:H27" si="6">10^G23</f>
        <v>1.2513460056439196</v>
      </c>
      <c r="I23" s="36">
        <v>500</v>
      </c>
      <c r="J23" s="37">
        <f t="shared" ref="J23:J27" si="7">(H23*I23)</f>
        <v>625.67300282195981</v>
      </c>
      <c r="K23" s="37">
        <f t="shared" ref="K23:K27" si="8">(0.05*J23/1000)*1000</f>
        <v>31.28365014109799</v>
      </c>
      <c r="L23" s="38">
        <f>K23+K41+K51</f>
        <v>32.497053680273169</v>
      </c>
      <c r="M23" s="39">
        <f t="shared" ref="M23:M27" si="9">(L23*1000000/50000)/1000</f>
        <v>0.64994107360546327</v>
      </c>
      <c r="N23" s="40"/>
    </row>
    <row r="24" spans="1:17" ht="15" x14ac:dyDescent="0.3">
      <c r="B24">
        <v>0.26300000000000001</v>
      </c>
      <c r="C24">
        <v>0.26900000000000002</v>
      </c>
      <c r="D24" s="34">
        <f t="shared" si="2"/>
        <v>0.26600000000000001</v>
      </c>
      <c r="E24" s="34">
        <f t="shared" si="3"/>
        <v>0.19900000000000001</v>
      </c>
      <c r="F24" s="34">
        <f t="shared" si="4"/>
        <v>-0.70114692359029329</v>
      </c>
      <c r="G24" s="35">
        <f t="shared" si="5"/>
        <v>6.1902855583976991E-2</v>
      </c>
      <c r="H24" s="35">
        <f t="shared" si="6"/>
        <v>1.15319527846212</v>
      </c>
      <c r="I24" s="36">
        <v>500</v>
      </c>
      <c r="J24" s="37">
        <f t="shared" si="7"/>
        <v>576.59763923106004</v>
      </c>
      <c r="K24" s="37">
        <f t="shared" si="8"/>
        <v>28.829881961553003</v>
      </c>
      <c r="L24" s="38">
        <f t="shared" ref="L24:L27" si="10">K24+K42+K52</f>
        <v>30.170284412137381</v>
      </c>
      <c r="M24" s="39">
        <f t="shared" si="9"/>
        <v>0.60340568824274765</v>
      </c>
      <c r="N24" s="40"/>
    </row>
    <row r="25" spans="1:17" ht="15" x14ac:dyDescent="0.3">
      <c r="A25" s="8" t="s">
        <v>29</v>
      </c>
      <c r="B25">
        <v>0.248</v>
      </c>
      <c r="C25">
        <v>0.25800000000000001</v>
      </c>
      <c r="D25" s="34">
        <f t="shared" si="2"/>
        <v>0.253</v>
      </c>
      <c r="E25" s="34">
        <f t="shared" si="3"/>
        <v>0.186</v>
      </c>
      <c r="F25" s="34">
        <f t="shared" si="4"/>
        <v>-0.73048705578208373</v>
      </c>
      <c r="G25" s="35">
        <f t="shared" si="5"/>
        <v>3.5621583952732731E-2</v>
      </c>
      <c r="H25" s="35">
        <f t="shared" si="6"/>
        <v>1.0854793950849693</v>
      </c>
      <c r="I25" s="36">
        <v>500</v>
      </c>
      <c r="J25" s="37">
        <f t="shared" si="7"/>
        <v>542.73969754248458</v>
      </c>
      <c r="K25" s="37">
        <f t="shared" si="8"/>
        <v>27.136984877124231</v>
      </c>
      <c r="L25" s="38">
        <f t="shared" si="10"/>
        <v>29.123269239854228</v>
      </c>
      <c r="M25" s="39">
        <f t="shared" si="9"/>
        <v>0.58246538479708454</v>
      </c>
      <c r="N25" s="40"/>
    </row>
    <row r="26" spans="1:17" ht="15" x14ac:dyDescent="0.3">
      <c r="B26">
        <v>0.22900000000000001</v>
      </c>
      <c r="C26">
        <v>0.22500000000000001</v>
      </c>
      <c r="D26" s="34">
        <f t="shared" si="2"/>
        <v>0.22700000000000001</v>
      </c>
      <c r="E26" s="34">
        <f t="shared" si="3"/>
        <v>0.16</v>
      </c>
      <c r="F26" s="34">
        <f t="shared" si="4"/>
        <v>-0.79588001734407521</v>
      </c>
      <c r="G26" s="35">
        <f t="shared" si="5"/>
        <v>-2.2953823081837195E-2</v>
      </c>
      <c r="H26" s="35">
        <f t="shared" si="6"/>
        <v>0.94851931047246718</v>
      </c>
      <c r="I26" s="36">
        <v>500</v>
      </c>
      <c r="J26" s="37">
        <f t="shared" si="7"/>
        <v>474.25965523623358</v>
      </c>
      <c r="K26" s="37">
        <f t="shared" si="8"/>
        <v>23.712982761811681</v>
      </c>
      <c r="L26" s="38">
        <f t="shared" si="10"/>
        <v>25.853862337952442</v>
      </c>
      <c r="M26" s="39">
        <f t="shared" si="9"/>
        <v>0.51707724675904887</v>
      </c>
      <c r="N26" s="40"/>
    </row>
    <row r="27" spans="1:17" ht="15" x14ac:dyDescent="0.3">
      <c r="B27">
        <v>0.23599999999999999</v>
      </c>
      <c r="C27">
        <v>0.24399999999999999</v>
      </c>
      <c r="D27" s="34">
        <f t="shared" si="2"/>
        <v>0.24</v>
      </c>
      <c r="E27" s="34">
        <f t="shared" si="3"/>
        <v>0.17299999999999999</v>
      </c>
      <c r="F27" s="34">
        <f t="shared" si="4"/>
        <v>-0.76195389687120463</v>
      </c>
      <c r="G27" s="35">
        <f t="shared" si="5"/>
        <v>7.4353238283907793E-3</v>
      </c>
      <c r="H27" s="35">
        <f t="shared" si="6"/>
        <v>1.0172678609399068</v>
      </c>
      <c r="I27" s="36">
        <v>500</v>
      </c>
      <c r="J27" s="37">
        <f t="shared" si="7"/>
        <v>508.63393046995344</v>
      </c>
      <c r="K27" s="37">
        <f t="shared" si="8"/>
        <v>25.431696523497674</v>
      </c>
      <c r="L27" s="38">
        <f t="shared" si="10"/>
        <v>27.705095182477635</v>
      </c>
      <c r="M27" s="39">
        <f t="shared" si="9"/>
        <v>0.5541019036495527</v>
      </c>
      <c r="N27" s="40"/>
    </row>
    <row r="28" spans="1:17" ht="23.25" x14ac:dyDescent="0.35">
      <c r="A28" s="21" t="s">
        <v>15</v>
      </c>
      <c r="B28" s="72"/>
      <c r="C28" s="72"/>
      <c r="I28" s="36"/>
      <c r="J28" s="36"/>
      <c r="K28" s="41"/>
      <c r="L28" s="24" t="s">
        <v>16</v>
      </c>
      <c r="M28" s="25"/>
    </row>
    <row r="29" spans="1:17" s="24" customFormat="1" x14ac:dyDescent="0.2">
      <c r="A29" s="26" t="s">
        <v>17</v>
      </c>
      <c r="B29" s="73" t="s">
        <v>18</v>
      </c>
      <c r="C29" s="73" t="s">
        <v>18</v>
      </c>
      <c r="D29" s="16" t="s">
        <v>19</v>
      </c>
      <c r="E29" s="27" t="s">
        <v>20</v>
      </c>
      <c r="F29" s="28" t="s">
        <v>12</v>
      </c>
      <c r="G29" s="28" t="s">
        <v>21</v>
      </c>
      <c r="H29" s="28" t="s">
        <v>22</v>
      </c>
      <c r="I29" s="27" t="s">
        <v>23</v>
      </c>
      <c r="J29" s="42" t="s">
        <v>24</v>
      </c>
      <c r="K29" s="42" t="s">
        <v>25</v>
      </c>
      <c r="L29" s="28" t="s">
        <v>26</v>
      </c>
      <c r="M29" s="29" t="s">
        <v>27</v>
      </c>
    </row>
    <row r="30" spans="1:17" s="31" customFormat="1" x14ac:dyDescent="0.2">
      <c r="A30" s="30"/>
      <c r="B30" s="74"/>
      <c r="C30" s="74"/>
      <c r="L30" s="32"/>
      <c r="M30" s="33"/>
    </row>
    <row r="31" spans="1:17" ht="15" x14ac:dyDescent="0.3">
      <c r="A31" s="8" t="s">
        <v>28</v>
      </c>
      <c r="B31">
        <v>0.28000000000000003</v>
      </c>
      <c r="C31">
        <v>0.3</v>
      </c>
      <c r="D31" s="34">
        <f t="shared" ref="D31:D36" si="11">AVERAGE(B31:C31)</f>
        <v>0.29000000000000004</v>
      </c>
      <c r="E31" s="34">
        <f t="shared" ref="E31:E36" si="12">D31-E$8</f>
        <v>0.22300000000000003</v>
      </c>
      <c r="F31" s="34">
        <f>LOG(E31)</f>
        <v>-0.65169513695183923</v>
      </c>
      <c r="G31" s="35">
        <f>(F31-$B$16)/$B$15</f>
        <v>0.10619903764614232</v>
      </c>
      <c r="H31" s="35">
        <f>10^G31</f>
        <v>1.2770239362151725</v>
      </c>
      <c r="I31" s="36">
        <v>500</v>
      </c>
      <c r="J31" s="37">
        <f>(H31*I31)</f>
        <v>638.51196810758631</v>
      </c>
      <c r="K31" s="37">
        <f>(0.05*J31/1000)*1000</f>
        <v>31.925598405379318</v>
      </c>
      <c r="L31" s="38">
        <f>K31+K50</f>
        <v>32.759521392154348</v>
      </c>
      <c r="M31" s="39">
        <f>(L31*1000000/50000)/1000</f>
        <v>0.6551904278430869</v>
      </c>
      <c r="N31" s="43"/>
      <c r="Q31" s="11"/>
    </row>
    <row r="32" spans="1:17" ht="15" x14ac:dyDescent="0.3">
      <c r="B32">
        <v>0.28899999999999998</v>
      </c>
      <c r="C32">
        <v>0.28100000000000003</v>
      </c>
      <c r="D32" s="34">
        <f t="shared" si="11"/>
        <v>0.28500000000000003</v>
      </c>
      <c r="E32" s="34">
        <f t="shared" si="12"/>
        <v>0.21800000000000003</v>
      </c>
      <c r="F32" s="34">
        <f t="shared" ref="F32:F36" si="13">LOG(E32)</f>
        <v>-0.66154350639539516</v>
      </c>
      <c r="G32" s="35">
        <f t="shared" ref="G32:G36" si="14">(F32-$B$16)/$B$15</f>
        <v>9.7377411663715371E-2</v>
      </c>
      <c r="H32" s="35">
        <f t="shared" ref="H32:H36" si="15">10^G32</f>
        <v>1.2513460056439196</v>
      </c>
      <c r="I32" s="36">
        <v>500</v>
      </c>
      <c r="J32" s="37">
        <f t="shared" ref="J32:J36" si="16">(H32*I32)</f>
        <v>625.67300282195981</v>
      </c>
      <c r="K32" s="37">
        <f t="shared" ref="K32:K36" si="17">(0.05*J32/1000)*1000</f>
        <v>31.28365014109799</v>
      </c>
      <c r="L32" s="38">
        <f>K32+K51</f>
        <v>31.857264264321291</v>
      </c>
      <c r="M32" s="39">
        <f t="shared" ref="M32:M36" si="18">(L32*1000000/50000)/1000</f>
        <v>0.63714528528642578</v>
      </c>
      <c r="N32" s="44"/>
      <c r="Q32" s="11"/>
    </row>
    <row r="33" spans="1:19" ht="15" x14ac:dyDescent="0.3">
      <c r="B33">
        <v>0.26300000000000001</v>
      </c>
      <c r="C33">
        <v>0.26900000000000002</v>
      </c>
      <c r="D33" s="34">
        <f t="shared" si="11"/>
        <v>0.26600000000000001</v>
      </c>
      <c r="E33" s="34">
        <f t="shared" si="12"/>
        <v>0.19900000000000001</v>
      </c>
      <c r="F33" s="34">
        <f t="shared" si="13"/>
        <v>-0.70114692359029329</v>
      </c>
      <c r="G33" s="35">
        <f t="shared" si="14"/>
        <v>6.1902855583976991E-2</v>
      </c>
      <c r="H33" s="35">
        <f t="shared" si="15"/>
        <v>1.15319527846212</v>
      </c>
      <c r="I33" s="36">
        <v>500</v>
      </c>
      <c r="J33" s="37">
        <f t="shared" si="16"/>
        <v>576.59763923106004</v>
      </c>
      <c r="K33" s="37">
        <f t="shared" si="17"/>
        <v>28.829881961553003</v>
      </c>
      <c r="L33" s="38">
        <f t="shared" ref="L33:L36" si="19">K33+K52</f>
        <v>29.521108090336249</v>
      </c>
      <c r="M33" s="39">
        <f t="shared" si="18"/>
        <v>0.59042216180672491</v>
      </c>
      <c r="N33" s="44"/>
      <c r="Q33" s="11"/>
    </row>
    <row r="34" spans="1:19" ht="15" x14ac:dyDescent="0.3">
      <c r="A34" s="8" t="s">
        <v>29</v>
      </c>
      <c r="B34">
        <v>0.248</v>
      </c>
      <c r="C34">
        <v>0.25800000000000001</v>
      </c>
      <c r="D34" s="34">
        <f t="shared" si="11"/>
        <v>0.253</v>
      </c>
      <c r="E34" s="34">
        <f t="shared" si="12"/>
        <v>0.186</v>
      </c>
      <c r="F34" s="34">
        <f t="shared" si="13"/>
        <v>-0.73048705578208373</v>
      </c>
      <c r="G34" s="35">
        <f t="shared" si="14"/>
        <v>3.5621583952732731E-2</v>
      </c>
      <c r="H34" s="35">
        <f t="shared" si="15"/>
        <v>1.0854793950849693</v>
      </c>
      <c r="I34" s="36">
        <v>500</v>
      </c>
      <c r="J34" s="37">
        <f t="shared" si="16"/>
        <v>542.73969754248458</v>
      </c>
      <c r="K34" s="37">
        <f t="shared" si="17"/>
        <v>27.136984877124231</v>
      </c>
      <c r="L34" s="38">
        <f t="shared" si="19"/>
        <v>28.427389575540062</v>
      </c>
      <c r="M34" s="39">
        <f t="shared" si="18"/>
        <v>0.56854779151080126</v>
      </c>
      <c r="N34" s="44"/>
      <c r="Q34" s="11"/>
    </row>
    <row r="35" spans="1:19" ht="15" x14ac:dyDescent="0.3">
      <c r="B35">
        <v>0.22900000000000001</v>
      </c>
      <c r="C35">
        <v>0.22500000000000001</v>
      </c>
      <c r="D35" s="34">
        <f t="shared" si="11"/>
        <v>0.22700000000000001</v>
      </c>
      <c r="E35" s="34">
        <f t="shared" si="12"/>
        <v>0.16</v>
      </c>
      <c r="F35" s="34">
        <f t="shared" si="13"/>
        <v>-0.79588001734407521</v>
      </c>
      <c r="G35" s="35">
        <f t="shared" si="14"/>
        <v>-2.2953823081837195E-2</v>
      </c>
      <c r="H35" s="35">
        <f t="shared" si="15"/>
        <v>0.94851931047246718</v>
      </c>
      <c r="I35" s="36">
        <v>500</v>
      </c>
      <c r="J35" s="37">
        <f t="shared" si="16"/>
        <v>474.25965523623358</v>
      </c>
      <c r="K35" s="37">
        <f t="shared" si="17"/>
        <v>23.712982761811681</v>
      </c>
      <c r="L35" s="38">
        <f t="shared" si="19"/>
        <v>24.933900344515145</v>
      </c>
      <c r="M35" s="39">
        <f t="shared" si="18"/>
        <v>0.49867800689030295</v>
      </c>
      <c r="N35" s="44"/>
      <c r="Q35" s="11"/>
      <c r="S35" s="11"/>
    </row>
    <row r="36" spans="1:19" ht="15" x14ac:dyDescent="0.3">
      <c r="B36">
        <v>0.23599999999999999</v>
      </c>
      <c r="C36">
        <v>0.24399999999999999</v>
      </c>
      <c r="D36" s="34">
        <f t="shared" si="11"/>
        <v>0.24</v>
      </c>
      <c r="E36" s="34">
        <f t="shared" si="12"/>
        <v>0.17299999999999999</v>
      </c>
      <c r="F36" s="34">
        <f t="shared" si="13"/>
        <v>-0.76195389687120463</v>
      </c>
      <c r="G36" s="35">
        <f t="shared" si="14"/>
        <v>7.4353238283907793E-3</v>
      </c>
      <c r="H36" s="35">
        <f t="shared" si="15"/>
        <v>1.0172678609399068</v>
      </c>
      <c r="I36" s="36">
        <v>500</v>
      </c>
      <c r="J36" s="37">
        <f t="shared" si="16"/>
        <v>508.63393046995344</v>
      </c>
      <c r="K36" s="37">
        <f t="shared" si="17"/>
        <v>25.431696523497674</v>
      </c>
      <c r="L36" s="38">
        <f t="shared" si="19"/>
        <v>26.893982649581275</v>
      </c>
      <c r="M36" s="39">
        <f t="shared" si="18"/>
        <v>0.53787965299162555</v>
      </c>
      <c r="N36" s="45"/>
      <c r="Q36" s="11"/>
      <c r="S36" s="11"/>
    </row>
    <row r="37" spans="1:19" ht="15" x14ac:dyDescent="0.3">
      <c r="B37" s="3"/>
      <c r="C37" s="3"/>
      <c r="I37" s="36"/>
      <c r="J37" s="36"/>
      <c r="K37" s="36"/>
      <c r="R37" s="11"/>
      <c r="S37" s="11"/>
    </row>
    <row r="38" spans="1:19" ht="23.25" x14ac:dyDescent="0.35">
      <c r="A38" s="21" t="s">
        <v>30</v>
      </c>
      <c r="B38" s="3"/>
      <c r="C38" s="3"/>
      <c r="E38" s="35"/>
      <c r="F38" s="34"/>
      <c r="H38" s="46"/>
      <c r="I38" s="36"/>
      <c r="J38" s="36"/>
      <c r="K38" s="36"/>
      <c r="M38" s="47" t="s">
        <v>31</v>
      </c>
      <c r="R38" s="11"/>
      <c r="S38" s="11"/>
    </row>
    <row r="39" spans="1:19" ht="15" x14ac:dyDescent="0.3">
      <c r="A39" s="26" t="s">
        <v>17</v>
      </c>
      <c r="B39" s="75" t="s">
        <v>18</v>
      </c>
      <c r="C39" s="75" t="s">
        <v>18</v>
      </c>
      <c r="D39" s="16" t="s">
        <v>19</v>
      </c>
      <c r="E39" s="27" t="s">
        <v>20</v>
      </c>
      <c r="F39" s="28" t="s">
        <v>12</v>
      </c>
      <c r="G39" s="28" t="s">
        <v>21</v>
      </c>
      <c r="H39" s="28" t="s">
        <v>22</v>
      </c>
      <c r="I39" s="27" t="s">
        <v>23</v>
      </c>
      <c r="J39" s="42" t="s">
        <v>24</v>
      </c>
      <c r="K39" s="42" t="s">
        <v>32</v>
      </c>
      <c r="L39" s="28" t="s">
        <v>33</v>
      </c>
      <c r="M39" s="24" t="s">
        <v>34</v>
      </c>
      <c r="N39" s="42" t="s">
        <v>35</v>
      </c>
      <c r="R39" s="11"/>
      <c r="S39" s="11"/>
    </row>
    <row r="40" spans="1:19" ht="15" x14ac:dyDescent="0.3">
      <c r="A40" s="8" t="s">
        <v>36</v>
      </c>
      <c r="B40">
        <v>0.10199999999999999</v>
      </c>
      <c r="C40">
        <v>0.107</v>
      </c>
      <c r="D40" s="34">
        <f>AVERAGE(B40,C40)</f>
        <v>0.1045</v>
      </c>
      <c r="E40" s="34">
        <f t="shared" ref="E40:E45" si="20">D40-E$8</f>
        <v>3.7499999999999992E-2</v>
      </c>
      <c r="F40" s="34">
        <f t="shared" ref="F40:F45" si="21">LOG(E40)</f>
        <v>-1.4259687322722812</v>
      </c>
      <c r="G40" s="35">
        <f t="shared" ref="G40:G45" si="22">(F40-$B$16)/$B$15</f>
        <v>-0.58735252996439435</v>
      </c>
      <c r="H40" s="34">
        <f t="shared" ref="H40:H45" si="23">10^G40</f>
        <v>0.25861128369239234</v>
      </c>
      <c r="I40" s="48">
        <v>16</v>
      </c>
      <c r="J40" s="49">
        <f t="shared" ref="J40:J45" si="24">H40*I40</f>
        <v>4.1377805390782774</v>
      </c>
      <c r="K40" s="37">
        <f>(0.1*J40/1000)*1000</f>
        <v>0.41377805390782774</v>
      </c>
      <c r="L40" s="50">
        <f>K40*100/L22</f>
        <v>1.2473225781493531</v>
      </c>
      <c r="M40" s="51">
        <f>AVERAGE(L40:L42)</f>
        <v>1.7892638466628388</v>
      </c>
      <c r="N40" s="52">
        <f>STDEV(L40:L42)</f>
        <v>0.47816586768943081</v>
      </c>
      <c r="R40" s="11"/>
      <c r="S40" s="11"/>
    </row>
    <row r="41" spans="1:19" ht="15" x14ac:dyDescent="0.3">
      <c r="B41">
        <v>0.13200000000000001</v>
      </c>
      <c r="C41">
        <v>0.124</v>
      </c>
      <c r="D41" s="34">
        <f>AVERAGE(B41,C41)</f>
        <v>0.128</v>
      </c>
      <c r="E41" s="34">
        <f t="shared" si="20"/>
        <v>6.0999999999999999E-2</v>
      </c>
      <c r="F41" s="34">
        <f t="shared" si="21"/>
        <v>-1.2146701649892331</v>
      </c>
      <c r="G41" s="35">
        <f t="shared" si="22"/>
        <v>-0.3980829313900448</v>
      </c>
      <c r="H41" s="34">
        <f t="shared" si="23"/>
        <v>0.39986838496992272</v>
      </c>
      <c r="I41" s="48">
        <v>16</v>
      </c>
      <c r="J41" s="49">
        <f t="shared" si="24"/>
        <v>6.3978941595187635</v>
      </c>
      <c r="K41" s="37">
        <f t="shared" ref="K41:K45" si="25">(0.1*J41/1000)*1000</f>
        <v>0.63978941595187644</v>
      </c>
      <c r="L41" s="50">
        <f t="shared" ref="L41:L45" si="26">K41*100/L23</f>
        <v>1.9687612983211786</v>
      </c>
      <c r="M41" s="51"/>
      <c r="N41" s="52"/>
      <c r="R41" s="11"/>
      <c r="S41" s="11"/>
    </row>
    <row r="42" spans="1:19" s="24" customFormat="1" ht="15" x14ac:dyDescent="0.3">
      <c r="A42" s="8"/>
      <c r="B42">
        <v>0.129</v>
      </c>
      <c r="C42">
        <v>0.129</v>
      </c>
      <c r="D42" s="34">
        <f>AVERAGE(B42,C42)</f>
        <v>0.129</v>
      </c>
      <c r="E42" s="34">
        <f t="shared" si="20"/>
        <v>6.2E-2</v>
      </c>
      <c r="F42" s="34">
        <f t="shared" si="21"/>
        <v>-1.2076083105017461</v>
      </c>
      <c r="G42" s="35">
        <f t="shared" si="22"/>
        <v>-0.39175731176458528</v>
      </c>
      <c r="H42" s="34">
        <f t="shared" si="23"/>
        <v>0.40573520112570749</v>
      </c>
      <c r="I42" s="48">
        <v>16</v>
      </c>
      <c r="J42" s="49">
        <f t="shared" si="24"/>
        <v>6.4917632180113198</v>
      </c>
      <c r="K42" s="37">
        <f t="shared" si="25"/>
        <v>0.64917632180113205</v>
      </c>
      <c r="L42" s="50">
        <f t="shared" si="26"/>
        <v>2.151707663517985</v>
      </c>
      <c r="M42" s="51"/>
      <c r="N42" s="52"/>
      <c r="R42" s="11"/>
      <c r="S42" s="11"/>
    </row>
    <row r="43" spans="1:19" ht="15" x14ac:dyDescent="0.3">
      <c r="A43" s="8" t="s">
        <v>37</v>
      </c>
      <c r="B43">
        <v>0.13200000000000001</v>
      </c>
      <c r="C43">
        <v>0.13600000000000001</v>
      </c>
      <c r="D43" s="34">
        <f t="shared" ref="D43:D45" si="27">AVERAGE(B43,C43)</f>
        <v>0.13400000000000001</v>
      </c>
      <c r="E43" s="34">
        <f t="shared" si="20"/>
        <v>6.7000000000000004E-2</v>
      </c>
      <c r="F43" s="34">
        <f t="shared" si="21"/>
        <v>-1.1739251972991736</v>
      </c>
      <c r="G43" s="35">
        <f t="shared" si="22"/>
        <v>-0.36158583735962491</v>
      </c>
      <c r="H43" s="34">
        <f t="shared" si="23"/>
        <v>0.43492479019635422</v>
      </c>
      <c r="I43" s="48">
        <v>16</v>
      </c>
      <c r="J43" s="49">
        <f t="shared" si="24"/>
        <v>6.9587966431416675</v>
      </c>
      <c r="K43" s="37">
        <f t="shared" si="25"/>
        <v>0.69587966431416681</v>
      </c>
      <c r="L43" s="50">
        <f t="shared" si="26"/>
        <v>2.3894283934369516</v>
      </c>
      <c r="M43" s="51">
        <f>AVERAGE(L43:L45)</f>
        <v>2.9584698245153693</v>
      </c>
      <c r="N43" s="52">
        <f>STDEV(L43:L45)</f>
        <v>0.58505209102930533</v>
      </c>
      <c r="R43" s="11"/>
      <c r="S43" s="11"/>
    </row>
    <row r="44" spans="1:19" ht="15" x14ac:dyDescent="0.3">
      <c r="A44" s="53"/>
      <c r="B44">
        <v>0.158</v>
      </c>
      <c r="C44">
        <v>0.159</v>
      </c>
      <c r="D44" s="34">
        <f t="shared" si="27"/>
        <v>0.1585</v>
      </c>
      <c r="E44" s="34">
        <f t="shared" si="20"/>
        <v>9.1499999999999998E-2</v>
      </c>
      <c r="F44" s="34">
        <f t="shared" si="21"/>
        <v>-1.0385789059335517</v>
      </c>
      <c r="G44" s="35">
        <f t="shared" si="22"/>
        <v>-0.24035009702929575</v>
      </c>
      <c r="H44" s="34">
        <f t="shared" si="23"/>
        <v>0.57497624589831031</v>
      </c>
      <c r="I44" s="48">
        <v>16</v>
      </c>
      <c r="J44" s="49">
        <f t="shared" si="24"/>
        <v>9.199619934372965</v>
      </c>
      <c r="K44" s="37">
        <f t="shared" si="25"/>
        <v>0.91996199343729657</v>
      </c>
      <c r="L44" s="50">
        <f t="shared" si="26"/>
        <v>3.5583155097365431</v>
      </c>
      <c r="M44" s="51"/>
      <c r="N44" s="52"/>
    </row>
    <row r="45" spans="1:19" ht="15" x14ac:dyDescent="0.3">
      <c r="A45" s="54"/>
      <c r="B45">
        <v>0.13200000000000001</v>
      </c>
      <c r="C45">
        <v>0.161</v>
      </c>
      <c r="D45" s="34">
        <f t="shared" si="27"/>
        <v>0.14650000000000002</v>
      </c>
      <c r="E45" s="34">
        <f t="shared" si="20"/>
        <v>7.9500000000000015E-2</v>
      </c>
      <c r="F45" s="34">
        <f t="shared" si="21"/>
        <v>-1.0996328713435297</v>
      </c>
      <c r="G45" s="35">
        <f t="shared" si="22"/>
        <v>-0.29503887070677742</v>
      </c>
      <c r="H45" s="34">
        <f t="shared" si="23"/>
        <v>0.5069453330602246</v>
      </c>
      <c r="I45" s="48">
        <v>16</v>
      </c>
      <c r="J45" s="49">
        <f t="shared" si="24"/>
        <v>8.1111253289635936</v>
      </c>
      <c r="K45" s="37">
        <f t="shared" si="25"/>
        <v>0.81111253289635943</v>
      </c>
      <c r="L45" s="50">
        <f t="shared" si="26"/>
        <v>2.9276655703726138</v>
      </c>
      <c r="M45" s="51"/>
      <c r="N45" s="52"/>
    </row>
    <row r="46" spans="1:19" x14ac:dyDescent="0.2">
      <c r="B46" s="3"/>
      <c r="C46" s="3"/>
      <c r="E46" s="35"/>
      <c r="F46" s="34"/>
      <c r="G46" s="51"/>
      <c r="H46" s="55"/>
      <c r="I46" s="36"/>
      <c r="J46" s="36"/>
      <c r="K46" s="36"/>
    </row>
    <row r="47" spans="1:19" x14ac:dyDescent="0.2">
      <c r="B47" s="3"/>
      <c r="C47" s="3"/>
      <c r="E47" s="35"/>
      <c r="F47" s="34"/>
      <c r="G47" s="51"/>
      <c r="H47" s="55"/>
      <c r="I47" s="36"/>
      <c r="J47" s="36"/>
      <c r="K47" s="36"/>
    </row>
    <row r="48" spans="1:19" ht="23.25" x14ac:dyDescent="0.35">
      <c r="A48" s="21" t="s">
        <v>38</v>
      </c>
      <c r="B48" s="3"/>
      <c r="C48" s="3"/>
      <c r="E48" s="35"/>
      <c r="F48" s="34"/>
      <c r="H48" s="46"/>
      <c r="I48" s="36"/>
      <c r="J48" s="36"/>
      <c r="K48" s="36"/>
      <c r="M48" s="47" t="s">
        <v>31</v>
      </c>
    </row>
    <row r="49" spans="1:25" x14ac:dyDescent="0.2">
      <c r="A49" s="26" t="s">
        <v>17</v>
      </c>
      <c r="B49" s="75" t="s">
        <v>18</v>
      </c>
      <c r="C49" s="75" t="s">
        <v>18</v>
      </c>
      <c r="D49" s="16" t="s">
        <v>19</v>
      </c>
      <c r="E49" s="27" t="s">
        <v>20</v>
      </c>
      <c r="F49" s="28" t="s">
        <v>12</v>
      </c>
      <c r="G49" s="28" t="s">
        <v>21</v>
      </c>
      <c r="H49" s="28" t="s">
        <v>22</v>
      </c>
      <c r="I49" s="27" t="s">
        <v>23</v>
      </c>
      <c r="J49" s="42" t="s">
        <v>24</v>
      </c>
      <c r="K49" s="42" t="s">
        <v>32</v>
      </c>
      <c r="L49" s="28" t="s">
        <v>33</v>
      </c>
      <c r="M49" s="24" t="s">
        <v>34</v>
      </c>
      <c r="N49" s="42" t="s">
        <v>35</v>
      </c>
      <c r="O49" s="10" t="s">
        <v>39</v>
      </c>
      <c r="P49" s="24" t="s">
        <v>34</v>
      </c>
      <c r="Q49" s="42" t="s">
        <v>35</v>
      </c>
    </row>
    <row r="50" spans="1:25" ht="15" x14ac:dyDescent="0.3">
      <c r="A50" s="8" t="s">
        <v>28</v>
      </c>
      <c r="B50">
        <v>0.14599999999999999</v>
      </c>
      <c r="C50">
        <v>0.152</v>
      </c>
      <c r="D50" s="34">
        <f t="shared" ref="D50:D52" si="28">AVERAGE(B50,C50)</f>
        <v>0.14899999999999999</v>
      </c>
      <c r="E50" s="34">
        <f t="shared" ref="E50:E55" si="29">D50-E$8</f>
        <v>8.199999999999999E-2</v>
      </c>
      <c r="F50" s="34">
        <f t="shared" ref="F50:F55" si="30">LOG(E50)</f>
        <v>-1.0861861476162833</v>
      </c>
      <c r="G50" s="35">
        <f t="shared" ref="G50:G55" si="31">(F50-$B$16)/$B$15</f>
        <v>-0.28299403748939533</v>
      </c>
      <c r="H50" s="34">
        <f t="shared" ref="H50:H55" si="32">10^G50</f>
        <v>0.52120186673439239</v>
      </c>
      <c r="I50" s="48">
        <v>16</v>
      </c>
      <c r="J50" s="49">
        <f t="shared" ref="J50:J55" si="33">H50*I50</f>
        <v>8.3392298677502783</v>
      </c>
      <c r="K50" s="37">
        <f>(0.1*J50/1000)*1000</f>
        <v>0.83392298677502785</v>
      </c>
      <c r="L50" s="50">
        <f t="shared" ref="L50:L55" si="34">K50*100/L31</f>
        <v>2.5455896525238795</v>
      </c>
      <c r="M50" s="51">
        <f>AVERAGE(L50:L52)</f>
        <v>2.2292097585068067</v>
      </c>
      <c r="N50" s="52">
        <f>STDEV(L50:L52)</f>
        <v>0.38498344930531553</v>
      </c>
      <c r="O50" s="10">
        <f>L50/L40</f>
        <v>2.0408430803046631</v>
      </c>
      <c r="P50" s="51">
        <f>AVERAGE(O50:O52)</f>
        <v>1.3478682135394393</v>
      </c>
      <c r="Q50" s="52">
        <f>STDEV(O50:O52)</f>
        <v>0.60637962127000022</v>
      </c>
      <c r="S50" s="11"/>
      <c r="T50" s="11"/>
    </row>
    <row r="51" spans="1:25" ht="15" x14ac:dyDescent="0.3">
      <c r="B51">
        <v>0.124</v>
      </c>
      <c r="C51">
        <v>0.11799999999999999</v>
      </c>
      <c r="D51" s="34">
        <f t="shared" si="28"/>
        <v>0.121</v>
      </c>
      <c r="E51" s="34">
        <f t="shared" si="29"/>
        <v>5.3999999999999992E-2</v>
      </c>
      <c r="F51" s="34">
        <f t="shared" si="30"/>
        <v>-1.2676062401770316</v>
      </c>
      <c r="G51" s="35">
        <f t="shared" si="31"/>
        <v>-0.44550014689569878</v>
      </c>
      <c r="H51" s="34">
        <f t="shared" si="32"/>
        <v>0.35850882701456394</v>
      </c>
      <c r="I51" s="48">
        <v>16</v>
      </c>
      <c r="J51" s="49">
        <f t="shared" si="33"/>
        <v>5.736141232233023</v>
      </c>
      <c r="K51" s="37">
        <f t="shared" ref="K51:K55" si="35">(0.1*J51/1000)*1000</f>
        <v>0.5736141232233023</v>
      </c>
      <c r="L51" s="50">
        <f t="shared" si="34"/>
        <v>1.8005755876085205</v>
      </c>
      <c r="M51" s="51"/>
      <c r="N51" s="52"/>
      <c r="O51" s="10">
        <f t="shared" ref="O51:O55" si="36">L51/L41</f>
        <v>0.91457282766779546</v>
      </c>
      <c r="P51" s="51"/>
      <c r="Q51" s="52"/>
      <c r="S51" s="11"/>
      <c r="T51" s="11"/>
    </row>
    <row r="52" spans="1:25" ht="15" x14ac:dyDescent="0.3">
      <c r="B52">
        <v>0.13</v>
      </c>
      <c r="C52">
        <v>0.13700000000000001</v>
      </c>
      <c r="D52" s="34">
        <f t="shared" si="28"/>
        <v>0.13350000000000001</v>
      </c>
      <c r="E52" s="34">
        <f t="shared" si="29"/>
        <v>6.6500000000000004E-2</v>
      </c>
      <c r="F52" s="34">
        <f t="shared" si="30"/>
        <v>-1.1771783546968955</v>
      </c>
      <c r="G52" s="35">
        <f t="shared" si="31"/>
        <v>-0.36449983626971311</v>
      </c>
      <c r="H52" s="34">
        <f t="shared" si="32"/>
        <v>0.43201633048952892</v>
      </c>
      <c r="I52" s="48">
        <v>16</v>
      </c>
      <c r="J52" s="49">
        <f t="shared" si="33"/>
        <v>6.9122612878324627</v>
      </c>
      <c r="K52" s="37">
        <f t="shared" si="35"/>
        <v>0.6912261287832463</v>
      </c>
      <c r="L52" s="50">
        <f t="shared" si="34"/>
        <v>2.3414640353880198</v>
      </c>
      <c r="M52" s="51"/>
      <c r="N52" s="52"/>
      <c r="O52" s="10">
        <f t="shared" si="36"/>
        <v>1.0881887326458597</v>
      </c>
      <c r="P52" s="51"/>
      <c r="Q52" s="52"/>
      <c r="S52" s="11"/>
      <c r="T52" s="11"/>
    </row>
    <row r="53" spans="1:25" ht="15" x14ac:dyDescent="0.3">
      <c r="A53" s="8" t="s">
        <v>29</v>
      </c>
      <c r="B53">
        <v>0.192</v>
      </c>
      <c r="C53">
        <v>0.20899999999999999</v>
      </c>
      <c r="D53" s="34">
        <f>AVERAGE(B53:C53)</f>
        <v>0.20050000000000001</v>
      </c>
      <c r="E53" s="34">
        <f t="shared" si="29"/>
        <v>0.13350000000000001</v>
      </c>
      <c r="F53" s="34">
        <f t="shared" si="30"/>
        <v>-0.87451873429940596</v>
      </c>
      <c r="G53" s="35">
        <f t="shared" si="31"/>
        <v>-9.3394046988322002E-2</v>
      </c>
      <c r="H53" s="34">
        <f t="shared" si="32"/>
        <v>0.80650293650989491</v>
      </c>
      <c r="I53" s="48">
        <v>16</v>
      </c>
      <c r="J53" s="49">
        <f t="shared" si="33"/>
        <v>12.904046984158319</v>
      </c>
      <c r="K53" s="37">
        <f t="shared" si="35"/>
        <v>1.2904046984158319</v>
      </c>
      <c r="L53" s="50">
        <f t="shared" si="34"/>
        <v>4.5393007155540657</v>
      </c>
      <c r="M53" s="51">
        <f>AVERAGE(L53:L55)</f>
        <v>4.9577139361426834</v>
      </c>
      <c r="N53" s="52">
        <f>STDEV(L53:L55)</f>
        <v>0.45206887601972751</v>
      </c>
      <c r="O53" s="10">
        <f t="shared" si="36"/>
        <v>1.8997433562027526</v>
      </c>
      <c r="P53" s="51">
        <f>AVERAGE(O53:O55)</f>
        <v>1.7110120912405069</v>
      </c>
      <c r="Q53" s="52">
        <f>STDEV(O53:O55)</f>
        <v>0.29081721948737893</v>
      </c>
      <c r="S53" s="11"/>
      <c r="T53" s="11"/>
    </row>
    <row r="54" spans="1:25" ht="15" x14ac:dyDescent="0.3">
      <c r="A54" s="53"/>
      <c r="B54">
        <v>0.19700000000000001</v>
      </c>
      <c r="C54">
        <v>0.188</v>
      </c>
      <c r="D54" s="34">
        <f>AVERAGE(B54:C54)</f>
        <v>0.1925</v>
      </c>
      <c r="E54" s="34">
        <f t="shared" si="29"/>
        <v>0.1255</v>
      </c>
      <c r="F54" s="34">
        <f t="shared" si="30"/>
        <v>-0.90135627418294306</v>
      </c>
      <c r="G54" s="35">
        <f t="shared" si="31"/>
        <v>-0.11743363450561835</v>
      </c>
      <c r="H54" s="34">
        <f t="shared" si="32"/>
        <v>0.76307348918966422</v>
      </c>
      <c r="I54" s="48">
        <v>16</v>
      </c>
      <c r="J54" s="49">
        <f t="shared" si="33"/>
        <v>12.209175827034628</v>
      </c>
      <c r="K54" s="37">
        <f t="shared" si="35"/>
        <v>1.2209175827034628</v>
      </c>
      <c r="L54" s="50">
        <f t="shared" si="34"/>
        <v>4.8966169184679336</v>
      </c>
      <c r="M54" s="51"/>
      <c r="N54" s="52"/>
      <c r="O54" s="10">
        <f t="shared" si="36"/>
        <v>1.3761053242944379</v>
      </c>
      <c r="P54" s="51"/>
      <c r="Q54" s="52"/>
      <c r="S54" s="11"/>
      <c r="T54" s="11"/>
    </row>
    <row r="55" spans="1:25" ht="15" x14ac:dyDescent="0.3">
      <c r="A55" s="54"/>
      <c r="B55">
        <v>0.219</v>
      </c>
      <c r="C55">
        <v>0.222</v>
      </c>
      <c r="D55" s="34">
        <f>AVERAGE(B55:C55)</f>
        <v>0.2205</v>
      </c>
      <c r="E55" s="34">
        <f t="shared" si="29"/>
        <v>0.1535</v>
      </c>
      <c r="F55" s="34">
        <f t="shared" si="30"/>
        <v>-0.81389162018679473</v>
      </c>
      <c r="G55" s="35">
        <f t="shared" si="31"/>
        <v>-3.9087623152310444E-2</v>
      </c>
      <c r="H55" s="34">
        <f t="shared" si="32"/>
        <v>0.91392882880225135</v>
      </c>
      <c r="I55" s="48">
        <v>16</v>
      </c>
      <c r="J55" s="49">
        <f t="shared" si="33"/>
        <v>14.622861260836022</v>
      </c>
      <c r="K55" s="37">
        <f t="shared" si="35"/>
        <v>1.4622861260836022</v>
      </c>
      <c r="L55" s="50">
        <f t="shared" si="34"/>
        <v>5.437224174406051</v>
      </c>
      <c r="M55" s="51"/>
      <c r="N55" s="52"/>
      <c r="O55" s="10">
        <f t="shared" si="36"/>
        <v>1.8571875932243305</v>
      </c>
      <c r="P55" s="51"/>
      <c r="Q55" s="52"/>
      <c r="S55" s="11"/>
      <c r="T55" s="11"/>
      <c r="Y55" s="8"/>
    </row>
    <row r="56" spans="1:25" x14ac:dyDescent="0.2">
      <c r="D56" s="34"/>
      <c r="E56" s="35"/>
      <c r="F56" s="34"/>
      <c r="G56" s="51"/>
      <c r="H56" s="55"/>
    </row>
    <row r="57" spans="1:25" x14ac:dyDescent="0.2">
      <c r="B57" s="51"/>
      <c r="C57" s="51"/>
      <c r="D57" s="34"/>
      <c r="E57" s="35"/>
      <c r="F57" s="34"/>
      <c r="G57" s="51"/>
      <c r="H57" s="55"/>
      <c r="M57" s="10" t="s">
        <v>40</v>
      </c>
      <c r="N57" s="10" t="s">
        <v>41</v>
      </c>
      <c r="O57" s="42" t="s">
        <v>35</v>
      </c>
    </row>
    <row r="58" spans="1:25" ht="15" x14ac:dyDescent="0.3">
      <c r="C58" s="11"/>
      <c r="D58" s="11"/>
      <c r="E58" s="11"/>
      <c r="F58" s="11"/>
      <c r="G58" s="11"/>
      <c r="H58" s="55"/>
      <c r="M58" s="10" t="s">
        <v>28</v>
      </c>
      <c r="N58" s="51">
        <f>P50</f>
        <v>1.3478682135394393</v>
      </c>
      <c r="O58" s="51">
        <f>Q50</f>
        <v>0.60637962127000022</v>
      </c>
    </row>
    <row r="59" spans="1:25" ht="15" x14ac:dyDescent="0.3">
      <c r="D59" s="11"/>
      <c r="E59" s="11"/>
      <c r="G59" s="11"/>
      <c r="M59" s="10" t="s">
        <v>29</v>
      </c>
      <c r="N59" s="51">
        <f>P53</f>
        <v>1.7110120912405069</v>
      </c>
      <c r="O59" s="51">
        <f>Q53</f>
        <v>0.29081721948737893</v>
      </c>
    </row>
    <row r="60" spans="1:25" x14ac:dyDescent="0.2">
      <c r="G60" s="51"/>
      <c r="H60" s="55"/>
    </row>
    <row r="61" spans="1:25" ht="15" x14ac:dyDescent="0.3">
      <c r="A61" s="56"/>
      <c r="D61" s="11"/>
      <c r="E61" s="11"/>
      <c r="F61" s="11"/>
      <c r="G61" s="51"/>
      <c r="H61" s="55"/>
    </row>
    <row r="62" spans="1:25" ht="15" x14ac:dyDescent="0.3">
      <c r="C62" s="34"/>
      <c r="D62" s="11"/>
      <c r="E62" s="11"/>
      <c r="F62" s="11"/>
      <c r="G62" s="51"/>
      <c r="H62" s="55"/>
    </row>
    <row r="63" spans="1:25" ht="15" x14ac:dyDescent="0.3">
      <c r="C63" s="34"/>
      <c r="D63" s="11"/>
      <c r="E63" s="11"/>
      <c r="F63" s="11"/>
      <c r="G63" s="51"/>
      <c r="H63" s="55"/>
    </row>
    <row r="64" spans="1:25" ht="13.5" thickBot="1" x14ac:dyDescent="0.25">
      <c r="B64" s="57" t="s">
        <v>19</v>
      </c>
      <c r="C64" s="58" t="s">
        <v>42</v>
      </c>
      <c r="D64" s="34"/>
      <c r="E64" s="35"/>
      <c r="F64" s="34"/>
      <c r="G64" s="51"/>
      <c r="H64" s="55"/>
    </row>
    <row r="65" spans="1:8" x14ac:dyDescent="0.2">
      <c r="A65" s="8" t="s">
        <v>36</v>
      </c>
      <c r="B65" s="51">
        <f>M40</f>
        <v>1.7892638466628388</v>
      </c>
      <c r="C65" s="51">
        <f>N40</f>
        <v>0.47816586768943081</v>
      </c>
      <c r="D65" s="34"/>
      <c r="E65" s="35"/>
      <c r="F65" s="34"/>
      <c r="G65" s="51"/>
      <c r="H65" s="55"/>
    </row>
    <row r="66" spans="1:8" x14ac:dyDescent="0.2">
      <c r="A66" s="8" t="s">
        <v>28</v>
      </c>
      <c r="B66" s="51">
        <f>M50</f>
        <v>2.2292097585068067</v>
      </c>
      <c r="C66" s="51">
        <f>N50</f>
        <v>0.38498344930531553</v>
      </c>
      <c r="D66" s="34"/>
      <c r="E66" s="35"/>
      <c r="F66" s="34"/>
      <c r="G66" s="51"/>
      <c r="H66" s="55"/>
    </row>
    <row r="67" spans="1:8" x14ac:dyDescent="0.2">
      <c r="A67" s="8" t="s">
        <v>37</v>
      </c>
      <c r="B67" s="51">
        <f>M43</f>
        <v>2.9584698245153693</v>
      </c>
      <c r="C67" s="51">
        <f>N43</f>
        <v>0.58505209102930533</v>
      </c>
      <c r="D67" s="34"/>
      <c r="E67" s="35"/>
      <c r="F67" s="34"/>
      <c r="G67" s="51"/>
      <c r="H67" s="55"/>
    </row>
    <row r="68" spans="1:8" x14ac:dyDescent="0.2">
      <c r="A68" s="59" t="s">
        <v>29</v>
      </c>
      <c r="B68" s="51">
        <f>M53</f>
        <v>4.9577139361426834</v>
      </c>
      <c r="C68" s="51">
        <f>N53</f>
        <v>0.45206887601972751</v>
      </c>
      <c r="D68" s="34"/>
      <c r="E68" s="35"/>
      <c r="F68" s="34"/>
      <c r="G68" s="51"/>
      <c r="H68" s="55"/>
    </row>
    <row r="69" spans="1:8" x14ac:dyDescent="0.2">
      <c r="A69" s="60"/>
      <c r="C69" s="34"/>
      <c r="D69" s="34"/>
      <c r="E69" s="35"/>
      <c r="F69" s="34"/>
      <c r="G69" s="51"/>
      <c r="H69" s="55"/>
    </row>
    <row r="70" spans="1:8" x14ac:dyDescent="0.2">
      <c r="A70" s="60"/>
      <c r="C70" s="34"/>
      <c r="D70" s="34"/>
      <c r="E70" s="35"/>
      <c r="F70" s="34"/>
      <c r="G70" s="51"/>
      <c r="H70" s="55"/>
    </row>
    <row r="71" spans="1:8" x14ac:dyDescent="0.2">
      <c r="A71" s="60"/>
      <c r="B71" s="36"/>
      <c r="C71" s="34"/>
      <c r="D71" s="34"/>
      <c r="E71" s="35"/>
      <c r="F71" s="34"/>
      <c r="G71" s="51"/>
      <c r="H71" s="55"/>
    </row>
    <row r="72" spans="1:8" x14ac:dyDescent="0.2">
      <c r="A72" s="60"/>
      <c r="B72" s="36"/>
      <c r="C72" s="34"/>
      <c r="D72" s="34"/>
      <c r="E72" s="35"/>
      <c r="F72" s="34"/>
      <c r="G72" s="51"/>
      <c r="H72" s="55"/>
    </row>
    <row r="73" spans="1:8" x14ac:dyDescent="0.2">
      <c r="C73" s="34"/>
      <c r="D73" s="34"/>
      <c r="E73" s="35"/>
      <c r="F73" s="34"/>
      <c r="G73" s="51"/>
      <c r="H73" s="55"/>
    </row>
    <row r="74" spans="1:8" x14ac:dyDescent="0.2">
      <c r="C74" s="34"/>
      <c r="D74" s="35"/>
      <c r="H74" s="55"/>
    </row>
    <row r="75" spans="1:8" x14ac:dyDescent="0.2">
      <c r="A75" s="61"/>
      <c r="C75" s="34"/>
      <c r="D75" s="35"/>
      <c r="H75" s="46"/>
    </row>
    <row r="76" spans="1:8" x14ac:dyDescent="0.2">
      <c r="A76" s="61"/>
      <c r="C76" s="34"/>
      <c r="D76" s="35"/>
      <c r="H76" s="46"/>
    </row>
    <row r="77" spans="1:8" x14ac:dyDescent="0.2">
      <c r="A77" s="62"/>
      <c r="B77" s="46"/>
      <c r="C77" s="63"/>
      <c r="D77" s="64"/>
      <c r="E77" s="46"/>
      <c r="F77" s="46"/>
      <c r="G77" s="46"/>
    </row>
    <row r="78" spans="1:8" x14ac:dyDescent="0.2">
      <c r="A78" s="65"/>
      <c r="B78" s="66"/>
      <c r="C78" s="67"/>
      <c r="D78" s="46"/>
      <c r="E78" s="46"/>
      <c r="F78" s="46"/>
      <c r="G78" s="46"/>
    </row>
    <row r="79" spans="1:8" x14ac:dyDescent="0.2">
      <c r="A79" s="65"/>
      <c r="B79" s="68"/>
      <c r="C79" s="63"/>
      <c r="D79" s="46"/>
      <c r="E79" s="46"/>
      <c r="F79" s="46"/>
      <c r="G79" s="46"/>
    </row>
    <row r="80" spans="1:8" x14ac:dyDescent="0.2">
      <c r="A80" s="65"/>
      <c r="B80" s="68"/>
      <c r="C80" s="63"/>
      <c r="D80" s="46"/>
      <c r="E80" s="46"/>
      <c r="F80" s="46"/>
      <c r="G80" s="46"/>
    </row>
    <row r="81" spans="1:7" x14ac:dyDescent="0.2">
      <c r="A81" s="65"/>
      <c r="B81" s="68"/>
      <c r="C81" s="63"/>
      <c r="D81" s="46"/>
      <c r="E81" s="46"/>
      <c r="F81" s="46"/>
      <c r="G81" s="46"/>
    </row>
    <row r="82" spans="1:7" x14ac:dyDescent="0.2">
      <c r="A82" s="65"/>
      <c r="B82" s="68"/>
      <c r="C82" s="63"/>
      <c r="D82" s="46"/>
      <c r="E82" s="46"/>
      <c r="F82" s="46"/>
      <c r="G82" s="46"/>
    </row>
    <row r="83" spans="1:7" x14ac:dyDescent="0.2">
      <c r="A83" s="65"/>
      <c r="B83" s="46"/>
      <c r="C83" s="46"/>
      <c r="D83" s="69"/>
      <c r="E83" s="66"/>
      <c r="F83" s="66"/>
      <c r="G83" s="46"/>
    </row>
    <row r="84" spans="1:7" x14ac:dyDescent="0.2">
      <c r="A84" s="65"/>
      <c r="B84" s="68"/>
      <c r="C84" s="63"/>
      <c r="D84" s="55"/>
      <c r="E84" s="55"/>
      <c r="F84" s="55"/>
      <c r="G84" s="46"/>
    </row>
    <row r="85" spans="1:7" x14ac:dyDescent="0.2">
      <c r="A85" s="65"/>
      <c r="B85" s="68"/>
      <c r="C85" s="63"/>
      <c r="D85" s="55"/>
      <c r="E85" s="55"/>
      <c r="F85" s="55"/>
      <c r="G85" s="46"/>
    </row>
    <row r="86" spans="1:7" x14ac:dyDescent="0.2">
      <c r="A86" s="65"/>
      <c r="B86" s="68"/>
      <c r="C86" s="63"/>
      <c r="D86" s="55"/>
      <c r="E86" s="55"/>
      <c r="F86" s="55"/>
      <c r="G86" s="46"/>
    </row>
    <row r="87" spans="1:7" x14ac:dyDescent="0.2">
      <c r="A87" s="65"/>
      <c r="B87" s="68"/>
      <c r="C87" s="63"/>
      <c r="D87" s="55"/>
      <c r="E87" s="55"/>
      <c r="F87" s="55"/>
      <c r="G87" s="46"/>
    </row>
    <row r="88" spans="1:7" x14ac:dyDescent="0.2">
      <c r="A88" s="65"/>
      <c r="B88" s="46"/>
      <c r="C88" s="55"/>
      <c r="D88" s="55"/>
      <c r="E88" s="55"/>
      <c r="F88" s="55"/>
      <c r="G88" s="46"/>
    </row>
    <row r="89" spans="1:7" x14ac:dyDescent="0.2">
      <c r="A89" s="65"/>
      <c r="B89" s="46"/>
      <c r="C89" s="55"/>
      <c r="D89" s="55"/>
      <c r="E89" s="55"/>
      <c r="F89" s="55"/>
      <c r="G89" s="46"/>
    </row>
    <row r="90" spans="1:7" x14ac:dyDescent="0.2">
      <c r="C90" s="55"/>
      <c r="D90" s="55"/>
      <c r="E90" s="70"/>
      <c r="F90" s="70"/>
    </row>
    <row r="91" spans="1:7" x14ac:dyDescent="0.2">
      <c r="C91" s="55"/>
      <c r="D91" s="55"/>
      <c r="E91" s="70"/>
      <c r="F91" s="70"/>
    </row>
    <row r="92" spans="1:7" x14ac:dyDescent="0.2">
      <c r="C92" s="55"/>
      <c r="D92" s="55"/>
      <c r="E92" s="70"/>
      <c r="F92" s="70"/>
    </row>
    <row r="93" spans="1:7" x14ac:dyDescent="0.2">
      <c r="C93" s="55"/>
      <c r="D93" s="55"/>
      <c r="E93" s="70"/>
      <c r="F93" s="70"/>
    </row>
    <row r="94" spans="1:7" x14ac:dyDescent="0.2">
      <c r="C94" s="55"/>
      <c r="E94" s="70"/>
      <c r="F94" s="70"/>
    </row>
    <row r="95" spans="1:7" x14ac:dyDescent="0.2">
      <c r="C95" s="55"/>
      <c r="E95" s="70"/>
      <c r="F95" s="70"/>
    </row>
    <row r="96" spans="1:7" x14ac:dyDescent="0.2">
      <c r="C96" s="55"/>
      <c r="D96" s="55"/>
      <c r="E96" s="70"/>
      <c r="F96" s="70"/>
    </row>
    <row r="97" spans="2:6" x14ac:dyDescent="0.2">
      <c r="C97" s="55"/>
      <c r="D97" s="55"/>
      <c r="E97" s="70"/>
      <c r="F97" s="70"/>
    </row>
    <row r="98" spans="2:6" x14ac:dyDescent="0.2">
      <c r="C98" s="55"/>
      <c r="D98" s="55"/>
      <c r="E98" s="70"/>
      <c r="F98" s="70"/>
    </row>
    <row r="99" spans="2:6" x14ac:dyDescent="0.2">
      <c r="C99" s="55"/>
      <c r="D99" s="55"/>
      <c r="E99" s="70"/>
      <c r="F99" s="70"/>
    </row>
    <row r="100" spans="2:6" x14ac:dyDescent="0.2">
      <c r="C100" s="55"/>
      <c r="D100" s="55"/>
      <c r="E100" s="70"/>
      <c r="F100" s="70"/>
    </row>
    <row r="101" spans="2:6" x14ac:dyDescent="0.2">
      <c r="C101" s="55"/>
      <c r="D101" s="55"/>
      <c r="E101" s="70"/>
      <c r="F101" s="70"/>
    </row>
    <row r="102" spans="2:6" x14ac:dyDescent="0.2">
      <c r="C102" s="55"/>
      <c r="D102" s="55"/>
      <c r="E102" s="70"/>
      <c r="F102" s="70"/>
    </row>
    <row r="103" spans="2:6" x14ac:dyDescent="0.2">
      <c r="C103" s="55"/>
      <c r="D103" s="55"/>
      <c r="E103" s="70"/>
      <c r="F103" s="70"/>
    </row>
    <row r="104" spans="2:6" x14ac:dyDescent="0.2">
      <c r="C104" s="55"/>
      <c r="D104" s="55"/>
      <c r="E104" s="70"/>
      <c r="F104" s="70"/>
    </row>
    <row r="105" spans="2:6" x14ac:dyDescent="0.2">
      <c r="C105" s="55"/>
      <c r="D105" s="55"/>
      <c r="E105" s="70"/>
      <c r="F105" s="70"/>
    </row>
    <row r="106" spans="2:6" x14ac:dyDescent="0.2">
      <c r="C106" s="55"/>
    </row>
    <row r="107" spans="2:6" x14ac:dyDescent="0.2">
      <c r="C107" s="55"/>
    </row>
    <row r="108" spans="2:6" ht="13.5" thickBot="1" x14ac:dyDescent="0.25">
      <c r="B108" s="71"/>
      <c r="C108" s="71"/>
      <c r="D108" s="71"/>
      <c r="E108" s="71"/>
    </row>
    <row r="109" spans="2:6" x14ac:dyDescent="0.2">
      <c r="B109" s="70"/>
      <c r="C109" s="70"/>
      <c r="D109" s="70"/>
      <c r="E109" s="70"/>
    </row>
    <row r="110" spans="2:6" x14ac:dyDescent="0.2">
      <c r="B110" s="70"/>
      <c r="C110" s="70"/>
      <c r="D110" s="70"/>
      <c r="E110" s="70"/>
    </row>
    <row r="111" spans="2:6" x14ac:dyDescent="0.2">
      <c r="B111" s="70"/>
      <c r="C111" s="70"/>
      <c r="D111" s="70"/>
      <c r="E111" s="70"/>
    </row>
    <row r="112" spans="2:6" x14ac:dyDescent="0.2">
      <c r="B112" s="70"/>
      <c r="C112" s="70"/>
      <c r="D112" s="70"/>
      <c r="E112" s="70"/>
    </row>
    <row r="113" spans="2:5" x14ac:dyDescent="0.2">
      <c r="B113" s="70"/>
      <c r="C113" s="70"/>
      <c r="D113" s="70"/>
      <c r="E113" s="70"/>
    </row>
    <row r="114" spans="2:5" x14ac:dyDescent="0.2">
      <c r="B114" s="70"/>
      <c r="C114" s="70"/>
      <c r="D114" s="70"/>
      <c r="E114" s="70"/>
    </row>
    <row r="115" spans="2:5" x14ac:dyDescent="0.2">
      <c r="B115" s="70"/>
      <c r="C115" s="70"/>
      <c r="D115" s="70"/>
      <c r="E115" s="70"/>
    </row>
    <row r="116" spans="2:5" x14ac:dyDescent="0.2">
      <c r="B116" s="70"/>
      <c r="C116" s="70"/>
      <c r="D116" s="70"/>
      <c r="E116" s="70"/>
    </row>
    <row r="117" spans="2:5" x14ac:dyDescent="0.2">
      <c r="B117" s="70"/>
      <c r="C117" s="70"/>
      <c r="D117" s="70"/>
      <c r="E117" s="70"/>
    </row>
    <row r="118" spans="2:5" x14ac:dyDescent="0.2">
      <c r="B118" s="70"/>
      <c r="C118" s="70"/>
      <c r="D118" s="70"/>
      <c r="E118" s="70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opLeftCell="A25" zoomScale="70" zoomScaleNormal="70" workbookViewId="0">
      <selection activeCell="B22" sqref="B22:C55"/>
    </sheetView>
  </sheetViews>
  <sheetFormatPr baseColWidth="10" defaultColWidth="8.75" defaultRowHeight="12.75" x14ac:dyDescent="0.2"/>
  <cols>
    <col min="1" max="1" width="28.125" style="8" customWidth="1"/>
    <col min="2" max="2" width="9" style="10" bestFit="1" customWidth="1"/>
    <col min="3" max="3" width="11.875" style="10" bestFit="1" customWidth="1"/>
    <col min="4" max="4" width="6" style="10" bestFit="1" customWidth="1"/>
    <col min="5" max="5" width="7.125" style="10" customWidth="1"/>
    <col min="6" max="8" width="11" style="10" bestFit="1" customWidth="1"/>
    <col min="9" max="9" width="12.125" style="10" bestFit="1" customWidth="1"/>
    <col min="10" max="10" width="12" style="10" bestFit="1" customWidth="1"/>
    <col min="11" max="11" width="12.125" style="10" bestFit="1" customWidth="1"/>
    <col min="12" max="12" width="13" style="10" bestFit="1" customWidth="1"/>
    <col min="13" max="13" width="14.875" style="10" bestFit="1" customWidth="1"/>
    <col min="14" max="14" width="13.75" style="10" bestFit="1" customWidth="1"/>
    <col min="15" max="15" width="14" style="10" customWidth="1"/>
    <col min="16" max="16" width="11.375" style="10" customWidth="1"/>
    <col min="17" max="17" width="10.375" style="10" bestFit="1" customWidth="1"/>
    <col min="18" max="16384" width="8.75" style="10"/>
  </cols>
  <sheetData>
    <row r="1" spans="1:20" s="3" customFormat="1" x14ac:dyDescent="0.2">
      <c r="A1" s="1" t="s">
        <v>0</v>
      </c>
      <c r="B1" s="2">
        <v>42388</v>
      </c>
    </row>
    <row r="2" spans="1:20" s="3" customFormat="1" x14ac:dyDescent="0.2">
      <c r="A2" s="1" t="s">
        <v>1</v>
      </c>
      <c r="B2" s="3">
        <v>77</v>
      </c>
      <c r="C2" s="4"/>
      <c r="E2" s="5" t="s">
        <v>2</v>
      </c>
    </row>
    <row r="3" spans="1:20" s="3" customFormat="1" ht="15" x14ac:dyDescent="0.25">
      <c r="A3" s="1" t="s">
        <v>3</v>
      </c>
      <c r="B3" s="3" t="s">
        <v>4</v>
      </c>
      <c r="D3" s="6" t="s">
        <v>5</v>
      </c>
      <c r="E3" s="78">
        <v>169024</v>
      </c>
      <c r="F3" s="78">
        <v>175136</v>
      </c>
    </row>
    <row r="4" spans="1:20" s="3" customFormat="1" ht="15" x14ac:dyDescent="0.25">
      <c r="A4" s="1"/>
      <c r="D4" s="6" t="s">
        <v>43</v>
      </c>
      <c r="E4" s="81">
        <v>154152</v>
      </c>
      <c r="F4" s="81">
        <v>161784</v>
      </c>
    </row>
    <row r="5" spans="1:20" s="3" customFormat="1" x14ac:dyDescent="0.2">
      <c r="A5" s="1"/>
      <c r="D5" s="7"/>
      <c r="F5" s="7"/>
    </row>
    <row r="6" spans="1:20" ht="15" x14ac:dyDescent="0.3">
      <c r="B6" s="9"/>
      <c r="C6" s="9"/>
      <c r="D6" s="9"/>
      <c r="N6" s="11"/>
      <c r="O6" s="11"/>
      <c r="P6" s="11"/>
    </row>
    <row r="7" spans="1:20" ht="15" x14ac:dyDescent="0.3">
      <c r="A7" s="12" t="s">
        <v>6</v>
      </c>
      <c r="B7" s="13" t="s">
        <v>7</v>
      </c>
      <c r="C7" s="14" t="s">
        <v>8</v>
      </c>
      <c r="D7" s="14"/>
      <c r="E7" s="15" t="s">
        <v>9</v>
      </c>
      <c r="F7" s="16" t="s">
        <v>10</v>
      </c>
      <c r="G7" s="17" t="s">
        <v>11</v>
      </c>
      <c r="H7" s="17" t="s">
        <v>12</v>
      </c>
      <c r="N7" s="11"/>
      <c r="O7" s="11"/>
      <c r="P7" s="11"/>
    </row>
    <row r="8" spans="1:20" ht="15" x14ac:dyDescent="0.3">
      <c r="A8" s="77">
        <v>0</v>
      </c>
      <c r="B8" s="6">
        <v>0</v>
      </c>
      <c r="C8">
        <v>5.6000000000000001E-2</v>
      </c>
      <c r="D8">
        <v>7.8E-2</v>
      </c>
      <c r="E8" s="18">
        <f t="shared" ref="E8:E13" si="0">AVERAGE(C8:D8)</f>
        <v>6.7000000000000004E-2</v>
      </c>
      <c r="F8" s="19"/>
      <c r="G8" s="17"/>
      <c r="H8" s="17"/>
      <c r="N8" s="11"/>
      <c r="O8" s="11"/>
      <c r="P8" s="11"/>
    </row>
    <row r="9" spans="1:20" ht="15" x14ac:dyDescent="0.3">
      <c r="A9" s="77">
        <v>3</v>
      </c>
      <c r="B9" s="83">
        <f>A9/23</f>
        <v>0.13043478260869565</v>
      </c>
      <c r="C9">
        <v>8.6999999999999994E-2</v>
      </c>
      <c r="D9">
        <v>7.2999999999999995E-2</v>
      </c>
      <c r="E9" s="18">
        <f t="shared" si="0"/>
        <v>7.9999999999999988E-2</v>
      </c>
      <c r="F9" s="19">
        <f>(E9-$E$8)</f>
        <v>1.2999999999999984E-2</v>
      </c>
      <c r="G9" s="19">
        <f>LOG(B9)</f>
        <v>-0.88460658129793046</v>
      </c>
      <c r="H9" s="19">
        <f>LOG(F9)</f>
        <v>-1.8860566476931637</v>
      </c>
      <c r="N9" s="11"/>
      <c r="O9" s="11"/>
      <c r="P9" s="11"/>
    </row>
    <row r="10" spans="1:20" ht="15" x14ac:dyDescent="0.3">
      <c r="A10" s="77">
        <v>9.74</v>
      </c>
      <c r="B10" s="83">
        <f t="shared" ref="B10:B13" si="1">A10/23</f>
        <v>0.42347826086956525</v>
      </c>
      <c r="C10">
        <v>0.14499999999999999</v>
      </c>
      <c r="D10">
        <v>0.17100000000000001</v>
      </c>
      <c r="E10" s="18">
        <f t="shared" si="0"/>
        <v>0.158</v>
      </c>
      <c r="F10" s="19">
        <f>(E10-$E$8)</f>
        <v>9.0999999999999998E-2</v>
      </c>
      <c r="G10" s="19">
        <f>LOG(B10)</f>
        <v>-0.37316887913897734</v>
      </c>
      <c r="H10" s="19">
        <f>LOG(F10)</f>
        <v>-1.0409586076789064</v>
      </c>
      <c r="N10" s="11"/>
      <c r="O10" s="11"/>
      <c r="P10" s="11"/>
    </row>
    <row r="11" spans="1:20" ht="15" x14ac:dyDescent="0.3">
      <c r="A11" s="77">
        <v>29.8</v>
      </c>
      <c r="B11" s="83">
        <f t="shared" si="1"/>
        <v>1.2956521739130435</v>
      </c>
      <c r="C11">
        <v>0.32</v>
      </c>
      <c r="D11">
        <v>0.32500000000000001</v>
      </c>
      <c r="E11" s="18">
        <f t="shared" si="0"/>
        <v>0.32250000000000001</v>
      </c>
      <c r="F11" s="19">
        <f>(E11-$E$8)</f>
        <v>0.2555</v>
      </c>
      <c r="G11" s="19">
        <f>LOG(B11)</f>
        <v>0.11248842805866238</v>
      </c>
      <c r="H11" s="19">
        <f>LOG(F11)</f>
        <v>-0.59260909552926844</v>
      </c>
      <c r="N11" s="11"/>
      <c r="O11" s="11"/>
      <c r="P11" s="11"/>
      <c r="Q11" s="11"/>
      <c r="R11" s="11"/>
      <c r="S11" s="11"/>
      <c r="T11" s="11"/>
    </row>
    <row r="12" spans="1:20" ht="15" x14ac:dyDescent="0.3">
      <c r="A12" s="77">
        <v>104</v>
      </c>
      <c r="B12" s="83">
        <f t="shared" si="1"/>
        <v>4.5217391304347823</v>
      </c>
      <c r="C12">
        <v>0.98499999999999999</v>
      </c>
      <c r="D12">
        <v>0.95499999999999996</v>
      </c>
      <c r="E12" s="18">
        <f t="shared" si="0"/>
        <v>0.97</v>
      </c>
      <c r="F12" s="19">
        <f>(E12-$E$8)</f>
        <v>0.90300000000000002</v>
      </c>
      <c r="G12" s="19">
        <f>LOG(B12)</f>
        <v>0.65530550328118742</v>
      </c>
      <c r="H12" s="19">
        <f>LOG(F12)</f>
        <v>-4.4312249686494193E-2</v>
      </c>
      <c r="N12" s="11"/>
      <c r="O12" s="11"/>
      <c r="P12" s="11"/>
      <c r="Q12" s="11"/>
      <c r="R12" s="11"/>
      <c r="S12" s="11"/>
      <c r="T12" s="11"/>
    </row>
    <row r="13" spans="1:20" ht="15" x14ac:dyDescent="0.3">
      <c r="A13" s="77">
        <v>207</v>
      </c>
      <c r="B13" s="83">
        <f t="shared" si="1"/>
        <v>9</v>
      </c>
      <c r="C13">
        <v>1.784</v>
      </c>
      <c r="D13">
        <v>1.754</v>
      </c>
      <c r="E13" s="18">
        <f t="shared" si="0"/>
        <v>1.7690000000000001</v>
      </c>
      <c r="F13" s="19">
        <f>(E13-$E$8)</f>
        <v>1.7020000000000002</v>
      </c>
      <c r="G13" s="19">
        <f>LOG(B13)</f>
        <v>0.95424250943932487</v>
      </c>
      <c r="H13" s="19">
        <f>LOG(F13)</f>
        <v>0.23095955574856911</v>
      </c>
      <c r="N13" s="11"/>
    </row>
    <row r="14" spans="1:20" ht="15" x14ac:dyDescent="0.3">
      <c r="N14" s="11"/>
    </row>
    <row r="15" spans="1:20" ht="15" x14ac:dyDescent="0.3">
      <c r="A15" s="12" t="s">
        <v>13</v>
      </c>
      <c r="B15" s="18">
        <f>SLOPE(H9:H13,G9:G13)</f>
        <v>1.1163893666739351</v>
      </c>
      <c r="N15" s="11"/>
    </row>
    <row r="16" spans="1:20" ht="15" x14ac:dyDescent="0.25">
      <c r="A16" s="12" t="s">
        <v>14</v>
      </c>
      <c r="B16" s="18">
        <f>INTERCEPT(H9:H13,G9:G13)</f>
        <v>-0.77025461333099743</v>
      </c>
      <c r="C16" s="20"/>
      <c r="G16" s="20"/>
      <c r="H16" s="20"/>
    </row>
    <row r="17" spans="1:17" ht="15" x14ac:dyDescent="0.3">
      <c r="B17" s="11"/>
      <c r="C17" s="11"/>
      <c r="D17" s="11"/>
      <c r="E17" s="11"/>
      <c r="F17" s="11"/>
      <c r="G17" s="11"/>
    </row>
    <row r="18" spans="1:17" ht="15" x14ac:dyDescent="0.3">
      <c r="B18" s="11"/>
      <c r="C18" s="11"/>
      <c r="D18" s="11"/>
      <c r="E18" s="11"/>
      <c r="F18" s="11"/>
      <c r="G18" s="11"/>
    </row>
    <row r="19" spans="1:17" ht="23.25" x14ac:dyDescent="0.35">
      <c r="A19" s="21" t="s">
        <v>15</v>
      </c>
      <c r="B19" s="22"/>
      <c r="C19" s="22"/>
      <c r="K19" s="23"/>
      <c r="L19" s="24" t="s">
        <v>16</v>
      </c>
      <c r="M19" s="25"/>
    </row>
    <row r="20" spans="1:17" s="24" customFormat="1" x14ac:dyDescent="0.2">
      <c r="A20" s="26" t="s">
        <v>17</v>
      </c>
      <c r="B20" s="16" t="s">
        <v>18</v>
      </c>
      <c r="C20" s="16" t="s">
        <v>18</v>
      </c>
      <c r="D20" s="16" t="s">
        <v>19</v>
      </c>
      <c r="E20" s="27" t="s">
        <v>20</v>
      </c>
      <c r="F20" s="28" t="s">
        <v>12</v>
      </c>
      <c r="G20" s="28" t="s">
        <v>21</v>
      </c>
      <c r="H20" s="28" t="s">
        <v>22</v>
      </c>
      <c r="I20" s="16" t="s">
        <v>23</v>
      </c>
      <c r="J20" s="28" t="s">
        <v>24</v>
      </c>
      <c r="K20" s="28" t="s">
        <v>25</v>
      </c>
      <c r="L20" s="28" t="s">
        <v>26</v>
      </c>
      <c r="M20" s="29" t="s">
        <v>27</v>
      </c>
    </row>
    <row r="21" spans="1:17" s="31" customFormat="1" x14ac:dyDescent="0.2">
      <c r="A21" s="30"/>
      <c r="L21" s="32"/>
      <c r="M21" s="33"/>
    </row>
    <row r="22" spans="1:17" ht="15" x14ac:dyDescent="0.3">
      <c r="A22" s="8" t="s">
        <v>28</v>
      </c>
      <c r="B22">
        <v>0.25800000000000001</v>
      </c>
      <c r="C22">
        <v>0.254</v>
      </c>
      <c r="D22" s="34">
        <f t="shared" ref="D22:D27" si="2">AVERAGE(B22:C22)</f>
        <v>0.25600000000000001</v>
      </c>
      <c r="E22" s="34">
        <f t="shared" ref="E22:E27" si="3">D22-E$8</f>
        <v>0.189</v>
      </c>
      <c r="F22" s="34">
        <f>LOG(E22)</f>
        <v>-0.72353819582675583</v>
      </c>
      <c r="G22" s="35">
        <f>(F22-$B$16)/$B$15</f>
        <v>4.1845989310543223E-2</v>
      </c>
      <c r="H22" s="35">
        <f>10^G22</f>
        <v>1.1011487479329092</v>
      </c>
      <c r="I22" s="36">
        <v>500</v>
      </c>
      <c r="J22" s="37">
        <f>(H22*I22)</f>
        <v>550.57437396645457</v>
      </c>
      <c r="K22" s="37">
        <f>(0.05*J22/1000)*1000</f>
        <v>27.528718698322731</v>
      </c>
      <c r="L22" s="38">
        <f>K22+K40+K50</f>
        <v>28.34103772425069</v>
      </c>
      <c r="M22" s="39">
        <f>(L22*1000000/50000)/1000</f>
        <v>0.56682075448501379</v>
      </c>
      <c r="N22" s="40"/>
    </row>
    <row r="23" spans="1:17" ht="15" x14ac:dyDescent="0.3">
      <c r="B23">
        <v>0.316</v>
      </c>
      <c r="C23">
        <v>0.26300000000000001</v>
      </c>
      <c r="D23" s="34">
        <f t="shared" si="2"/>
        <v>0.28949999999999998</v>
      </c>
      <c r="E23" s="34">
        <f t="shared" si="3"/>
        <v>0.22249999999999998</v>
      </c>
      <c r="F23" s="34">
        <f t="shared" ref="F23:F27" si="4">LOG(E23)</f>
        <v>-0.65266998468304971</v>
      </c>
      <c r="G23" s="35">
        <f t="shared" ref="G23:G27" si="5">(F23-$B$16)/$B$15</f>
        <v>0.10532582283389912</v>
      </c>
      <c r="H23" s="35">
        <f t="shared" ref="H23:H27" si="6">10^G23</f>
        <v>1.2744588658330058</v>
      </c>
      <c r="I23" s="36">
        <v>500</v>
      </c>
      <c r="J23" s="37">
        <f t="shared" ref="J23:J27" si="7">(H23*I23)</f>
        <v>637.2294329165029</v>
      </c>
      <c r="K23" s="37">
        <f t="shared" ref="K23:K27" si="8">(0.05*J23/1000)*1000</f>
        <v>31.861471645825144</v>
      </c>
      <c r="L23" s="38">
        <f>K23+K41+K51</f>
        <v>32.708098512768061</v>
      </c>
      <c r="M23" s="39">
        <f t="shared" ref="M23:M27" si="9">(L23*1000000/50000)/1000</f>
        <v>0.65416197025536116</v>
      </c>
      <c r="N23" s="40"/>
    </row>
    <row r="24" spans="1:17" ht="15" x14ac:dyDescent="0.3">
      <c r="B24">
        <v>0.28199999999999997</v>
      </c>
      <c r="C24">
        <v>0.253</v>
      </c>
      <c r="D24" s="34">
        <f t="shared" si="2"/>
        <v>0.26749999999999996</v>
      </c>
      <c r="E24" s="34">
        <f t="shared" si="3"/>
        <v>0.20049999999999996</v>
      </c>
      <c r="F24" s="34">
        <f t="shared" si="4"/>
        <v>-0.69788562304379897</v>
      </c>
      <c r="G24" s="35">
        <f t="shared" si="5"/>
        <v>6.4824148677452731E-2</v>
      </c>
      <c r="H24" s="35">
        <f t="shared" si="6"/>
        <v>1.1609784238223591</v>
      </c>
      <c r="I24" s="36">
        <v>500</v>
      </c>
      <c r="J24" s="37">
        <f t="shared" si="7"/>
        <v>580.4892119111795</v>
      </c>
      <c r="K24" s="37">
        <f t="shared" si="8"/>
        <v>29.024460595558978</v>
      </c>
      <c r="L24" s="38">
        <f t="shared" ref="L24:L27" si="10">K24+K42+K52</f>
        <v>29.983948534154397</v>
      </c>
      <c r="M24" s="39">
        <f t="shared" si="9"/>
        <v>0.59967897068308795</v>
      </c>
      <c r="N24" s="40"/>
    </row>
    <row r="25" spans="1:17" ht="15" x14ac:dyDescent="0.3">
      <c r="A25" s="8" t="s">
        <v>29</v>
      </c>
      <c r="B25">
        <v>0.21299999999999999</v>
      </c>
      <c r="C25">
        <v>0.217</v>
      </c>
      <c r="D25" s="34">
        <f t="shared" si="2"/>
        <v>0.215</v>
      </c>
      <c r="E25" s="34">
        <f t="shared" si="3"/>
        <v>0.14799999999999999</v>
      </c>
      <c r="F25" s="34">
        <f t="shared" si="4"/>
        <v>-0.82973828460504262</v>
      </c>
      <c r="G25" s="35">
        <f t="shared" si="5"/>
        <v>-5.3282190828514625E-2</v>
      </c>
      <c r="H25" s="35">
        <f t="shared" si="6"/>
        <v>0.88454067648852785</v>
      </c>
      <c r="I25" s="36">
        <v>500</v>
      </c>
      <c r="J25" s="37">
        <f t="shared" si="7"/>
        <v>442.27033824426394</v>
      </c>
      <c r="K25" s="37">
        <f t="shared" si="8"/>
        <v>22.1135169122132</v>
      </c>
      <c r="L25" s="38">
        <f t="shared" si="10"/>
        <v>24.30095362109202</v>
      </c>
      <c r="M25" s="39">
        <f t="shared" si="9"/>
        <v>0.48601907242184039</v>
      </c>
      <c r="N25" s="40"/>
    </row>
    <row r="26" spans="1:17" ht="15" x14ac:dyDescent="0.3">
      <c r="B26">
        <v>0.245</v>
      </c>
      <c r="C26">
        <v>0.23499999999999999</v>
      </c>
      <c r="D26" s="34">
        <f t="shared" si="2"/>
        <v>0.24</v>
      </c>
      <c r="E26" s="34">
        <f t="shared" si="3"/>
        <v>0.17299999999999999</v>
      </c>
      <c r="F26" s="34">
        <f t="shared" si="4"/>
        <v>-0.76195389687120463</v>
      </c>
      <c r="G26" s="35">
        <f t="shared" si="5"/>
        <v>7.4353238283907793E-3</v>
      </c>
      <c r="H26" s="35">
        <f t="shared" si="6"/>
        <v>1.0172678609399068</v>
      </c>
      <c r="I26" s="36">
        <v>500</v>
      </c>
      <c r="J26" s="37">
        <f t="shared" si="7"/>
        <v>508.63393046995344</v>
      </c>
      <c r="K26" s="37">
        <f t="shared" si="8"/>
        <v>25.431696523497674</v>
      </c>
      <c r="L26" s="38">
        <f t="shared" si="10"/>
        <v>27.598025114102612</v>
      </c>
      <c r="M26" s="39">
        <f t="shared" si="9"/>
        <v>0.55196050228205229</v>
      </c>
      <c r="N26" s="40"/>
    </row>
    <row r="27" spans="1:17" ht="15" x14ac:dyDescent="0.3">
      <c r="B27">
        <v>0.217</v>
      </c>
      <c r="C27">
        <v>0.216</v>
      </c>
      <c r="D27" s="34">
        <f t="shared" si="2"/>
        <v>0.2165</v>
      </c>
      <c r="E27" s="34">
        <f t="shared" si="3"/>
        <v>0.14949999999999999</v>
      </c>
      <c r="F27" s="34">
        <f t="shared" si="4"/>
        <v>-0.82535880733955158</v>
      </c>
      <c r="G27" s="35">
        <f t="shared" si="5"/>
        <v>-4.9359296723441907E-2</v>
      </c>
      <c r="H27" s="35">
        <f t="shared" si="6"/>
        <v>0.89256674765516963</v>
      </c>
      <c r="I27" s="36">
        <v>500</v>
      </c>
      <c r="J27" s="37">
        <f t="shared" si="7"/>
        <v>446.2833738275848</v>
      </c>
      <c r="K27" s="37">
        <f t="shared" si="8"/>
        <v>22.314168691379241</v>
      </c>
      <c r="L27" s="38">
        <f t="shared" si="10"/>
        <v>24.542527071548374</v>
      </c>
      <c r="M27" s="39">
        <f t="shared" si="9"/>
        <v>0.49085054143096746</v>
      </c>
      <c r="N27" s="40"/>
    </row>
    <row r="28" spans="1:17" ht="23.25" x14ac:dyDescent="0.35">
      <c r="A28" s="21" t="s">
        <v>15</v>
      </c>
      <c r="B28" s="72"/>
      <c r="C28" s="72"/>
      <c r="I28" s="36"/>
      <c r="J28" s="36"/>
      <c r="K28" s="41"/>
      <c r="L28" s="24" t="s">
        <v>16</v>
      </c>
      <c r="M28" s="25"/>
    </row>
    <row r="29" spans="1:17" s="24" customFormat="1" x14ac:dyDescent="0.2">
      <c r="A29" s="26" t="s">
        <v>17</v>
      </c>
      <c r="B29" s="73" t="s">
        <v>18</v>
      </c>
      <c r="C29" s="73" t="s">
        <v>18</v>
      </c>
      <c r="D29" s="16" t="s">
        <v>19</v>
      </c>
      <c r="E29" s="27" t="s">
        <v>20</v>
      </c>
      <c r="F29" s="28" t="s">
        <v>12</v>
      </c>
      <c r="G29" s="28" t="s">
        <v>21</v>
      </c>
      <c r="H29" s="28" t="s">
        <v>22</v>
      </c>
      <c r="I29" s="27" t="s">
        <v>23</v>
      </c>
      <c r="J29" s="42" t="s">
        <v>24</v>
      </c>
      <c r="K29" s="42" t="s">
        <v>25</v>
      </c>
      <c r="L29" s="28" t="s">
        <v>26</v>
      </c>
      <c r="M29" s="29" t="s">
        <v>27</v>
      </c>
    </row>
    <row r="30" spans="1:17" s="31" customFormat="1" x14ac:dyDescent="0.2">
      <c r="A30" s="30"/>
      <c r="B30" s="74"/>
      <c r="C30" s="74"/>
      <c r="L30" s="32"/>
      <c r="M30" s="33"/>
    </row>
    <row r="31" spans="1:17" ht="15" x14ac:dyDescent="0.3">
      <c r="A31" s="8" t="s">
        <v>28</v>
      </c>
      <c r="B31">
        <v>0.25800000000000001</v>
      </c>
      <c r="C31">
        <v>0.254</v>
      </c>
      <c r="D31" s="34">
        <f t="shared" ref="D31:D36" si="11">AVERAGE(B31:C31)</f>
        <v>0.25600000000000001</v>
      </c>
      <c r="E31" s="34">
        <f t="shared" ref="E31:E36" si="12">D31-E$8</f>
        <v>0.189</v>
      </c>
      <c r="F31" s="34">
        <f>LOG(E31)</f>
        <v>-0.72353819582675583</v>
      </c>
      <c r="G31" s="35">
        <f>(F31-$B$16)/$B$15</f>
        <v>4.1845989310543223E-2</v>
      </c>
      <c r="H31" s="35">
        <f>10^G31</f>
        <v>1.1011487479329092</v>
      </c>
      <c r="I31" s="36">
        <v>500</v>
      </c>
      <c r="J31" s="37">
        <f>(H31*I31)</f>
        <v>550.57437396645457</v>
      </c>
      <c r="K31" s="37">
        <f>(0.05*J31/1000)*1000</f>
        <v>27.528718698322731</v>
      </c>
      <c r="L31" s="38">
        <f>K31+K50</f>
        <v>27.897728662610138</v>
      </c>
      <c r="M31" s="39">
        <f>(L31*1000000/50000)/1000</f>
        <v>0.55795457325220277</v>
      </c>
      <c r="N31" s="43"/>
      <c r="Q31" s="11"/>
    </row>
    <row r="32" spans="1:17" ht="15" x14ac:dyDescent="0.3">
      <c r="B32">
        <v>0.316</v>
      </c>
      <c r="C32">
        <v>0.26300000000000001</v>
      </c>
      <c r="D32" s="34">
        <f t="shared" si="11"/>
        <v>0.28949999999999998</v>
      </c>
      <c r="E32" s="34">
        <f t="shared" si="12"/>
        <v>0.22249999999999998</v>
      </c>
      <c r="F32" s="34">
        <f t="shared" ref="F32:F36" si="13">LOG(E32)</f>
        <v>-0.65266998468304971</v>
      </c>
      <c r="G32" s="35">
        <f t="shared" ref="G32:G36" si="14">(F32-$B$16)/$B$15</f>
        <v>0.10532582283389912</v>
      </c>
      <c r="H32" s="35">
        <f t="shared" ref="H32:H36" si="15">10^G32</f>
        <v>1.2744588658330058</v>
      </c>
      <c r="I32" s="36">
        <v>500</v>
      </c>
      <c r="J32" s="37">
        <f t="shared" ref="J32:J36" si="16">(H32*I32)</f>
        <v>637.2294329165029</v>
      </c>
      <c r="K32" s="37">
        <f t="shared" ref="K32:K36" si="17">(0.05*J32/1000)*1000</f>
        <v>31.861471645825144</v>
      </c>
      <c r="L32" s="38">
        <f>K32+K51</f>
        <v>32.334084318971676</v>
      </c>
      <c r="M32" s="39">
        <f t="shared" ref="M32:M36" si="18">(L32*1000000/50000)/1000</f>
        <v>0.64668168637943346</v>
      </c>
      <c r="N32" s="44"/>
      <c r="Q32" s="11"/>
    </row>
    <row r="33" spans="1:19" ht="15" x14ac:dyDescent="0.3">
      <c r="B33">
        <v>0.28199999999999997</v>
      </c>
      <c r="C33">
        <v>0.253</v>
      </c>
      <c r="D33" s="34">
        <f t="shared" si="11"/>
        <v>0.26749999999999996</v>
      </c>
      <c r="E33" s="34">
        <f t="shared" si="12"/>
        <v>0.20049999999999996</v>
      </c>
      <c r="F33" s="34">
        <f t="shared" si="13"/>
        <v>-0.69788562304379897</v>
      </c>
      <c r="G33" s="35">
        <f t="shared" si="14"/>
        <v>6.4824148677452731E-2</v>
      </c>
      <c r="H33" s="35">
        <f t="shared" si="15"/>
        <v>1.1609784238223591</v>
      </c>
      <c r="I33" s="36">
        <v>500</v>
      </c>
      <c r="J33" s="37">
        <f t="shared" si="16"/>
        <v>580.4892119111795</v>
      </c>
      <c r="K33" s="37">
        <f t="shared" si="17"/>
        <v>29.024460595558978</v>
      </c>
      <c r="L33" s="38">
        <f t="shared" ref="L33:L36" si="19">K33+K52</f>
        <v>29.540639472513845</v>
      </c>
      <c r="M33" s="39">
        <f t="shared" si="18"/>
        <v>0.59081278945027693</v>
      </c>
      <c r="N33" s="44"/>
      <c r="Q33" s="11"/>
    </row>
    <row r="34" spans="1:19" ht="15" x14ac:dyDescent="0.3">
      <c r="A34" s="8" t="s">
        <v>29</v>
      </c>
      <c r="B34">
        <v>0.21299999999999999</v>
      </c>
      <c r="C34">
        <v>0.217</v>
      </c>
      <c r="D34" s="34">
        <f t="shared" si="11"/>
        <v>0.215</v>
      </c>
      <c r="E34" s="34">
        <f t="shared" si="12"/>
        <v>0.14799999999999999</v>
      </c>
      <c r="F34" s="34">
        <f t="shared" si="13"/>
        <v>-0.82973828460504262</v>
      </c>
      <c r="G34" s="35">
        <f t="shared" si="14"/>
        <v>-5.3282190828514625E-2</v>
      </c>
      <c r="H34" s="35">
        <f t="shared" si="15"/>
        <v>0.88454067648852785</v>
      </c>
      <c r="I34" s="36">
        <v>500</v>
      </c>
      <c r="J34" s="37">
        <f t="shared" si="16"/>
        <v>442.27033824426394</v>
      </c>
      <c r="K34" s="37">
        <f t="shared" si="17"/>
        <v>22.1135169122132</v>
      </c>
      <c r="L34" s="38">
        <f t="shared" si="19"/>
        <v>23.412576466361234</v>
      </c>
      <c r="M34" s="39">
        <f t="shared" si="18"/>
        <v>0.46825152932722464</v>
      </c>
      <c r="N34" s="44"/>
      <c r="Q34" s="11"/>
    </row>
    <row r="35" spans="1:19" ht="15" x14ac:dyDescent="0.3">
      <c r="B35">
        <v>0.245</v>
      </c>
      <c r="C35">
        <v>0.23499999999999999</v>
      </c>
      <c r="D35" s="34">
        <f t="shared" si="11"/>
        <v>0.24</v>
      </c>
      <c r="E35" s="34">
        <f t="shared" si="12"/>
        <v>0.17299999999999999</v>
      </c>
      <c r="F35" s="34">
        <f t="shared" si="13"/>
        <v>-0.76195389687120463</v>
      </c>
      <c r="G35" s="35">
        <f t="shared" si="14"/>
        <v>7.4353238283907793E-3</v>
      </c>
      <c r="H35" s="35">
        <f t="shared" si="15"/>
        <v>1.0172678609399068</v>
      </c>
      <c r="I35" s="36">
        <v>500</v>
      </c>
      <c r="J35" s="37">
        <f t="shared" si="16"/>
        <v>508.63393046995344</v>
      </c>
      <c r="K35" s="37">
        <f t="shared" si="17"/>
        <v>25.431696523497674</v>
      </c>
      <c r="L35" s="38">
        <f t="shared" si="19"/>
        <v>26.696095858663178</v>
      </c>
      <c r="M35" s="39">
        <f t="shared" si="18"/>
        <v>0.53392191717326354</v>
      </c>
      <c r="N35" s="44"/>
      <c r="Q35" s="11"/>
      <c r="S35" s="11"/>
    </row>
    <row r="36" spans="1:19" ht="15" x14ac:dyDescent="0.3">
      <c r="B36">
        <v>0.217</v>
      </c>
      <c r="C36">
        <v>0.216</v>
      </c>
      <c r="D36" s="34">
        <f t="shared" si="11"/>
        <v>0.2165</v>
      </c>
      <c r="E36" s="34">
        <f t="shared" si="12"/>
        <v>0.14949999999999999</v>
      </c>
      <c r="F36" s="34">
        <f t="shared" si="13"/>
        <v>-0.82535880733955158</v>
      </c>
      <c r="G36" s="35">
        <f t="shared" si="14"/>
        <v>-4.9359296723441907E-2</v>
      </c>
      <c r="H36" s="35">
        <f t="shared" si="15"/>
        <v>0.89256674765516963</v>
      </c>
      <c r="I36" s="36">
        <v>500</v>
      </c>
      <c r="J36" s="37">
        <f t="shared" si="16"/>
        <v>446.2833738275848</v>
      </c>
      <c r="K36" s="37">
        <f t="shared" si="17"/>
        <v>22.314168691379241</v>
      </c>
      <c r="L36" s="38">
        <f t="shared" si="19"/>
        <v>23.604573389795071</v>
      </c>
      <c r="M36" s="39">
        <f t="shared" si="18"/>
        <v>0.47209146779590144</v>
      </c>
      <c r="N36" s="45"/>
      <c r="Q36" s="11"/>
      <c r="S36" s="11"/>
    </row>
    <row r="37" spans="1:19" ht="15" x14ac:dyDescent="0.3">
      <c r="B37" s="3"/>
      <c r="C37" s="3"/>
      <c r="I37" s="36"/>
      <c r="J37" s="36"/>
      <c r="K37" s="36"/>
      <c r="R37" s="11"/>
      <c r="S37" s="11"/>
    </row>
    <row r="38" spans="1:19" ht="23.25" x14ac:dyDescent="0.35">
      <c r="A38" s="21" t="s">
        <v>30</v>
      </c>
      <c r="B38" s="3"/>
      <c r="C38" s="3"/>
      <c r="E38" s="35"/>
      <c r="F38" s="34"/>
      <c r="H38" s="46"/>
      <c r="I38" s="36"/>
      <c r="J38" s="36"/>
      <c r="K38" s="36"/>
      <c r="M38" s="47" t="s">
        <v>31</v>
      </c>
      <c r="R38" s="11"/>
      <c r="S38" s="11"/>
    </row>
    <row r="39" spans="1:19" ht="15" x14ac:dyDescent="0.3">
      <c r="A39" s="26" t="s">
        <v>17</v>
      </c>
      <c r="B39" s="75" t="s">
        <v>18</v>
      </c>
      <c r="C39" s="75" t="s">
        <v>18</v>
      </c>
      <c r="D39" s="16" t="s">
        <v>19</v>
      </c>
      <c r="E39" s="27" t="s">
        <v>20</v>
      </c>
      <c r="F39" s="28" t="s">
        <v>12</v>
      </c>
      <c r="G39" s="28" t="s">
        <v>21</v>
      </c>
      <c r="H39" s="28" t="s">
        <v>22</v>
      </c>
      <c r="I39" s="27" t="s">
        <v>23</v>
      </c>
      <c r="J39" s="42" t="s">
        <v>24</v>
      </c>
      <c r="K39" s="42" t="s">
        <v>32</v>
      </c>
      <c r="L39" s="28" t="s">
        <v>33</v>
      </c>
      <c r="M39" s="24" t="s">
        <v>34</v>
      </c>
      <c r="N39" s="42" t="s">
        <v>35</v>
      </c>
      <c r="R39" s="11"/>
      <c r="S39" s="11"/>
    </row>
    <row r="40" spans="1:19" ht="15" x14ac:dyDescent="0.3">
      <c r="A40" s="8" t="s">
        <v>36</v>
      </c>
      <c r="B40">
        <v>9.1999999999999998E-2</v>
      </c>
      <c r="C40">
        <v>0.123</v>
      </c>
      <c r="D40" s="34">
        <f>AVERAGE(B40,C40)</f>
        <v>0.1075</v>
      </c>
      <c r="E40" s="34">
        <f t="shared" ref="E40:E45" si="20">D40-E$8</f>
        <v>4.0499999999999994E-2</v>
      </c>
      <c r="F40" s="34">
        <f t="shared" ref="F40:F45" si="21">LOG(E40)</f>
        <v>-1.3925449767853315</v>
      </c>
      <c r="G40" s="35">
        <f t="shared" ref="G40:G45" si="22">(F40-$B$16)/$B$15</f>
        <v>-0.55741337389151879</v>
      </c>
      <c r="H40" s="34">
        <f t="shared" ref="H40:H45" si="23">10^G40</f>
        <v>0.27706816352534425</v>
      </c>
      <c r="I40" s="48">
        <v>16</v>
      </c>
      <c r="J40" s="49">
        <f t="shared" ref="J40:J45" si="24">H40*I40</f>
        <v>4.4330906164055079</v>
      </c>
      <c r="K40" s="37">
        <f>(0.1*J40/1000)*1000</f>
        <v>0.44330906164055084</v>
      </c>
      <c r="L40" s="50">
        <f>K40*100/L22</f>
        <v>1.5641948821839464</v>
      </c>
      <c r="M40" s="51">
        <f>AVERAGE(L40:L42)</f>
        <v>1.3953913041601858</v>
      </c>
      <c r="N40" s="52">
        <f>STDEV(L40:L42)</f>
        <v>0.22232117928647865</v>
      </c>
      <c r="R40" s="11"/>
      <c r="S40" s="11"/>
    </row>
    <row r="41" spans="1:19" ht="15" x14ac:dyDescent="0.3">
      <c r="B41">
        <v>0.105</v>
      </c>
      <c r="C41">
        <v>9.6000000000000002E-2</v>
      </c>
      <c r="D41" s="34">
        <f>AVERAGE(B41,C41)</f>
        <v>0.10050000000000001</v>
      </c>
      <c r="E41" s="34">
        <f t="shared" si="20"/>
        <v>3.3500000000000002E-2</v>
      </c>
      <c r="F41" s="34">
        <f t="shared" si="21"/>
        <v>-1.4749551929631548</v>
      </c>
      <c r="G41" s="35">
        <f t="shared" si="22"/>
        <v>-0.63123189871619401</v>
      </c>
      <c r="H41" s="34">
        <f t="shared" si="23"/>
        <v>0.23375887112274193</v>
      </c>
      <c r="I41" s="48">
        <v>16</v>
      </c>
      <c r="J41" s="49">
        <f t="shared" si="24"/>
        <v>3.740141937963871</v>
      </c>
      <c r="K41" s="37">
        <f t="shared" ref="K41:K45" si="25">(0.1*J41/1000)*1000</f>
        <v>0.37401419379638712</v>
      </c>
      <c r="L41" s="50">
        <f t="shared" ref="L41:L45" si="26">K41*100/L23</f>
        <v>1.1434910948748227</v>
      </c>
      <c r="M41" s="51"/>
      <c r="N41" s="52"/>
      <c r="R41" s="11"/>
      <c r="S41" s="11"/>
    </row>
    <row r="42" spans="1:19" s="24" customFormat="1" ht="15" x14ac:dyDescent="0.3">
      <c r="A42" s="8"/>
      <c r="B42">
        <v>0.105</v>
      </c>
      <c r="C42">
        <v>0.11</v>
      </c>
      <c r="D42" s="34">
        <f>AVERAGE(B42,C42)</f>
        <v>0.1075</v>
      </c>
      <c r="E42" s="34">
        <f t="shared" si="20"/>
        <v>4.0499999999999994E-2</v>
      </c>
      <c r="F42" s="34">
        <f t="shared" si="21"/>
        <v>-1.3925449767853315</v>
      </c>
      <c r="G42" s="35">
        <f t="shared" si="22"/>
        <v>-0.55741337389151879</v>
      </c>
      <c r="H42" s="34">
        <f t="shared" si="23"/>
        <v>0.27706816352534425</v>
      </c>
      <c r="I42" s="48">
        <v>16</v>
      </c>
      <c r="J42" s="49">
        <f t="shared" si="24"/>
        <v>4.4330906164055079</v>
      </c>
      <c r="K42" s="37">
        <f t="shared" si="25"/>
        <v>0.44330906164055084</v>
      </c>
      <c r="L42" s="50">
        <f t="shared" si="26"/>
        <v>1.4784879354217881</v>
      </c>
      <c r="M42" s="51"/>
      <c r="N42" s="52"/>
      <c r="R42" s="11"/>
      <c r="S42" s="11"/>
    </row>
    <row r="43" spans="1:19" ht="15" x14ac:dyDescent="0.3">
      <c r="A43" s="8" t="s">
        <v>37</v>
      </c>
      <c r="B43">
        <v>0.158</v>
      </c>
      <c r="C43">
        <v>0.152</v>
      </c>
      <c r="D43" s="34">
        <f t="shared" ref="D43:D45" si="27">AVERAGE(B43,C43)</f>
        <v>0.155</v>
      </c>
      <c r="E43" s="34">
        <f t="shared" si="20"/>
        <v>8.7999999999999995E-2</v>
      </c>
      <c r="F43" s="34">
        <f t="shared" si="21"/>
        <v>-1.0555173278498313</v>
      </c>
      <c r="G43" s="35">
        <f t="shared" si="22"/>
        <v>-0.25552260083658684</v>
      </c>
      <c r="H43" s="34">
        <f t="shared" si="23"/>
        <v>0.55523572170674151</v>
      </c>
      <c r="I43" s="48">
        <v>16</v>
      </c>
      <c r="J43" s="49">
        <f t="shared" si="24"/>
        <v>8.8837715473078642</v>
      </c>
      <c r="K43" s="37">
        <f t="shared" si="25"/>
        <v>0.88837715473078649</v>
      </c>
      <c r="L43" s="50">
        <f t="shared" si="26"/>
        <v>3.6557296005030815</v>
      </c>
      <c r="M43" s="51">
        <f>AVERAGE(L43:L45)</f>
        <v>3.5818572180099975</v>
      </c>
      <c r="N43" s="52">
        <f>STDEV(L43:L45)</f>
        <v>0.28412382017212018</v>
      </c>
      <c r="R43" s="11"/>
      <c r="S43" s="11"/>
    </row>
    <row r="44" spans="1:19" ht="15" x14ac:dyDescent="0.3">
      <c r="A44" s="53"/>
      <c r="B44">
        <v>0.16600000000000001</v>
      </c>
      <c r="C44">
        <v>0.14699999999999999</v>
      </c>
      <c r="D44" s="34">
        <f t="shared" si="27"/>
        <v>0.1565</v>
      </c>
      <c r="E44" s="34">
        <f t="shared" si="20"/>
        <v>8.9499999999999996E-2</v>
      </c>
      <c r="F44" s="34">
        <f t="shared" si="21"/>
        <v>-1.0481769646840879</v>
      </c>
      <c r="G44" s="35">
        <f t="shared" si="22"/>
        <v>-0.24894750850333347</v>
      </c>
      <c r="H44" s="34">
        <f t="shared" si="23"/>
        <v>0.56370578464964605</v>
      </c>
      <c r="I44" s="48">
        <v>16</v>
      </c>
      <c r="J44" s="49">
        <f t="shared" si="24"/>
        <v>9.0192925543943367</v>
      </c>
      <c r="K44" s="37">
        <f t="shared" si="25"/>
        <v>0.9019292554394337</v>
      </c>
      <c r="L44" s="50">
        <f t="shared" si="26"/>
        <v>3.268093465784069</v>
      </c>
      <c r="M44" s="51"/>
      <c r="N44" s="52"/>
    </row>
    <row r="45" spans="1:19" ht="15" x14ac:dyDescent="0.3">
      <c r="A45" s="54"/>
      <c r="B45">
        <v>0.158</v>
      </c>
      <c r="C45">
        <v>0.16300000000000001</v>
      </c>
      <c r="D45" s="34">
        <f t="shared" si="27"/>
        <v>0.1605</v>
      </c>
      <c r="E45" s="34">
        <f t="shared" si="20"/>
        <v>9.35E-2</v>
      </c>
      <c r="F45" s="34">
        <f t="shared" si="21"/>
        <v>-1.0291883891274822</v>
      </c>
      <c r="G45" s="35">
        <f t="shared" si="22"/>
        <v>-0.23193859017837801</v>
      </c>
      <c r="H45" s="34">
        <f t="shared" si="23"/>
        <v>0.58622105109581535</v>
      </c>
      <c r="I45" s="48">
        <v>16</v>
      </c>
      <c r="J45" s="49">
        <f t="shared" si="24"/>
        <v>9.3795368175330456</v>
      </c>
      <c r="K45" s="37">
        <f t="shared" si="25"/>
        <v>0.93795368175330462</v>
      </c>
      <c r="L45" s="50">
        <f t="shared" si="26"/>
        <v>3.8217485877428419</v>
      </c>
      <c r="M45" s="51"/>
      <c r="N45" s="52"/>
    </row>
    <row r="46" spans="1:19" x14ac:dyDescent="0.2">
      <c r="B46" s="3"/>
      <c r="C46" s="3"/>
      <c r="E46" s="35"/>
      <c r="F46" s="34"/>
      <c r="G46" s="51"/>
      <c r="H46" s="55"/>
      <c r="I46" s="36"/>
      <c r="J46" s="36"/>
      <c r="K46" s="36"/>
    </row>
    <row r="47" spans="1:19" x14ac:dyDescent="0.2">
      <c r="B47" s="3"/>
      <c r="C47" s="3"/>
      <c r="E47" s="35"/>
      <c r="F47" s="34"/>
      <c r="G47" s="51"/>
      <c r="H47" s="55"/>
      <c r="I47" s="36"/>
      <c r="J47" s="36"/>
      <c r="K47" s="36"/>
    </row>
    <row r="48" spans="1:19" ht="23.25" x14ac:dyDescent="0.35">
      <c r="A48" s="21" t="s">
        <v>38</v>
      </c>
      <c r="B48" s="3"/>
      <c r="C48" s="3"/>
      <c r="E48" s="35"/>
      <c r="F48" s="34"/>
      <c r="H48" s="46"/>
      <c r="I48" s="36"/>
      <c r="J48" s="36"/>
      <c r="K48" s="36"/>
      <c r="M48" s="47" t="s">
        <v>31</v>
      </c>
    </row>
    <row r="49" spans="1:25" x14ac:dyDescent="0.2">
      <c r="A49" s="26" t="s">
        <v>17</v>
      </c>
      <c r="B49" s="75" t="s">
        <v>18</v>
      </c>
      <c r="C49" s="75" t="s">
        <v>18</v>
      </c>
      <c r="D49" s="16" t="s">
        <v>19</v>
      </c>
      <c r="E49" s="27" t="s">
        <v>20</v>
      </c>
      <c r="F49" s="28" t="s">
        <v>12</v>
      </c>
      <c r="G49" s="28" t="s">
        <v>21</v>
      </c>
      <c r="H49" s="28" t="s">
        <v>22</v>
      </c>
      <c r="I49" s="27" t="s">
        <v>23</v>
      </c>
      <c r="J49" s="42" t="s">
        <v>24</v>
      </c>
      <c r="K49" s="42" t="s">
        <v>32</v>
      </c>
      <c r="L49" s="28" t="s">
        <v>33</v>
      </c>
      <c r="M49" s="24" t="s">
        <v>34</v>
      </c>
      <c r="N49" s="42" t="s">
        <v>35</v>
      </c>
      <c r="O49" s="10" t="s">
        <v>39</v>
      </c>
      <c r="P49" s="24" t="s">
        <v>34</v>
      </c>
      <c r="Q49" s="42" t="s">
        <v>35</v>
      </c>
    </row>
    <row r="50" spans="1:25" ht="15" x14ac:dyDescent="0.3">
      <c r="A50" s="8" t="s">
        <v>28</v>
      </c>
      <c r="B50">
        <v>0.10100000000000001</v>
      </c>
      <c r="C50">
        <v>9.9000000000000005E-2</v>
      </c>
      <c r="D50" s="34">
        <f t="shared" ref="D50:D52" si="28">AVERAGE(B50,C50)</f>
        <v>0.1</v>
      </c>
      <c r="E50" s="34">
        <f t="shared" ref="E50:E55" si="29">D50-E$8</f>
        <v>3.3000000000000002E-2</v>
      </c>
      <c r="F50" s="34">
        <f t="shared" ref="F50:F55" si="30">LOG(E50)</f>
        <v>-1.4814860601221125</v>
      </c>
      <c r="G50" s="35">
        <f t="shared" ref="G50:G55" si="31">(F50-$B$16)/$B$15</f>
        <v>-0.63708188918897601</v>
      </c>
      <c r="H50" s="34">
        <f t="shared" ref="H50:H55" si="32">10^G50</f>
        <v>0.23063122767963037</v>
      </c>
      <c r="I50" s="48">
        <v>16</v>
      </c>
      <c r="J50" s="49">
        <f t="shared" ref="J50:J55" si="33">H50*I50</f>
        <v>3.690099642874086</v>
      </c>
      <c r="K50" s="37">
        <f>(0.1*J50/1000)*1000</f>
        <v>0.36900996428740862</v>
      </c>
      <c r="L50" s="50">
        <f t="shared" ref="L50:L55" si="34">K50*100/L31</f>
        <v>1.3227240423410287</v>
      </c>
      <c r="M50" s="51">
        <f>AVERAGE(L50:L52)</f>
        <v>1.5105768367646544</v>
      </c>
      <c r="N50" s="52">
        <f>STDEV(L50:L52)</f>
        <v>0.21649988246247964</v>
      </c>
      <c r="O50" s="10">
        <f>L50/L40</f>
        <v>0.84562611565013346</v>
      </c>
      <c r="P50" s="51">
        <f>AVERAGE(O50:O52)</f>
        <v>1.1019051590171538</v>
      </c>
      <c r="Q50" s="52">
        <f>STDEV(O50:O52)</f>
        <v>0.22711646365620342</v>
      </c>
      <c r="S50" s="11"/>
      <c r="T50" s="11"/>
    </row>
    <row r="51" spans="1:25" ht="15" x14ac:dyDescent="0.3">
      <c r="B51">
        <v>0.113</v>
      </c>
      <c r="C51">
        <v>0.108</v>
      </c>
      <c r="D51" s="34">
        <f t="shared" si="28"/>
        <v>0.1105</v>
      </c>
      <c r="E51" s="34">
        <f t="shared" si="29"/>
        <v>4.3499999999999997E-2</v>
      </c>
      <c r="F51" s="34">
        <f t="shared" si="30"/>
        <v>-1.3615107430453628</v>
      </c>
      <c r="G51" s="35">
        <f t="shared" si="31"/>
        <v>-0.52961461956225719</v>
      </c>
      <c r="H51" s="34">
        <f t="shared" si="32"/>
        <v>0.29538292071658118</v>
      </c>
      <c r="I51" s="48">
        <v>16</v>
      </c>
      <c r="J51" s="49">
        <f t="shared" si="33"/>
        <v>4.7261267314652988</v>
      </c>
      <c r="K51" s="37">
        <f t="shared" ref="K51:K55" si="35">(0.1*J51/1000)*1000</f>
        <v>0.47261267314652988</v>
      </c>
      <c r="L51" s="50">
        <f t="shared" si="34"/>
        <v>1.4616547309157275</v>
      </c>
      <c r="M51" s="51"/>
      <c r="N51" s="52"/>
      <c r="O51" s="10">
        <f t="shared" ref="O51:O55" si="36">L51/L41</f>
        <v>1.2782388402209062</v>
      </c>
      <c r="P51" s="51"/>
      <c r="Q51" s="52"/>
      <c r="S51" s="11"/>
      <c r="T51" s="11"/>
    </row>
    <row r="52" spans="1:25" ht="15" x14ac:dyDescent="0.3">
      <c r="B52">
        <v>0.11700000000000001</v>
      </c>
      <c r="C52">
        <v>0.113</v>
      </c>
      <c r="D52" s="34">
        <f t="shared" si="28"/>
        <v>0.115</v>
      </c>
      <c r="E52" s="34">
        <f t="shared" si="29"/>
        <v>4.8000000000000001E-2</v>
      </c>
      <c r="F52" s="34">
        <f t="shared" si="30"/>
        <v>-1.3187587626244128</v>
      </c>
      <c r="G52" s="35">
        <f t="shared" si="31"/>
        <v>-0.49131975426062757</v>
      </c>
      <c r="H52" s="34">
        <f t="shared" si="32"/>
        <v>0.32261179809679347</v>
      </c>
      <c r="I52" s="48">
        <v>16</v>
      </c>
      <c r="J52" s="49">
        <f t="shared" si="33"/>
        <v>5.1617887695486955</v>
      </c>
      <c r="K52" s="37">
        <f t="shared" si="35"/>
        <v>0.51617887695486953</v>
      </c>
      <c r="L52" s="50">
        <f t="shared" si="34"/>
        <v>1.7473517370372069</v>
      </c>
      <c r="M52" s="51"/>
      <c r="N52" s="52"/>
      <c r="O52" s="10">
        <f t="shared" si="36"/>
        <v>1.1818505211804224</v>
      </c>
      <c r="P52" s="51"/>
      <c r="Q52" s="52"/>
      <c r="S52" s="11"/>
      <c r="T52" s="11"/>
    </row>
    <row r="53" spans="1:25" ht="15" x14ac:dyDescent="0.3">
      <c r="A53" s="8" t="s">
        <v>29</v>
      </c>
      <c r="B53">
        <v>0.19800000000000001</v>
      </c>
      <c r="C53">
        <v>0.20499999999999999</v>
      </c>
      <c r="D53" s="34">
        <f>AVERAGE(B53:C53)</f>
        <v>0.20150000000000001</v>
      </c>
      <c r="E53" s="34">
        <f t="shared" si="29"/>
        <v>0.13450000000000001</v>
      </c>
      <c r="F53" s="34">
        <f t="shared" si="30"/>
        <v>-0.87127771566157319</v>
      </c>
      <c r="G53" s="35">
        <f t="shared" si="31"/>
        <v>-9.0490921309609423E-2</v>
      </c>
      <c r="H53" s="34">
        <f t="shared" si="32"/>
        <v>0.81191222134252117</v>
      </c>
      <c r="I53" s="48">
        <v>16</v>
      </c>
      <c r="J53" s="49">
        <f t="shared" si="33"/>
        <v>12.990595541480339</v>
      </c>
      <c r="K53" s="37">
        <f t="shared" si="35"/>
        <v>1.2990595541480339</v>
      </c>
      <c r="L53" s="50">
        <f t="shared" si="34"/>
        <v>5.5485544532636082</v>
      </c>
      <c r="M53" s="51">
        <f>AVERAGE(L53:L55)</f>
        <v>5.2505273884747501</v>
      </c>
      <c r="N53" s="52">
        <f>STDEV(L53:L55)</f>
        <v>0.44723343623577616</v>
      </c>
      <c r="O53" s="10">
        <f t="shared" si="36"/>
        <v>1.5177693811106945</v>
      </c>
      <c r="P53" s="51">
        <f>AVERAGE(O53:O55)</f>
        <v>1.4658162052078596</v>
      </c>
      <c r="Q53" s="52">
        <f>STDEV(O53:O55)</f>
        <v>4.5965474008550875E-2</v>
      </c>
      <c r="S53" s="11"/>
      <c r="T53" s="11"/>
    </row>
    <row r="54" spans="1:25" ht="15" x14ac:dyDescent="0.3">
      <c r="A54" s="53"/>
      <c r="B54">
        <v>0.2</v>
      </c>
      <c r="C54">
        <v>0.19500000000000001</v>
      </c>
      <c r="D54" s="34">
        <f>AVERAGE(B54:C54)</f>
        <v>0.19750000000000001</v>
      </c>
      <c r="E54" s="34">
        <f t="shared" si="29"/>
        <v>0.1305</v>
      </c>
      <c r="F54" s="34">
        <f t="shared" si="30"/>
        <v>-0.88438948832570019</v>
      </c>
      <c r="G54" s="35">
        <f t="shared" si="31"/>
        <v>-0.10223572384493899</v>
      </c>
      <c r="H54" s="34">
        <f t="shared" si="32"/>
        <v>0.79024958447843874</v>
      </c>
      <c r="I54" s="48">
        <v>16</v>
      </c>
      <c r="J54" s="49">
        <f t="shared" si="33"/>
        <v>12.64399335165502</v>
      </c>
      <c r="K54" s="37">
        <f t="shared" si="35"/>
        <v>1.2643993351655021</v>
      </c>
      <c r="L54" s="50">
        <f t="shared" si="34"/>
        <v>4.7362705837572525</v>
      </c>
      <c r="M54" s="51"/>
      <c r="N54" s="52"/>
      <c r="O54" s="10">
        <f t="shared" si="36"/>
        <v>1.4492457554670775</v>
      </c>
      <c r="P54" s="51"/>
      <c r="Q54" s="52"/>
      <c r="S54" s="11"/>
      <c r="T54" s="11"/>
    </row>
    <row r="55" spans="1:25" ht="15" x14ac:dyDescent="0.3">
      <c r="A55" s="54"/>
      <c r="B55">
        <v>0.20200000000000001</v>
      </c>
      <c r="C55">
        <v>0.19900000000000001</v>
      </c>
      <c r="D55" s="34">
        <f>AVERAGE(B55:C55)</f>
        <v>0.20050000000000001</v>
      </c>
      <c r="E55" s="34">
        <f t="shared" si="29"/>
        <v>0.13350000000000001</v>
      </c>
      <c r="F55" s="34">
        <f t="shared" si="30"/>
        <v>-0.87451873429940596</v>
      </c>
      <c r="G55" s="35">
        <f t="shared" si="31"/>
        <v>-9.3394046988322002E-2</v>
      </c>
      <c r="H55" s="34">
        <f t="shared" si="32"/>
        <v>0.80650293650989491</v>
      </c>
      <c r="I55" s="48">
        <v>16</v>
      </c>
      <c r="J55" s="49">
        <f t="shared" si="33"/>
        <v>12.904046984158319</v>
      </c>
      <c r="K55" s="37">
        <f t="shared" si="35"/>
        <v>1.2904046984158319</v>
      </c>
      <c r="L55" s="50">
        <f t="shared" si="34"/>
        <v>5.4667571284033905</v>
      </c>
      <c r="M55" s="51"/>
      <c r="N55" s="52"/>
      <c r="O55" s="10">
        <f t="shared" si="36"/>
        <v>1.4304334790458064</v>
      </c>
      <c r="P55" s="51"/>
      <c r="Q55" s="52"/>
      <c r="S55" s="11"/>
      <c r="T55" s="11"/>
      <c r="Y55" s="8"/>
    </row>
    <row r="56" spans="1:25" x14ac:dyDescent="0.2">
      <c r="D56" s="34"/>
      <c r="E56" s="35"/>
      <c r="F56" s="34"/>
      <c r="G56" s="51"/>
      <c r="H56" s="55"/>
    </row>
    <row r="57" spans="1:25" x14ac:dyDescent="0.2">
      <c r="B57" s="51"/>
      <c r="C57" s="51"/>
      <c r="D57" s="34"/>
      <c r="E57" s="35"/>
      <c r="F57" s="34"/>
      <c r="G57" s="51"/>
      <c r="H57" s="55"/>
      <c r="M57" s="10" t="s">
        <v>40</v>
      </c>
      <c r="N57" s="10" t="s">
        <v>41</v>
      </c>
      <c r="O57" s="42" t="s">
        <v>35</v>
      </c>
    </row>
    <row r="58" spans="1:25" ht="15" x14ac:dyDescent="0.3">
      <c r="C58" s="11"/>
      <c r="D58" s="11"/>
      <c r="E58" s="11"/>
      <c r="F58" s="11"/>
      <c r="G58" s="11"/>
      <c r="H58" s="55"/>
      <c r="M58" s="10" t="s">
        <v>28</v>
      </c>
      <c r="N58" s="51">
        <f>P50</f>
        <v>1.1019051590171538</v>
      </c>
      <c r="O58" s="51">
        <f>Q50</f>
        <v>0.22711646365620342</v>
      </c>
    </row>
    <row r="59" spans="1:25" ht="15" x14ac:dyDescent="0.3">
      <c r="D59" s="11"/>
      <c r="E59" s="11"/>
      <c r="G59" s="11"/>
      <c r="M59" s="10" t="s">
        <v>29</v>
      </c>
      <c r="N59" s="51">
        <f>P53</f>
        <v>1.4658162052078596</v>
      </c>
      <c r="O59" s="51">
        <f>Q53</f>
        <v>4.5965474008550875E-2</v>
      </c>
    </row>
    <row r="60" spans="1:25" x14ac:dyDescent="0.2">
      <c r="G60" s="51"/>
      <c r="H60" s="55"/>
    </row>
    <row r="61" spans="1:25" ht="15" x14ac:dyDescent="0.3">
      <c r="A61" s="56"/>
      <c r="D61" s="11"/>
      <c r="E61" s="11"/>
      <c r="F61" s="11"/>
      <c r="G61" s="51"/>
      <c r="H61" s="55"/>
    </row>
    <row r="62" spans="1:25" ht="15" x14ac:dyDescent="0.3">
      <c r="C62" s="34"/>
      <c r="D62" s="11"/>
      <c r="E62" s="11"/>
      <c r="F62" s="11"/>
      <c r="G62" s="51"/>
      <c r="H62" s="55"/>
    </row>
    <row r="63" spans="1:25" ht="15" x14ac:dyDescent="0.3">
      <c r="C63" s="34"/>
      <c r="D63" s="11"/>
      <c r="E63" s="11"/>
      <c r="F63" s="11"/>
      <c r="G63" s="51"/>
      <c r="H63" s="55"/>
    </row>
    <row r="64" spans="1:25" ht="13.5" thickBot="1" x14ac:dyDescent="0.25">
      <c r="B64" s="57" t="s">
        <v>19</v>
      </c>
      <c r="C64" s="58" t="s">
        <v>42</v>
      </c>
      <c r="D64" s="34"/>
      <c r="E64" s="35"/>
      <c r="F64" s="34"/>
      <c r="G64" s="51"/>
      <c r="H64" s="55"/>
    </row>
    <row r="65" spans="1:8" x14ac:dyDescent="0.2">
      <c r="A65" s="8" t="s">
        <v>36</v>
      </c>
      <c r="B65" s="51">
        <f>M40</f>
        <v>1.3953913041601858</v>
      </c>
      <c r="C65" s="51">
        <f>N40</f>
        <v>0.22232117928647865</v>
      </c>
      <c r="D65" s="34"/>
      <c r="E65" s="35"/>
      <c r="F65" s="34"/>
      <c r="G65" s="51"/>
      <c r="H65" s="55"/>
    </row>
    <row r="66" spans="1:8" x14ac:dyDescent="0.2">
      <c r="A66" s="8" t="s">
        <v>28</v>
      </c>
      <c r="B66" s="51">
        <f>M50</f>
        <v>1.5105768367646544</v>
      </c>
      <c r="C66" s="51">
        <f>N50</f>
        <v>0.21649988246247964</v>
      </c>
      <c r="D66" s="34"/>
      <c r="E66" s="35"/>
      <c r="F66" s="34"/>
      <c r="G66" s="51"/>
      <c r="H66" s="55"/>
    </row>
    <row r="67" spans="1:8" x14ac:dyDescent="0.2">
      <c r="A67" s="8" t="s">
        <v>37</v>
      </c>
      <c r="B67" s="51">
        <f>M43</f>
        <v>3.5818572180099975</v>
      </c>
      <c r="C67" s="51">
        <f>N43</f>
        <v>0.28412382017212018</v>
      </c>
      <c r="D67" s="34"/>
      <c r="E67" s="35"/>
      <c r="F67" s="34"/>
      <c r="G67" s="51"/>
      <c r="H67" s="55"/>
    </row>
    <row r="68" spans="1:8" x14ac:dyDescent="0.2">
      <c r="A68" s="59" t="s">
        <v>29</v>
      </c>
      <c r="B68" s="51">
        <f>M53</f>
        <v>5.2505273884747501</v>
      </c>
      <c r="C68" s="51">
        <f>N53</f>
        <v>0.44723343623577616</v>
      </c>
      <c r="D68" s="34"/>
      <c r="E68" s="35"/>
      <c r="F68" s="34"/>
      <c r="G68" s="51"/>
      <c r="H68" s="55"/>
    </row>
    <row r="69" spans="1:8" x14ac:dyDescent="0.2">
      <c r="A69" s="60"/>
      <c r="C69" s="34"/>
      <c r="D69" s="34"/>
      <c r="E69" s="35"/>
      <c r="F69" s="34"/>
      <c r="G69" s="51"/>
      <c r="H69" s="55"/>
    </row>
    <row r="70" spans="1:8" x14ac:dyDescent="0.2">
      <c r="A70" s="60"/>
      <c r="C70" s="34"/>
      <c r="D70" s="34"/>
      <c r="E70" s="35"/>
      <c r="F70" s="34"/>
      <c r="G70" s="51"/>
      <c r="H70" s="55"/>
    </row>
    <row r="71" spans="1:8" x14ac:dyDescent="0.2">
      <c r="A71" s="60"/>
      <c r="B71" s="36"/>
      <c r="C71" s="34"/>
      <c r="D71" s="34"/>
      <c r="E71" s="35"/>
      <c r="F71" s="34"/>
      <c r="G71" s="51"/>
      <c r="H71" s="55"/>
    </row>
    <row r="72" spans="1:8" x14ac:dyDescent="0.2">
      <c r="A72" s="60"/>
      <c r="B72" s="36"/>
      <c r="C72" s="34"/>
      <c r="D72" s="34"/>
      <c r="E72" s="35"/>
      <c r="F72" s="34"/>
      <c r="G72" s="51"/>
      <c r="H72" s="55"/>
    </row>
    <row r="73" spans="1:8" x14ac:dyDescent="0.2">
      <c r="C73" s="34"/>
      <c r="D73" s="34"/>
      <c r="E73" s="35"/>
      <c r="F73" s="34"/>
      <c r="G73" s="51"/>
      <c r="H73" s="55"/>
    </row>
    <row r="74" spans="1:8" x14ac:dyDescent="0.2">
      <c r="C74" s="34"/>
      <c r="D74" s="35"/>
      <c r="H74" s="55"/>
    </row>
    <row r="75" spans="1:8" x14ac:dyDescent="0.2">
      <c r="A75" s="61"/>
      <c r="C75" s="34"/>
      <c r="D75" s="35"/>
      <c r="H75" s="46"/>
    </row>
    <row r="76" spans="1:8" x14ac:dyDescent="0.2">
      <c r="A76" s="61"/>
      <c r="C76" s="34"/>
      <c r="D76" s="35"/>
      <c r="H76" s="46"/>
    </row>
    <row r="77" spans="1:8" x14ac:dyDescent="0.2">
      <c r="A77" s="62"/>
      <c r="B77" s="46"/>
      <c r="C77" s="63"/>
      <c r="D77" s="64"/>
      <c r="E77" s="46"/>
      <c r="F77" s="46"/>
      <c r="G77" s="46"/>
    </row>
    <row r="78" spans="1:8" x14ac:dyDescent="0.2">
      <c r="A78" s="65"/>
      <c r="B78" s="66"/>
      <c r="C78" s="67"/>
      <c r="D78" s="46"/>
      <c r="E78" s="46"/>
      <c r="F78" s="46"/>
      <c r="G78" s="46"/>
    </row>
    <row r="79" spans="1:8" x14ac:dyDescent="0.2">
      <c r="A79" s="65"/>
      <c r="B79" s="68"/>
      <c r="C79" s="63"/>
      <c r="D79" s="46"/>
      <c r="E79" s="46"/>
      <c r="F79" s="46"/>
      <c r="G79" s="46"/>
    </row>
    <row r="80" spans="1:8" x14ac:dyDescent="0.2">
      <c r="A80" s="65"/>
      <c r="B80" s="68"/>
      <c r="C80" s="63"/>
      <c r="D80" s="46"/>
      <c r="E80" s="46"/>
      <c r="F80" s="46"/>
      <c r="G80" s="46"/>
    </row>
    <row r="81" spans="1:7" x14ac:dyDescent="0.2">
      <c r="A81" s="65"/>
      <c r="B81" s="68"/>
      <c r="C81" s="63"/>
      <c r="D81" s="46"/>
      <c r="E81" s="46"/>
      <c r="F81" s="46"/>
      <c r="G81" s="46"/>
    </row>
    <row r="82" spans="1:7" x14ac:dyDescent="0.2">
      <c r="A82" s="65"/>
      <c r="B82" s="68"/>
      <c r="C82" s="63"/>
      <c r="D82" s="46"/>
      <c r="E82" s="46"/>
      <c r="F82" s="46"/>
      <c r="G82" s="46"/>
    </row>
    <row r="83" spans="1:7" x14ac:dyDescent="0.2">
      <c r="A83" s="65"/>
      <c r="B83" s="46"/>
      <c r="C83" s="46"/>
      <c r="D83" s="69"/>
      <c r="E83" s="66"/>
      <c r="F83" s="66"/>
      <c r="G83" s="46"/>
    </row>
    <row r="84" spans="1:7" x14ac:dyDescent="0.2">
      <c r="A84" s="65"/>
      <c r="B84" s="68"/>
      <c r="C84" s="63"/>
      <c r="D84" s="55"/>
      <c r="E84" s="55"/>
      <c r="F84" s="55"/>
      <c r="G84" s="46"/>
    </row>
    <row r="85" spans="1:7" x14ac:dyDescent="0.2">
      <c r="A85" s="65"/>
      <c r="B85" s="68"/>
      <c r="C85" s="63"/>
      <c r="D85" s="55"/>
      <c r="E85" s="55"/>
      <c r="F85" s="55"/>
      <c r="G85" s="46"/>
    </row>
    <row r="86" spans="1:7" x14ac:dyDescent="0.2">
      <c r="A86" s="65"/>
      <c r="B86" s="68"/>
      <c r="C86" s="63"/>
      <c r="D86" s="55"/>
      <c r="E86" s="55"/>
      <c r="F86" s="55"/>
      <c r="G86" s="46"/>
    </row>
    <row r="87" spans="1:7" x14ac:dyDescent="0.2">
      <c r="A87" s="65"/>
      <c r="B87" s="68"/>
      <c r="C87" s="63"/>
      <c r="D87" s="55"/>
      <c r="E87" s="55"/>
      <c r="F87" s="55"/>
      <c r="G87" s="46"/>
    </row>
    <row r="88" spans="1:7" x14ac:dyDescent="0.2">
      <c r="A88" s="65"/>
      <c r="B88" s="46"/>
      <c r="C88" s="55"/>
      <c r="D88" s="55"/>
      <c r="E88" s="55"/>
      <c r="F88" s="55"/>
      <c r="G88" s="46"/>
    </row>
    <row r="89" spans="1:7" x14ac:dyDescent="0.2">
      <c r="A89" s="65"/>
      <c r="B89" s="46"/>
      <c r="C89" s="55"/>
      <c r="D89" s="55"/>
      <c r="E89" s="55"/>
      <c r="F89" s="55"/>
      <c r="G89" s="46"/>
    </row>
    <row r="90" spans="1:7" x14ac:dyDescent="0.2">
      <c r="C90" s="55"/>
      <c r="D90" s="55"/>
      <c r="E90" s="70"/>
      <c r="F90" s="70"/>
    </row>
    <row r="91" spans="1:7" x14ac:dyDescent="0.2">
      <c r="C91" s="55"/>
      <c r="D91" s="55"/>
      <c r="E91" s="70"/>
      <c r="F91" s="70"/>
    </row>
    <row r="92" spans="1:7" x14ac:dyDescent="0.2">
      <c r="C92" s="55"/>
      <c r="D92" s="55"/>
      <c r="E92" s="70"/>
      <c r="F92" s="70"/>
    </row>
    <row r="93" spans="1:7" x14ac:dyDescent="0.2">
      <c r="C93" s="55"/>
      <c r="D93" s="55"/>
      <c r="E93" s="70"/>
      <c r="F93" s="70"/>
    </row>
    <row r="94" spans="1:7" x14ac:dyDescent="0.2">
      <c r="C94" s="55"/>
      <c r="E94" s="70"/>
      <c r="F94" s="70"/>
    </row>
    <row r="95" spans="1:7" x14ac:dyDescent="0.2">
      <c r="C95" s="55"/>
      <c r="E95" s="70"/>
      <c r="F95" s="70"/>
    </row>
    <row r="96" spans="1:7" x14ac:dyDescent="0.2">
      <c r="C96" s="55"/>
      <c r="D96" s="55"/>
      <c r="E96" s="70"/>
      <c r="F96" s="70"/>
    </row>
    <row r="97" spans="2:6" x14ac:dyDescent="0.2">
      <c r="C97" s="55"/>
      <c r="D97" s="55"/>
      <c r="E97" s="70"/>
      <c r="F97" s="70"/>
    </row>
    <row r="98" spans="2:6" x14ac:dyDescent="0.2">
      <c r="C98" s="55"/>
      <c r="D98" s="55"/>
      <c r="E98" s="70"/>
      <c r="F98" s="70"/>
    </row>
    <row r="99" spans="2:6" x14ac:dyDescent="0.2">
      <c r="C99" s="55"/>
      <c r="D99" s="55"/>
      <c r="E99" s="70"/>
      <c r="F99" s="70"/>
    </row>
    <row r="100" spans="2:6" x14ac:dyDescent="0.2">
      <c r="C100" s="55"/>
      <c r="D100" s="55"/>
      <c r="E100" s="70"/>
      <c r="F100" s="70"/>
    </row>
    <row r="101" spans="2:6" x14ac:dyDescent="0.2">
      <c r="C101" s="55"/>
      <c r="D101" s="55"/>
      <c r="E101" s="70"/>
      <c r="F101" s="70"/>
    </row>
    <row r="102" spans="2:6" x14ac:dyDescent="0.2">
      <c r="C102" s="55"/>
      <c r="D102" s="55"/>
      <c r="E102" s="70"/>
      <c r="F102" s="70"/>
    </row>
    <row r="103" spans="2:6" x14ac:dyDescent="0.2">
      <c r="C103" s="55"/>
      <c r="D103" s="55"/>
      <c r="E103" s="70"/>
      <c r="F103" s="70"/>
    </row>
    <row r="104" spans="2:6" x14ac:dyDescent="0.2">
      <c r="C104" s="55"/>
      <c r="D104" s="55"/>
      <c r="E104" s="70"/>
      <c r="F104" s="70"/>
    </row>
    <row r="105" spans="2:6" x14ac:dyDescent="0.2">
      <c r="C105" s="55"/>
      <c r="D105" s="55"/>
      <c r="E105" s="70"/>
      <c r="F105" s="70"/>
    </row>
    <row r="106" spans="2:6" x14ac:dyDescent="0.2">
      <c r="C106" s="55"/>
    </row>
    <row r="107" spans="2:6" x14ac:dyDescent="0.2">
      <c r="C107" s="55"/>
    </row>
    <row r="108" spans="2:6" ht="13.5" thickBot="1" x14ac:dyDescent="0.25">
      <c r="B108" s="71"/>
      <c r="C108" s="71"/>
      <c r="D108" s="71"/>
      <c r="E108" s="71"/>
    </row>
    <row r="109" spans="2:6" x14ac:dyDescent="0.2">
      <c r="B109" s="70"/>
      <c r="C109" s="70"/>
      <c r="D109" s="70"/>
      <c r="E109" s="70"/>
    </row>
    <row r="110" spans="2:6" x14ac:dyDescent="0.2">
      <c r="B110" s="70"/>
      <c r="C110" s="70"/>
      <c r="D110" s="70"/>
      <c r="E110" s="70"/>
    </row>
    <row r="111" spans="2:6" x14ac:dyDescent="0.2">
      <c r="B111" s="70"/>
      <c r="C111" s="70"/>
      <c r="D111" s="70"/>
      <c r="E111" s="70"/>
    </row>
    <row r="112" spans="2:6" x14ac:dyDescent="0.2">
      <c r="B112" s="70"/>
      <c r="C112" s="70"/>
      <c r="D112" s="70"/>
      <c r="E112" s="70"/>
    </row>
    <row r="113" spans="2:5" x14ac:dyDescent="0.2">
      <c r="B113" s="70"/>
      <c r="C113" s="70"/>
      <c r="D113" s="70"/>
      <c r="E113" s="70"/>
    </row>
    <row r="114" spans="2:5" x14ac:dyDescent="0.2">
      <c r="B114" s="70"/>
      <c r="C114" s="70"/>
      <c r="D114" s="70"/>
      <c r="E114" s="70"/>
    </row>
    <row r="115" spans="2:5" x14ac:dyDescent="0.2">
      <c r="B115" s="70"/>
      <c r="C115" s="70"/>
      <c r="D115" s="70"/>
      <c r="E115" s="70"/>
    </row>
    <row r="116" spans="2:5" x14ac:dyDescent="0.2">
      <c r="B116" s="70"/>
      <c r="C116" s="70"/>
      <c r="D116" s="70"/>
      <c r="E116" s="70"/>
    </row>
    <row r="117" spans="2:5" x14ac:dyDescent="0.2">
      <c r="B117" s="70"/>
      <c r="C117" s="70"/>
      <c r="D117" s="70"/>
      <c r="E117" s="70"/>
    </row>
    <row r="118" spans="2:5" x14ac:dyDescent="0.2">
      <c r="B118" s="70"/>
      <c r="C118" s="70"/>
      <c r="D118" s="70"/>
      <c r="E118" s="70"/>
    </row>
  </sheetData>
  <pageMargins left="0.7" right="0.7" top="0.75" bottom="0.75" header="0.3" footer="0.3"/>
  <pageSetup paperSize="9" scale="3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abSelected="1" topLeftCell="A22" zoomScale="70" zoomScaleNormal="70" workbookViewId="0">
      <selection activeCell="B22" sqref="B22:C55"/>
    </sheetView>
  </sheetViews>
  <sheetFormatPr baseColWidth="10" defaultColWidth="8.75" defaultRowHeight="12.75" x14ac:dyDescent="0.2"/>
  <cols>
    <col min="1" max="1" width="28.125" style="8" customWidth="1"/>
    <col min="2" max="2" width="9" style="10" bestFit="1" customWidth="1"/>
    <col min="3" max="3" width="11.875" style="10" bestFit="1" customWidth="1"/>
    <col min="4" max="4" width="6" style="10" bestFit="1" customWidth="1"/>
    <col min="5" max="5" width="6.875" style="10" customWidth="1"/>
    <col min="6" max="8" width="11" style="10" bestFit="1" customWidth="1"/>
    <col min="9" max="9" width="12.125" style="10" bestFit="1" customWidth="1"/>
    <col min="10" max="10" width="12" style="10" bestFit="1" customWidth="1"/>
    <col min="11" max="11" width="12.125" style="10" bestFit="1" customWidth="1"/>
    <col min="12" max="12" width="13" style="10" bestFit="1" customWidth="1"/>
    <col min="13" max="13" width="14.875" style="10" bestFit="1" customWidth="1"/>
    <col min="14" max="14" width="13.75" style="10" bestFit="1" customWidth="1"/>
    <col min="15" max="15" width="14" style="10" customWidth="1"/>
    <col min="16" max="16" width="11.375" style="10" customWidth="1"/>
    <col min="17" max="17" width="10.375" style="10" bestFit="1" customWidth="1"/>
    <col min="18" max="16384" width="8.75" style="10"/>
  </cols>
  <sheetData>
    <row r="1" spans="1:20" s="3" customFormat="1" x14ac:dyDescent="0.2">
      <c r="A1" s="1" t="s">
        <v>0</v>
      </c>
      <c r="B1" s="2">
        <v>42388</v>
      </c>
    </row>
    <row r="2" spans="1:20" s="3" customFormat="1" x14ac:dyDescent="0.2">
      <c r="A2" s="1" t="s">
        <v>1</v>
      </c>
      <c r="B2" s="3">
        <v>77</v>
      </c>
      <c r="C2" s="4"/>
      <c r="E2" s="5" t="s">
        <v>2</v>
      </c>
    </row>
    <row r="3" spans="1:20" s="3" customFormat="1" ht="15" x14ac:dyDescent="0.25">
      <c r="A3" s="1" t="s">
        <v>3</v>
      </c>
      <c r="B3" s="3" t="s">
        <v>4</v>
      </c>
      <c r="D3" s="6" t="s">
        <v>5</v>
      </c>
      <c r="E3" s="79">
        <v>177680</v>
      </c>
      <c r="F3" s="79">
        <v>179616</v>
      </c>
    </row>
    <row r="4" spans="1:20" s="3" customFormat="1" ht="15" x14ac:dyDescent="0.25">
      <c r="A4" s="1"/>
      <c r="D4" s="6" t="s">
        <v>43</v>
      </c>
      <c r="E4" s="82">
        <v>158552</v>
      </c>
      <c r="F4" s="82">
        <v>160768</v>
      </c>
    </row>
    <row r="5" spans="1:20" s="3" customFormat="1" x14ac:dyDescent="0.2">
      <c r="A5" s="1"/>
      <c r="D5" s="7"/>
      <c r="F5" s="7"/>
    </row>
    <row r="6" spans="1:20" ht="15" x14ac:dyDescent="0.3">
      <c r="B6" s="9"/>
      <c r="C6" s="9"/>
      <c r="D6" s="9"/>
      <c r="N6" s="11"/>
      <c r="O6" s="11"/>
      <c r="P6" s="11"/>
    </row>
    <row r="7" spans="1:20" ht="15" x14ac:dyDescent="0.3">
      <c r="A7" s="12" t="s">
        <v>6</v>
      </c>
      <c r="B7" s="13" t="s">
        <v>7</v>
      </c>
      <c r="C7" s="14" t="s">
        <v>8</v>
      </c>
      <c r="D7" s="14"/>
      <c r="E7" s="15" t="s">
        <v>9</v>
      </c>
      <c r="F7" s="16" t="s">
        <v>10</v>
      </c>
      <c r="G7" s="17" t="s">
        <v>11</v>
      </c>
      <c r="H7" s="17" t="s">
        <v>12</v>
      </c>
      <c r="N7" s="11"/>
      <c r="O7" s="11"/>
      <c r="P7" s="11"/>
    </row>
    <row r="8" spans="1:20" ht="15" x14ac:dyDescent="0.3">
      <c r="A8" s="77">
        <v>0</v>
      </c>
      <c r="B8" s="6">
        <v>0</v>
      </c>
      <c r="C8">
        <v>5.6000000000000001E-2</v>
      </c>
      <c r="D8">
        <v>7.8E-2</v>
      </c>
      <c r="E8" s="18">
        <f t="shared" ref="E8:E13" si="0">AVERAGE(C8:D8)</f>
        <v>6.7000000000000004E-2</v>
      </c>
      <c r="F8" s="19"/>
      <c r="G8" s="17"/>
      <c r="H8" s="17"/>
      <c r="N8" s="11"/>
      <c r="O8" s="11"/>
      <c r="P8" s="11"/>
    </row>
    <row r="9" spans="1:20" ht="15" x14ac:dyDescent="0.3">
      <c r="A9" s="77">
        <v>3</v>
      </c>
      <c r="B9" s="83">
        <f>A9/23</f>
        <v>0.13043478260869565</v>
      </c>
      <c r="C9">
        <v>8.6999999999999994E-2</v>
      </c>
      <c r="D9">
        <v>7.2999999999999995E-2</v>
      </c>
      <c r="E9" s="18">
        <f t="shared" si="0"/>
        <v>7.9999999999999988E-2</v>
      </c>
      <c r="F9" s="19">
        <f>(E9-$E$8)</f>
        <v>1.2999999999999984E-2</v>
      </c>
      <c r="G9" s="19">
        <f>LOG(B9)</f>
        <v>-0.88460658129793046</v>
      </c>
      <c r="H9" s="19">
        <f>LOG(F9)</f>
        <v>-1.8860566476931637</v>
      </c>
      <c r="N9" s="11"/>
      <c r="O9" s="11"/>
      <c r="P9" s="11"/>
    </row>
    <row r="10" spans="1:20" ht="15" x14ac:dyDescent="0.3">
      <c r="A10" s="77">
        <v>9.74</v>
      </c>
      <c r="B10" s="83">
        <f t="shared" ref="B10:B13" si="1">A10/23</f>
        <v>0.42347826086956525</v>
      </c>
      <c r="C10">
        <v>0.14499999999999999</v>
      </c>
      <c r="D10">
        <v>0.17100000000000001</v>
      </c>
      <c r="E10" s="18">
        <f t="shared" si="0"/>
        <v>0.158</v>
      </c>
      <c r="F10" s="19">
        <f>(E10-$E$8)</f>
        <v>9.0999999999999998E-2</v>
      </c>
      <c r="G10" s="19">
        <f>LOG(B10)</f>
        <v>-0.37316887913897734</v>
      </c>
      <c r="H10" s="19">
        <f>LOG(F10)</f>
        <v>-1.0409586076789064</v>
      </c>
      <c r="N10" s="11"/>
      <c r="O10" s="11"/>
      <c r="P10" s="11"/>
    </row>
    <row r="11" spans="1:20" ht="15" x14ac:dyDescent="0.3">
      <c r="A11" s="77">
        <v>29.8</v>
      </c>
      <c r="B11" s="83">
        <f t="shared" si="1"/>
        <v>1.2956521739130435</v>
      </c>
      <c r="C11">
        <v>0.32</v>
      </c>
      <c r="D11">
        <v>0.32500000000000001</v>
      </c>
      <c r="E11" s="18">
        <f t="shared" si="0"/>
        <v>0.32250000000000001</v>
      </c>
      <c r="F11" s="19">
        <f>(E11-$E$8)</f>
        <v>0.2555</v>
      </c>
      <c r="G11" s="19">
        <f>LOG(B11)</f>
        <v>0.11248842805866238</v>
      </c>
      <c r="H11" s="19">
        <f>LOG(F11)</f>
        <v>-0.59260909552926844</v>
      </c>
      <c r="N11" s="11"/>
      <c r="O11" s="11"/>
      <c r="P11" s="11"/>
      <c r="Q11" s="11"/>
      <c r="R11" s="11"/>
      <c r="S11" s="11"/>
      <c r="T11" s="11"/>
    </row>
    <row r="12" spans="1:20" ht="15" x14ac:dyDescent="0.3">
      <c r="A12" s="77">
        <v>104</v>
      </c>
      <c r="B12" s="83">
        <f t="shared" si="1"/>
        <v>4.5217391304347823</v>
      </c>
      <c r="C12">
        <v>0.98499999999999999</v>
      </c>
      <c r="D12">
        <v>0.95499999999999996</v>
      </c>
      <c r="E12" s="18">
        <f t="shared" si="0"/>
        <v>0.97</v>
      </c>
      <c r="F12" s="19">
        <f>(E12-$E$8)</f>
        <v>0.90300000000000002</v>
      </c>
      <c r="G12" s="19">
        <f>LOG(B12)</f>
        <v>0.65530550328118742</v>
      </c>
      <c r="H12" s="19">
        <f>LOG(F12)</f>
        <v>-4.4312249686494193E-2</v>
      </c>
      <c r="N12" s="11"/>
      <c r="O12" s="11"/>
      <c r="P12" s="11"/>
      <c r="Q12" s="11"/>
      <c r="R12" s="11"/>
      <c r="S12" s="11"/>
      <c r="T12" s="11"/>
    </row>
    <row r="13" spans="1:20" ht="15" x14ac:dyDescent="0.3">
      <c r="A13" s="77">
        <v>207</v>
      </c>
      <c r="B13" s="83">
        <f t="shared" si="1"/>
        <v>9</v>
      </c>
      <c r="C13">
        <v>1.784</v>
      </c>
      <c r="D13">
        <v>1.754</v>
      </c>
      <c r="E13" s="18">
        <f t="shared" si="0"/>
        <v>1.7690000000000001</v>
      </c>
      <c r="F13" s="19">
        <f>(E13-$E$8)</f>
        <v>1.7020000000000002</v>
      </c>
      <c r="G13" s="19">
        <f>LOG(B13)</f>
        <v>0.95424250943932487</v>
      </c>
      <c r="H13" s="19">
        <f>LOG(F13)</f>
        <v>0.23095955574856911</v>
      </c>
      <c r="N13" s="11"/>
    </row>
    <row r="14" spans="1:20" ht="15" x14ac:dyDescent="0.3">
      <c r="N14" s="11"/>
    </row>
    <row r="15" spans="1:20" ht="15" x14ac:dyDescent="0.3">
      <c r="A15" s="12" t="s">
        <v>13</v>
      </c>
      <c r="B15" s="18">
        <f>SLOPE(H9:H13,G9:G13)</f>
        <v>1.1163893666739351</v>
      </c>
      <c r="N15" s="11"/>
    </row>
    <row r="16" spans="1:20" ht="15" x14ac:dyDescent="0.25">
      <c r="A16" s="12" t="s">
        <v>14</v>
      </c>
      <c r="B16" s="18">
        <f>INTERCEPT(H9:H13,G9:G13)</f>
        <v>-0.77025461333099743</v>
      </c>
      <c r="C16" s="20"/>
      <c r="G16" s="20"/>
      <c r="H16" s="20"/>
    </row>
    <row r="17" spans="1:17" ht="15" x14ac:dyDescent="0.3">
      <c r="B17" s="11"/>
      <c r="C17" s="11"/>
      <c r="D17" s="11"/>
      <c r="E17" s="11"/>
      <c r="F17" s="11"/>
      <c r="G17" s="11"/>
    </row>
    <row r="18" spans="1:17" ht="15" x14ac:dyDescent="0.3">
      <c r="B18" s="11"/>
      <c r="C18" s="11"/>
      <c r="D18" s="11"/>
      <c r="E18" s="11"/>
      <c r="F18" s="11"/>
      <c r="G18" s="11"/>
    </row>
    <row r="19" spans="1:17" ht="23.25" x14ac:dyDescent="0.35">
      <c r="A19" s="21" t="s">
        <v>15</v>
      </c>
      <c r="B19" s="22"/>
      <c r="C19" s="22"/>
      <c r="K19" s="23"/>
      <c r="L19" s="24" t="s">
        <v>16</v>
      </c>
      <c r="M19" s="25"/>
    </row>
    <row r="20" spans="1:17" s="24" customFormat="1" x14ac:dyDescent="0.2">
      <c r="A20" s="26" t="s">
        <v>17</v>
      </c>
      <c r="B20" s="16" t="s">
        <v>18</v>
      </c>
      <c r="C20" s="16" t="s">
        <v>18</v>
      </c>
      <c r="D20" s="16" t="s">
        <v>19</v>
      </c>
      <c r="E20" s="27" t="s">
        <v>20</v>
      </c>
      <c r="F20" s="28" t="s">
        <v>12</v>
      </c>
      <c r="G20" s="28" t="s">
        <v>21</v>
      </c>
      <c r="H20" s="28" t="s">
        <v>22</v>
      </c>
      <c r="I20" s="16" t="s">
        <v>23</v>
      </c>
      <c r="J20" s="28" t="s">
        <v>24</v>
      </c>
      <c r="K20" s="28" t="s">
        <v>25</v>
      </c>
      <c r="L20" s="28" t="s">
        <v>26</v>
      </c>
      <c r="M20" s="29" t="s">
        <v>27</v>
      </c>
    </row>
    <row r="21" spans="1:17" s="31" customFormat="1" x14ac:dyDescent="0.2">
      <c r="A21" s="30"/>
      <c r="L21" s="32"/>
      <c r="M21" s="33"/>
    </row>
    <row r="22" spans="1:17" ht="15" x14ac:dyDescent="0.3">
      <c r="A22" s="8" t="s">
        <v>28</v>
      </c>
      <c r="B22">
        <v>0.24</v>
      </c>
      <c r="C22">
        <v>0.23300000000000001</v>
      </c>
      <c r="D22" s="34">
        <f t="shared" ref="D22:D27" si="2">AVERAGE(B22:C22)</f>
        <v>0.23649999999999999</v>
      </c>
      <c r="E22" s="34">
        <f t="shared" ref="E22:E27" si="3">D22-E$8</f>
        <v>0.16949999999999998</v>
      </c>
      <c r="F22" s="34">
        <f>LOG(E22)</f>
        <v>-0.77083029746089904</v>
      </c>
      <c r="G22" s="35">
        <f>(F22-$B$16)/$B$15</f>
        <v>-5.1566608128555459E-4</v>
      </c>
      <c r="H22" s="35">
        <f>10^G22</f>
        <v>0.99881333960721319</v>
      </c>
      <c r="I22" s="36">
        <v>500</v>
      </c>
      <c r="J22" s="37">
        <f>(H22*I22)</f>
        <v>499.40666980360658</v>
      </c>
      <c r="K22" s="37">
        <f>(0.05*J22/1000)*1000</f>
        <v>24.97033349018033</v>
      </c>
      <c r="L22" s="38">
        <f>K22+K40+K50</f>
        <v>25.641502166826793</v>
      </c>
      <c r="M22" s="39">
        <f>(L22*1000000/50000)/1000</f>
        <v>0.51283004333653581</v>
      </c>
      <c r="N22" s="40"/>
    </row>
    <row r="23" spans="1:17" ht="15" x14ac:dyDescent="0.3">
      <c r="B23">
        <v>0.22600000000000001</v>
      </c>
      <c r="C23">
        <v>0.23</v>
      </c>
      <c r="D23" s="34">
        <f t="shared" si="2"/>
        <v>0.22800000000000001</v>
      </c>
      <c r="E23" s="34">
        <f t="shared" si="3"/>
        <v>0.161</v>
      </c>
      <c r="F23" s="34">
        <f t="shared" ref="F23:F27" si="4">LOG(E23)</f>
        <v>-0.79317412396815024</v>
      </c>
      <c r="G23" s="35">
        <f t="shared" ref="G23:G27" si="5">(F23-$B$16)/$B$15</f>
        <v>-2.0530033088219955E-2</v>
      </c>
      <c r="H23" s="35">
        <f t="shared" ref="H23:H27" si="6">10^G23</f>
        <v>0.95382777980131161</v>
      </c>
      <c r="I23" s="36">
        <v>500</v>
      </c>
      <c r="J23" s="37">
        <f t="shared" ref="J23:J27" si="7">(H23*I23)</f>
        <v>476.91388990065582</v>
      </c>
      <c r="K23" s="37">
        <f t="shared" ref="K23:K27" si="8">(0.05*J23/1000)*1000</f>
        <v>23.845694495032792</v>
      </c>
      <c r="L23" s="38">
        <f>K23+K41+K51</f>
        <v>24.353646022310798</v>
      </c>
      <c r="M23" s="39">
        <f t="shared" ref="M23:M27" si="9">(L23*1000000/50000)/1000</f>
        <v>0.48707292044621597</v>
      </c>
      <c r="N23" s="40"/>
    </row>
    <row r="24" spans="1:17" ht="15" x14ac:dyDescent="0.3">
      <c r="B24">
        <v>0.25600000000000001</v>
      </c>
      <c r="C24">
        <v>0.255</v>
      </c>
      <c r="D24" s="34">
        <f t="shared" si="2"/>
        <v>0.2555</v>
      </c>
      <c r="E24" s="34">
        <f t="shared" si="3"/>
        <v>0.1885</v>
      </c>
      <c r="F24" s="34">
        <f t="shared" si="4"/>
        <v>-0.72468864545818834</v>
      </c>
      <c r="G24" s="35">
        <f t="shared" si="5"/>
        <v>4.0815480004583009E-2</v>
      </c>
      <c r="H24" s="35">
        <f t="shared" si="6"/>
        <v>1.0985390007152112</v>
      </c>
      <c r="I24" s="36">
        <v>500</v>
      </c>
      <c r="J24" s="37">
        <f t="shared" si="7"/>
        <v>549.26950035760558</v>
      </c>
      <c r="K24" s="37">
        <f t="shared" si="8"/>
        <v>27.463475017880281</v>
      </c>
      <c r="L24" s="38">
        <f t="shared" ref="L24:L27" si="10">K24+K42+K52</f>
        <v>28.181422106349515</v>
      </c>
      <c r="M24" s="39">
        <f t="shared" si="9"/>
        <v>0.56362844212699026</v>
      </c>
      <c r="N24" s="40"/>
    </row>
    <row r="25" spans="1:17" ht="15" x14ac:dyDescent="0.3">
      <c r="A25" s="8" t="s">
        <v>29</v>
      </c>
      <c r="B25">
        <v>0.223</v>
      </c>
      <c r="C25">
        <v>0.22800000000000001</v>
      </c>
      <c r="D25" s="34">
        <f t="shared" si="2"/>
        <v>0.22550000000000001</v>
      </c>
      <c r="E25" s="34">
        <f t="shared" si="3"/>
        <v>0.1585</v>
      </c>
      <c r="F25" s="34">
        <f t="shared" si="4"/>
        <v>-0.79997073344622971</v>
      </c>
      <c r="G25" s="35">
        <f t="shared" si="5"/>
        <v>-2.6618060868642702E-2</v>
      </c>
      <c r="H25" s="35">
        <f t="shared" si="6"/>
        <v>0.94055011125067089</v>
      </c>
      <c r="I25" s="36">
        <v>500</v>
      </c>
      <c r="J25" s="37">
        <f t="shared" si="7"/>
        <v>470.27505562533543</v>
      </c>
      <c r="K25" s="37">
        <f t="shared" si="8"/>
        <v>23.513752781266774</v>
      </c>
      <c r="L25" s="38">
        <f t="shared" si="10"/>
        <v>24.820893482612359</v>
      </c>
      <c r="M25" s="39">
        <f t="shared" si="9"/>
        <v>0.49641786965224721</v>
      </c>
      <c r="N25" s="40"/>
    </row>
    <row r="26" spans="1:17" ht="15" x14ac:dyDescent="0.3">
      <c r="B26">
        <v>0.218</v>
      </c>
      <c r="C26">
        <v>0.218</v>
      </c>
      <c r="D26" s="34">
        <f t="shared" si="2"/>
        <v>0.218</v>
      </c>
      <c r="E26" s="34">
        <f t="shared" si="3"/>
        <v>0.151</v>
      </c>
      <c r="F26" s="34">
        <f t="shared" si="4"/>
        <v>-0.82102305270683062</v>
      </c>
      <c r="G26" s="35">
        <f t="shared" si="5"/>
        <v>-4.5475566940491277E-2</v>
      </c>
      <c r="H26" s="35">
        <f t="shared" si="6"/>
        <v>0.90058442748361889</v>
      </c>
      <c r="I26" s="36">
        <v>500</v>
      </c>
      <c r="J26" s="37">
        <f t="shared" si="7"/>
        <v>450.29221374180946</v>
      </c>
      <c r="K26" s="37">
        <f t="shared" si="8"/>
        <v>22.514610687090475</v>
      </c>
      <c r="L26" s="38">
        <f t="shared" si="10"/>
        <v>23.96424911840187</v>
      </c>
      <c r="M26" s="39">
        <f t="shared" si="9"/>
        <v>0.4792849823680374</v>
      </c>
      <c r="N26" s="40"/>
    </row>
    <row r="27" spans="1:17" ht="15" x14ac:dyDescent="0.3">
      <c r="B27">
        <v>0.23400000000000001</v>
      </c>
      <c r="C27">
        <v>0.23599999999999999</v>
      </c>
      <c r="D27" s="34">
        <f t="shared" si="2"/>
        <v>0.23499999999999999</v>
      </c>
      <c r="E27" s="34">
        <f t="shared" si="3"/>
        <v>0.16799999999999998</v>
      </c>
      <c r="F27" s="34">
        <f t="shared" si="4"/>
        <v>-0.77469071827413716</v>
      </c>
      <c r="G27" s="35">
        <f t="shared" si="5"/>
        <v>-3.9736180543856678E-3</v>
      </c>
      <c r="H27" s="35">
        <f t="shared" si="6"/>
        <v>0.99089213646680252</v>
      </c>
      <c r="I27" s="36">
        <v>500</v>
      </c>
      <c r="J27" s="37">
        <f t="shared" si="7"/>
        <v>495.44606823340126</v>
      </c>
      <c r="K27" s="37">
        <f t="shared" si="8"/>
        <v>24.772303411670066</v>
      </c>
      <c r="L27" s="38">
        <f t="shared" si="10"/>
        <v>26.294933182636598</v>
      </c>
      <c r="M27" s="39">
        <f t="shared" si="9"/>
        <v>0.52589866365273186</v>
      </c>
      <c r="N27" s="40"/>
    </row>
    <row r="28" spans="1:17" ht="23.25" x14ac:dyDescent="0.35">
      <c r="A28" s="21" t="s">
        <v>15</v>
      </c>
      <c r="B28" s="72"/>
      <c r="C28" s="72"/>
      <c r="I28" s="36"/>
      <c r="J28" s="36"/>
      <c r="K28" s="41"/>
      <c r="L28" s="24" t="s">
        <v>16</v>
      </c>
      <c r="M28" s="25"/>
    </row>
    <row r="29" spans="1:17" s="24" customFormat="1" x14ac:dyDescent="0.2">
      <c r="A29" s="26" t="s">
        <v>17</v>
      </c>
      <c r="B29" s="73" t="s">
        <v>18</v>
      </c>
      <c r="C29" s="73" t="s">
        <v>18</v>
      </c>
      <c r="D29" s="16" t="s">
        <v>19</v>
      </c>
      <c r="E29" s="27" t="s">
        <v>20</v>
      </c>
      <c r="F29" s="28" t="s">
        <v>12</v>
      </c>
      <c r="G29" s="28" t="s">
        <v>21</v>
      </c>
      <c r="H29" s="28" t="s">
        <v>22</v>
      </c>
      <c r="I29" s="27" t="s">
        <v>23</v>
      </c>
      <c r="J29" s="42" t="s">
        <v>24</v>
      </c>
      <c r="K29" s="42" t="s">
        <v>25</v>
      </c>
      <c r="L29" s="28" t="s">
        <v>26</v>
      </c>
      <c r="M29" s="29" t="s">
        <v>27</v>
      </c>
    </row>
    <row r="30" spans="1:17" s="31" customFormat="1" x14ac:dyDescent="0.2">
      <c r="A30" s="30"/>
      <c r="B30" s="74"/>
      <c r="C30" s="74"/>
      <c r="L30" s="32"/>
      <c r="M30" s="33"/>
    </row>
    <row r="31" spans="1:17" ht="15" x14ac:dyDescent="0.3">
      <c r="A31" s="8" t="s">
        <v>28</v>
      </c>
      <c r="B31">
        <v>0.24</v>
      </c>
      <c r="C31">
        <v>0.23300000000000001</v>
      </c>
      <c r="D31" s="34">
        <f t="shared" ref="D31:D36" si="11">AVERAGE(B31:C31)</f>
        <v>0.23649999999999999</v>
      </c>
      <c r="E31" s="34">
        <f t="shared" ref="E31:E36" si="12">D31-E$8</f>
        <v>0.16949999999999998</v>
      </c>
      <c r="F31" s="34">
        <f>LOG(E31)</f>
        <v>-0.77083029746089904</v>
      </c>
      <c r="G31" s="35">
        <f>(F31-$B$16)/$B$15</f>
        <v>-5.1566608128555459E-4</v>
      </c>
      <c r="H31" s="35">
        <f>10^G31</f>
        <v>0.99881333960721319</v>
      </c>
      <c r="I31" s="36">
        <v>500</v>
      </c>
      <c r="J31" s="37">
        <f>(H31*I31)</f>
        <v>499.40666980360658</v>
      </c>
      <c r="K31" s="37">
        <f>(0.05*J31/1000)*1000</f>
        <v>24.97033349018033</v>
      </c>
      <c r="L31" s="38">
        <f>K31+K50</f>
        <v>25.242581072806839</v>
      </c>
      <c r="M31" s="39">
        <f>(L31*1000000/50000)/1000</f>
        <v>0.50485162145613682</v>
      </c>
      <c r="N31" s="43"/>
      <c r="Q31" s="11"/>
    </row>
    <row r="32" spans="1:17" ht="15" x14ac:dyDescent="0.3">
      <c r="B32">
        <v>0.22600000000000001</v>
      </c>
      <c r="C32">
        <v>0.23</v>
      </c>
      <c r="D32" s="34">
        <f t="shared" si="11"/>
        <v>0.22800000000000001</v>
      </c>
      <c r="E32" s="34">
        <f t="shared" si="12"/>
        <v>0.161</v>
      </c>
      <c r="F32" s="34">
        <f t="shared" ref="F32:F36" si="13">LOG(E32)</f>
        <v>-0.79317412396815024</v>
      </c>
      <c r="G32" s="35">
        <f t="shared" ref="G32:G36" si="14">(F32-$B$16)/$B$15</f>
        <v>-2.0530033088219955E-2</v>
      </c>
      <c r="H32" s="35">
        <f t="shared" ref="H32:H36" si="15">10^G32</f>
        <v>0.95382777980131161</v>
      </c>
      <c r="I32" s="36">
        <v>500</v>
      </c>
      <c r="J32" s="37">
        <f t="shared" ref="J32:J36" si="16">(H32*I32)</f>
        <v>476.91388990065582</v>
      </c>
      <c r="K32" s="37">
        <f t="shared" ref="K32:K36" si="17">(0.05*J32/1000)*1000</f>
        <v>23.845694495032792</v>
      </c>
      <c r="L32" s="38">
        <f>K32+K51</f>
        <v>24.112747673927732</v>
      </c>
      <c r="M32" s="39">
        <f t="shared" ref="M32:M36" si="18">(L32*1000000/50000)/1000</f>
        <v>0.48225495347855463</v>
      </c>
      <c r="N32" s="44"/>
      <c r="Q32" s="11"/>
    </row>
    <row r="33" spans="1:19" ht="15" x14ac:dyDescent="0.3">
      <c r="B33">
        <v>0.25600000000000001</v>
      </c>
      <c r="C33">
        <v>0.255</v>
      </c>
      <c r="D33" s="34">
        <f t="shared" si="11"/>
        <v>0.2555</v>
      </c>
      <c r="E33" s="34">
        <f t="shared" si="12"/>
        <v>0.1885</v>
      </c>
      <c r="F33" s="34">
        <f t="shared" si="13"/>
        <v>-0.72468864545818834</v>
      </c>
      <c r="G33" s="35">
        <f t="shared" si="14"/>
        <v>4.0815480004583009E-2</v>
      </c>
      <c r="H33" s="35">
        <f t="shared" si="15"/>
        <v>1.0985390007152112</v>
      </c>
      <c r="I33" s="36">
        <v>500</v>
      </c>
      <c r="J33" s="37">
        <f t="shared" si="16"/>
        <v>549.26950035760558</v>
      </c>
      <c r="K33" s="37">
        <f t="shared" si="17"/>
        <v>27.463475017880281</v>
      </c>
      <c r="L33" s="38">
        <f t="shared" ref="L33:L36" si="19">K33+K52</f>
        <v>27.827472841293162</v>
      </c>
      <c r="M33" s="39">
        <f t="shared" si="18"/>
        <v>0.55654945682586321</v>
      </c>
      <c r="N33" s="44"/>
      <c r="Q33" s="11"/>
    </row>
    <row r="34" spans="1:19" ht="15" x14ac:dyDescent="0.3">
      <c r="A34" s="8" t="s">
        <v>29</v>
      </c>
      <c r="B34">
        <v>0.223</v>
      </c>
      <c r="C34">
        <v>0.22800000000000001</v>
      </c>
      <c r="D34" s="34">
        <f t="shared" si="11"/>
        <v>0.22550000000000001</v>
      </c>
      <c r="E34" s="34">
        <f t="shared" si="12"/>
        <v>0.1585</v>
      </c>
      <c r="F34" s="34">
        <f t="shared" si="13"/>
        <v>-0.79997073344622971</v>
      </c>
      <c r="G34" s="35">
        <f t="shared" si="14"/>
        <v>-2.6618060868642702E-2</v>
      </c>
      <c r="H34" s="35">
        <f t="shared" si="15"/>
        <v>0.94055011125067089</v>
      </c>
      <c r="I34" s="36">
        <v>500</v>
      </c>
      <c r="J34" s="37">
        <f t="shared" si="16"/>
        <v>470.27505562533543</v>
      </c>
      <c r="K34" s="37">
        <f t="shared" si="17"/>
        <v>23.513752781266774</v>
      </c>
      <c r="L34" s="38">
        <f t="shared" si="19"/>
        <v>24.338560411882515</v>
      </c>
      <c r="M34" s="39">
        <f t="shared" si="18"/>
        <v>0.48677120823765035</v>
      </c>
      <c r="N34" s="44"/>
      <c r="Q34" s="11"/>
    </row>
    <row r="35" spans="1:19" ht="15" x14ac:dyDescent="0.3">
      <c r="B35">
        <v>0.218</v>
      </c>
      <c r="C35">
        <v>0.218</v>
      </c>
      <c r="D35" s="34">
        <f t="shared" si="11"/>
        <v>0.218</v>
      </c>
      <c r="E35" s="34">
        <f t="shared" si="12"/>
        <v>0.151</v>
      </c>
      <c r="F35" s="34">
        <f t="shared" si="13"/>
        <v>-0.82102305270683062</v>
      </c>
      <c r="G35" s="35">
        <f t="shared" si="14"/>
        <v>-4.5475566940491277E-2</v>
      </c>
      <c r="H35" s="35">
        <f t="shared" si="15"/>
        <v>0.90058442748361889</v>
      </c>
      <c r="I35" s="36">
        <v>500</v>
      </c>
      <c r="J35" s="37">
        <f t="shared" si="16"/>
        <v>450.29221374180946</v>
      </c>
      <c r="K35" s="37">
        <f t="shared" si="17"/>
        <v>22.514610687090475</v>
      </c>
      <c r="L35" s="38">
        <f t="shared" si="19"/>
        <v>23.448070241447002</v>
      </c>
      <c r="M35" s="39">
        <f t="shared" si="18"/>
        <v>0.46896140482894005</v>
      </c>
      <c r="N35" s="44"/>
      <c r="Q35" s="11"/>
      <c r="S35" s="11"/>
    </row>
    <row r="36" spans="1:19" ht="15" x14ac:dyDescent="0.3">
      <c r="B36">
        <v>0.23400000000000001</v>
      </c>
      <c r="C36">
        <v>0.23599999999999999</v>
      </c>
      <c r="D36" s="34">
        <f t="shared" si="11"/>
        <v>0.23499999999999999</v>
      </c>
      <c r="E36" s="34">
        <f t="shared" si="12"/>
        <v>0.16799999999999998</v>
      </c>
      <c r="F36" s="34">
        <f t="shared" si="13"/>
        <v>-0.77469071827413716</v>
      </c>
      <c r="G36" s="35">
        <f t="shared" si="14"/>
        <v>-3.9736180543856678E-3</v>
      </c>
      <c r="H36" s="35">
        <f t="shared" si="15"/>
        <v>0.99089213646680252</v>
      </c>
      <c r="I36" s="36">
        <v>500</v>
      </c>
      <c r="J36" s="37">
        <f t="shared" si="16"/>
        <v>495.44606823340126</v>
      </c>
      <c r="K36" s="37">
        <f t="shared" si="17"/>
        <v>24.772303411670066</v>
      </c>
      <c r="L36" s="38">
        <f t="shared" si="19"/>
        <v>25.75953033135486</v>
      </c>
      <c r="M36" s="39">
        <f t="shared" si="18"/>
        <v>0.51519060662709715</v>
      </c>
      <c r="N36" s="45"/>
      <c r="Q36" s="11"/>
      <c r="S36" s="11"/>
    </row>
    <row r="37" spans="1:19" ht="15" x14ac:dyDescent="0.3">
      <c r="B37" s="3"/>
      <c r="C37" s="3"/>
      <c r="I37" s="36"/>
      <c r="J37" s="36"/>
      <c r="K37" s="36"/>
      <c r="R37" s="11"/>
      <c r="S37" s="11"/>
    </row>
    <row r="38" spans="1:19" ht="23.25" x14ac:dyDescent="0.35">
      <c r="A38" s="21" t="s">
        <v>30</v>
      </c>
      <c r="B38" s="3"/>
      <c r="C38" s="3"/>
      <c r="E38" s="35"/>
      <c r="F38" s="34"/>
      <c r="H38" s="46"/>
      <c r="I38" s="36"/>
      <c r="J38" s="36"/>
      <c r="K38" s="36"/>
      <c r="M38" s="47" t="s">
        <v>31</v>
      </c>
      <c r="R38" s="11"/>
      <c r="S38" s="11"/>
    </row>
    <row r="39" spans="1:19" ht="15" x14ac:dyDescent="0.3">
      <c r="A39" s="26" t="s">
        <v>17</v>
      </c>
      <c r="B39" s="75" t="s">
        <v>18</v>
      </c>
      <c r="C39" s="75" t="s">
        <v>18</v>
      </c>
      <c r="D39" s="16" t="s">
        <v>19</v>
      </c>
      <c r="E39" s="27" t="s">
        <v>20</v>
      </c>
      <c r="F39" s="28" t="s">
        <v>12</v>
      </c>
      <c r="G39" s="28" t="s">
        <v>21</v>
      </c>
      <c r="H39" s="28" t="s">
        <v>22</v>
      </c>
      <c r="I39" s="27" t="s">
        <v>23</v>
      </c>
      <c r="J39" s="42" t="s">
        <v>24</v>
      </c>
      <c r="K39" s="42" t="s">
        <v>32</v>
      </c>
      <c r="L39" s="28" t="s">
        <v>33</v>
      </c>
      <c r="M39" s="24" t="s">
        <v>34</v>
      </c>
      <c r="N39" s="42" t="s">
        <v>35</v>
      </c>
      <c r="R39" s="11"/>
      <c r="S39" s="11"/>
    </row>
    <row r="40" spans="1:19" ht="15" x14ac:dyDescent="0.3">
      <c r="A40" s="8" t="s">
        <v>36</v>
      </c>
      <c r="B40">
        <v>9.4E-2</v>
      </c>
      <c r="C40">
        <v>0.112</v>
      </c>
      <c r="D40" s="34">
        <f>AVERAGE(B40,C40)</f>
        <v>0.10300000000000001</v>
      </c>
      <c r="E40" s="34">
        <f t="shared" ref="E40:E45" si="20">D40-E$8</f>
        <v>3.6000000000000004E-2</v>
      </c>
      <c r="F40" s="34">
        <f t="shared" ref="F40:F45" si="21">LOG(E40)</f>
        <v>-1.4436974992327127</v>
      </c>
      <c r="G40" s="35">
        <f t="shared" ref="G40:G45" si="22">(F40-$B$16)/$B$15</f>
        <v>-0.60323298125644764</v>
      </c>
      <c r="H40" s="34">
        <f t="shared" ref="H40:H45" si="23">10^G40</f>
        <v>0.24932568376247141</v>
      </c>
      <c r="I40" s="48">
        <v>16</v>
      </c>
      <c r="J40" s="49">
        <f t="shared" ref="J40:J45" si="24">H40*I40</f>
        <v>3.9892109401995426</v>
      </c>
      <c r="K40" s="37">
        <f>(0.1*J40/1000)*1000</f>
        <v>0.39892109401995429</v>
      </c>
      <c r="L40" s="50">
        <f>K40*100/L22</f>
        <v>1.5557633535840614</v>
      </c>
      <c r="M40" s="51">
        <f>AVERAGE(L40:L42)</f>
        <v>1.2669658324906397</v>
      </c>
      <c r="N40" s="52">
        <f>STDEV(L40:L42)</f>
        <v>0.2834580310578641</v>
      </c>
      <c r="R40" s="11"/>
      <c r="S40" s="11"/>
    </row>
    <row r="41" spans="1:19" ht="15" x14ac:dyDescent="0.3">
      <c r="B41">
        <v>8.7999999999999995E-2</v>
      </c>
      <c r="C41">
        <v>8.6999999999999994E-2</v>
      </c>
      <c r="D41" s="34">
        <f>AVERAGE(B41,C41)</f>
        <v>8.7499999999999994E-2</v>
      </c>
      <c r="E41" s="34">
        <f t="shared" si="20"/>
        <v>2.049999999999999E-2</v>
      </c>
      <c r="F41" s="34">
        <f t="shared" si="21"/>
        <v>-1.6882461389442458</v>
      </c>
      <c r="G41" s="35">
        <f t="shared" si="22"/>
        <v>-0.82228616020253353</v>
      </c>
      <c r="H41" s="34">
        <f t="shared" si="23"/>
        <v>0.15056146773941706</v>
      </c>
      <c r="I41" s="48">
        <v>16</v>
      </c>
      <c r="J41" s="49">
        <f t="shared" si="24"/>
        <v>2.408983483830673</v>
      </c>
      <c r="K41" s="37">
        <f t="shared" ref="K41:K45" si="25">(0.1*J41/1000)*1000</f>
        <v>0.24089834838306731</v>
      </c>
      <c r="L41" s="50">
        <f t="shared" ref="L41:L45" si="26">K41*100/L23</f>
        <v>0.98916748712852343</v>
      </c>
      <c r="M41" s="51"/>
      <c r="N41" s="52"/>
      <c r="R41" s="11"/>
      <c r="S41" s="11"/>
    </row>
    <row r="42" spans="1:19" s="24" customFormat="1" ht="15" x14ac:dyDescent="0.3">
      <c r="A42" s="8"/>
      <c r="B42">
        <v>0.10299999999999999</v>
      </c>
      <c r="C42">
        <v>9.4E-2</v>
      </c>
      <c r="D42" s="34">
        <f>AVERAGE(B42,C42)</f>
        <v>9.8500000000000004E-2</v>
      </c>
      <c r="E42" s="34">
        <f t="shared" si="20"/>
        <v>3.15E-2</v>
      </c>
      <c r="F42" s="34">
        <f t="shared" si="21"/>
        <v>-1.5016894462103996</v>
      </c>
      <c r="G42" s="35">
        <f t="shared" si="22"/>
        <v>-0.65517896776334406</v>
      </c>
      <c r="H42" s="34">
        <f t="shared" si="23"/>
        <v>0.22121829066022114</v>
      </c>
      <c r="I42" s="48">
        <v>16</v>
      </c>
      <c r="J42" s="49">
        <f t="shared" si="24"/>
        <v>3.5394926505635382</v>
      </c>
      <c r="K42" s="37">
        <f t="shared" si="25"/>
        <v>0.35394926505635382</v>
      </c>
      <c r="L42" s="50">
        <f t="shared" si="26"/>
        <v>1.2559666567593337</v>
      </c>
      <c r="M42" s="51"/>
      <c r="N42" s="52"/>
      <c r="R42" s="11"/>
      <c r="S42" s="11"/>
    </row>
    <row r="43" spans="1:19" ht="15" x14ac:dyDescent="0.3">
      <c r="A43" s="8" t="s">
        <v>37</v>
      </c>
      <c r="B43">
        <v>0.106</v>
      </c>
      <c r="C43">
        <v>0.11700000000000001</v>
      </c>
      <c r="D43" s="34">
        <f t="shared" ref="D43:D45" si="27">AVERAGE(B43,C43)</f>
        <v>0.1115</v>
      </c>
      <c r="E43" s="34">
        <f t="shared" si="20"/>
        <v>4.4499999999999998E-2</v>
      </c>
      <c r="F43" s="34">
        <f t="shared" si="21"/>
        <v>-1.3516399890190685</v>
      </c>
      <c r="G43" s="35">
        <f t="shared" si="22"/>
        <v>-0.52077294270564012</v>
      </c>
      <c r="H43" s="34">
        <f t="shared" si="23"/>
        <v>0.3014581692061517</v>
      </c>
      <c r="I43" s="48">
        <v>16</v>
      </c>
      <c r="J43" s="49">
        <f t="shared" si="24"/>
        <v>4.8233307072984273</v>
      </c>
      <c r="K43" s="37">
        <f t="shared" si="25"/>
        <v>0.48233307072984277</v>
      </c>
      <c r="L43" s="50">
        <f t="shared" si="26"/>
        <v>1.9432542630575682</v>
      </c>
      <c r="M43" s="51">
        <f>AVERAGE(L43:L45)</f>
        <v>2.0444509052034192</v>
      </c>
      <c r="N43" s="52">
        <f>STDEV(L43:L45)</f>
        <v>0.10559512354865742</v>
      </c>
      <c r="R43" s="11"/>
      <c r="S43" s="11"/>
    </row>
    <row r="44" spans="1:19" ht="15" x14ac:dyDescent="0.3">
      <c r="A44" s="53"/>
      <c r="B44">
        <v>0.113</v>
      </c>
      <c r="C44">
        <v>0.11700000000000001</v>
      </c>
      <c r="D44" s="34">
        <f t="shared" si="27"/>
        <v>0.115</v>
      </c>
      <c r="E44" s="34">
        <f t="shared" si="20"/>
        <v>4.8000000000000001E-2</v>
      </c>
      <c r="F44" s="34">
        <f t="shared" si="21"/>
        <v>-1.3187587626244128</v>
      </c>
      <c r="G44" s="35">
        <f t="shared" si="22"/>
        <v>-0.49131975426062757</v>
      </c>
      <c r="H44" s="34">
        <f t="shared" si="23"/>
        <v>0.32261179809679347</v>
      </c>
      <c r="I44" s="48">
        <v>16</v>
      </c>
      <c r="J44" s="49">
        <f t="shared" si="24"/>
        <v>5.1617887695486955</v>
      </c>
      <c r="K44" s="37">
        <f t="shared" si="25"/>
        <v>0.51617887695486953</v>
      </c>
      <c r="L44" s="50">
        <f t="shared" si="26"/>
        <v>2.1539538935876847</v>
      </c>
      <c r="M44" s="51"/>
      <c r="N44" s="52"/>
    </row>
    <row r="45" spans="1:19" ht="15" x14ac:dyDescent="0.3">
      <c r="A45" s="54"/>
      <c r="B45">
        <v>0.115</v>
      </c>
      <c r="C45">
        <v>0.11899999999999999</v>
      </c>
      <c r="D45" s="34">
        <f t="shared" si="27"/>
        <v>0.11699999999999999</v>
      </c>
      <c r="E45" s="34">
        <f t="shared" si="20"/>
        <v>4.9999999999999989E-2</v>
      </c>
      <c r="F45" s="34">
        <f t="shared" si="21"/>
        <v>-1.3010299956639813</v>
      </c>
      <c r="G45" s="35">
        <f t="shared" si="22"/>
        <v>-0.47543930296857434</v>
      </c>
      <c r="H45" s="34">
        <f t="shared" si="23"/>
        <v>0.33462678205108659</v>
      </c>
      <c r="I45" s="48">
        <v>16</v>
      </c>
      <c r="J45" s="49">
        <f t="shared" si="24"/>
        <v>5.3540285128173855</v>
      </c>
      <c r="K45" s="37">
        <f t="shared" si="25"/>
        <v>0.53540285128173859</v>
      </c>
      <c r="L45" s="50">
        <f t="shared" si="26"/>
        <v>2.0361445589650042</v>
      </c>
      <c r="M45" s="51"/>
      <c r="N45" s="52"/>
    </row>
    <row r="46" spans="1:19" x14ac:dyDescent="0.2">
      <c r="B46" s="3"/>
      <c r="C46" s="3"/>
      <c r="E46" s="35"/>
      <c r="F46" s="34"/>
      <c r="G46" s="51"/>
      <c r="H46" s="55"/>
      <c r="I46" s="36"/>
      <c r="J46" s="36"/>
      <c r="K46" s="36"/>
    </row>
    <row r="47" spans="1:19" x14ac:dyDescent="0.2">
      <c r="B47" s="3"/>
      <c r="C47" s="3"/>
      <c r="E47" s="35"/>
      <c r="F47" s="34"/>
      <c r="G47" s="51"/>
      <c r="H47" s="55"/>
      <c r="I47" s="36"/>
      <c r="J47" s="36"/>
      <c r="K47" s="36"/>
    </row>
    <row r="48" spans="1:19" ht="23.25" x14ac:dyDescent="0.35">
      <c r="A48" s="21" t="s">
        <v>38</v>
      </c>
      <c r="B48" s="3"/>
      <c r="C48" s="3"/>
      <c r="E48" s="35"/>
      <c r="F48" s="34"/>
      <c r="H48" s="46"/>
      <c r="I48" s="36"/>
      <c r="J48" s="36"/>
      <c r="K48" s="36"/>
      <c r="M48" s="47" t="s">
        <v>31</v>
      </c>
    </row>
    <row r="49" spans="1:25" x14ac:dyDescent="0.2">
      <c r="A49" s="26" t="s">
        <v>17</v>
      </c>
      <c r="B49" s="75" t="s">
        <v>18</v>
      </c>
      <c r="C49" s="75" t="s">
        <v>18</v>
      </c>
      <c r="D49" s="16" t="s">
        <v>19</v>
      </c>
      <c r="E49" s="27" t="s">
        <v>20</v>
      </c>
      <c r="F49" s="28" t="s">
        <v>12</v>
      </c>
      <c r="G49" s="28" t="s">
        <v>21</v>
      </c>
      <c r="H49" s="28" t="s">
        <v>22</v>
      </c>
      <c r="I49" s="27" t="s">
        <v>23</v>
      </c>
      <c r="J49" s="42" t="s">
        <v>24</v>
      </c>
      <c r="K49" s="42" t="s">
        <v>32</v>
      </c>
      <c r="L49" s="28" t="s">
        <v>33</v>
      </c>
      <c r="M49" s="24" t="s">
        <v>34</v>
      </c>
      <c r="N49" s="42" t="s">
        <v>35</v>
      </c>
      <c r="O49" s="10" t="s">
        <v>39</v>
      </c>
      <c r="P49" s="24" t="s">
        <v>34</v>
      </c>
      <c r="Q49" s="42" t="s">
        <v>35</v>
      </c>
    </row>
    <row r="50" spans="1:25" ht="15" x14ac:dyDescent="0.3">
      <c r="A50" s="8" t="s">
        <v>28</v>
      </c>
      <c r="B50">
        <v>8.6999999999999994E-2</v>
      </c>
      <c r="C50">
        <v>9.4E-2</v>
      </c>
      <c r="D50" s="34">
        <f t="shared" ref="D50:D52" si="28">AVERAGE(B50,C50)</f>
        <v>9.0499999999999997E-2</v>
      </c>
      <c r="E50" s="34">
        <f t="shared" ref="E50:E55" si="29">D50-E$8</f>
        <v>2.3499999999999993E-2</v>
      </c>
      <c r="F50" s="34">
        <f t="shared" ref="F50:F55" si="30">LOG(E50)</f>
        <v>-1.628932137728264</v>
      </c>
      <c r="G50" s="35">
        <f t="shared" ref="G50:G55" si="31">(F50-$B$16)/$B$15</f>
        <v>-0.76915595045080831</v>
      </c>
      <c r="H50" s="34">
        <f t="shared" ref="H50:H55" si="32">10^G50</f>
        <v>0.17015473914156781</v>
      </c>
      <c r="I50" s="48">
        <v>16</v>
      </c>
      <c r="J50" s="49">
        <f t="shared" ref="J50:J55" si="33">H50*I50</f>
        <v>2.722475826265085</v>
      </c>
      <c r="K50" s="37">
        <f>(0.1*J50/1000)*1000</f>
        <v>0.2722475826265085</v>
      </c>
      <c r="L50" s="50">
        <f t="shared" ref="L50:L55" si="34">K50*100/L31</f>
        <v>1.0785251390944075</v>
      </c>
      <c r="M50" s="51">
        <f>AVERAGE(L50:L52)</f>
        <v>1.1646986082883251</v>
      </c>
      <c r="N50" s="52">
        <f>STDEV(L50:L52)</f>
        <v>0.12499123429345439</v>
      </c>
      <c r="O50" s="10">
        <f>L50/L40</f>
        <v>0.69324498267025958</v>
      </c>
      <c r="P50" s="51">
        <f>AVERAGE(O50:O52)</f>
        <v>0.95145419293227373</v>
      </c>
      <c r="Q50" s="52">
        <f>STDEV(O50:O52)</f>
        <v>0.22700639680660048</v>
      </c>
      <c r="S50" s="11"/>
      <c r="T50" s="11"/>
    </row>
    <row r="51" spans="1:25" ht="15" x14ac:dyDescent="0.3">
      <c r="B51">
        <v>8.6999999999999994E-2</v>
      </c>
      <c r="C51">
        <v>9.2999999999999999E-2</v>
      </c>
      <c r="D51" s="34">
        <f t="shared" si="28"/>
        <v>0.09</v>
      </c>
      <c r="E51" s="34">
        <f t="shared" si="29"/>
        <v>2.2999999999999993E-2</v>
      </c>
      <c r="F51" s="34">
        <f t="shared" si="30"/>
        <v>-1.6382721639824072</v>
      </c>
      <c r="G51" s="35">
        <f t="shared" si="31"/>
        <v>-0.77752223065103099</v>
      </c>
      <c r="H51" s="34">
        <f t="shared" si="32"/>
        <v>0.16690823680933878</v>
      </c>
      <c r="I51" s="48">
        <v>16</v>
      </c>
      <c r="J51" s="49">
        <f t="shared" si="33"/>
        <v>2.6705317889494204</v>
      </c>
      <c r="K51" s="37">
        <f t="shared" ref="K51:K55" si="35">(0.1*J51/1000)*1000</f>
        <v>0.26705317889494207</v>
      </c>
      <c r="L51" s="50">
        <f t="shared" si="34"/>
        <v>1.1075186557179351</v>
      </c>
      <c r="M51" s="51"/>
      <c r="N51" s="52"/>
      <c r="O51" s="10">
        <f t="shared" ref="O51:O55" si="36">L51/L41</f>
        <v>1.1196472489537397</v>
      </c>
      <c r="P51" s="51"/>
      <c r="Q51" s="52"/>
      <c r="S51" s="11"/>
      <c r="T51" s="11"/>
    </row>
    <row r="52" spans="1:25" ht="15" x14ac:dyDescent="0.3">
      <c r="B52">
        <v>0.1</v>
      </c>
      <c r="C52">
        <v>9.9000000000000005E-2</v>
      </c>
      <c r="D52" s="34">
        <f t="shared" si="28"/>
        <v>9.9500000000000005E-2</v>
      </c>
      <c r="E52" s="34">
        <f t="shared" si="29"/>
        <v>3.2500000000000001E-2</v>
      </c>
      <c r="F52" s="34">
        <f t="shared" si="30"/>
        <v>-1.4881166390211256</v>
      </c>
      <c r="G52" s="35">
        <f t="shared" si="31"/>
        <v>-0.6430211959370935</v>
      </c>
      <c r="H52" s="34">
        <f t="shared" si="32"/>
        <v>0.22749863963305003</v>
      </c>
      <c r="I52" s="48">
        <v>16</v>
      </c>
      <c r="J52" s="49">
        <f t="shared" si="33"/>
        <v>3.6399782341288005</v>
      </c>
      <c r="K52" s="37">
        <f t="shared" si="35"/>
        <v>0.36399782341288006</v>
      </c>
      <c r="L52" s="50">
        <f t="shared" si="34"/>
        <v>1.3080520300526322</v>
      </c>
      <c r="M52" s="51"/>
      <c r="N52" s="52"/>
      <c r="O52" s="10">
        <f t="shared" si="36"/>
        <v>1.0414703471728222</v>
      </c>
      <c r="P52" s="51"/>
      <c r="Q52" s="52"/>
      <c r="S52" s="11"/>
      <c r="T52" s="11"/>
    </row>
    <row r="53" spans="1:25" ht="15" x14ac:dyDescent="0.3">
      <c r="A53" s="8" t="s">
        <v>29</v>
      </c>
      <c r="B53">
        <v>0.14899999999999999</v>
      </c>
      <c r="C53">
        <v>0.14699999999999999</v>
      </c>
      <c r="D53" s="34">
        <f>AVERAGE(B53:C53)</f>
        <v>0.14799999999999999</v>
      </c>
      <c r="E53" s="34">
        <f t="shared" si="29"/>
        <v>8.0999999999999989E-2</v>
      </c>
      <c r="F53" s="34">
        <f t="shared" si="30"/>
        <v>-1.0915149811213503</v>
      </c>
      <c r="G53" s="35">
        <f t="shared" si="31"/>
        <v>-0.28776731253494969</v>
      </c>
      <c r="H53" s="34">
        <f t="shared" si="32"/>
        <v>0.51550476913483834</v>
      </c>
      <c r="I53" s="48">
        <v>16</v>
      </c>
      <c r="J53" s="49">
        <f t="shared" si="33"/>
        <v>8.2480763061574134</v>
      </c>
      <c r="K53" s="37">
        <f t="shared" si="35"/>
        <v>0.82480763061574136</v>
      </c>
      <c r="L53" s="50">
        <f t="shared" si="34"/>
        <v>3.3888924269039995</v>
      </c>
      <c r="M53" s="51">
        <f>AVERAGE(L53:L55)</f>
        <v>3.7341101009498119</v>
      </c>
      <c r="N53" s="52">
        <f>STDEV(L53:L55)</f>
        <v>0.30804863792567744</v>
      </c>
      <c r="O53" s="10">
        <f t="shared" si="36"/>
        <v>1.7439264080511141</v>
      </c>
      <c r="P53" s="51">
        <f>AVERAGE(O53:O55)</f>
        <v>1.8247865166585988</v>
      </c>
      <c r="Q53" s="52">
        <f>STDEV(O53:O55)</f>
        <v>7.2061729510705677E-2</v>
      </c>
      <c r="S53" s="11"/>
      <c r="T53" s="11"/>
    </row>
    <row r="54" spans="1:25" ht="15" x14ac:dyDescent="0.3">
      <c r="A54" s="53"/>
      <c r="B54">
        <v>0.157</v>
      </c>
      <c r="C54">
        <v>0.16300000000000001</v>
      </c>
      <c r="D54" s="34">
        <f>AVERAGE(B54:C54)</f>
        <v>0.16</v>
      </c>
      <c r="E54" s="34">
        <f t="shared" si="29"/>
        <v>9.2999999999999999E-2</v>
      </c>
      <c r="F54" s="34">
        <f t="shared" si="30"/>
        <v>-1.031517051446065</v>
      </c>
      <c r="G54" s="35">
        <f t="shared" si="31"/>
        <v>-0.23402447740383642</v>
      </c>
      <c r="H54" s="34">
        <f t="shared" si="32"/>
        <v>0.58341222147282923</v>
      </c>
      <c r="I54" s="48">
        <v>16</v>
      </c>
      <c r="J54" s="49">
        <f t="shared" si="33"/>
        <v>9.3345955435652677</v>
      </c>
      <c r="K54" s="37">
        <f t="shared" si="35"/>
        <v>0.93345955435652683</v>
      </c>
      <c r="L54" s="50">
        <f t="shared" si="34"/>
        <v>3.9809653619449503</v>
      </c>
      <c r="M54" s="51"/>
      <c r="N54" s="52"/>
      <c r="O54" s="10">
        <f t="shared" si="36"/>
        <v>1.8482128952696129</v>
      </c>
      <c r="P54" s="51"/>
      <c r="Q54" s="52"/>
      <c r="S54" s="11"/>
      <c r="T54" s="11"/>
    </row>
    <row r="55" spans="1:25" ht="15" x14ac:dyDescent="0.3">
      <c r="A55" s="54"/>
      <c r="B55">
        <v>0.16600000000000001</v>
      </c>
      <c r="C55">
        <v>0.16600000000000001</v>
      </c>
      <c r="D55" s="34">
        <f>AVERAGE(B55:C55)</f>
        <v>0.16600000000000001</v>
      </c>
      <c r="E55" s="34">
        <f t="shared" si="29"/>
        <v>9.9000000000000005E-2</v>
      </c>
      <c r="F55" s="34">
        <f t="shared" si="30"/>
        <v>-1.0043648054024501</v>
      </c>
      <c r="G55" s="35">
        <f t="shared" si="31"/>
        <v>-0.20970299347165805</v>
      </c>
      <c r="H55" s="34">
        <f t="shared" si="32"/>
        <v>0.61701682480299591</v>
      </c>
      <c r="I55" s="48">
        <v>16</v>
      </c>
      <c r="J55" s="49">
        <f t="shared" si="33"/>
        <v>9.8722691968479346</v>
      </c>
      <c r="K55" s="37">
        <f t="shared" si="35"/>
        <v>0.98722691968479348</v>
      </c>
      <c r="L55" s="50">
        <f t="shared" si="34"/>
        <v>3.8324725140004867</v>
      </c>
      <c r="M55" s="51"/>
      <c r="N55" s="52"/>
      <c r="O55" s="10">
        <f t="shared" si="36"/>
        <v>1.8822202466550688</v>
      </c>
      <c r="P55" s="51"/>
      <c r="Q55" s="52"/>
      <c r="S55" s="11"/>
      <c r="T55" s="11"/>
      <c r="Y55" s="8"/>
    </row>
    <row r="56" spans="1:25" x14ac:dyDescent="0.2">
      <c r="D56" s="34"/>
      <c r="E56" s="35"/>
      <c r="F56" s="34"/>
      <c r="G56" s="51"/>
      <c r="H56" s="55"/>
    </row>
    <row r="57" spans="1:25" x14ac:dyDescent="0.2">
      <c r="B57" s="51"/>
      <c r="C57" s="51"/>
      <c r="D57" s="34"/>
      <c r="E57" s="35"/>
      <c r="F57" s="34"/>
      <c r="G57" s="51"/>
      <c r="H57" s="55"/>
      <c r="M57" s="10" t="s">
        <v>40</v>
      </c>
      <c r="N57" s="10" t="s">
        <v>41</v>
      </c>
      <c r="O57" s="42" t="s">
        <v>35</v>
      </c>
    </row>
    <row r="58" spans="1:25" ht="15" x14ac:dyDescent="0.3">
      <c r="C58" s="11"/>
      <c r="D58" s="11"/>
      <c r="E58" s="11"/>
      <c r="F58" s="11"/>
      <c r="G58" s="11"/>
      <c r="H58" s="55"/>
      <c r="M58" s="10" t="s">
        <v>28</v>
      </c>
      <c r="N58" s="51">
        <f>P50</f>
        <v>0.95145419293227373</v>
      </c>
      <c r="O58" s="51">
        <f>Q50</f>
        <v>0.22700639680660048</v>
      </c>
    </row>
    <row r="59" spans="1:25" ht="15" x14ac:dyDescent="0.3">
      <c r="D59" s="11"/>
      <c r="E59" s="11"/>
      <c r="G59" s="11"/>
      <c r="M59" s="10" t="s">
        <v>29</v>
      </c>
      <c r="N59" s="51">
        <f>P53</f>
        <v>1.8247865166585988</v>
      </c>
      <c r="O59" s="51">
        <f>Q53</f>
        <v>7.2061729510705677E-2</v>
      </c>
    </row>
    <row r="60" spans="1:25" x14ac:dyDescent="0.2">
      <c r="G60" s="51"/>
      <c r="H60" s="55"/>
    </row>
    <row r="61" spans="1:25" ht="15" x14ac:dyDescent="0.3">
      <c r="A61" s="56"/>
      <c r="D61" s="11"/>
      <c r="E61" s="11"/>
      <c r="F61" s="11"/>
      <c r="G61" s="51"/>
      <c r="H61" s="55"/>
    </row>
    <row r="62" spans="1:25" ht="15" x14ac:dyDescent="0.3">
      <c r="C62" s="34"/>
      <c r="D62" s="11"/>
      <c r="E62" s="11"/>
      <c r="F62" s="11"/>
      <c r="G62" s="51"/>
      <c r="H62" s="55"/>
    </row>
    <row r="63" spans="1:25" ht="15" x14ac:dyDescent="0.3">
      <c r="C63" s="34"/>
      <c r="D63" s="11"/>
      <c r="E63" s="11"/>
      <c r="F63" s="11"/>
      <c r="G63" s="51"/>
      <c r="H63" s="55"/>
    </row>
    <row r="64" spans="1:25" ht="13.5" thickBot="1" x14ac:dyDescent="0.25">
      <c r="B64" s="57" t="s">
        <v>19</v>
      </c>
      <c r="C64" s="58" t="s">
        <v>42</v>
      </c>
      <c r="D64" s="34"/>
      <c r="E64" s="35"/>
      <c r="F64" s="34"/>
      <c r="G64" s="51"/>
      <c r="H64" s="55"/>
    </row>
    <row r="65" spans="1:8" x14ac:dyDescent="0.2">
      <c r="A65" s="8" t="s">
        <v>36</v>
      </c>
      <c r="B65" s="51">
        <f>M40</f>
        <v>1.2669658324906397</v>
      </c>
      <c r="C65" s="51">
        <f>N40</f>
        <v>0.2834580310578641</v>
      </c>
      <c r="D65" s="34"/>
      <c r="E65" s="35"/>
      <c r="F65" s="34"/>
      <c r="G65" s="51"/>
      <c r="H65" s="55"/>
    </row>
    <row r="66" spans="1:8" x14ac:dyDescent="0.2">
      <c r="A66" s="8" t="s">
        <v>28</v>
      </c>
      <c r="B66" s="51">
        <f>M50</f>
        <v>1.1646986082883251</v>
      </c>
      <c r="C66" s="51">
        <f>N50</f>
        <v>0.12499123429345439</v>
      </c>
      <c r="D66" s="34"/>
      <c r="E66" s="35"/>
      <c r="F66" s="34"/>
      <c r="G66" s="51"/>
      <c r="H66" s="55"/>
    </row>
    <row r="67" spans="1:8" x14ac:dyDescent="0.2">
      <c r="A67" s="8" t="s">
        <v>37</v>
      </c>
      <c r="B67" s="51">
        <f>M43</f>
        <v>2.0444509052034192</v>
      </c>
      <c r="C67" s="51">
        <f>N43</f>
        <v>0.10559512354865742</v>
      </c>
      <c r="D67" s="34"/>
      <c r="E67" s="35"/>
      <c r="F67" s="34"/>
      <c r="G67" s="51"/>
      <c r="H67" s="55"/>
    </row>
    <row r="68" spans="1:8" x14ac:dyDescent="0.2">
      <c r="A68" s="59" t="s">
        <v>29</v>
      </c>
      <c r="B68" s="51">
        <f>M53</f>
        <v>3.7341101009498119</v>
      </c>
      <c r="C68" s="51">
        <f>N53</f>
        <v>0.30804863792567744</v>
      </c>
      <c r="D68" s="34"/>
      <c r="E68" s="35"/>
      <c r="F68" s="34"/>
      <c r="G68" s="51"/>
      <c r="H68" s="55"/>
    </row>
    <row r="69" spans="1:8" x14ac:dyDescent="0.2">
      <c r="A69" s="60"/>
      <c r="C69" s="34"/>
      <c r="D69" s="34"/>
      <c r="E69" s="35"/>
      <c r="F69" s="34"/>
      <c r="G69" s="51"/>
      <c r="H69" s="55"/>
    </row>
    <row r="70" spans="1:8" x14ac:dyDescent="0.2">
      <c r="A70" s="60"/>
      <c r="C70" s="34"/>
      <c r="D70" s="34"/>
      <c r="E70" s="35"/>
      <c r="F70" s="34"/>
      <c r="G70" s="51"/>
      <c r="H70" s="55"/>
    </row>
    <row r="71" spans="1:8" x14ac:dyDescent="0.2">
      <c r="A71" s="60"/>
      <c r="B71" s="36"/>
      <c r="C71" s="34"/>
      <c r="D71" s="34"/>
      <c r="E71" s="35"/>
      <c r="F71" s="34"/>
      <c r="G71" s="51"/>
      <c r="H71" s="55"/>
    </row>
    <row r="72" spans="1:8" x14ac:dyDescent="0.2">
      <c r="A72" s="60"/>
      <c r="B72" s="36"/>
      <c r="C72" s="34"/>
      <c r="D72" s="34"/>
      <c r="E72" s="35"/>
      <c r="F72" s="34"/>
      <c r="G72" s="51"/>
      <c r="H72" s="55"/>
    </row>
    <row r="73" spans="1:8" x14ac:dyDescent="0.2">
      <c r="C73" s="34"/>
      <c r="D73" s="34"/>
      <c r="E73" s="35"/>
      <c r="F73" s="34"/>
      <c r="G73" s="51"/>
      <c r="H73" s="55"/>
    </row>
    <row r="74" spans="1:8" x14ac:dyDescent="0.2">
      <c r="C74" s="34"/>
      <c r="D74" s="35"/>
      <c r="H74" s="55"/>
    </row>
    <row r="75" spans="1:8" x14ac:dyDescent="0.2">
      <c r="A75" s="61"/>
      <c r="C75" s="34"/>
      <c r="D75" s="35"/>
      <c r="H75" s="46"/>
    </row>
    <row r="76" spans="1:8" x14ac:dyDescent="0.2">
      <c r="A76" s="61"/>
      <c r="C76" s="34"/>
      <c r="D76" s="35"/>
      <c r="H76" s="46"/>
    </row>
    <row r="77" spans="1:8" x14ac:dyDescent="0.2">
      <c r="A77" s="62"/>
      <c r="B77" s="46"/>
      <c r="C77" s="63"/>
      <c r="D77" s="64"/>
      <c r="E77" s="46"/>
      <c r="F77" s="46"/>
      <c r="G77" s="46"/>
    </row>
    <row r="78" spans="1:8" x14ac:dyDescent="0.2">
      <c r="A78" s="65"/>
      <c r="B78" s="66"/>
      <c r="C78" s="67"/>
      <c r="D78" s="46"/>
      <c r="E78" s="46"/>
      <c r="F78" s="46"/>
      <c r="G78" s="46"/>
    </row>
    <row r="79" spans="1:8" x14ac:dyDescent="0.2">
      <c r="A79" s="65"/>
      <c r="B79" s="68"/>
      <c r="C79" s="63"/>
      <c r="D79" s="46"/>
      <c r="E79" s="46"/>
      <c r="F79" s="46"/>
      <c r="G79" s="46"/>
    </row>
    <row r="80" spans="1:8" x14ac:dyDescent="0.2">
      <c r="A80" s="65"/>
      <c r="B80" s="68"/>
      <c r="C80" s="63"/>
      <c r="D80" s="46"/>
      <c r="E80" s="46"/>
      <c r="F80" s="46"/>
      <c r="G80" s="46"/>
    </row>
    <row r="81" spans="1:7" x14ac:dyDescent="0.2">
      <c r="A81" s="65"/>
      <c r="B81" s="68"/>
      <c r="C81" s="63"/>
      <c r="D81" s="46"/>
      <c r="E81" s="46"/>
      <c r="F81" s="46"/>
      <c r="G81" s="46"/>
    </row>
    <row r="82" spans="1:7" x14ac:dyDescent="0.2">
      <c r="A82" s="65"/>
      <c r="B82" s="68"/>
      <c r="C82" s="63"/>
      <c r="D82" s="46"/>
      <c r="E82" s="46"/>
      <c r="F82" s="46"/>
      <c r="G82" s="46"/>
    </row>
    <row r="83" spans="1:7" x14ac:dyDescent="0.2">
      <c r="A83" s="65"/>
      <c r="B83" s="46"/>
      <c r="C83" s="46"/>
      <c r="D83" s="69"/>
      <c r="E83" s="66"/>
      <c r="F83" s="66"/>
      <c r="G83" s="46"/>
    </row>
    <row r="84" spans="1:7" x14ac:dyDescent="0.2">
      <c r="A84" s="65"/>
      <c r="B84" s="68"/>
      <c r="C84" s="63"/>
      <c r="D84" s="55"/>
      <c r="E84" s="55"/>
      <c r="F84" s="55"/>
      <c r="G84" s="46"/>
    </row>
    <row r="85" spans="1:7" x14ac:dyDescent="0.2">
      <c r="A85" s="65"/>
      <c r="B85" s="68"/>
      <c r="C85" s="63"/>
      <c r="D85" s="55"/>
      <c r="E85" s="55"/>
      <c r="F85" s="55"/>
      <c r="G85" s="46"/>
    </row>
    <row r="86" spans="1:7" x14ac:dyDescent="0.2">
      <c r="A86" s="65"/>
      <c r="B86" s="68"/>
      <c r="C86" s="63"/>
      <c r="D86" s="55"/>
      <c r="E86" s="55"/>
      <c r="F86" s="55"/>
      <c r="G86" s="46"/>
    </row>
    <row r="87" spans="1:7" x14ac:dyDescent="0.2">
      <c r="A87" s="65"/>
      <c r="B87" s="68"/>
      <c r="C87" s="63"/>
      <c r="D87" s="55"/>
      <c r="E87" s="55"/>
      <c r="F87" s="55"/>
      <c r="G87" s="46"/>
    </row>
    <row r="88" spans="1:7" x14ac:dyDescent="0.2">
      <c r="A88" s="65"/>
      <c r="B88" s="46"/>
      <c r="C88" s="55"/>
      <c r="D88" s="55"/>
      <c r="E88" s="55"/>
      <c r="F88" s="55"/>
      <c r="G88" s="46"/>
    </row>
    <row r="89" spans="1:7" x14ac:dyDescent="0.2">
      <c r="A89" s="65"/>
      <c r="B89" s="46"/>
      <c r="C89" s="55"/>
      <c r="D89" s="55"/>
      <c r="E89" s="55"/>
      <c r="F89" s="55"/>
      <c r="G89" s="46"/>
    </row>
    <row r="90" spans="1:7" x14ac:dyDescent="0.2">
      <c r="C90" s="55"/>
      <c r="D90" s="55"/>
      <c r="E90" s="70"/>
      <c r="F90" s="70"/>
    </row>
    <row r="91" spans="1:7" x14ac:dyDescent="0.2">
      <c r="C91" s="55"/>
      <c r="D91" s="55"/>
      <c r="E91" s="70"/>
      <c r="F91" s="70"/>
    </row>
    <row r="92" spans="1:7" x14ac:dyDescent="0.2">
      <c r="C92" s="55"/>
      <c r="D92" s="55"/>
      <c r="E92" s="70"/>
      <c r="F92" s="70"/>
    </row>
    <row r="93" spans="1:7" x14ac:dyDescent="0.2">
      <c r="C93" s="55"/>
      <c r="D93" s="55"/>
      <c r="E93" s="70"/>
      <c r="F93" s="70"/>
    </row>
    <row r="94" spans="1:7" x14ac:dyDescent="0.2">
      <c r="C94" s="55"/>
      <c r="E94" s="70"/>
      <c r="F94" s="70"/>
    </row>
    <row r="95" spans="1:7" x14ac:dyDescent="0.2">
      <c r="C95" s="55"/>
      <c r="E95" s="70"/>
      <c r="F95" s="70"/>
    </row>
    <row r="96" spans="1:7" x14ac:dyDescent="0.2">
      <c r="C96" s="55"/>
      <c r="D96" s="55"/>
      <c r="E96" s="70"/>
      <c r="F96" s="70"/>
    </row>
    <row r="97" spans="2:6" x14ac:dyDescent="0.2">
      <c r="C97" s="55"/>
      <c r="D97" s="55"/>
      <c r="E97" s="70"/>
      <c r="F97" s="70"/>
    </row>
    <row r="98" spans="2:6" x14ac:dyDescent="0.2">
      <c r="C98" s="55"/>
      <c r="D98" s="55"/>
      <c r="E98" s="70"/>
      <c r="F98" s="70"/>
    </row>
    <row r="99" spans="2:6" x14ac:dyDescent="0.2">
      <c r="C99" s="55"/>
      <c r="D99" s="55"/>
      <c r="E99" s="70"/>
      <c r="F99" s="70"/>
    </row>
    <row r="100" spans="2:6" x14ac:dyDescent="0.2">
      <c r="C100" s="55"/>
      <c r="D100" s="55"/>
      <c r="E100" s="70"/>
      <c r="F100" s="70"/>
    </row>
    <row r="101" spans="2:6" x14ac:dyDescent="0.2">
      <c r="C101" s="55"/>
      <c r="D101" s="55"/>
      <c r="E101" s="70"/>
      <c r="F101" s="70"/>
    </row>
    <row r="102" spans="2:6" x14ac:dyDescent="0.2">
      <c r="C102" s="55"/>
      <c r="D102" s="55"/>
      <c r="E102" s="70"/>
      <c r="F102" s="70"/>
    </row>
    <row r="103" spans="2:6" x14ac:dyDescent="0.2">
      <c r="C103" s="55"/>
      <c r="D103" s="55"/>
      <c r="E103" s="70"/>
      <c r="F103" s="70"/>
    </row>
    <row r="104" spans="2:6" x14ac:dyDescent="0.2">
      <c r="C104" s="55"/>
      <c r="D104" s="55"/>
      <c r="E104" s="70"/>
      <c r="F104" s="70"/>
    </row>
    <row r="105" spans="2:6" x14ac:dyDescent="0.2">
      <c r="C105" s="55"/>
      <c r="D105" s="55"/>
      <c r="E105" s="70"/>
      <c r="F105" s="70"/>
    </row>
    <row r="106" spans="2:6" x14ac:dyDescent="0.2">
      <c r="C106" s="55"/>
    </row>
    <row r="107" spans="2:6" x14ac:dyDescent="0.2">
      <c r="C107" s="55"/>
    </row>
    <row r="108" spans="2:6" ht="13.5" thickBot="1" x14ac:dyDescent="0.25">
      <c r="B108" s="71"/>
      <c r="C108" s="71"/>
      <c r="D108" s="71"/>
      <c r="E108" s="71"/>
    </row>
    <row r="109" spans="2:6" x14ac:dyDescent="0.2">
      <c r="B109" s="70"/>
      <c r="C109" s="70"/>
      <c r="D109" s="70"/>
      <c r="E109" s="70"/>
    </row>
    <row r="110" spans="2:6" x14ac:dyDescent="0.2">
      <c r="B110" s="70"/>
      <c r="C110" s="70"/>
      <c r="D110" s="70"/>
      <c r="E110" s="70"/>
    </row>
    <row r="111" spans="2:6" x14ac:dyDescent="0.2">
      <c r="B111" s="70"/>
      <c r="C111" s="70"/>
      <c r="D111" s="70"/>
      <c r="E111" s="70"/>
    </row>
    <row r="112" spans="2:6" x14ac:dyDescent="0.2">
      <c r="B112" s="70"/>
      <c r="C112" s="70"/>
      <c r="D112" s="70"/>
      <c r="E112" s="70"/>
    </row>
    <row r="113" spans="2:5" x14ac:dyDescent="0.2">
      <c r="B113" s="70"/>
      <c r="C113" s="70"/>
      <c r="D113" s="70"/>
      <c r="E113" s="70"/>
    </row>
    <row r="114" spans="2:5" x14ac:dyDescent="0.2">
      <c r="B114" s="70"/>
      <c r="C114" s="70"/>
      <c r="D114" s="70"/>
      <c r="E114" s="70"/>
    </row>
    <row r="115" spans="2:5" x14ac:dyDescent="0.2">
      <c r="B115" s="70"/>
      <c r="C115" s="70"/>
      <c r="D115" s="70"/>
      <c r="E115" s="70"/>
    </row>
    <row r="116" spans="2:5" x14ac:dyDescent="0.2">
      <c r="B116" s="70"/>
      <c r="C116" s="70"/>
      <c r="D116" s="70"/>
      <c r="E116" s="70"/>
    </row>
    <row r="117" spans="2:5" x14ac:dyDescent="0.2">
      <c r="B117" s="70"/>
      <c r="C117" s="70"/>
      <c r="D117" s="70"/>
      <c r="E117" s="70"/>
    </row>
    <row r="118" spans="2:5" x14ac:dyDescent="0.2">
      <c r="B118" s="70"/>
      <c r="C118" s="70"/>
      <c r="D118" s="70"/>
      <c r="E118" s="70"/>
    </row>
  </sheetData>
  <pageMargins left="0.7" right="0.7" top="0.75" bottom="0.75" header="0.3" footer="0.3"/>
  <pageSetup paperSize="9"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siNTP</vt:lpstr>
      <vt:lpstr>siSSR1</vt:lpstr>
      <vt:lpstr>siSLC30A8</vt:lpstr>
      <vt:lpstr>siNTP!Zone_d_impression</vt:lpstr>
      <vt:lpstr>siSLC30A8!Zone_d_impression</vt:lpstr>
      <vt:lpstr>siSSR1!Zone_d_impression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 MH. Huyvaert</dc:creator>
  <cp:lastModifiedBy>Marlene MH. Huyvaert</cp:lastModifiedBy>
  <dcterms:created xsi:type="dcterms:W3CDTF">2016-03-17T14:56:32Z</dcterms:created>
  <dcterms:modified xsi:type="dcterms:W3CDTF">2016-03-18T15:03:04Z</dcterms:modified>
</cp:coreProperties>
</file>