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fils\marlene\Desktop\STAT S2\"/>
    </mc:Choice>
  </mc:AlternateContent>
  <bookViews>
    <workbookView xWindow="0" yWindow="0" windowWidth="28800" windowHeight="12435" activeTab="1"/>
  </bookViews>
  <sheets>
    <sheet name="siNTP" sheetId="1" r:id="rId1"/>
    <sheet name="siHNF4A" sheetId="3" r:id="rId2"/>
    <sheet name="siANK1" sheetId="4" r:id="rId3"/>
  </sheets>
  <externalReferences>
    <externalReference r:id="rId4"/>
  </externalReferences>
  <definedNames>
    <definedName name="_xlnm.Print_Area" localSheetId="2">siANK1!$A$6:$Q$83</definedName>
    <definedName name="_xlnm.Print_Area" localSheetId="1">siHNF4A!$A$6:$Q$83</definedName>
    <definedName name="_xlnm.Print_Area" localSheetId="0">siNTP!$A$6:$Q$83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4" l="1"/>
  <c r="B12" i="4"/>
  <c r="B11" i="4"/>
  <c r="B10" i="4"/>
  <c r="B9" i="4"/>
  <c r="B13" i="3"/>
  <c r="B12" i="3"/>
  <c r="B11" i="3"/>
  <c r="B10" i="3"/>
  <c r="B9" i="3"/>
  <c r="D55" i="4" l="1"/>
  <c r="D54" i="4"/>
  <c r="D53" i="4"/>
  <c r="D52" i="4"/>
  <c r="D51" i="4"/>
  <c r="D50" i="4"/>
  <c r="D45" i="4"/>
  <c r="D44" i="4"/>
  <c r="D43" i="4"/>
  <c r="D42" i="4"/>
  <c r="D41" i="4"/>
  <c r="D40" i="4"/>
  <c r="D36" i="4"/>
  <c r="D35" i="4"/>
  <c r="D34" i="4"/>
  <c r="D33" i="4"/>
  <c r="D32" i="4"/>
  <c r="D31" i="4"/>
  <c r="D27" i="4"/>
  <c r="D26" i="4"/>
  <c r="D25" i="4"/>
  <c r="D24" i="4"/>
  <c r="D23" i="4"/>
  <c r="D22" i="4"/>
  <c r="G13" i="4"/>
  <c r="E13" i="4"/>
  <c r="G12" i="4"/>
  <c r="E12" i="4"/>
  <c r="E11" i="4"/>
  <c r="G11" i="4"/>
  <c r="E10" i="4"/>
  <c r="G10" i="4"/>
  <c r="G9" i="4"/>
  <c r="E9" i="4"/>
  <c r="E8" i="4"/>
  <c r="D55" i="3"/>
  <c r="D54" i="3"/>
  <c r="D53" i="3"/>
  <c r="D52" i="3"/>
  <c r="D51" i="3"/>
  <c r="D50" i="3"/>
  <c r="D45" i="3"/>
  <c r="D44" i="3"/>
  <c r="D43" i="3"/>
  <c r="D42" i="3"/>
  <c r="D41" i="3"/>
  <c r="D40" i="3"/>
  <c r="D36" i="3"/>
  <c r="D35" i="3"/>
  <c r="D34" i="3"/>
  <c r="D33" i="3"/>
  <c r="D32" i="3"/>
  <c r="D31" i="3"/>
  <c r="D27" i="3"/>
  <c r="D26" i="3"/>
  <c r="D25" i="3"/>
  <c r="D24" i="3"/>
  <c r="D23" i="3"/>
  <c r="D22" i="3"/>
  <c r="G13" i="3"/>
  <c r="E13" i="3"/>
  <c r="G12" i="3"/>
  <c r="E12" i="3"/>
  <c r="E11" i="3"/>
  <c r="G11" i="3"/>
  <c r="E10" i="3"/>
  <c r="G10" i="3"/>
  <c r="G9" i="3"/>
  <c r="E9" i="3"/>
  <c r="E8" i="3"/>
  <c r="D55" i="1"/>
  <c r="D54" i="1"/>
  <c r="D53" i="1"/>
  <c r="D52" i="1"/>
  <c r="D51" i="1"/>
  <c r="D50" i="1"/>
  <c r="D45" i="1"/>
  <c r="D44" i="1"/>
  <c r="D43" i="1"/>
  <c r="D42" i="1"/>
  <c r="D41" i="1"/>
  <c r="D40" i="1"/>
  <c r="D36" i="1"/>
  <c r="D35" i="1"/>
  <c r="D34" i="1"/>
  <c r="D33" i="1"/>
  <c r="D32" i="1"/>
  <c r="D31" i="1"/>
  <c r="D27" i="1"/>
  <c r="D26" i="1"/>
  <c r="D25" i="1"/>
  <c r="D24" i="1"/>
  <c r="D23" i="1"/>
  <c r="D22" i="1"/>
  <c r="E13" i="1"/>
  <c r="B13" i="1"/>
  <c r="G13" i="1" s="1"/>
  <c r="E12" i="1"/>
  <c r="B12" i="1"/>
  <c r="G12" i="1" s="1"/>
  <c r="E11" i="1"/>
  <c r="B11" i="1"/>
  <c r="G11" i="1" s="1"/>
  <c r="E10" i="1"/>
  <c r="B10" i="1"/>
  <c r="G10" i="1" s="1"/>
  <c r="E9" i="1"/>
  <c r="B9" i="1"/>
  <c r="G9" i="1" s="1"/>
  <c r="E8" i="1"/>
  <c r="F9" i="3" l="1"/>
  <c r="H9" i="3" s="1"/>
  <c r="F9" i="4"/>
  <c r="H9" i="4" s="1"/>
  <c r="E26" i="3"/>
  <c r="F26" i="3" s="1"/>
  <c r="E40" i="3"/>
  <c r="F40" i="3" s="1"/>
  <c r="E40" i="4"/>
  <c r="F40" i="4" s="1"/>
  <c r="E24" i="4"/>
  <c r="F24" i="4" s="1"/>
  <c r="E45" i="4"/>
  <c r="F45" i="4" s="1"/>
  <c r="F10" i="3"/>
  <c r="H10" i="3" s="1"/>
  <c r="E32" i="3"/>
  <c r="F32" i="3" s="1"/>
  <c r="E43" i="3"/>
  <c r="F43" i="3" s="1"/>
  <c r="E51" i="3"/>
  <c r="F51" i="3" s="1"/>
  <c r="E42" i="3"/>
  <c r="F42" i="3" s="1"/>
  <c r="E54" i="3"/>
  <c r="F54" i="3" s="1"/>
  <c r="E54" i="1"/>
  <c r="F54" i="1" s="1"/>
  <c r="E52" i="3"/>
  <c r="F52" i="3" s="1"/>
  <c r="F13" i="4"/>
  <c r="H13" i="4" s="1"/>
  <c r="E34" i="4"/>
  <c r="F34" i="4" s="1"/>
  <c r="E52" i="4"/>
  <c r="F52" i="4" s="1"/>
  <c r="E42" i="4"/>
  <c r="F42" i="4" s="1"/>
  <c r="F13" i="3"/>
  <c r="H13" i="3" s="1"/>
  <c r="E24" i="3"/>
  <c r="F24" i="3" s="1"/>
  <c r="E35" i="3"/>
  <c r="F35" i="3" s="1"/>
  <c r="E45" i="3"/>
  <c r="F45" i="3" s="1"/>
  <c r="E23" i="3"/>
  <c r="F23" i="3" s="1"/>
  <c r="E41" i="3"/>
  <c r="F41" i="3" s="1"/>
  <c r="F10" i="1"/>
  <c r="H10" i="1" s="1"/>
  <c r="F11" i="4"/>
  <c r="H11" i="4" s="1"/>
  <c r="E22" i="4"/>
  <c r="F22" i="4" s="1"/>
  <c r="E25" i="4"/>
  <c r="F25" i="4" s="1"/>
  <c r="E31" i="4"/>
  <c r="F31" i="4" s="1"/>
  <c r="E50" i="4"/>
  <c r="F50" i="4" s="1"/>
  <c r="E53" i="4"/>
  <c r="F53" i="4" s="1"/>
  <c r="E23" i="4"/>
  <c r="F23" i="4" s="1"/>
  <c r="E26" i="4"/>
  <c r="F26" i="4" s="1"/>
  <c r="E32" i="4"/>
  <c r="F32" i="4" s="1"/>
  <c r="E35" i="4"/>
  <c r="F35" i="4" s="1"/>
  <c r="E41" i="4"/>
  <c r="F41" i="4" s="1"/>
  <c r="E43" i="4"/>
  <c r="F43" i="4" s="1"/>
  <c r="E51" i="4"/>
  <c r="F51" i="4" s="1"/>
  <c r="E54" i="4"/>
  <c r="F54" i="4" s="1"/>
  <c r="F10" i="4"/>
  <c r="H10" i="4" s="1"/>
  <c r="F12" i="4"/>
  <c r="H12" i="4" s="1"/>
  <c r="E27" i="4"/>
  <c r="F27" i="4" s="1"/>
  <c r="E33" i="4"/>
  <c r="F33" i="4" s="1"/>
  <c r="E36" i="4"/>
  <c r="F36" i="4" s="1"/>
  <c r="E44" i="4"/>
  <c r="F44" i="4" s="1"/>
  <c r="E55" i="4"/>
  <c r="F55" i="4" s="1"/>
  <c r="F12" i="1"/>
  <c r="H12" i="1" s="1"/>
  <c r="E32" i="1"/>
  <c r="F32" i="1" s="1"/>
  <c r="E55" i="1"/>
  <c r="F55" i="1" s="1"/>
  <c r="E22" i="1"/>
  <c r="F22" i="1" s="1"/>
  <c r="F11" i="1"/>
  <c r="H11" i="1" s="1"/>
  <c r="F13" i="1"/>
  <c r="H13" i="1" s="1"/>
  <c r="E31" i="1"/>
  <c r="F31" i="1" s="1"/>
  <c r="E35" i="1"/>
  <c r="F35" i="1" s="1"/>
  <c r="E36" i="1"/>
  <c r="F36" i="1" s="1"/>
  <c r="E25" i="1"/>
  <c r="F25" i="1" s="1"/>
  <c r="E51" i="1"/>
  <c r="F51" i="1" s="1"/>
  <c r="F9" i="1"/>
  <c r="H9" i="1" s="1"/>
  <c r="E23" i="1"/>
  <c r="F23" i="1" s="1"/>
  <c r="E27" i="1"/>
  <c r="F27" i="1" s="1"/>
  <c r="E34" i="1"/>
  <c r="F34" i="1" s="1"/>
  <c r="E41" i="1"/>
  <c r="F41" i="1" s="1"/>
  <c r="E34" i="3"/>
  <c r="F34" i="3" s="1"/>
  <c r="E27" i="3"/>
  <c r="F27" i="3" s="1"/>
  <c r="E33" i="3"/>
  <c r="F33" i="3" s="1"/>
  <c r="E36" i="3"/>
  <c r="F36" i="3" s="1"/>
  <c r="E44" i="3"/>
  <c r="F44" i="3" s="1"/>
  <c r="E55" i="3"/>
  <c r="F55" i="3" s="1"/>
  <c r="F11" i="3"/>
  <c r="H11" i="3" s="1"/>
  <c r="E22" i="3"/>
  <c r="F22" i="3" s="1"/>
  <c r="E25" i="3"/>
  <c r="F25" i="3" s="1"/>
  <c r="E31" i="3"/>
  <c r="F31" i="3" s="1"/>
  <c r="E50" i="3"/>
  <c r="F50" i="3" s="1"/>
  <c r="E53" i="3"/>
  <c r="F53" i="3" s="1"/>
  <c r="F12" i="3"/>
  <c r="H12" i="3" s="1"/>
  <c r="E24" i="1"/>
  <c r="F24" i="1" s="1"/>
  <c r="E42" i="1"/>
  <c r="F42" i="1" s="1"/>
  <c r="E43" i="1"/>
  <c r="F43" i="1" s="1"/>
  <c r="E52" i="1"/>
  <c r="F52" i="1" s="1"/>
  <c r="E53" i="1"/>
  <c r="F53" i="1" s="1"/>
  <c r="E26" i="1"/>
  <c r="F26" i="1" s="1"/>
  <c r="E33" i="1"/>
  <c r="F33" i="1" s="1"/>
  <c r="E40" i="1"/>
  <c r="F40" i="1" s="1"/>
  <c r="E44" i="1"/>
  <c r="F44" i="1" s="1"/>
  <c r="E45" i="1"/>
  <c r="F45" i="1" s="1"/>
  <c r="E50" i="1"/>
  <c r="F50" i="1" s="1"/>
  <c r="B15" i="4" l="1"/>
  <c r="B16" i="1"/>
  <c r="B15" i="1"/>
  <c r="B16" i="4"/>
  <c r="B16" i="3"/>
  <c r="B15" i="3"/>
  <c r="G36" i="1" l="1"/>
  <c r="H36" i="1" s="1"/>
  <c r="J36" i="1" s="1"/>
  <c r="K36" i="1" s="1"/>
  <c r="G33" i="1"/>
  <c r="H33" i="1" s="1"/>
  <c r="J33" i="1" s="1"/>
  <c r="K33" i="1" s="1"/>
  <c r="G31" i="1"/>
  <c r="H31" i="1" s="1"/>
  <c r="J31" i="1" s="1"/>
  <c r="K31" i="1" s="1"/>
  <c r="G35" i="1"/>
  <c r="H35" i="1" s="1"/>
  <c r="J35" i="1" s="1"/>
  <c r="K35" i="1" s="1"/>
  <c r="G55" i="1"/>
  <c r="H55" i="1" s="1"/>
  <c r="J55" i="1" s="1"/>
  <c r="K55" i="1" s="1"/>
  <c r="G52" i="1"/>
  <c r="H52" i="1" s="1"/>
  <c r="J52" i="1" s="1"/>
  <c r="K52" i="1" s="1"/>
  <c r="G23" i="1"/>
  <c r="H23" i="1" s="1"/>
  <c r="J23" i="1" s="1"/>
  <c r="K23" i="1" s="1"/>
  <c r="G42" i="1"/>
  <c r="H42" i="1" s="1"/>
  <c r="J42" i="1" s="1"/>
  <c r="K42" i="1" s="1"/>
  <c r="G53" i="1"/>
  <c r="H53" i="1" s="1"/>
  <c r="J53" i="1" s="1"/>
  <c r="K53" i="1" s="1"/>
  <c r="G41" i="1"/>
  <c r="H41" i="1" s="1"/>
  <c r="J41" i="1" s="1"/>
  <c r="K41" i="1" s="1"/>
  <c r="G25" i="1"/>
  <c r="H25" i="1" s="1"/>
  <c r="J25" i="1" s="1"/>
  <c r="K25" i="1" s="1"/>
  <c r="G24" i="1"/>
  <c r="H24" i="1" s="1"/>
  <c r="J24" i="1" s="1"/>
  <c r="K24" i="1" s="1"/>
  <c r="G22" i="1"/>
  <c r="H22" i="1" s="1"/>
  <c r="J22" i="1" s="1"/>
  <c r="K22" i="1" s="1"/>
  <c r="G34" i="1"/>
  <c r="H34" i="1" s="1"/>
  <c r="J34" i="1" s="1"/>
  <c r="K34" i="1" s="1"/>
  <c r="G42" i="4"/>
  <c r="H42" i="4" s="1"/>
  <c r="J42" i="4" s="1"/>
  <c r="K42" i="4" s="1"/>
  <c r="G26" i="1"/>
  <c r="H26" i="1" s="1"/>
  <c r="J26" i="1" s="1"/>
  <c r="K26" i="1" s="1"/>
  <c r="G43" i="1"/>
  <c r="H43" i="1" s="1"/>
  <c r="J43" i="1" s="1"/>
  <c r="K43" i="1" s="1"/>
  <c r="G44" i="1"/>
  <c r="H44" i="1" s="1"/>
  <c r="J44" i="1" s="1"/>
  <c r="K44" i="1" s="1"/>
  <c r="G45" i="1"/>
  <c r="H45" i="1" s="1"/>
  <c r="J45" i="1" s="1"/>
  <c r="K45" i="1" s="1"/>
  <c r="G27" i="1"/>
  <c r="H27" i="1" s="1"/>
  <c r="J27" i="1" s="1"/>
  <c r="K27" i="1" s="1"/>
  <c r="G54" i="1"/>
  <c r="H54" i="1" s="1"/>
  <c r="J54" i="1" s="1"/>
  <c r="K54" i="1" s="1"/>
  <c r="G50" i="1"/>
  <c r="H50" i="1" s="1"/>
  <c r="J50" i="1" s="1"/>
  <c r="K50" i="1" s="1"/>
  <c r="G51" i="1"/>
  <c r="H51" i="1" s="1"/>
  <c r="J51" i="1" s="1"/>
  <c r="K51" i="1" s="1"/>
  <c r="G32" i="1"/>
  <c r="H32" i="1" s="1"/>
  <c r="J32" i="1" s="1"/>
  <c r="K32" i="1" s="1"/>
  <c r="G40" i="1"/>
  <c r="H40" i="1" s="1"/>
  <c r="J40" i="1" s="1"/>
  <c r="K40" i="1" s="1"/>
  <c r="G33" i="4"/>
  <c r="H33" i="4" s="1"/>
  <c r="J33" i="4" s="1"/>
  <c r="K33" i="4" s="1"/>
  <c r="G44" i="4"/>
  <c r="H44" i="4" s="1"/>
  <c r="J44" i="4" s="1"/>
  <c r="K44" i="4" s="1"/>
  <c r="G23" i="4"/>
  <c r="H23" i="4" s="1"/>
  <c r="J23" i="4" s="1"/>
  <c r="K23" i="4" s="1"/>
  <c r="G34" i="4"/>
  <c r="H34" i="4" s="1"/>
  <c r="J34" i="4" s="1"/>
  <c r="K34" i="4" s="1"/>
  <c r="G31" i="4"/>
  <c r="H31" i="4" s="1"/>
  <c r="J31" i="4" s="1"/>
  <c r="K31" i="4" s="1"/>
  <c r="G43" i="4"/>
  <c r="H43" i="4" s="1"/>
  <c r="J43" i="4" s="1"/>
  <c r="K43" i="4" s="1"/>
  <c r="G54" i="4"/>
  <c r="H54" i="4" s="1"/>
  <c r="J54" i="4" s="1"/>
  <c r="K54" i="4" s="1"/>
  <c r="G22" i="4"/>
  <c r="H22" i="4" s="1"/>
  <c r="J22" i="4" s="1"/>
  <c r="K22" i="4" s="1"/>
  <c r="G55" i="4"/>
  <c r="H55" i="4" s="1"/>
  <c r="J55" i="4" s="1"/>
  <c r="K55" i="4" s="1"/>
  <c r="G53" i="4"/>
  <c r="H53" i="4" s="1"/>
  <c r="J53" i="4" s="1"/>
  <c r="K53" i="4" s="1"/>
  <c r="G36" i="4"/>
  <c r="H36" i="4" s="1"/>
  <c r="J36" i="4" s="1"/>
  <c r="K36" i="4" s="1"/>
  <c r="G50" i="4"/>
  <c r="H50" i="4" s="1"/>
  <c r="J50" i="4" s="1"/>
  <c r="K50" i="4" s="1"/>
  <c r="G24" i="4"/>
  <c r="H24" i="4" s="1"/>
  <c r="J24" i="4" s="1"/>
  <c r="K24" i="4" s="1"/>
  <c r="G41" i="4"/>
  <c r="H41" i="4" s="1"/>
  <c r="J41" i="4" s="1"/>
  <c r="K41" i="4" s="1"/>
  <c r="G52" i="4"/>
  <c r="H52" i="4" s="1"/>
  <c r="J52" i="4" s="1"/>
  <c r="K52" i="4" s="1"/>
  <c r="G32" i="4"/>
  <c r="H32" i="4" s="1"/>
  <c r="J32" i="4" s="1"/>
  <c r="K32" i="4" s="1"/>
  <c r="G25" i="4"/>
  <c r="H25" i="4" s="1"/>
  <c r="J25" i="4" s="1"/>
  <c r="K25" i="4" s="1"/>
  <c r="G26" i="4"/>
  <c r="H26" i="4" s="1"/>
  <c r="J26" i="4" s="1"/>
  <c r="K26" i="4" s="1"/>
  <c r="G35" i="4"/>
  <c r="H35" i="4" s="1"/>
  <c r="J35" i="4" s="1"/>
  <c r="K35" i="4" s="1"/>
  <c r="L35" i="4" s="1"/>
  <c r="M35" i="4" s="1"/>
  <c r="G45" i="4"/>
  <c r="H45" i="4" s="1"/>
  <c r="J45" i="4" s="1"/>
  <c r="K45" i="4" s="1"/>
  <c r="G27" i="4"/>
  <c r="H27" i="4" s="1"/>
  <c r="J27" i="4" s="1"/>
  <c r="K27" i="4" s="1"/>
  <c r="G40" i="4"/>
  <c r="H40" i="4" s="1"/>
  <c r="J40" i="4" s="1"/>
  <c r="K40" i="4" s="1"/>
  <c r="G51" i="4"/>
  <c r="H51" i="4" s="1"/>
  <c r="J51" i="4" s="1"/>
  <c r="K51" i="4" s="1"/>
  <c r="G42" i="3"/>
  <c r="H42" i="3" s="1"/>
  <c r="J42" i="3" s="1"/>
  <c r="K42" i="3" s="1"/>
  <c r="G36" i="3"/>
  <c r="H36" i="3" s="1"/>
  <c r="J36" i="3" s="1"/>
  <c r="K36" i="3" s="1"/>
  <c r="G33" i="3"/>
  <c r="H33" i="3" s="1"/>
  <c r="J33" i="3" s="1"/>
  <c r="K33" i="3" s="1"/>
  <c r="G52" i="3"/>
  <c r="H52" i="3" s="1"/>
  <c r="J52" i="3" s="1"/>
  <c r="K52" i="3" s="1"/>
  <c r="G41" i="3"/>
  <c r="H41" i="3" s="1"/>
  <c r="J41" i="3" s="1"/>
  <c r="K41" i="3" s="1"/>
  <c r="G51" i="3"/>
  <c r="H51" i="3" s="1"/>
  <c r="J51" i="3" s="1"/>
  <c r="K51" i="3" s="1"/>
  <c r="G35" i="3"/>
  <c r="H35" i="3" s="1"/>
  <c r="J35" i="3" s="1"/>
  <c r="K35" i="3" s="1"/>
  <c r="G32" i="3"/>
  <c r="H32" i="3" s="1"/>
  <c r="J32" i="3" s="1"/>
  <c r="K32" i="3" s="1"/>
  <c r="G43" i="3"/>
  <c r="H43" i="3" s="1"/>
  <c r="J43" i="3" s="1"/>
  <c r="K43" i="3" s="1"/>
  <c r="G24" i="3"/>
  <c r="H24" i="3" s="1"/>
  <c r="J24" i="3" s="1"/>
  <c r="K24" i="3" s="1"/>
  <c r="G23" i="3"/>
  <c r="H23" i="3" s="1"/>
  <c r="J23" i="3" s="1"/>
  <c r="K23" i="3" s="1"/>
  <c r="G34" i="3"/>
  <c r="H34" i="3" s="1"/>
  <c r="J34" i="3" s="1"/>
  <c r="K34" i="3" s="1"/>
  <c r="G53" i="3"/>
  <c r="H53" i="3" s="1"/>
  <c r="J53" i="3" s="1"/>
  <c r="K53" i="3" s="1"/>
  <c r="G50" i="3"/>
  <c r="H50" i="3" s="1"/>
  <c r="J50" i="3" s="1"/>
  <c r="K50" i="3" s="1"/>
  <c r="G26" i="3"/>
  <c r="H26" i="3" s="1"/>
  <c r="J26" i="3" s="1"/>
  <c r="K26" i="3" s="1"/>
  <c r="G55" i="3"/>
  <c r="H55" i="3" s="1"/>
  <c r="J55" i="3" s="1"/>
  <c r="K55" i="3" s="1"/>
  <c r="G25" i="3"/>
  <c r="H25" i="3" s="1"/>
  <c r="J25" i="3" s="1"/>
  <c r="K25" i="3" s="1"/>
  <c r="G44" i="3"/>
  <c r="H44" i="3" s="1"/>
  <c r="J44" i="3" s="1"/>
  <c r="K44" i="3" s="1"/>
  <c r="G22" i="3"/>
  <c r="H22" i="3" s="1"/>
  <c r="J22" i="3" s="1"/>
  <c r="K22" i="3" s="1"/>
  <c r="G40" i="3"/>
  <c r="H40" i="3" s="1"/>
  <c r="J40" i="3" s="1"/>
  <c r="K40" i="3" s="1"/>
  <c r="G31" i="3"/>
  <c r="H31" i="3" s="1"/>
  <c r="J31" i="3" s="1"/>
  <c r="K31" i="3" s="1"/>
  <c r="G27" i="3"/>
  <c r="H27" i="3" s="1"/>
  <c r="J27" i="3" s="1"/>
  <c r="K27" i="3" s="1"/>
  <c r="G45" i="3"/>
  <c r="H45" i="3" s="1"/>
  <c r="J45" i="3" s="1"/>
  <c r="K45" i="3" s="1"/>
  <c r="G54" i="3"/>
  <c r="H54" i="3" s="1"/>
  <c r="J54" i="3" s="1"/>
  <c r="K54" i="3" s="1"/>
  <c r="L36" i="1"/>
  <c r="M36" i="1" s="1"/>
  <c r="L34" i="1" l="1"/>
  <c r="M34" i="1" s="1"/>
  <c r="L24" i="1"/>
  <c r="M24" i="1" s="1"/>
  <c r="L31" i="1"/>
  <c r="M31" i="1" s="1"/>
  <c r="L25" i="1"/>
  <c r="M25" i="1" s="1"/>
  <c r="L35" i="1"/>
  <c r="M35" i="1" s="1"/>
  <c r="L23" i="1"/>
  <c r="M23" i="1" s="1"/>
  <c r="L33" i="1"/>
  <c r="M33" i="1" s="1"/>
  <c r="L32" i="1"/>
  <c r="M32" i="1" s="1"/>
  <c r="L27" i="1"/>
  <c r="M27" i="1" s="1"/>
  <c r="L26" i="1"/>
  <c r="M26" i="1" s="1"/>
  <c r="L27" i="4"/>
  <c r="M27" i="4" s="1"/>
  <c r="L31" i="4"/>
  <c r="M31" i="4" s="1"/>
  <c r="L22" i="1"/>
  <c r="M22" i="1" s="1"/>
  <c r="L22" i="4"/>
  <c r="M22" i="4" s="1"/>
  <c r="L34" i="4"/>
  <c r="M34" i="4" s="1"/>
  <c r="L33" i="4"/>
  <c r="M33" i="4" s="1"/>
  <c r="L32" i="4"/>
  <c r="M32" i="4" s="1"/>
  <c r="L25" i="4"/>
  <c r="M25" i="4" s="1"/>
  <c r="L36" i="4"/>
  <c r="M36" i="4" s="1"/>
  <c r="L26" i="4"/>
  <c r="M26" i="4" s="1"/>
  <c r="L23" i="4"/>
  <c r="M23" i="4" s="1"/>
  <c r="L42" i="1"/>
  <c r="L24" i="4"/>
  <c r="L25" i="3"/>
  <c r="M25" i="3" s="1"/>
  <c r="L22" i="3"/>
  <c r="M22" i="3" s="1"/>
  <c r="L26" i="3"/>
  <c r="M26" i="3" s="1"/>
  <c r="L23" i="3"/>
  <c r="M23" i="3" s="1"/>
  <c r="L33" i="3"/>
  <c r="M33" i="3" s="1"/>
  <c r="L24" i="3"/>
  <c r="M24" i="3" s="1"/>
  <c r="L36" i="3"/>
  <c r="M36" i="3" s="1"/>
  <c r="L35" i="3"/>
  <c r="M35" i="3" s="1"/>
  <c r="L54" i="4"/>
  <c r="L31" i="3"/>
  <c r="M31" i="3" s="1"/>
  <c r="L34" i="3"/>
  <c r="M34" i="3" s="1"/>
  <c r="L32" i="3"/>
  <c r="M32" i="3" s="1"/>
  <c r="L27" i="3"/>
  <c r="M27" i="3" s="1"/>
  <c r="L41" i="1"/>
  <c r="L55" i="1"/>
  <c r="L53" i="1" l="1"/>
  <c r="L53" i="4"/>
  <c r="M53" i="4" s="1"/>
  <c r="B68" i="4" s="1"/>
  <c r="L51" i="1"/>
  <c r="O51" i="1" s="1"/>
  <c r="L50" i="1"/>
  <c r="L44" i="1"/>
  <c r="L43" i="1"/>
  <c r="N43" i="1" s="1"/>
  <c r="C67" i="1" s="1"/>
  <c r="L50" i="4"/>
  <c r="L43" i="4"/>
  <c r="L45" i="1"/>
  <c r="O55" i="1" s="1"/>
  <c r="L54" i="1"/>
  <c r="L51" i="4"/>
  <c r="L40" i="4"/>
  <c r="L55" i="4"/>
  <c r="L52" i="1"/>
  <c r="O52" i="1" s="1"/>
  <c r="L44" i="4"/>
  <c r="O54" i="4" s="1"/>
  <c r="L45" i="4"/>
  <c r="L43" i="3"/>
  <c r="L40" i="1"/>
  <c r="M40" i="1" s="1"/>
  <c r="B65" i="1" s="1"/>
  <c r="L52" i="4"/>
  <c r="N50" i="4" s="1"/>
  <c r="C66" i="4" s="1"/>
  <c r="L41" i="4"/>
  <c r="L53" i="3"/>
  <c r="M24" i="4"/>
  <c r="L42" i="4"/>
  <c r="L52" i="3"/>
  <c r="L42" i="3"/>
  <c r="L40" i="3"/>
  <c r="L44" i="3"/>
  <c r="L55" i="3"/>
  <c r="L41" i="3"/>
  <c r="L54" i="3"/>
  <c r="L50" i="3"/>
  <c r="L45" i="3"/>
  <c r="L51" i="3"/>
  <c r="N50" i="1" l="1"/>
  <c r="C66" i="1" s="1"/>
  <c r="N40" i="3"/>
  <c r="C65" i="3" s="1"/>
  <c r="N53" i="4"/>
  <c r="C68" i="4" s="1"/>
  <c r="O53" i="4"/>
  <c r="M50" i="1"/>
  <c r="B66" i="1" s="1"/>
  <c r="O51" i="4"/>
  <c r="P50" i="4" s="1"/>
  <c r="N58" i="4" s="1"/>
  <c r="O50" i="4"/>
  <c r="O52" i="3"/>
  <c r="O54" i="1"/>
  <c r="O53" i="1"/>
  <c r="M43" i="1"/>
  <c r="B67" i="1" s="1"/>
  <c r="N53" i="1"/>
  <c r="C68" i="1" s="1"/>
  <c r="M53" i="1"/>
  <c r="B68" i="1" s="1"/>
  <c r="N43" i="4"/>
  <c r="C67" i="4" s="1"/>
  <c r="M43" i="4"/>
  <c r="B67" i="4" s="1"/>
  <c r="O54" i="3"/>
  <c r="N40" i="1"/>
  <c r="C65" i="1" s="1"/>
  <c r="O55" i="4"/>
  <c r="M50" i="4"/>
  <c r="B66" i="4" s="1"/>
  <c r="N40" i="4"/>
  <c r="C65" i="4" s="1"/>
  <c r="N53" i="3"/>
  <c r="C68" i="3" s="1"/>
  <c r="O50" i="1"/>
  <c r="Q50" i="1" s="1"/>
  <c r="O58" i="1" s="1"/>
  <c r="O55" i="3"/>
  <c r="O53" i="3"/>
  <c r="Q53" i="3" s="1"/>
  <c r="O59" i="3" s="1"/>
  <c r="M53" i="3"/>
  <c r="B68" i="3" s="1"/>
  <c r="O52" i="4"/>
  <c r="M40" i="4"/>
  <c r="B65" i="4" s="1"/>
  <c r="N43" i="3"/>
  <c r="C67" i="3" s="1"/>
  <c r="M50" i="3"/>
  <c r="B66" i="3" s="1"/>
  <c r="O50" i="3"/>
  <c r="M40" i="3"/>
  <c r="B65" i="3" s="1"/>
  <c r="O51" i="3"/>
  <c r="N50" i="3"/>
  <c r="C66" i="3" s="1"/>
  <c r="M43" i="3"/>
  <c r="B67" i="3" s="1"/>
  <c r="Q53" i="4" l="1"/>
  <c r="O59" i="4" s="1"/>
  <c r="Q53" i="1"/>
  <c r="O59" i="1" s="1"/>
  <c r="P53" i="4"/>
  <c r="N59" i="4" s="1"/>
  <c r="Q50" i="4"/>
  <c r="O58" i="4" s="1"/>
  <c r="P53" i="1"/>
  <c r="N59" i="1" s="1"/>
  <c r="P53" i="3"/>
  <c r="N59" i="3" s="1"/>
  <c r="P50" i="1"/>
  <c r="N58" i="1" s="1"/>
  <c r="Q50" i="3"/>
  <c r="O58" i="3" s="1"/>
  <c r="P50" i="3"/>
  <c r="N58" i="3" s="1"/>
</calcChain>
</file>

<file path=xl/sharedStrings.xml><?xml version="1.0" encoding="utf-8"?>
<sst xmlns="http://schemas.openxmlformats.org/spreadsheetml/2006/main" count="282" uniqueCount="44">
  <si>
    <t>Date</t>
  </si>
  <si>
    <t>passage</t>
  </si>
  <si>
    <t>viabilité</t>
  </si>
  <si>
    <t>operateur</t>
  </si>
  <si>
    <t>Marlene</t>
  </si>
  <si>
    <t>J0</t>
  </si>
  <si>
    <t>J3</t>
  </si>
  <si>
    <t>mU/L</t>
    <phoneticPr fontId="0" type="noConversion"/>
  </si>
  <si>
    <t>Calibrator µg/L</t>
  </si>
  <si>
    <t xml:space="preserve">  Dulicate O.D</t>
  </si>
  <si>
    <t>Means</t>
  </si>
  <si>
    <t>Means-blank</t>
  </si>
  <si>
    <t>log (Conc)</t>
    <phoneticPr fontId="0" type="noConversion"/>
  </si>
  <si>
    <t>log (Abs)</t>
    <phoneticPr fontId="0" type="noConversion"/>
  </si>
  <si>
    <t>Slope</t>
  </si>
  <si>
    <t>Intercept</t>
  </si>
  <si>
    <t>Insulin content samples dil 500X (LYSAT)</t>
  </si>
  <si>
    <t>ng insulin/TOTAL CELLS</t>
  </si>
  <si>
    <t>Samples</t>
  </si>
  <si>
    <t>O.D</t>
  </si>
  <si>
    <t>mean</t>
    <phoneticPr fontId="0" type="noConversion"/>
  </si>
  <si>
    <t>mean-BK</t>
    <phoneticPr fontId="0" type="noConversion"/>
  </si>
  <si>
    <t>log conc</t>
    <phoneticPr fontId="0" type="noConversion"/>
  </si>
  <si>
    <t>µg/L</t>
  </si>
  <si>
    <t>dilutions to measure</t>
    <phoneticPr fontId="0" type="noConversion"/>
  </si>
  <si>
    <t>Final conc  µg/L</t>
  </si>
  <si>
    <t>Total ng (in 50 ul)</t>
  </si>
  <si>
    <t>Total content</t>
  </si>
  <si>
    <t>ug insulin/million cells</t>
  </si>
  <si>
    <t>16,7 mM Glc</t>
  </si>
  <si>
    <t>16,7 mM Glc + IBMX</t>
  </si>
  <si>
    <t>Insulin secretion samples 0,5 mM dil 16x (SN1)</t>
  </si>
  <si>
    <t xml:space="preserve"> insulin secretion (% of content) </t>
  </si>
  <si>
    <t>Total ng (in 100 ul)</t>
    <phoneticPr fontId="0" type="noConversion"/>
  </si>
  <si>
    <t xml:space="preserve"> insulin secretion (% of content) </t>
    <phoneticPr fontId="0" type="noConversion"/>
  </si>
  <si>
    <t>Mean tripl</t>
  </si>
  <si>
    <t>Ectype</t>
  </si>
  <si>
    <t>0,5 mM Glc</t>
  </si>
  <si>
    <t>0,5 mM Glc + IBMX</t>
  </si>
  <si>
    <t>Insulin secretion samples 16,7 mM Glc dil 16x (SN2)</t>
  </si>
  <si>
    <t>11mM/0,5mM</t>
  </si>
  <si>
    <t>Fold change</t>
  </si>
  <si>
    <t>Mean</t>
  </si>
  <si>
    <t>ectype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</si>
</sst>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7" x14ac:knownFonts="1">
    <font>
      <sz val="10"/>
      <name val="Comic Sans MS"/>
      <family val="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indexed="48"/>
      <name val="Arial"/>
      <family val="2"/>
    </font>
    <font>
      <sz val="10"/>
      <name val="Comic Sans MS"/>
    </font>
    <font>
      <b/>
      <sz val="8"/>
      <name val="Arial"/>
      <family val="2"/>
    </font>
    <font>
      <sz val="18"/>
      <color indexed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b/>
      <sz val="12"/>
      <name val="Arial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9">
    <xf numFmtId="0" fontId="0" fillId="0" borderId="0"/>
    <xf numFmtId="0" fontId="9" fillId="0" borderId="0"/>
    <xf numFmtId="0" fontId="5" fillId="0" borderId="0"/>
    <xf numFmtId="0" fontId="16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</cellStyleXfs>
  <cellXfs count="84">
    <xf numFmtId="0" fontId="0" fillId="0" borderId="0" xfId="0"/>
    <xf numFmtId="0" fontId="6" fillId="0" borderId="0" xfId="0" applyFont="1" applyAlignment="1">
      <alignment horizontal="left"/>
    </xf>
    <xf numFmtId="1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6" fillId="0" borderId="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1" applyFont="1" applyAlignment="1">
      <alignment horizontal="left"/>
    </xf>
    <xf numFmtId="0" fontId="6" fillId="0" borderId="2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9" fillId="0" borderId="0" xfId="1"/>
    <xf numFmtId="0" fontId="6" fillId="0" borderId="1" xfId="1" applyFont="1" applyBorder="1" applyAlignment="1">
      <alignment horizontal="left"/>
    </xf>
    <xf numFmtId="0" fontId="10" fillId="0" borderId="1" xfId="1" applyFont="1" applyBorder="1" applyAlignment="1" applyProtection="1">
      <alignment horizontal="center"/>
    </xf>
    <xf numFmtId="0" fontId="10" fillId="0" borderId="3" xfId="1" applyFont="1" applyBorder="1" applyAlignment="1" applyProtection="1">
      <alignment horizontal="center"/>
      <protection locked="0"/>
    </xf>
    <xf numFmtId="0" fontId="10" fillId="0" borderId="4" xfId="1" applyFont="1" applyBorder="1" applyAlignment="1">
      <alignment horizontal="center"/>
    </xf>
    <xf numFmtId="0" fontId="10" fillId="0" borderId="1" xfId="1" applyFont="1" applyBorder="1" applyAlignment="1">
      <alignment horizontal="center"/>
    </xf>
    <xf numFmtId="0" fontId="6" fillId="0" borderId="1" xfId="1" applyFont="1" applyBorder="1" applyAlignment="1">
      <alignment horizontal="center"/>
    </xf>
    <xf numFmtId="164" fontId="6" fillId="0" borderId="1" xfId="1" applyNumberFormat="1" applyFont="1" applyBorder="1" applyAlignment="1">
      <alignment horizontal="center"/>
    </xf>
    <xf numFmtId="2" fontId="6" fillId="0" borderId="1" xfId="1" applyNumberFormat="1" applyFont="1" applyBorder="1" applyAlignment="1">
      <alignment horizontal="center"/>
    </xf>
    <xf numFmtId="0" fontId="5" fillId="0" borderId="0" xfId="2" applyFill="1"/>
    <xf numFmtId="0" fontId="11" fillId="0" borderId="0" xfId="0" applyFont="1" applyAlignment="1">
      <alignment horizontal="left"/>
    </xf>
    <xf numFmtId="0" fontId="11" fillId="0" borderId="0" xfId="1" applyFont="1" applyAlignment="1">
      <alignment horizontal="center"/>
    </xf>
    <xf numFmtId="0" fontId="10" fillId="0" borderId="0" xfId="1" applyFont="1" applyBorder="1" applyAlignment="1">
      <alignment horizontal="center"/>
    </xf>
    <xf numFmtId="0" fontId="12" fillId="0" borderId="0" xfId="1" applyFont="1" applyAlignment="1">
      <alignment horizontal="center"/>
    </xf>
    <xf numFmtId="0" fontId="13" fillId="0" borderId="0" xfId="1" applyFont="1" applyAlignment="1">
      <alignment horizontal="center"/>
    </xf>
    <xf numFmtId="0" fontId="12" fillId="0" borderId="1" xfId="1" applyFont="1" applyBorder="1" applyAlignment="1">
      <alignment horizontal="left"/>
    </xf>
    <xf numFmtId="0" fontId="10" fillId="0" borderId="1" xfId="1" applyFont="1" applyFill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4" fillId="0" borderId="0" xfId="1" applyFont="1" applyAlignment="1">
      <alignment horizontal="center"/>
    </xf>
    <xf numFmtId="0" fontId="6" fillId="2" borderId="0" xfId="1" applyFont="1" applyFill="1" applyAlignment="1">
      <alignment horizontal="left"/>
    </xf>
    <xf numFmtId="0" fontId="6" fillId="2" borderId="0" xfId="1" applyFont="1" applyFill="1" applyAlignment="1">
      <alignment horizontal="center"/>
    </xf>
    <xf numFmtId="0" fontId="12" fillId="2" borderId="0" xfId="1" applyFont="1" applyFill="1" applyAlignment="1">
      <alignment horizontal="center"/>
    </xf>
    <xf numFmtId="0" fontId="14" fillId="2" borderId="0" xfId="1" applyFont="1" applyFill="1" applyAlignment="1">
      <alignment horizontal="center"/>
    </xf>
    <xf numFmtId="2" fontId="6" fillId="0" borderId="0" xfId="1" applyNumberFormat="1" applyFont="1" applyAlignment="1">
      <alignment horizontal="center"/>
    </xf>
    <xf numFmtId="164" fontId="6" fillId="0" borderId="0" xfId="1" applyNumberFormat="1" applyFont="1" applyAlignment="1">
      <alignment horizontal="center"/>
    </xf>
    <xf numFmtId="0" fontId="6" fillId="0" borderId="0" xfId="1" applyFont="1" applyFill="1" applyAlignment="1">
      <alignment horizontal="center"/>
    </xf>
    <xf numFmtId="165" fontId="6" fillId="0" borderId="0" xfId="1" applyNumberFormat="1" applyFont="1" applyFill="1" applyAlignment="1">
      <alignment horizontal="center"/>
    </xf>
    <xf numFmtId="165" fontId="12" fillId="0" borderId="0" xfId="1" applyNumberFormat="1" applyFont="1" applyAlignment="1">
      <alignment horizontal="center"/>
    </xf>
    <xf numFmtId="2" fontId="14" fillId="0" borderId="5" xfId="1" applyNumberFormat="1" applyFont="1" applyBorder="1" applyAlignment="1">
      <alignment horizontal="center"/>
    </xf>
    <xf numFmtId="2" fontId="6" fillId="0" borderId="6" xfId="1" applyNumberFormat="1" applyFont="1" applyBorder="1" applyAlignment="1">
      <alignment horizontal="center"/>
    </xf>
    <xf numFmtId="0" fontId="10" fillId="0" borderId="0" xfId="1" applyFont="1" applyFill="1" applyBorder="1" applyAlignment="1">
      <alignment horizontal="center"/>
    </xf>
    <xf numFmtId="0" fontId="12" fillId="0" borderId="1" xfId="1" applyFont="1" applyFill="1" applyBorder="1" applyAlignment="1">
      <alignment horizontal="center"/>
    </xf>
    <xf numFmtId="0" fontId="6" fillId="0" borderId="6" xfId="1" applyFont="1" applyBorder="1" applyAlignment="1">
      <alignment horizontal="center"/>
    </xf>
    <xf numFmtId="0" fontId="6" fillId="0" borderId="7" xfId="1" applyFont="1" applyBorder="1" applyAlignment="1">
      <alignment horizontal="center"/>
    </xf>
    <xf numFmtId="0" fontId="6" fillId="0" borderId="8" xfId="1" applyFont="1" applyBorder="1" applyAlignment="1">
      <alignment horizontal="center"/>
    </xf>
    <xf numFmtId="0" fontId="6" fillId="0" borderId="0" xfId="1" applyFont="1" applyBorder="1" applyAlignment="1">
      <alignment horizontal="center"/>
    </xf>
    <xf numFmtId="0" fontId="15" fillId="0" borderId="0" xfId="1" applyFont="1" applyBorder="1" applyAlignment="1">
      <alignment horizontal="center"/>
    </xf>
    <xf numFmtId="1" fontId="6" fillId="0" borderId="0" xfId="1" applyNumberFormat="1" applyFont="1" applyFill="1" applyAlignment="1">
      <alignment horizontal="center"/>
    </xf>
    <xf numFmtId="165" fontId="6" fillId="0" borderId="0" xfId="1" applyNumberFormat="1" applyFont="1" applyFill="1" applyBorder="1" applyAlignment="1">
      <alignment horizontal="center"/>
    </xf>
    <xf numFmtId="165" fontId="6" fillId="0" borderId="5" xfId="1" applyNumberFormat="1" applyFont="1" applyBorder="1" applyAlignment="1">
      <alignment horizontal="center"/>
    </xf>
    <xf numFmtId="165" fontId="6" fillId="0" borderId="0" xfId="1" applyNumberFormat="1" applyFont="1" applyAlignment="1">
      <alignment horizontal="center"/>
    </xf>
    <xf numFmtId="2" fontId="12" fillId="0" borderId="6" xfId="1" applyNumberFormat="1" applyFont="1" applyBorder="1" applyAlignment="1">
      <alignment horizontal="center"/>
    </xf>
    <xf numFmtId="0" fontId="6" fillId="0" borderId="9" xfId="1" applyFont="1" applyBorder="1" applyAlignment="1">
      <alignment horizontal="left"/>
    </xf>
    <xf numFmtId="0" fontId="6" fillId="0" borderId="10" xfId="1" applyFont="1" applyBorder="1" applyAlignment="1">
      <alignment horizontal="left"/>
    </xf>
    <xf numFmtId="1" fontId="6" fillId="0" borderId="0" xfId="1" applyNumberFormat="1" applyFont="1" applyBorder="1" applyAlignment="1">
      <alignment horizontal="center"/>
    </xf>
    <xf numFmtId="0" fontId="12" fillId="0" borderId="0" xfId="1" applyFont="1" applyFill="1" applyAlignment="1">
      <alignment horizontal="left"/>
    </xf>
    <xf numFmtId="0" fontId="12" fillId="0" borderId="11" xfId="1" applyFont="1" applyBorder="1" applyAlignment="1">
      <alignment horizontal="center"/>
    </xf>
    <xf numFmtId="2" fontId="12" fillId="0" borderId="11" xfId="1" applyNumberFormat="1" applyFont="1" applyBorder="1" applyAlignment="1">
      <alignment horizontal="center"/>
    </xf>
    <xf numFmtId="0" fontId="6" fillId="0" borderId="5" xfId="1" applyFont="1" applyBorder="1" applyAlignment="1">
      <alignment horizontal="left"/>
    </xf>
    <xf numFmtId="0" fontId="13" fillId="0" borderId="0" xfId="1" applyFont="1" applyAlignment="1">
      <alignment horizontal="left"/>
    </xf>
    <xf numFmtId="0" fontId="6" fillId="0" borderId="0" xfId="1" applyFont="1" applyFill="1" applyAlignment="1">
      <alignment horizontal="left"/>
    </xf>
    <xf numFmtId="0" fontId="6" fillId="0" borderId="0" xfId="1" applyFont="1" applyFill="1" applyBorder="1" applyAlignment="1">
      <alignment horizontal="left"/>
    </xf>
    <xf numFmtId="2" fontId="6" fillId="0" borderId="0" xfId="1" applyNumberFormat="1" applyFont="1" applyBorder="1" applyAlignment="1">
      <alignment horizontal="center"/>
    </xf>
    <xf numFmtId="164" fontId="6" fillId="0" borderId="0" xfId="1" applyNumberFormat="1" applyFont="1" applyBorder="1" applyAlignment="1">
      <alignment horizontal="center"/>
    </xf>
    <xf numFmtId="0" fontId="6" fillId="0" borderId="0" xfId="1" applyFont="1" applyBorder="1" applyAlignment="1">
      <alignment horizontal="left"/>
    </xf>
    <xf numFmtId="0" fontId="12" fillId="0" borderId="0" xfId="1" applyFont="1" applyBorder="1" applyAlignment="1">
      <alignment horizontal="center"/>
    </xf>
    <xf numFmtId="2" fontId="12" fillId="0" borderId="0" xfId="1" applyNumberFormat="1" applyFont="1" applyBorder="1" applyAlignment="1">
      <alignment horizontal="center"/>
    </xf>
    <xf numFmtId="165" fontId="6" fillId="0" borderId="0" xfId="1" applyNumberFormat="1" applyFont="1" applyBorder="1" applyAlignment="1">
      <alignment horizontal="center"/>
    </xf>
    <xf numFmtId="14" fontId="12" fillId="0" borderId="0" xfId="1" applyNumberFormat="1" applyFont="1" applyBorder="1" applyAlignment="1">
      <alignment horizontal="center"/>
    </xf>
    <xf numFmtId="1" fontId="6" fillId="0" borderId="0" xfId="1" applyNumberFormat="1" applyFont="1" applyAlignment="1">
      <alignment horizontal="center"/>
    </xf>
    <xf numFmtId="0" fontId="6" fillId="0" borderId="11" xfId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12" fillId="0" borderId="1" xfId="0" applyFont="1" applyBorder="1" applyAlignment="1">
      <alignment horizontal="center"/>
    </xf>
    <xf numFmtId="0" fontId="16" fillId="0" borderId="0" xfId="3" applyProtection="1">
      <protection locked="0"/>
    </xf>
    <xf numFmtId="0" fontId="16" fillId="0" borderId="0" xfId="3" applyProtection="1">
      <protection locked="0"/>
    </xf>
    <xf numFmtId="0" fontId="6" fillId="0" borderId="1" xfId="0" applyFont="1" applyBorder="1" applyAlignment="1">
      <alignment horizontal="left"/>
    </xf>
    <xf numFmtId="0" fontId="4" fillId="0" borderId="0" xfId="4" applyProtection="1">
      <protection locked="0"/>
    </xf>
    <xf numFmtId="0" fontId="0" fillId="3" borderId="0" xfId="0" applyFill="1" applyProtection="1">
      <protection locked="0"/>
    </xf>
    <xf numFmtId="0" fontId="1" fillId="0" borderId="0" xfId="8" applyProtection="1">
      <protection locked="0"/>
    </xf>
    <xf numFmtId="0" fontId="1" fillId="0" borderId="0" xfId="8" applyProtection="1">
      <protection locked="0"/>
    </xf>
    <xf numFmtId="0" fontId="1" fillId="0" borderId="0" xfId="8" applyProtection="1">
      <protection locked="0"/>
    </xf>
  </cellXfs>
  <cellStyles count="9">
    <cellStyle name="Normal" xfId="0" builtinId="0"/>
    <cellStyle name="Normal 2" xfId="3"/>
    <cellStyle name="Normal 2 2" xfId="2"/>
    <cellStyle name="Normal 3" xfId="4"/>
    <cellStyle name="Normal 4" xfId="5"/>
    <cellStyle name="Normal 5" xfId="7"/>
    <cellStyle name="Normal 6" xfId="1"/>
    <cellStyle name="Normal 7" xfId="6"/>
    <cellStyle name="Normal 8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siNTP!$G$9:$G$13</c:f>
              <c:numCache>
                <c:formatCode>0.00</c:formatCode>
                <c:ptCount val="5"/>
                <c:pt idx="0">
                  <c:v>-0.88460658129793046</c:v>
                </c:pt>
                <c:pt idx="1">
                  <c:v>-0.37316887913897734</c:v>
                </c:pt>
                <c:pt idx="2">
                  <c:v>0.11248842805866238</c:v>
                </c:pt>
                <c:pt idx="3">
                  <c:v>0.65530550328118742</c:v>
                </c:pt>
                <c:pt idx="4">
                  <c:v>0.95424250943932487</c:v>
                </c:pt>
              </c:numCache>
            </c:numRef>
          </c:xVal>
          <c:yVal>
            <c:numRef>
              <c:f>siNTP!$H$9:$H$13</c:f>
              <c:numCache>
                <c:formatCode>0.00</c:formatCode>
                <c:ptCount val="5"/>
                <c:pt idx="0">
                  <c:v>-1.4089353929735009</c:v>
                </c:pt>
                <c:pt idx="1">
                  <c:v>-0.91901295308911279</c:v>
                </c:pt>
                <c:pt idx="2">
                  <c:v>-0.43711261870612073</c:v>
                </c:pt>
                <c:pt idx="3">
                  <c:v>0.12172394563736699</c:v>
                </c:pt>
                <c:pt idx="4">
                  <c:v>0.36011986158080544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86064"/>
        <c:axId val="128086456"/>
      </c:scatterChart>
      <c:valAx>
        <c:axId val="12808606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28086456"/>
        <c:crosses val="autoZero"/>
        <c:crossBetween val="midCat"/>
      </c:valAx>
      <c:valAx>
        <c:axId val="128086456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2808606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siNTP!$C$65:$C$68</c:f>
                <c:numCache>
                  <c:formatCode>General</c:formatCode>
                  <c:ptCount val="4"/>
                  <c:pt idx="0">
                    <c:v>3.6493178501267369E-2</c:v>
                  </c:pt>
                  <c:pt idx="1">
                    <c:v>0.37387624602564257</c:v>
                  </c:pt>
                  <c:pt idx="2">
                    <c:v>0.23288664573802795</c:v>
                  </c:pt>
                  <c:pt idx="3">
                    <c:v>1.9024938039775321</c:v>
                  </c:pt>
                </c:numCache>
              </c:numRef>
            </c:plus>
            <c:minus>
              <c:numRef>
                <c:f>siNTP!$C$65:$C$68</c:f>
                <c:numCache>
                  <c:formatCode>General</c:formatCode>
                  <c:ptCount val="4"/>
                  <c:pt idx="0">
                    <c:v>3.6493178501267369E-2</c:v>
                  </c:pt>
                  <c:pt idx="1">
                    <c:v>0.37387624602564257</c:v>
                  </c:pt>
                  <c:pt idx="2">
                    <c:v>0.23288664573802795</c:v>
                  </c:pt>
                  <c:pt idx="3">
                    <c:v>1.9024938039775321</c:v>
                  </c:pt>
                </c:numCache>
              </c:numRef>
            </c:minus>
          </c:errBars>
          <c:cat>
            <c:strRef>
              <c:f>(siNTP!$A$65,siNTP!$A$66,siNTP!$A$67,siNTP!$A$68)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siNTP!$B$65:$B$68</c:f>
              <c:numCache>
                <c:formatCode>0.0</c:formatCode>
                <c:ptCount val="4"/>
                <c:pt idx="0">
                  <c:v>2.2981233644884589</c:v>
                </c:pt>
                <c:pt idx="1">
                  <c:v>2.4748145557612657</c:v>
                </c:pt>
                <c:pt idx="2">
                  <c:v>6.3201060564424694</c:v>
                </c:pt>
                <c:pt idx="3">
                  <c:v>11.70660752162199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087240"/>
        <c:axId val="199611080"/>
      </c:barChart>
      <c:catAx>
        <c:axId val="128087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99611080"/>
        <c:crosses val="autoZero"/>
        <c:auto val="1"/>
        <c:lblAlgn val="ctr"/>
        <c:lblOffset val="100"/>
        <c:noMultiLvlLbl val="0"/>
      </c:catAx>
      <c:valAx>
        <c:axId val="19961108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siNTP!$M$48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0948E-2"/>
              <c:y val="0.204976477951506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2808724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256"/>
          <c:y val="2.7200801823077238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NTP</c:v>
          </c:tx>
          <c:invertIfNegative val="0"/>
          <c:errBars>
            <c:errBarType val="both"/>
            <c:errValType val="cust"/>
            <c:noEndCap val="0"/>
            <c:plus>
              <c:numRef>
                <c:f>siNTP!$O$58:$O$59</c:f>
                <c:numCache>
                  <c:formatCode>General</c:formatCode>
                  <c:ptCount val="2"/>
                  <c:pt idx="0">
                    <c:v>0.16141299307724521</c:v>
                  </c:pt>
                  <c:pt idx="1">
                    <c:v>0.29420717029047061</c:v>
                  </c:pt>
                </c:numCache>
              </c:numRef>
            </c:plus>
            <c:minus>
              <c:numRef>
                <c:f>siNTP!$O$58:$O$59</c:f>
                <c:numCache>
                  <c:formatCode>General</c:formatCode>
                  <c:ptCount val="2"/>
                  <c:pt idx="0">
                    <c:v>0.16141299307724521</c:v>
                  </c:pt>
                  <c:pt idx="1">
                    <c:v>0.29420717029047061</c:v>
                  </c:pt>
                </c:numCache>
              </c:numRef>
            </c:minus>
          </c:errBars>
          <c:cat>
            <c:strRef>
              <c:f>siNTP!$M$58:$M$59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siNTP!$N$58:$N$59</c:f>
              <c:numCache>
                <c:formatCode>0.0</c:formatCode>
                <c:ptCount val="2"/>
                <c:pt idx="0">
                  <c:v>1.0767733221802487</c:v>
                </c:pt>
                <c:pt idx="1">
                  <c:v>1.8529549171856381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412440"/>
        <c:axId val="230412832"/>
      </c:barChart>
      <c:catAx>
        <c:axId val="230412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30412832"/>
        <c:crosses val="autoZero"/>
        <c:auto val="1"/>
        <c:lblAlgn val="ctr"/>
        <c:lblOffset val="100"/>
        <c:noMultiLvlLbl val="0"/>
      </c:catAx>
      <c:valAx>
        <c:axId val="23041283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siNTP!$M$57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3041244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siHNF4A!$G$9:$G$13</c:f>
              <c:numCache>
                <c:formatCode>0.00</c:formatCode>
                <c:ptCount val="5"/>
                <c:pt idx="0">
                  <c:v>-0.88460658129793046</c:v>
                </c:pt>
                <c:pt idx="1">
                  <c:v>-0.37316887913897734</c:v>
                </c:pt>
                <c:pt idx="2">
                  <c:v>0.11248842805866238</c:v>
                </c:pt>
                <c:pt idx="3">
                  <c:v>0.65530550328118742</c:v>
                </c:pt>
                <c:pt idx="4">
                  <c:v>0.95424250943932487</c:v>
                </c:pt>
              </c:numCache>
            </c:numRef>
          </c:xVal>
          <c:yVal>
            <c:numRef>
              <c:f>siHNF4A!$H$9:$H$13</c:f>
              <c:numCache>
                <c:formatCode>0.00</c:formatCode>
                <c:ptCount val="5"/>
                <c:pt idx="0">
                  <c:v>-1.4089353929735009</c:v>
                </c:pt>
                <c:pt idx="1">
                  <c:v>-0.91901295308911279</c:v>
                </c:pt>
                <c:pt idx="2">
                  <c:v>-0.43711261870612073</c:v>
                </c:pt>
                <c:pt idx="3">
                  <c:v>0.12172394563736699</c:v>
                </c:pt>
                <c:pt idx="4">
                  <c:v>0.36011986158080544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413616"/>
        <c:axId val="230414008"/>
      </c:scatterChart>
      <c:valAx>
        <c:axId val="23041361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30414008"/>
        <c:crosses val="autoZero"/>
        <c:crossBetween val="midCat"/>
      </c:valAx>
      <c:valAx>
        <c:axId val="230414008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3041361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siHNF4A!$C$65:$C$68</c:f>
                <c:numCache>
                  <c:formatCode>General</c:formatCode>
                  <c:ptCount val="4"/>
                  <c:pt idx="0">
                    <c:v>0.7445204629489236</c:v>
                  </c:pt>
                  <c:pt idx="1">
                    <c:v>0.50229082393953517</c:v>
                  </c:pt>
                  <c:pt idx="2">
                    <c:v>0.6429471390809669</c:v>
                  </c:pt>
                  <c:pt idx="3">
                    <c:v>2.1441396162481179</c:v>
                  </c:pt>
                </c:numCache>
              </c:numRef>
            </c:plus>
            <c:minus>
              <c:numRef>
                <c:f>siHNF4A!$C$65:$C$68</c:f>
                <c:numCache>
                  <c:formatCode>General</c:formatCode>
                  <c:ptCount val="4"/>
                  <c:pt idx="0">
                    <c:v>0.7445204629489236</c:v>
                  </c:pt>
                  <c:pt idx="1">
                    <c:v>0.50229082393953517</c:v>
                  </c:pt>
                  <c:pt idx="2">
                    <c:v>0.6429471390809669</c:v>
                  </c:pt>
                  <c:pt idx="3">
                    <c:v>2.1441396162481179</c:v>
                  </c:pt>
                </c:numCache>
              </c:numRef>
            </c:minus>
          </c:errBars>
          <c:cat>
            <c:strRef>
              <c:f>(siHNF4A!$A$65,siHNF4A!$A$66,siHNF4A!$A$67,siHNF4A!$A$68)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siHNF4A!$B$65:$B$68</c:f>
              <c:numCache>
                <c:formatCode>0.0</c:formatCode>
                <c:ptCount val="4"/>
                <c:pt idx="0">
                  <c:v>2.318326542435349</c:v>
                </c:pt>
                <c:pt idx="1">
                  <c:v>4.2869767066719477</c:v>
                </c:pt>
                <c:pt idx="2">
                  <c:v>7.4011698038018849</c:v>
                </c:pt>
                <c:pt idx="3">
                  <c:v>13.426835009594472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414792"/>
        <c:axId val="230415184"/>
      </c:barChart>
      <c:catAx>
        <c:axId val="230414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30415184"/>
        <c:crosses val="autoZero"/>
        <c:auto val="1"/>
        <c:lblAlgn val="ctr"/>
        <c:lblOffset val="100"/>
        <c:noMultiLvlLbl val="0"/>
      </c:catAx>
      <c:valAx>
        <c:axId val="23041518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siHNF4A!$M$48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0948E-2"/>
              <c:y val="0.204976477951506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3041479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256"/>
          <c:y val="2.7200801823077238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NTP</c:v>
          </c:tx>
          <c:invertIfNegative val="0"/>
          <c:errBars>
            <c:errBarType val="both"/>
            <c:errValType val="cust"/>
            <c:noEndCap val="0"/>
            <c:plus>
              <c:numRef>
                <c:f>siHNF4A!$O$58:$O$59</c:f>
                <c:numCache>
                  <c:formatCode>General</c:formatCode>
                  <c:ptCount val="2"/>
                  <c:pt idx="0">
                    <c:v>0.55522806252760193</c:v>
                  </c:pt>
                  <c:pt idx="1">
                    <c:v>0.36598369780728901</c:v>
                  </c:pt>
                </c:numCache>
              </c:numRef>
            </c:plus>
            <c:minus>
              <c:numRef>
                <c:f>siHNF4A!$O$58:$O$59</c:f>
                <c:numCache>
                  <c:formatCode>General</c:formatCode>
                  <c:ptCount val="2"/>
                  <c:pt idx="0">
                    <c:v>0.55522806252760193</c:v>
                  </c:pt>
                  <c:pt idx="1">
                    <c:v>0.36598369780728901</c:v>
                  </c:pt>
                </c:numCache>
              </c:numRef>
            </c:minus>
          </c:errBars>
          <c:cat>
            <c:strRef>
              <c:f>siHNF4A!$M$58:$M$59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siHNF4A!$N$58:$N$59</c:f>
              <c:numCache>
                <c:formatCode>0.0</c:formatCode>
                <c:ptCount val="2"/>
                <c:pt idx="0">
                  <c:v>1.9630621955914236</c:v>
                </c:pt>
                <c:pt idx="1">
                  <c:v>1.8264801462556066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725640"/>
        <c:axId val="230726032"/>
      </c:barChart>
      <c:catAx>
        <c:axId val="230725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30726032"/>
        <c:crosses val="autoZero"/>
        <c:auto val="1"/>
        <c:lblAlgn val="ctr"/>
        <c:lblOffset val="100"/>
        <c:noMultiLvlLbl val="0"/>
      </c:catAx>
      <c:valAx>
        <c:axId val="23072603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siHNF4A!$M$57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3072564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siANK1!$G$9:$G$13</c:f>
              <c:numCache>
                <c:formatCode>0.00</c:formatCode>
                <c:ptCount val="5"/>
                <c:pt idx="0">
                  <c:v>-0.88460658129793046</c:v>
                </c:pt>
                <c:pt idx="1">
                  <c:v>-0.37316887913897734</c:v>
                </c:pt>
                <c:pt idx="2">
                  <c:v>0.11248842805866238</c:v>
                </c:pt>
                <c:pt idx="3">
                  <c:v>0.65530550328118742</c:v>
                </c:pt>
                <c:pt idx="4">
                  <c:v>0.95424250943932487</c:v>
                </c:pt>
              </c:numCache>
            </c:numRef>
          </c:xVal>
          <c:yVal>
            <c:numRef>
              <c:f>siANK1!$H$9:$H$13</c:f>
              <c:numCache>
                <c:formatCode>0.00</c:formatCode>
                <c:ptCount val="5"/>
                <c:pt idx="0">
                  <c:v>-1.4089353929735009</c:v>
                </c:pt>
                <c:pt idx="1">
                  <c:v>-0.91901295308911279</c:v>
                </c:pt>
                <c:pt idx="2">
                  <c:v>-0.43711261870612073</c:v>
                </c:pt>
                <c:pt idx="3">
                  <c:v>0.12172394563736699</c:v>
                </c:pt>
                <c:pt idx="4">
                  <c:v>0.36011986158080544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726816"/>
        <c:axId val="230727208"/>
      </c:scatterChart>
      <c:valAx>
        <c:axId val="23072681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30727208"/>
        <c:crosses val="autoZero"/>
        <c:crossBetween val="midCat"/>
      </c:valAx>
      <c:valAx>
        <c:axId val="230727208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3072681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siANK1!$C$65:$C$68</c:f>
                <c:numCache>
                  <c:formatCode>General</c:formatCode>
                  <c:ptCount val="4"/>
                  <c:pt idx="0">
                    <c:v>0.2568167524974892</c:v>
                  </c:pt>
                  <c:pt idx="1">
                    <c:v>0.40079746252870802</c:v>
                  </c:pt>
                  <c:pt idx="2">
                    <c:v>9.7808447009653757E-2</c:v>
                  </c:pt>
                  <c:pt idx="3">
                    <c:v>1.5044845993607658</c:v>
                  </c:pt>
                </c:numCache>
              </c:numRef>
            </c:plus>
            <c:minus>
              <c:numRef>
                <c:f>siANK1!$C$65:$C$68</c:f>
                <c:numCache>
                  <c:formatCode>General</c:formatCode>
                  <c:ptCount val="4"/>
                  <c:pt idx="0">
                    <c:v>0.2568167524974892</c:v>
                  </c:pt>
                  <c:pt idx="1">
                    <c:v>0.40079746252870802</c:v>
                  </c:pt>
                  <c:pt idx="2">
                    <c:v>9.7808447009653757E-2</c:v>
                  </c:pt>
                  <c:pt idx="3">
                    <c:v>1.5044845993607658</c:v>
                  </c:pt>
                </c:numCache>
              </c:numRef>
            </c:minus>
          </c:errBars>
          <c:cat>
            <c:strRef>
              <c:f>(siANK1!$A$65,siANK1!$A$66,siANK1!$A$67,siANK1!$A$68)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siANK1!$B$65:$B$68</c:f>
              <c:numCache>
                <c:formatCode>0.0</c:formatCode>
                <c:ptCount val="4"/>
                <c:pt idx="0">
                  <c:v>1.8788224793455539</c:v>
                </c:pt>
                <c:pt idx="1">
                  <c:v>2.6181484697282502</c:v>
                </c:pt>
                <c:pt idx="2">
                  <c:v>4.7259471382808611</c:v>
                </c:pt>
                <c:pt idx="3">
                  <c:v>10.950056061295735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727992"/>
        <c:axId val="230728384"/>
      </c:barChart>
      <c:catAx>
        <c:axId val="230727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30728384"/>
        <c:crosses val="autoZero"/>
        <c:auto val="1"/>
        <c:lblAlgn val="ctr"/>
        <c:lblOffset val="100"/>
        <c:noMultiLvlLbl val="0"/>
      </c:catAx>
      <c:valAx>
        <c:axId val="23072838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siANK1!$M$48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0948E-2"/>
              <c:y val="0.204976477951506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3072799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256"/>
          <c:y val="2.7200801823077238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NTP</c:v>
          </c:tx>
          <c:invertIfNegative val="0"/>
          <c:errBars>
            <c:errBarType val="both"/>
            <c:errValType val="cust"/>
            <c:noEndCap val="0"/>
            <c:plus>
              <c:numRef>
                <c:f>siANK1!$O$58:$O$59</c:f>
                <c:numCache>
                  <c:formatCode>General</c:formatCode>
                  <c:ptCount val="2"/>
                  <c:pt idx="0">
                    <c:v>0.39649232879038077</c:v>
                  </c:pt>
                  <c:pt idx="1">
                    <c:v>0.33720561745429228</c:v>
                  </c:pt>
                </c:numCache>
              </c:numRef>
            </c:plus>
            <c:minus>
              <c:numRef>
                <c:f>siANK1!$O$58:$O$59</c:f>
                <c:numCache>
                  <c:formatCode>General</c:formatCode>
                  <c:ptCount val="2"/>
                  <c:pt idx="0">
                    <c:v>0.39649232879038077</c:v>
                  </c:pt>
                  <c:pt idx="1">
                    <c:v>0.33720561745429228</c:v>
                  </c:pt>
                </c:numCache>
              </c:numRef>
            </c:minus>
          </c:errBars>
          <c:cat>
            <c:strRef>
              <c:f>siANK1!$M$58:$M$59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siANK1!$N$58:$N$59</c:f>
              <c:numCache>
                <c:formatCode>0.0</c:formatCode>
                <c:ptCount val="2"/>
                <c:pt idx="0">
                  <c:v>1.4262379725795986</c:v>
                </c:pt>
                <c:pt idx="1">
                  <c:v>2.3192584673566485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729168"/>
        <c:axId val="230228632"/>
      </c:barChart>
      <c:catAx>
        <c:axId val="23072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30228632"/>
        <c:crosses val="autoZero"/>
        <c:auto val="1"/>
        <c:lblAlgn val="ctr"/>
        <c:lblOffset val="100"/>
        <c:noMultiLvlLbl val="0"/>
      </c:catAx>
      <c:valAx>
        <c:axId val="23022863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siANK1!$M$57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3072916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5</xdr:row>
      <xdr:rowOff>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5</xdr:row>
      <xdr:rowOff>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5</xdr:row>
      <xdr:rowOff>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fils/marlene/Mes%20documents/Endo%20cell-betaTrophin/ELISA/Insulin%20secretion%20Human%20beta%20cell%20line%20october%20marianas%20formul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ember"/>
      <sheetName val="September (2)"/>
      <sheetName val="October"/>
      <sheetName val="October (2)"/>
      <sheetName val="November 7"/>
      <sheetName val="November 7 (3)"/>
      <sheetName val="November 18"/>
      <sheetName val="November 18 (2)"/>
      <sheetName val="February"/>
      <sheetName val="Sheet3"/>
      <sheetName val="February (2)"/>
      <sheetName val="February (3)"/>
      <sheetName val="February (4)"/>
      <sheetName val="juillet P59"/>
      <sheetName val="juillet P66"/>
      <sheetName val="juillet P88"/>
      <sheetName val="sept P64 P73"/>
      <sheetName val="sept P64 P73 (2)"/>
      <sheetName val="sept P64bis"/>
      <sheetName val="multislip P74"/>
      <sheetName val="multislip P82"/>
      <sheetName val="nov P81"/>
      <sheetName val="nov P81 (2)"/>
      <sheetName val="dec2014 P73"/>
      <sheetName val="dec2014 P73 MEL"/>
      <sheetName val="dec2014 P75"/>
      <sheetName val="dec2014 P75 MEL"/>
      <sheetName val="dec2014 P76-77"/>
      <sheetName val="dec2014 P76-77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1">
          <cell r="A51" t="str">
            <v>0,5 mM Glc</v>
          </cell>
        </row>
        <row r="52">
          <cell r="A52" t="str">
            <v>11 mM Glc</v>
          </cell>
        </row>
        <row r="53">
          <cell r="A53" t="str">
            <v>11 mM Glc + FSK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zoomScale="70" zoomScaleNormal="70" workbookViewId="0">
      <selection activeCell="F4" sqref="F4"/>
    </sheetView>
  </sheetViews>
  <sheetFormatPr baseColWidth="10" defaultColWidth="8.75" defaultRowHeight="12.75" x14ac:dyDescent="0.2"/>
  <cols>
    <col min="1" max="1" width="28.125" style="8" customWidth="1"/>
    <col min="2" max="2" width="9" style="10" bestFit="1" customWidth="1"/>
    <col min="3" max="3" width="11.875" style="10" bestFit="1" customWidth="1"/>
    <col min="4" max="4" width="6" style="10" bestFit="1" customWidth="1"/>
    <col min="5" max="5" width="6.875" style="10" customWidth="1"/>
    <col min="6" max="8" width="11" style="10" bestFit="1" customWidth="1"/>
    <col min="9" max="9" width="12.125" style="10" bestFit="1" customWidth="1"/>
    <col min="10" max="10" width="12" style="10" bestFit="1" customWidth="1"/>
    <col min="11" max="11" width="12.125" style="10" bestFit="1" customWidth="1"/>
    <col min="12" max="12" width="13" style="10" bestFit="1" customWidth="1"/>
    <col min="13" max="13" width="14.875" style="10" bestFit="1" customWidth="1"/>
    <col min="14" max="14" width="13.75" style="10" bestFit="1" customWidth="1"/>
    <col min="15" max="15" width="14" style="10" customWidth="1"/>
    <col min="16" max="16" width="11.375" style="10" customWidth="1"/>
    <col min="17" max="17" width="10.375" style="10" bestFit="1" customWidth="1"/>
    <col min="18" max="16384" width="8.75" style="10"/>
  </cols>
  <sheetData>
    <row r="1" spans="1:20" s="3" customFormat="1" x14ac:dyDescent="0.2">
      <c r="A1" s="1" t="s">
        <v>0</v>
      </c>
      <c r="B1" s="2">
        <v>42479</v>
      </c>
    </row>
    <row r="2" spans="1:20" s="3" customFormat="1" x14ac:dyDescent="0.2">
      <c r="A2" s="1" t="s">
        <v>1</v>
      </c>
      <c r="B2" s="3">
        <v>69</v>
      </c>
      <c r="C2" s="4"/>
      <c r="E2" s="5" t="s">
        <v>2</v>
      </c>
    </row>
    <row r="3" spans="1:20" s="3" customFormat="1" ht="15" x14ac:dyDescent="0.3">
      <c r="A3" s="1" t="s">
        <v>3</v>
      </c>
      <c r="B3" s="3" t="s">
        <v>4</v>
      </c>
      <c r="D3" s="6" t="s">
        <v>5</v>
      </c>
      <c r="E3" s="80">
        <v>5067280</v>
      </c>
      <c r="F3" s="80">
        <v>4589896</v>
      </c>
      <c r="H3" s="76"/>
      <c r="I3" s="76"/>
    </row>
    <row r="4" spans="1:20" s="3" customFormat="1" ht="15" x14ac:dyDescent="0.25">
      <c r="A4" s="1"/>
      <c r="D4" s="6" t="s">
        <v>6</v>
      </c>
      <c r="E4" s="81">
        <v>5018560</v>
      </c>
      <c r="F4" s="81">
        <v>5143928</v>
      </c>
      <c r="H4" s="79"/>
      <c r="I4" s="79"/>
    </row>
    <row r="5" spans="1:20" s="3" customFormat="1" x14ac:dyDescent="0.2">
      <c r="A5" s="1"/>
      <c r="D5" s="7"/>
      <c r="F5" s="7"/>
    </row>
    <row r="6" spans="1:20" ht="15" x14ac:dyDescent="0.3">
      <c r="B6" s="9"/>
      <c r="C6" s="9"/>
      <c r="D6" s="9"/>
      <c r="N6" s="11"/>
      <c r="O6" s="11"/>
      <c r="P6" s="11"/>
    </row>
    <row r="7" spans="1:20" ht="15" x14ac:dyDescent="0.3">
      <c r="A7" s="12" t="s">
        <v>7</v>
      </c>
      <c r="B7" s="13" t="s">
        <v>8</v>
      </c>
      <c r="C7" s="14" t="s">
        <v>9</v>
      </c>
      <c r="D7" s="14"/>
      <c r="E7" s="15" t="s">
        <v>10</v>
      </c>
      <c r="F7" s="16" t="s">
        <v>11</v>
      </c>
      <c r="G7" s="17" t="s">
        <v>12</v>
      </c>
      <c r="H7" s="17" t="s">
        <v>13</v>
      </c>
      <c r="N7" s="11"/>
      <c r="O7" s="11"/>
      <c r="P7" s="11"/>
    </row>
    <row r="8" spans="1:20" ht="15" x14ac:dyDescent="0.3">
      <c r="A8" s="78">
        <v>0</v>
      </c>
      <c r="B8" s="17">
        <v>0</v>
      </c>
      <c r="C8">
        <v>0.05</v>
      </c>
      <c r="D8">
        <v>3.5999999999999997E-2</v>
      </c>
      <c r="E8" s="18">
        <f t="shared" ref="E8:E13" si="0">AVERAGE(C8:D8)</f>
        <v>4.2999999999999997E-2</v>
      </c>
      <c r="F8" s="19"/>
      <c r="G8" s="17"/>
      <c r="H8" s="17"/>
      <c r="N8" s="11"/>
      <c r="O8" s="11"/>
      <c r="P8" s="11"/>
    </row>
    <row r="9" spans="1:20" ht="15" x14ac:dyDescent="0.3">
      <c r="A9" s="78">
        <v>3</v>
      </c>
      <c r="B9" s="19">
        <f>A9/23</f>
        <v>0.13043478260869565</v>
      </c>
      <c r="C9">
        <v>8.5999999999999993E-2</v>
      </c>
      <c r="D9">
        <v>7.8E-2</v>
      </c>
      <c r="E9" s="18">
        <f t="shared" si="0"/>
        <v>8.199999999999999E-2</v>
      </c>
      <c r="F9" s="19">
        <f>(E9-$E$8)</f>
        <v>3.8999999999999993E-2</v>
      </c>
      <c r="G9" s="19">
        <f>LOG(B9)</f>
        <v>-0.88460658129793046</v>
      </c>
      <c r="H9" s="19">
        <f>LOG(F9)</f>
        <v>-1.4089353929735009</v>
      </c>
      <c r="N9" s="11"/>
      <c r="O9" s="11"/>
      <c r="P9" s="11"/>
    </row>
    <row r="10" spans="1:20" ht="15" x14ac:dyDescent="0.3">
      <c r="A10" s="78">
        <v>9.74</v>
      </c>
      <c r="B10" s="19">
        <f t="shared" ref="B10:B13" si="1">A10/23</f>
        <v>0.42347826086956525</v>
      </c>
      <c r="C10">
        <v>0.16800000000000001</v>
      </c>
      <c r="D10">
        <v>0.159</v>
      </c>
      <c r="E10" s="18">
        <f t="shared" si="0"/>
        <v>0.16350000000000001</v>
      </c>
      <c r="F10" s="19">
        <f>(E10-$E$8)</f>
        <v>0.12050000000000001</v>
      </c>
      <c r="G10" s="19">
        <f>LOG(B10)</f>
        <v>-0.37316887913897734</v>
      </c>
      <c r="H10" s="19">
        <f>LOG(F10)</f>
        <v>-0.91901295308911279</v>
      </c>
      <c r="N10" s="11"/>
      <c r="O10" s="11"/>
      <c r="P10" s="11"/>
    </row>
    <row r="11" spans="1:20" ht="15" x14ac:dyDescent="0.3">
      <c r="A11" s="78">
        <v>29.8</v>
      </c>
      <c r="B11" s="19">
        <f t="shared" si="1"/>
        <v>1.2956521739130435</v>
      </c>
      <c r="C11">
        <v>0.40899999999999997</v>
      </c>
      <c r="D11">
        <v>0.40799999999999997</v>
      </c>
      <c r="E11" s="18">
        <f t="shared" si="0"/>
        <v>0.40849999999999997</v>
      </c>
      <c r="F11" s="19">
        <f>(E11-$E$8)</f>
        <v>0.36549999999999999</v>
      </c>
      <c r="G11" s="19">
        <f>LOG(B11)</f>
        <v>0.11248842805866238</v>
      </c>
      <c r="H11" s="19">
        <f>LOG(F11)</f>
        <v>-0.43711261870612073</v>
      </c>
      <c r="N11" s="11"/>
      <c r="O11" s="11"/>
      <c r="P11" s="11"/>
      <c r="Q11" s="11"/>
      <c r="R11" s="11"/>
      <c r="S11" s="11"/>
      <c r="T11" s="11"/>
    </row>
    <row r="12" spans="1:20" ht="15" x14ac:dyDescent="0.3">
      <c r="A12" s="78">
        <v>104</v>
      </c>
      <c r="B12" s="19">
        <f t="shared" si="1"/>
        <v>4.5217391304347823</v>
      </c>
      <c r="C12">
        <v>1.3919999999999999</v>
      </c>
      <c r="D12">
        <v>1.341</v>
      </c>
      <c r="E12" s="18">
        <f t="shared" si="0"/>
        <v>1.3664999999999998</v>
      </c>
      <c r="F12" s="19">
        <f>(E12-$E$8)</f>
        <v>1.3234999999999999</v>
      </c>
      <c r="G12" s="19">
        <f>LOG(B12)</f>
        <v>0.65530550328118742</v>
      </c>
      <c r="H12" s="19">
        <f>LOG(F12)</f>
        <v>0.12172394563736699</v>
      </c>
      <c r="N12" s="11"/>
      <c r="O12" s="11"/>
      <c r="P12" s="11"/>
      <c r="Q12" s="11"/>
      <c r="R12" s="11"/>
      <c r="S12" s="11"/>
      <c r="T12" s="11"/>
    </row>
    <row r="13" spans="1:20" ht="15" x14ac:dyDescent="0.3">
      <c r="A13" s="78">
        <v>207</v>
      </c>
      <c r="B13" s="19">
        <f t="shared" si="1"/>
        <v>9</v>
      </c>
      <c r="C13">
        <v>2.3260000000000001</v>
      </c>
      <c r="D13">
        <v>2.343</v>
      </c>
      <c r="E13" s="18">
        <f t="shared" si="0"/>
        <v>2.3345000000000002</v>
      </c>
      <c r="F13" s="19">
        <f>(E13-$E$8)</f>
        <v>2.2915000000000001</v>
      </c>
      <c r="G13" s="19">
        <f>LOG(B13)</f>
        <v>0.95424250943932487</v>
      </c>
      <c r="H13" s="19">
        <f>LOG(F13)</f>
        <v>0.36011986158080544</v>
      </c>
      <c r="N13" s="11"/>
    </row>
    <row r="14" spans="1:20" ht="15" x14ac:dyDescent="0.3">
      <c r="N14" s="11"/>
    </row>
    <row r="15" spans="1:20" ht="15" x14ac:dyDescent="0.3">
      <c r="A15" s="12" t="s">
        <v>14</v>
      </c>
      <c r="B15" s="18">
        <f>SLOPE(H9:H13,G9:G13)</f>
        <v>0.97499537908902212</v>
      </c>
      <c r="N15" s="11"/>
    </row>
    <row r="16" spans="1:20" ht="15" x14ac:dyDescent="0.25">
      <c r="A16" s="12" t="s">
        <v>15</v>
      </c>
      <c r="B16" s="18">
        <f>INTERCEPT(H9:H13,G9:G13)</f>
        <v>-0.54717389361512225</v>
      </c>
      <c r="C16" s="20"/>
      <c r="G16" s="20"/>
      <c r="H16" s="20"/>
    </row>
    <row r="17" spans="1:17" ht="15" x14ac:dyDescent="0.3">
      <c r="B17" s="11"/>
      <c r="C17" s="11"/>
      <c r="D17" s="11"/>
      <c r="E17" s="11"/>
      <c r="F17" s="11"/>
      <c r="G17" s="11"/>
    </row>
    <row r="18" spans="1:17" ht="15" x14ac:dyDescent="0.3">
      <c r="B18" s="11"/>
      <c r="C18" s="11"/>
      <c r="D18" s="11"/>
      <c r="E18" s="11"/>
      <c r="F18" s="11"/>
      <c r="G18" s="11"/>
    </row>
    <row r="19" spans="1:17" ht="23.25" x14ac:dyDescent="0.35">
      <c r="A19" s="21" t="s">
        <v>16</v>
      </c>
      <c r="B19" s="22"/>
      <c r="C19" s="22"/>
      <c r="K19" s="23"/>
      <c r="L19" s="24" t="s">
        <v>17</v>
      </c>
      <c r="M19" s="25"/>
    </row>
    <row r="20" spans="1:17" s="24" customFormat="1" x14ac:dyDescent="0.2">
      <c r="A20" s="26" t="s">
        <v>18</v>
      </c>
      <c r="B20" s="16" t="s">
        <v>19</v>
      </c>
      <c r="C20" s="16" t="s">
        <v>19</v>
      </c>
      <c r="D20" s="16" t="s">
        <v>20</v>
      </c>
      <c r="E20" s="27" t="s">
        <v>21</v>
      </c>
      <c r="F20" s="28" t="s">
        <v>13</v>
      </c>
      <c r="G20" s="28" t="s">
        <v>22</v>
      </c>
      <c r="H20" s="28" t="s">
        <v>23</v>
      </c>
      <c r="I20" s="16" t="s">
        <v>24</v>
      </c>
      <c r="J20" s="28" t="s">
        <v>25</v>
      </c>
      <c r="K20" s="28" t="s">
        <v>26</v>
      </c>
      <c r="L20" s="28" t="s">
        <v>27</v>
      </c>
      <c r="M20" s="29" t="s">
        <v>28</v>
      </c>
    </row>
    <row r="21" spans="1:17" s="31" customFormat="1" x14ac:dyDescent="0.2">
      <c r="A21" s="30"/>
      <c r="L21" s="32"/>
      <c r="M21" s="33"/>
    </row>
    <row r="22" spans="1:17" ht="15" x14ac:dyDescent="0.3">
      <c r="A22" s="8" t="s">
        <v>29</v>
      </c>
      <c r="B22">
        <v>0.38400000000000001</v>
      </c>
      <c r="C22">
        <v>0.39300000000000002</v>
      </c>
      <c r="D22" s="34">
        <f t="shared" ref="D22:D27" si="2">AVERAGE(B22:C22)</f>
        <v>0.38850000000000001</v>
      </c>
      <c r="E22" s="34">
        <f t="shared" ref="E22:E27" si="3">D22-E$8</f>
        <v>0.34550000000000003</v>
      </c>
      <c r="F22" s="34">
        <f>LOG(E22)</f>
        <v>-0.46155194828978274</v>
      </c>
      <c r="G22" s="35">
        <f>(F22-$B$16)/$B$15</f>
        <v>8.7817796024161246E-2</v>
      </c>
      <c r="H22" s="35">
        <f>10^G22</f>
        <v>1.2241025313502167</v>
      </c>
      <c r="I22" s="36">
        <v>500</v>
      </c>
      <c r="J22" s="37">
        <f>(H22*I22)</f>
        <v>612.05126567510843</v>
      </c>
      <c r="K22" s="37">
        <f>(0.05*J22/1000)*1000</f>
        <v>30.602563283755423</v>
      </c>
      <c r="L22" s="38">
        <f>K22+K40+K50</f>
        <v>32.187691296566001</v>
      </c>
      <c r="M22" s="39">
        <f>(L22*1000000/50000)/1000</f>
        <v>0.64375382593132013</v>
      </c>
      <c r="N22" s="40"/>
    </row>
    <row r="23" spans="1:17" ht="15" x14ac:dyDescent="0.3">
      <c r="B23">
        <v>0.44</v>
      </c>
      <c r="C23">
        <v>0.46899999999999997</v>
      </c>
      <c r="D23" s="34">
        <f t="shared" si="2"/>
        <v>0.45450000000000002</v>
      </c>
      <c r="E23" s="34">
        <f t="shared" si="3"/>
        <v>0.41150000000000003</v>
      </c>
      <c r="F23" s="34">
        <f t="shared" ref="F23:F27" si="4">LOG(E23)</f>
        <v>-0.38563016045171133</v>
      </c>
      <c r="G23" s="35">
        <f t="shared" ref="G23:G27" si="5">(F23-$B$16)/$B$15</f>
        <v>0.16568666542229954</v>
      </c>
      <c r="H23" s="35">
        <f t="shared" ref="H23:H27" si="6">10^G23</f>
        <v>1.4644908595328274</v>
      </c>
      <c r="I23" s="36">
        <v>500</v>
      </c>
      <c r="J23" s="37">
        <f t="shared" ref="J23:J27" si="7">(H23*I23)</f>
        <v>732.24542976641374</v>
      </c>
      <c r="K23" s="37">
        <f t="shared" ref="K23:K27" si="8">(0.05*J23/1000)*1000</f>
        <v>36.612271488320687</v>
      </c>
      <c r="L23" s="38">
        <f>K23+K41+K51</f>
        <v>38.251391704499198</v>
      </c>
      <c r="M23" s="39">
        <f t="shared" ref="M23:M27" si="9">(L23*1000000/50000)/1000</f>
        <v>0.76502783408998398</v>
      </c>
      <c r="N23" s="40"/>
    </row>
    <row r="24" spans="1:17" ht="15" x14ac:dyDescent="0.3">
      <c r="B24">
        <v>0.439</v>
      </c>
      <c r="C24">
        <v>0.442</v>
      </c>
      <c r="D24" s="34">
        <f t="shared" si="2"/>
        <v>0.4405</v>
      </c>
      <c r="E24" s="34">
        <f t="shared" si="3"/>
        <v>0.39750000000000002</v>
      </c>
      <c r="F24" s="34">
        <f t="shared" si="4"/>
        <v>-0.40066286700751086</v>
      </c>
      <c r="G24" s="35">
        <f t="shared" si="5"/>
        <v>0.15026843177913582</v>
      </c>
      <c r="H24" s="35">
        <f t="shared" si="6"/>
        <v>1.4134108856071923</v>
      </c>
      <c r="I24" s="36">
        <v>500</v>
      </c>
      <c r="J24" s="37">
        <f t="shared" si="7"/>
        <v>706.70544280359616</v>
      </c>
      <c r="K24" s="37">
        <f t="shared" si="8"/>
        <v>35.335272140179811</v>
      </c>
      <c r="L24" s="38">
        <f t="shared" ref="L24:L27" si="10">K24+K42+K52</f>
        <v>37.170911756054224</v>
      </c>
      <c r="M24" s="39">
        <f t="shared" si="9"/>
        <v>0.7434182351210844</v>
      </c>
      <c r="N24" s="40"/>
    </row>
    <row r="25" spans="1:17" ht="15" x14ac:dyDescent="0.3">
      <c r="A25" s="8" t="s">
        <v>30</v>
      </c>
      <c r="B25">
        <v>0.32800000000000001</v>
      </c>
      <c r="C25">
        <v>0.34</v>
      </c>
      <c r="D25" s="34">
        <f t="shared" si="2"/>
        <v>0.33400000000000002</v>
      </c>
      <c r="E25" s="34">
        <f t="shared" si="3"/>
        <v>0.29100000000000004</v>
      </c>
      <c r="F25" s="34">
        <f t="shared" si="4"/>
        <v>-0.53610701101409264</v>
      </c>
      <c r="G25" s="35">
        <f t="shared" si="5"/>
        <v>1.1350702617041995E-2</v>
      </c>
      <c r="H25" s="35">
        <f t="shared" si="6"/>
        <v>1.0264804978802677</v>
      </c>
      <c r="I25" s="36">
        <v>500</v>
      </c>
      <c r="J25" s="37">
        <f t="shared" si="7"/>
        <v>513.24024894013382</v>
      </c>
      <c r="K25" s="37">
        <f t="shared" si="8"/>
        <v>25.662012447006692</v>
      </c>
      <c r="L25" s="38">
        <f t="shared" si="10"/>
        <v>31.745237949420869</v>
      </c>
      <c r="M25" s="39">
        <f t="shared" si="9"/>
        <v>0.63490475898841736</v>
      </c>
      <c r="N25" s="40"/>
    </row>
    <row r="26" spans="1:17" ht="15" x14ac:dyDescent="0.3">
      <c r="B26">
        <v>0.34599999999999997</v>
      </c>
      <c r="C26">
        <v>0.374</v>
      </c>
      <c r="D26" s="34">
        <f t="shared" si="2"/>
        <v>0.36</v>
      </c>
      <c r="E26" s="34">
        <f t="shared" si="3"/>
        <v>0.317</v>
      </c>
      <c r="F26" s="34">
        <f t="shared" si="4"/>
        <v>-0.49894073778224851</v>
      </c>
      <c r="G26" s="35">
        <f t="shared" si="5"/>
        <v>4.9470137876899418E-2</v>
      </c>
      <c r="H26" s="35">
        <f t="shared" si="6"/>
        <v>1.1206503674790425</v>
      </c>
      <c r="I26" s="36">
        <v>500</v>
      </c>
      <c r="J26" s="37">
        <f t="shared" si="7"/>
        <v>560.32518373952121</v>
      </c>
      <c r="K26" s="37">
        <f t="shared" si="8"/>
        <v>28.016259186976061</v>
      </c>
      <c r="L26" s="38">
        <f t="shared" si="10"/>
        <v>33.824682714283107</v>
      </c>
      <c r="M26" s="39">
        <f t="shared" si="9"/>
        <v>0.6764936542856621</v>
      </c>
      <c r="N26" s="40"/>
    </row>
    <row r="27" spans="1:17" ht="15" x14ac:dyDescent="0.3">
      <c r="B27">
        <v>0.35599999999999998</v>
      </c>
      <c r="C27">
        <v>0.35399999999999998</v>
      </c>
      <c r="D27" s="34">
        <f t="shared" si="2"/>
        <v>0.35499999999999998</v>
      </c>
      <c r="E27" s="34">
        <f t="shared" si="3"/>
        <v>0.312</v>
      </c>
      <c r="F27" s="34">
        <f t="shared" si="4"/>
        <v>-0.50584540598155725</v>
      </c>
      <c r="G27" s="35">
        <f t="shared" si="5"/>
        <v>4.2388393340058589E-2</v>
      </c>
      <c r="H27" s="35">
        <f t="shared" si="6"/>
        <v>1.1025248663762406</v>
      </c>
      <c r="I27" s="36">
        <v>500</v>
      </c>
      <c r="J27" s="37">
        <f t="shared" si="7"/>
        <v>551.26243318812033</v>
      </c>
      <c r="K27" s="37">
        <f t="shared" si="8"/>
        <v>27.563121659406018</v>
      </c>
      <c r="L27" s="38">
        <f t="shared" si="10"/>
        <v>32.628509956865997</v>
      </c>
      <c r="M27" s="39">
        <f t="shared" si="9"/>
        <v>0.65257019913731995</v>
      </c>
      <c r="N27" s="40"/>
    </row>
    <row r="28" spans="1:17" ht="23.25" x14ac:dyDescent="0.35">
      <c r="A28" s="21" t="s">
        <v>16</v>
      </c>
      <c r="B28" s="72"/>
      <c r="C28" s="72"/>
      <c r="I28" s="36"/>
      <c r="J28" s="36"/>
      <c r="K28" s="41"/>
      <c r="L28" s="24" t="s">
        <v>17</v>
      </c>
      <c r="M28" s="25"/>
    </row>
    <row r="29" spans="1:17" s="24" customFormat="1" x14ac:dyDescent="0.2">
      <c r="A29" s="26" t="s">
        <v>18</v>
      </c>
      <c r="B29" s="73"/>
      <c r="C29" s="73"/>
      <c r="D29" s="16" t="s">
        <v>20</v>
      </c>
      <c r="E29" s="27" t="s">
        <v>21</v>
      </c>
      <c r="F29" s="28" t="s">
        <v>13</v>
      </c>
      <c r="G29" s="28" t="s">
        <v>22</v>
      </c>
      <c r="H29" s="28" t="s">
        <v>23</v>
      </c>
      <c r="I29" s="27" t="s">
        <v>24</v>
      </c>
      <c r="J29" s="42" t="s">
        <v>25</v>
      </c>
      <c r="K29" s="42" t="s">
        <v>26</v>
      </c>
      <c r="L29" s="28" t="s">
        <v>27</v>
      </c>
      <c r="M29" s="29" t="s">
        <v>28</v>
      </c>
    </row>
    <row r="30" spans="1:17" s="31" customFormat="1" x14ac:dyDescent="0.2">
      <c r="A30" s="30"/>
      <c r="B30" s="74"/>
      <c r="C30" s="74"/>
      <c r="L30" s="32"/>
      <c r="M30" s="33"/>
    </row>
    <row r="31" spans="1:17" ht="15" x14ac:dyDescent="0.3">
      <c r="A31" s="8" t="s">
        <v>29</v>
      </c>
      <c r="B31">
        <v>0.38400000000000001</v>
      </c>
      <c r="C31">
        <v>0.39300000000000002</v>
      </c>
      <c r="D31" s="34">
        <f t="shared" ref="D31:D36" si="11">AVERAGE(B31:C31)</f>
        <v>0.38850000000000001</v>
      </c>
      <c r="E31" s="34">
        <f t="shared" ref="E31:E36" si="12">D31-E$8</f>
        <v>0.34550000000000003</v>
      </c>
      <c r="F31" s="34">
        <f>LOG(E31)</f>
        <v>-0.46155194828978274</v>
      </c>
      <c r="G31" s="35">
        <f>(F31-$B$16)/$B$15</f>
        <v>8.7817796024161246E-2</v>
      </c>
      <c r="H31" s="35">
        <f>10^G31</f>
        <v>1.2241025313502167</v>
      </c>
      <c r="I31" s="36">
        <v>500</v>
      </c>
      <c r="J31" s="37">
        <f>(H31*I31)</f>
        <v>612.05126567510843</v>
      </c>
      <c r="K31" s="37">
        <f>(0.05*J31/1000)*1000</f>
        <v>30.602563283755423</v>
      </c>
      <c r="L31" s="38">
        <f>K31+K50</f>
        <v>31.457650877247442</v>
      </c>
      <c r="M31" s="39">
        <f>(L31*1000000/50000)/1000</f>
        <v>0.6291530175449489</v>
      </c>
      <c r="N31" s="43"/>
      <c r="Q31" s="11"/>
    </row>
    <row r="32" spans="1:17" ht="15" x14ac:dyDescent="0.3">
      <c r="B32">
        <v>0.44</v>
      </c>
      <c r="C32">
        <v>0.46899999999999997</v>
      </c>
      <c r="D32" s="34">
        <f t="shared" si="11"/>
        <v>0.45450000000000002</v>
      </c>
      <c r="E32" s="34">
        <f t="shared" si="12"/>
        <v>0.41150000000000003</v>
      </c>
      <c r="F32" s="34">
        <f t="shared" ref="F32:F36" si="13">LOG(E32)</f>
        <v>-0.38563016045171133</v>
      </c>
      <c r="G32" s="35">
        <f t="shared" ref="G32:G36" si="14">(F32-$B$16)/$B$15</f>
        <v>0.16568666542229954</v>
      </c>
      <c r="H32" s="35">
        <f t="shared" ref="H32:H36" si="15">10^G32</f>
        <v>1.4644908595328274</v>
      </c>
      <c r="I32" s="36">
        <v>500</v>
      </c>
      <c r="J32" s="37">
        <f t="shared" ref="J32:J36" si="16">(H32*I32)</f>
        <v>732.24542976641374</v>
      </c>
      <c r="K32" s="37">
        <f t="shared" ref="K32:K36" si="17">(0.05*J32/1000)*1000</f>
        <v>36.612271488320687</v>
      </c>
      <c r="L32" s="38">
        <f>K32+K51</f>
        <v>37.37636613835403</v>
      </c>
      <c r="M32" s="39">
        <f t="shared" ref="M32:M36" si="18">(L32*1000000/50000)/1000</f>
        <v>0.74752732276708067</v>
      </c>
      <c r="N32" s="44"/>
      <c r="Q32" s="11"/>
    </row>
    <row r="33" spans="1:19" ht="15" x14ac:dyDescent="0.3">
      <c r="B33">
        <v>0.439</v>
      </c>
      <c r="C33">
        <v>0.442</v>
      </c>
      <c r="D33" s="34">
        <f t="shared" si="11"/>
        <v>0.4405</v>
      </c>
      <c r="E33" s="34">
        <f t="shared" si="12"/>
        <v>0.39750000000000002</v>
      </c>
      <c r="F33" s="34">
        <f t="shared" si="13"/>
        <v>-0.40066286700751086</v>
      </c>
      <c r="G33" s="35">
        <f t="shared" si="14"/>
        <v>0.15026843177913582</v>
      </c>
      <c r="H33" s="35">
        <f t="shared" si="15"/>
        <v>1.4134108856071923</v>
      </c>
      <c r="I33" s="36">
        <v>500</v>
      </c>
      <c r="J33" s="37">
        <f t="shared" si="16"/>
        <v>706.70544280359616</v>
      </c>
      <c r="K33" s="37">
        <f t="shared" si="17"/>
        <v>35.335272140179811</v>
      </c>
      <c r="L33" s="38">
        <f t="shared" ref="L33:L36" si="19">K33+K52</f>
        <v>36.301583924218505</v>
      </c>
      <c r="M33" s="39">
        <f t="shared" si="18"/>
        <v>0.72603167848437011</v>
      </c>
      <c r="N33" s="44"/>
      <c r="Q33" s="11"/>
    </row>
    <row r="34" spans="1:19" ht="15" x14ac:dyDescent="0.3">
      <c r="A34" s="8" t="s">
        <v>30</v>
      </c>
      <c r="B34">
        <v>0.32800000000000001</v>
      </c>
      <c r="C34">
        <v>0.34</v>
      </c>
      <c r="D34" s="34">
        <f t="shared" si="11"/>
        <v>0.33400000000000002</v>
      </c>
      <c r="E34" s="34">
        <f t="shared" si="12"/>
        <v>0.29100000000000004</v>
      </c>
      <c r="F34" s="34">
        <f t="shared" si="13"/>
        <v>-0.53610701101409264</v>
      </c>
      <c r="G34" s="35">
        <f t="shared" si="14"/>
        <v>1.1350702617041995E-2</v>
      </c>
      <c r="H34" s="35">
        <f t="shared" si="15"/>
        <v>1.0264804978802677</v>
      </c>
      <c r="I34" s="36">
        <v>500</v>
      </c>
      <c r="J34" s="37">
        <f t="shared" si="16"/>
        <v>513.24024894013382</v>
      </c>
      <c r="K34" s="37">
        <f t="shared" si="17"/>
        <v>25.662012447006692</v>
      </c>
      <c r="L34" s="38">
        <f t="shared" si="19"/>
        <v>29.681950211597446</v>
      </c>
      <c r="M34" s="39">
        <f t="shared" si="18"/>
        <v>0.59363900423194893</v>
      </c>
      <c r="N34" s="44"/>
      <c r="Q34" s="11"/>
    </row>
    <row r="35" spans="1:19" ht="15" x14ac:dyDescent="0.3">
      <c r="B35">
        <v>0.34599999999999997</v>
      </c>
      <c r="C35">
        <v>0.374</v>
      </c>
      <c r="D35" s="34">
        <f t="shared" si="11"/>
        <v>0.36</v>
      </c>
      <c r="E35" s="34">
        <f t="shared" si="12"/>
        <v>0.317</v>
      </c>
      <c r="F35" s="34">
        <f t="shared" si="13"/>
        <v>-0.49894073778224851</v>
      </c>
      <c r="G35" s="35">
        <f t="shared" si="14"/>
        <v>4.9470137876899418E-2</v>
      </c>
      <c r="H35" s="35">
        <f t="shared" si="15"/>
        <v>1.1206503674790425</v>
      </c>
      <c r="I35" s="36">
        <v>500</v>
      </c>
      <c r="J35" s="37">
        <f t="shared" si="16"/>
        <v>560.32518373952121</v>
      </c>
      <c r="K35" s="37">
        <f t="shared" si="17"/>
        <v>28.016259186976061</v>
      </c>
      <c r="L35" s="38">
        <f t="shared" si="19"/>
        <v>31.775948040649652</v>
      </c>
      <c r="M35" s="39">
        <f t="shared" si="18"/>
        <v>0.63551896081299308</v>
      </c>
      <c r="N35" s="44"/>
      <c r="Q35" s="11"/>
      <c r="S35" s="11"/>
    </row>
    <row r="36" spans="1:19" ht="15" x14ac:dyDescent="0.3">
      <c r="B36">
        <v>0.35599999999999998</v>
      </c>
      <c r="C36">
        <v>0.35399999999999998</v>
      </c>
      <c r="D36" s="34">
        <f t="shared" si="11"/>
        <v>0.35499999999999998</v>
      </c>
      <c r="E36" s="34">
        <f t="shared" si="12"/>
        <v>0.312</v>
      </c>
      <c r="F36" s="34">
        <f t="shared" si="13"/>
        <v>-0.50584540598155725</v>
      </c>
      <c r="G36" s="35">
        <f t="shared" si="14"/>
        <v>4.2388393340058589E-2</v>
      </c>
      <c r="H36" s="35">
        <f t="shared" si="15"/>
        <v>1.1025248663762406</v>
      </c>
      <c r="I36" s="36">
        <v>500</v>
      </c>
      <c r="J36" s="37">
        <f t="shared" si="16"/>
        <v>551.26243318812033</v>
      </c>
      <c r="K36" s="37">
        <f t="shared" si="17"/>
        <v>27.563121659406018</v>
      </c>
      <c r="L36" s="38">
        <f t="shared" si="19"/>
        <v>30.539020245799868</v>
      </c>
      <c r="M36" s="39">
        <f t="shared" si="18"/>
        <v>0.61078040491599739</v>
      </c>
      <c r="N36" s="45"/>
      <c r="Q36" s="11"/>
      <c r="S36" s="11"/>
    </row>
    <row r="37" spans="1:19" ht="15" x14ac:dyDescent="0.3">
      <c r="B37" s="3"/>
      <c r="C37" s="3"/>
      <c r="I37" s="36"/>
      <c r="J37" s="36"/>
      <c r="K37" s="36"/>
      <c r="R37" s="11"/>
      <c r="S37" s="11"/>
    </row>
    <row r="38" spans="1:19" ht="23.25" x14ac:dyDescent="0.35">
      <c r="A38" s="21" t="s">
        <v>31</v>
      </c>
      <c r="B38" s="3"/>
      <c r="C38" s="3"/>
      <c r="E38" s="35"/>
      <c r="F38" s="34"/>
      <c r="H38" s="46"/>
      <c r="I38" s="36"/>
      <c r="J38" s="36"/>
      <c r="K38" s="36"/>
      <c r="M38" s="47" t="s">
        <v>32</v>
      </c>
      <c r="R38" s="11"/>
      <c r="S38" s="11"/>
    </row>
    <row r="39" spans="1:19" ht="15" x14ac:dyDescent="0.3">
      <c r="A39" s="26" t="s">
        <v>18</v>
      </c>
      <c r="B39" s="75"/>
      <c r="C39" s="75"/>
      <c r="D39" s="16" t="s">
        <v>20</v>
      </c>
      <c r="E39" s="27" t="s">
        <v>21</v>
      </c>
      <c r="F39" s="28" t="s">
        <v>13</v>
      </c>
      <c r="G39" s="28" t="s">
        <v>22</v>
      </c>
      <c r="H39" s="28" t="s">
        <v>23</v>
      </c>
      <c r="I39" s="27" t="s">
        <v>24</v>
      </c>
      <c r="J39" s="42" t="s">
        <v>25</v>
      </c>
      <c r="K39" s="42" t="s">
        <v>33</v>
      </c>
      <c r="L39" s="28" t="s">
        <v>34</v>
      </c>
      <c r="M39" s="24" t="s">
        <v>35</v>
      </c>
      <c r="N39" s="42" t="s">
        <v>36</v>
      </c>
      <c r="R39" s="11"/>
      <c r="S39" s="11"/>
    </row>
    <row r="40" spans="1:19" ht="15" x14ac:dyDescent="0.3">
      <c r="A40" s="8" t="s">
        <v>37</v>
      </c>
      <c r="B40">
        <v>0.16800000000000001</v>
      </c>
      <c r="C40">
        <v>0.182</v>
      </c>
      <c r="D40" s="34">
        <f>AVERAGE(B40,C40)</f>
        <v>0.17499999999999999</v>
      </c>
      <c r="E40" s="34">
        <f t="shared" ref="E40:E45" si="20">D40-E$8</f>
        <v>0.13200000000000001</v>
      </c>
      <c r="F40" s="34">
        <f t="shared" ref="F40:F45" si="21">LOG(E40)</f>
        <v>-0.87942606879415008</v>
      </c>
      <c r="G40" s="35">
        <f t="shared" ref="G40:G45" si="22">(F40-$B$16)/$B$15</f>
        <v>-0.34077307678059415</v>
      </c>
      <c r="H40" s="34">
        <f t="shared" ref="H40:H45" si="23">10^G40</f>
        <v>0.45627526207409658</v>
      </c>
      <c r="I40" s="48">
        <v>16</v>
      </c>
      <c r="J40" s="49">
        <f t="shared" ref="J40:J45" si="24">H40*I40</f>
        <v>7.3004041931855452</v>
      </c>
      <c r="K40" s="37">
        <f>(0.1*J40/1000)*1000</f>
        <v>0.73004041931855457</v>
      </c>
      <c r="L40" s="50">
        <f>K40*100/L22</f>
        <v>2.2680732600304272</v>
      </c>
      <c r="M40" s="51">
        <f>AVERAGE(L40:L42)</f>
        <v>2.2981233644884589</v>
      </c>
      <c r="N40" s="52">
        <f>STDEV(L40:L42)</f>
        <v>3.6493178501267369E-2</v>
      </c>
      <c r="R40" s="11"/>
      <c r="S40" s="11"/>
    </row>
    <row r="41" spans="1:19" ht="15" x14ac:dyDescent="0.3">
      <c r="B41">
        <v>0.215</v>
      </c>
      <c r="C41">
        <v>0.186</v>
      </c>
      <c r="D41" s="34">
        <f>AVERAGE(B41,C41)</f>
        <v>0.20050000000000001</v>
      </c>
      <c r="E41" s="34">
        <f t="shared" si="20"/>
        <v>0.15750000000000003</v>
      </c>
      <c r="F41" s="34">
        <f t="shared" si="21"/>
        <v>-0.8027194418743806</v>
      </c>
      <c r="G41" s="35">
        <f t="shared" si="22"/>
        <v>-0.2620992404066827</v>
      </c>
      <c r="H41" s="34">
        <f t="shared" si="23"/>
        <v>0.5468909788407289</v>
      </c>
      <c r="I41" s="48">
        <v>16</v>
      </c>
      <c r="J41" s="49">
        <f t="shared" si="24"/>
        <v>8.7502556614516624</v>
      </c>
      <c r="K41" s="37">
        <f t="shared" ref="K41:K45" si="25">(0.1*J41/1000)*1000</f>
        <v>0.87502556614516624</v>
      </c>
      <c r="L41" s="50">
        <f t="shared" ref="L41:L45" si="26">K41*100/L23</f>
        <v>2.2875653071787299</v>
      </c>
      <c r="M41" s="51"/>
      <c r="N41" s="52"/>
      <c r="R41" s="11"/>
      <c r="S41" s="11"/>
    </row>
    <row r="42" spans="1:19" s="24" customFormat="1" ht="15" x14ac:dyDescent="0.3">
      <c r="A42" s="8"/>
      <c r="B42">
        <v>0.189</v>
      </c>
      <c r="C42">
        <v>0.21</v>
      </c>
      <c r="D42" s="34">
        <f>AVERAGE(B42,C42)</f>
        <v>0.19950000000000001</v>
      </c>
      <c r="E42" s="34">
        <f t="shared" si="20"/>
        <v>0.15650000000000003</v>
      </c>
      <c r="F42" s="34">
        <f t="shared" si="21"/>
        <v>-0.80548565811753259</v>
      </c>
      <c r="G42" s="35">
        <f t="shared" si="22"/>
        <v>-0.26493639871787039</v>
      </c>
      <c r="H42" s="34">
        <f t="shared" si="23"/>
        <v>0.54332989489732464</v>
      </c>
      <c r="I42" s="48">
        <v>16</v>
      </c>
      <c r="J42" s="49">
        <f t="shared" si="24"/>
        <v>8.6932783183571942</v>
      </c>
      <c r="K42" s="37">
        <f t="shared" si="25"/>
        <v>0.86932783183571949</v>
      </c>
      <c r="L42" s="50">
        <f t="shared" si="26"/>
        <v>2.3387315262562192</v>
      </c>
      <c r="M42" s="51"/>
      <c r="N42" s="52"/>
      <c r="R42" s="11"/>
      <c r="S42" s="11"/>
    </row>
    <row r="43" spans="1:19" ht="15" x14ac:dyDescent="0.3">
      <c r="A43" s="8" t="s">
        <v>38</v>
      </c>
      <c r="B43">
        <v>0.36099999999999999</v>
      </c>
      <c r="C43">
        <v>0.45200000000000001</v>
      </c>
      <c r="D43" s="34">
        <f t="shared" ref="D43:D45" si="27">AVERAGE(B43,C43)</f>
        <v>0.40649999999999997</v>
      </c>
      <c r="E43" s="34">
        <f t="shared" si="20"/>
        <v>0.36349999999999999</v>
      </c>
      <c r="F43" s="34">
        <f t="shared" si="21"/>
        <v>-0.43949558480494338</v>
      </c>
      <c r="G43" s="35">
        <f t="shared" si="22"/>
        <v>0.11043981450536422</v>
      </c>
      <c r="H43" s="34">
        <f t="shared" si="23"/>
        <v>1.2895548361396405</v>
      </c>
      <c r="I43" s="48">
        <v>16</v>
      </c>
      <c r="J43" s="49">
        <f t="shared" si="24"/>
        <v>20.632877378234248</v>
      </c>
      <c r="K43" s="37">
        <f t="shared" si="25"/>
        <v>2.0632877378234249</v>
      </c>
      <c r="L43" s="50">
        <f t="shared" si="26"/>
        <v>6.4995188919699549</v>
      </c>
      <c r="M43" s="51">
        <f>AVERAGE(L43:L45)</f>
        <v>6.3201060564424694</v>
      </c>
      <c r="N43" s="52">
        <f>STDEV(L43:L45)</f>
        <v>0.23288664573802795</v>
      </c>
      <c r="R43" s="11"/>
      <c r="S43" s="11"/>
    </row>
    <row r="44" spans="1:19" ht="15" x14ac:dyDescent="0.3">
      <c r="A44" s="53"/>
      <c r="B44">
        <v>0.36899999999999999</v>
      </c>
      <c r="C44">
        <v>0.439</v>
      </c>
      <c r="D44" s="34">
        <f t="shared" si="27"/>
        <v>0.40400000000000003</v>
      </c>
      <c r="E44" s="34">
        <f t="shared" si="20"/>
        <v>0.36100000000000004</v>
      </c>
      <c r="F44" s="34">
        <f t="shared" si="21"/>
        <v>-0.442492798094342</v>
      </c>
      <c r="G44" s="35">
        <f t="shared" si="22"/>
        <v>0.1073657350238809</v>
      </c>
      <c r="H44" s="34">
        <f t="shared" si="23"/>
        <v>1.2804591710209114</v>
      </c>
      <c r="I44" s="48">
        <v>16</v>
      </c>
      <c r="J44" s="49">
        <f t="shared" si="24"/>
        <v>20.487346736334583</v>
      </c>
      <c r="K44" s="37">
        <f t="shared" si="25"/>
        <v>2.0487346736334584</v>
      </c>
      <c r="L44" s="50">
        <f t="shared" si="26"/>
        <v>6.0569220735612159</v>
      </c>
      <c r="M44" s="51"/>
      <c r="N44" s="52"/>
    </row>
    <row r="45" spans="1:19" ht="15" x14ac:dyDescent="0.3">
      <c r="A45" s="54"/>
      <c r="B45">
        <v>0.40600000000000003</v>
      </c>
      <c r="C45">
        <v>0.41599999999999998</v>
      </c>
      <c r="D45" s="34">
        <f t="shared" si="27"/>
        <v>0.41100000000000003</v>
      </c>
      <c r="E45" s="34">
        <f t="shared" si="20"/>
        <v>0.36800000000000005</v>
      </c>
      <c r="F45" s="34">
        <f t="shared" si="21"/>
        <v>-0.43415218132648226</v>
      </c>
      <c r="G45" s="35">
        <f t="shared" si="22"/>
        <v>0.11592025430340068</v>
      </c>
      <c r="H45" s="34">
        <f t="shared" si="23"/>
        <v>1.3059310694163297</v>
      </c>
      <c r="I45" s="48">
        <v>16</v>
      </c>
      <c r="J45" s="49">
        <f t="shared" si="24"/>
        <v>20.894897110661276</v>
      </c>
      <c r="K45" s="37">
        <f t="shared" si="25"/>
        <v>2.0894897110661277</v>
      </c>
      <c r="L45" s="50">
        <f t="shared" si="26"/>
        <v>6.403877203796239</v>
      </c>
      <c r="M45" s="51"/>
      <c r="N45" s="52"/>
    </row>
    <row r="46" spans="1:19" x14ac:dyDescent="0.2">
      <c r="B46" s="3"/>
      <c r="C46" s="3"/>
      <c r="E46" s="35"/>
      <c r="F46" s="34"/>
      <c r="G46" s="51"/>
      <c r="H46" s="55"/>
      <c r="I46" s="36"/>
      <c r="J46" s="36"/>
      <c r="K46" s="36"/>
    </row>
    <row r="47" spans="1:19" x14ac:dyDescent="0.2">
      <c r="B47" s="3"/>
      <c r="C47" s="3"/>
      <c r="E47" s="35"/>
      <c r="F47" s="34"/>
      <c r="G47" s="51"/>
      <c r="H47" s="55"/>
      <c r="I47" s="36"/>
      <c r="J47" s="36"/>
      <c r="K47" s="36"/>
    </row>
    <row r="48" spans="1:19" ht="23.25" x14ac:dyDescent="0.35">
      <c r="A48" s="21" t="s">
        <v>39</v>
      </c>
      <c r="B48" s="3"/>
      <c r="C48" s="3"/>
      <c r="E48" s="35"/>
      <c r="F48" s="34"/>
      <c r="H48" s="46"/>
      <c r="I48" s="36"/>
      <c r="J48" s="36"/>
      <c r="K48" s="36"/>
      <c r="M48" s="47" t="s">
        <v>32</v>
      </c>
    </row>
    <row r="49" spans="1:25" x14ac:dyDescent="0.2">
      <c r="A49" s="26" t="s">
        <v>18</v>
      </c>
      <c r="B49" s="75"/>
      <c r="C49" s="75"/>
      <c r="D49" s="16" t="s">
        <v>20</v>
      </c>
      <c r="E49" s="27" t="s">
        <v>21</v>
      </c>
      <c r="F49" s="28" t="s">
        <v>13</v>
      </c>
      <c r="G49" s="28" t="s">
        <v>22</v>
      </c>
      <c r="H49" s="28" t="s">
        <v>23</v>
      </c>
      <c r="I49" s="27" t="s">
        <v>24</v>
      </c>
      <c r="J49" s="42" t="s">
        <v>25</v>
      </c>
      <c r="K49" s="42" t="s">
        <v>33</v>
      </c>
      <c r="L49" s="28" t="s">
        <v>34</v>
      </c>
      <c r="M49" s="24" t="s">
        <v>35</v>
      </c>
      <c r="N49" s="42" t="s">
        <v>36</v>
      </c>
      <c r="O49" s="10" t="s">
        <v>40</v>
      </c>
      <c r="P49" s="24" t="s">
        <v>35</v>
      </c>
      <c r="Q49" s="42" t="s">
        <v>36</v>
      </c>
    </row>
    <row r="50" spans="1:25" ht="15" x14ac:dyDescent="0.3">
      <c r="A50" s="8" t="s">
        <v>29</v>
      </c>
      <c r="B50">
        <v>0.17899999999999999</v>
      </c>
      <c r="C50">
        <v>0.215</v>
      </c>
      <c r="D50" s="34">
        <f t="shared" ref="D50:D52" si="28">AVERAGE(B50,C50)</f>
        <v>0.19700000000000001</v>
      </c>
      <c r="E50" s="34">
        <f t="shared" ref="E50:E55" si="29">D50-E$8</f>
        <v>0.15400000000000003</v>
      </c>
      <c r="F50" s="34">
        <f t="shared" ref="F50:F55" si="30">LOG(E50)</f>
        <v>-0.8124792791635369</v>
      </c>
      <c r="G50" s="35">
        <f t="shared" ref="G50:G55" si="31">(F50-$B$16)/$B$15</f>
        <v>-0.27210937737602436</v>
      </c>
      <c r="H50" s="34">
        <f t="shared" ref="H50:H55" si="32">10^G50</f>
        <v>0.53442974593251302</v>
      </c>
      <c r="I50" s="48">
        <v>16</v>
      </c>
      <c r="J50" s="49">
        <f t="shared" ref="J50:J55" si="33">H50*I50</f>
        <v>8.5508759349202084</v>
      </c>
      <c r="K50" s="37">
        <f>(0.1*J50/1000)*1000</f>
        <v>0.8550875934920209</v>
      </c>
      <c r="L50" s="50">
        <f t="shared" ref="L50:L55" si="34">K50*100/L31</f>
        <v>2.7182182065301168</v>
      </c>
      <c r="M50" s="51">
        <f>AVERAGE(L50:L52)</f>
        <v>2.4748145557612657</v>
      </c>
      <c r="N50" s="52">
        <f>STDEV(L50:L52)</f>
        <v>0.37387624602564257</v>
      </c>
      <c r="O50" s="10">
        <f>L50/L40</f>
        <v>1.1984701968990414</v>
      </c>
      <c r="P50" s="51">
        <f>AVERAGE(O50:O52)</f>
        <v>1.0767733221802487</v>
      </c>
      <c r="Q50" s="52">
        <f>STDEV(O50:O52)</f>
        <v>0.16141299307724521</v>
      </c>
      <c r="S50" s="11"/>
      <c r="T50" s="11"/>
    </row>
    <row r="51" spans="1:25" ht="15" x14ac:dyDescent="0.3">
      <c r="B51">
        <v>0.152</v>
      </c>
      <c r="C51">
        <v>0.21</v>
      </c>
      <c r="D51" s="34">
        <f t="shared" si="28"/>
        <v>0.18099999999999999</v>
      </c>
      <c r="E51" s="34">
        <f t="shared" si="29"/>
        <v>0.13800000000000001</v>
      </c>
      <c r="F51" s="34">
        <f t="shared" si="30"/>
        <v>-0.86012091359876341</v>
      </c>
      <c r="G51" s="35">
        <f t="shared" si="31"/>
        <v>-0.32097282376460112</v>
      </c>
      <c r="H51" s="34">
        <f t="shared" si="32"/>
        <v>0.47755915627083878</v>
      </c>
      <c r="I51" s="48">
        <v>16</v>
      </c>
      <c r="J51" s="49">
        <f t="shared" si="33"/>
        <v>7.6409465003334205</v>
      </c>
      <c r="K51" s="37">
        <f t="shared" ref="K51:K55" si="35">(0.1*J51/1000)*1000</f>
        <v>0.76409465003334209</v>
      </c>
      <c r="L51" s="50">
        <f t="shared" si="34"/>
        <v>2.0443256768326141</v>
      </c>
      <c r="M51" s="51"/>
      <c r="N51" s="52"/>
      <c r="O51" s="10">
        <f t="shared" ref="O51:O55" si="36">L51/L41</f>
        <v>0.89366877108041787</v>
      </c>
      <c r="P51" s="51"/>
      <c r="Q51" s="52"/>
      <c r="S51" s="11"/>
      <c r="T51" s="11"/>
    </row>
    <row r="52" spans="1:25" ht="15" x14ac:dyDescent="0.3">
      <c r="B52">
        <v>0.19700000000000001</v>
      </c>
      <c r="C52">
        <v>0.23599999999999999</v>
      </c>
      <c r="D52" s="34">
        <f t="shared" si="28"/>
        <v>0.2165</v>
      </c>
      <c r="E52" s="34">
        <f t="shared" si="29"/>
        <v>0.17349999999999999</v>
      </c>
      <c r="F52" s="34">
        <f t="shared" si="30"/>
        <v>-0.76070052087310747</v>
      </c>
      <c r="G52" s="35">
        <f t="shared" si="31"/>
        <v>-0.21900270692307469</v>
      </c>
      <c r="H52" s="34">
        <f t="shared" si="32"/>
        <v>0.60394486502418554</v>
      </c>
      <c r="I52" s="48">
        <v>16</v>
      </c>
      <c r="J52" s="49">
        <f t="shared" si="33"/>
        <v>9.6631178403869686</v>
      </c>
      <c r="K52" s="37">
        <f t="shared" si="35"/>
        <v>0.96631178403869689</v>
      </c>
      <c r="L52" s="50">
        <f t="shared" si="34"/>
        <v>2.6618997839210659</v>
      </c>
      <c r="M52" s="51"/>
      <c r="N52" s="52"/>
      <c r="O52" s="10">
        <f t="shared" si="36"/>
        <v>1.1381809985612867</v>
      </c>
      <c r="P52" s="51"/>
      <c r="Q52" s="52"/>
      <c r="S52" s="11"/>
      <c r="T52" s="11"/>
    </row>
    <row r="53" spans="1:25" ht="15" x14ac:dyDescent="0.3">
      <c r="A53" s="8" t="s">
        <v>30</v>
      </c>
      <c r="B53">
        <v>0.68899999999999995</v>
      </c>
      <c r="C53">
        <v>0.79</v>
      </c>
      <c r="D53" s="34">
        <f>AVERAGE(B53:C53)</f>
        <v>0.73950000000000005</v>
      </c>
      <c r="E53" s="34">
        <f t="shared" si="29"/>
        <v>0.69650000000000001</v>
      </c>
      <c r="F53" s="34">
        <f t="shared" si="30"/>
        <v>-0.1570788792400177</v>
      </c>
      <c r="G53" s="35">
        <f t="shared" si="31"/>
        <v>0.40009934687032689</v>
      </c>
      <c r="H53" s="34">
        <f t="shared" si="32"/>
        <v>2.5124611028692199</v>
      </c>
      <c r="I53" s="48">
        <v>16</v>
      </c>
      <c r="J53" s="49">
        <f t="shared" si="33"/>
        <v>40.199377645907518</v>
      </c>
      <c r="K53" s="37">
        <f t="shared" si="35"/>
        <v>4.0199377645907521</v>
      </c>
      <c r="L53" s="50">
        <f t="shared" si="34"/>
        <v>13.543374798263985</v>
      </c>
      <c r="M53" s="51">
        <f>AVERAGE(L53:L55)</f>
        <v>11.70660752162199</v>
      </c>
      <c r="N53" s="52">
        <f>STDEV(L53:L55)</f>
        <v>1.9024938039775321</v>
      </c>
      <c r="O53" s="10">
        <f t="shared" si="36"/>
        <v>2.0837503549680569</v>
      </c>
      <c r="P53" s="51">
        <f>AVERAGE(O53:O55)</f>
        <v>1.8529549171856381</v>
      </c>
      <c r="Q53" s="52">
        <f>STDEV(O53:O55)</f>
        <v>0.29420717029047061</v>
      </c>
      <c r="S53" s="11"/>
      <c r="T53" s="11"/>
    </row>
    <row r="54" spans="1:25" ht="15" x14ac:dyDescent="0.3">
      <c r="A54" s="53"/>
      <c r="B54">
        <v>0.58299999999999996</v>
      </c>
      <c r="C54">
        <v>0.80800000000000005</v>
      </c>
      <c r="D54" s="34">
        <f>AVERAGE(B54:C54)</f>
        <v>0.69550000000000001</v>
      </c>
      <c r="E54" s="34">
        <f t="shared" si="29"/>
        <v>0.65249999999999997</v>
      </c>
      <c r="F54" s="34">
        <f t="shared" si="30"/>
        <v>-0.18541948398968144</v>
      </c>
      <c r="G54" s="35">
        <f t="shared" si="31"/>
        <v>0.37103192218556225</v>
      </c>
      <c r="H54" s="34">
        <f t="shared" si="32"/>
        <v>2.349805533545994</v>
      </c>
      <c r="I54" s="48">
        <v>16</v>
      </c>
      <c r="J54" s="49">
        <f t="shared" si="33"/>
        <v>37.596888536735904</v>
      </c>
      <c r="K54" s="37">
        <f t="shared" si="35"/>
        <v>3.7596888536735906</v>
      </c>
      <c r="L54" s="50">
        <f t="shared" si="34"/>
        <v>11.831869969273543</v>
      </c>
      <c r="M54" s="51"/>
      <c r="N54" s="52"/>
      <c r="O54" s="10">
        <f t="shared" si="36"/>
        <v>1.9534459624171621</v>
      </c>
      <c r="P54" s="51"/>
      <c r="Q54" s="52"/>
      <c r="S54" s="11"/>
      <c r="T54" s="11"/>
    </row>
    <row r="55" spans="1:25" ht="15" x14ac:dyDescent="0.3">
      <c r="A55" s="54"/>
      <c r="B55">
        <v>0.53700000000000003</v>
      </c>
      <c r="C55">
        <v>0.58799999999999997</v>
      </c>
      <c r="D55" s="34">
        <f>AVERAGE(B55:C55)</f>
        <v>0.5625</v>
      </c>
      <c r="E55" s="34">
        <f t="shared" si="29"/>
        <v>0.51949999999999996</v>
      </c>
      <c r="F55" s="34">
        <f t="shared" si="30"/>
        <v>-0.28441444810680383</v>
      </c>
      <c r="G55" s="35">
        <f t="shared" si="31"/>
        <v>0.26949814444641296</v>
      </c>
      <c r="H55" s="34">
        <f t="shared" si="32"/>
        <v>1.8599366164961568</v>
      </c>
      <c r="I55" s="48">
        <v>16</v>
      </c>
      <c r="J55" s="49">
        <f t="shared" si="33"/>
        <v>29.758985863938509</v>
      </c>
      <c r="K55" s="37">
        <f t="shared" si="35"/>
        <v>2.9758985863938512</v>
      </c>
      <c r="L55" s="50">
        <f t="shared" si="34"/>
        <v>9.7445777973284393</v>
      </c>
      <c r="M55" s="51"/>
      <c r="N55" s="52"/>
      <c r="O55" s="10">
        <f t="shared" si="36"/>
        <v>1.5216684341716955</v>
      </c>
      <c r="P55" s="51"/>
      <c r="Q55" s="52"/>
      <c r="S55" s="11"/>
      <c r="T55" s="11"/>
      <c r="Y55" s="8"/>
    </row>
    <row r="56" spans="1:25" x14ac:dyDescent="0.2">
      <c r="D56" s="34"/>
      <c r="E56" s="35"/>
      <c r="F56" s="34"/>
      <c r="G56" s="51"/>
      <c r="H56" s="55"/>
    </row>
    <row r="57" spans="1:25" x14ac:dyDescent="0.2">
      <c r="B57" s="51"/>
      <c r="C57" s="51"/>
      <c r="D57" s="34"/>
      <c r="E57" s="35"/>
      <c r="F57" s="34"/>
      <c r="G57" s="51"/>
      <c r="H57" s="55"/>
      <c r="M57" s="10" t="s">
        <v>41</v>
      </c>
      <c r="N57" s="10" t="s">
        <v>42</v>
      </c>
      <c r="O57" s="42" t="s">
        <v>36</v>
      </c>
    </row>
    <row r="58" spans="1:25" ht="15" x14ac:dyDescent="0.3">
      <c r="C58" s="11"/>
      <c r="D58" s="11"/>
      <c r="E58" s="11"/>
      <c r="F58" s="11"/>
      <c r="G58" s="11"/>
      <c r="H58" s="55"/>
      <c r="M58" s="10" t="s">
        <v>29</v>
      </c>
      <c r="N58" s="51">
        <f>P50</f>
        <v>1.0767733221802487</v>
      </c>
      <c r="O58" s="51">
        <f>Q50</f>
        <v>0.16141299307724521</v>
      </c>
    </row>
    <row r="59" spans="1:25" ht="15" x14ac:dyDescent="0.3">
      <c r="D59" s="11"/>
      <c r="E59" s="11"/>
      <c r="G59" s="11"/>
      <c r="M59" s="10" t="s">
        <v>30</v>
      </c>
      <c r="N59" s="51">
        <f>P53</f>
        <v>1.8529549171856381</v>
      </c>
      <c r="O59" s="51">
        <f>Q53</f>
        <v>0.29420717029047061</v>
      </c>
    </row>
    <row r="60" spans="1:25" x14ac:dyDescent="0.2">
      <c r="G60" s="51"/>
      <c r="H60" s="55"/>
    </row>
    <row r="61" spans="1:25" ht="15" x14ac:dyDescent="0.3">
      <c r="A61" s="56"/>
      <c r="D61" s="11"/>
      <c r="E61" s="11"/>
      <c r="F61" s="11"/>
      <c r="G61" s="51"/>
      <c r="H61" s="55"/>
    </row>
    <row r="62" spans="1:25" ht="15" x14ac:dyDescent="0.3">
      <c r="C62" s="34"/>
      <c r="D62" s="11"/>
      <c r="E62" s="11"/>
      <c r="F62" s="11"/>
      <c r="G62" s="51"/>
      <c r="H62" s="55"/>
    </row>
    <row r="63" spans="1:25" ht="15" x14ac:dyDescent="0.3">
      <c r="C63" s="34"/>
      <c r="D63" s="11"/>
      <c r="E63" s="11"/>
      <c r="F63" s="11"/>
      <c r="G63" s="51"/>
      <c r="H63" s="55"/>
    </row>
    <row r="64" spans="1:25" ht="13.5" thickBot="1" x14ac:dyDescent="0.25">
      <c r="B64" s="57" t="s">
        <v>20</v>
      </c>
      <c r="C64" s="58" t="s">
        <v>43</v>
      </c>
      <c r="D64" s="34"/>
      <c r="E64" s="35"/>
      <c r="F64" s="34"/>
      <c r="G64" s="51"/>
      <c r="H64" s="55"/>
    </row>
    <row r="65" spans="1:8" x14ac:dyDescent="0.2">
      <c r="A65" s="8" t="s">
        <v>37</v>
      </c>
      <c r="B65" s="51">
        <f>M40</f>
        <v>2.2981233644884589</v>
      </c>
      <c r="C65" s="51">
        <f>N40</f>
        <v>3.6493178501267369E-2</v>
      </c>
      <c r="D65" s="34"/>
      <c r="E65" s="35"/>
      <c r="F65" s="34"/>
      <c r="G65" s="51"/>
      <c r="H65" s="55"/>
    </row>
    <row r="66" spans="1:8" x14ac:dyDescent="0.2">
      <c r="A66" s="8" t="s">
        <v>29</v>
      </c>
      <c r="B66" s="51">
        <f>M50</f>
        <v>2.4748145557612657</v>
      </c>
      <c r="C66" s="51">
        <f>N50</f>
        <v>0.37387624602564257</v>
      </c>
      <c r="D66" s="34"/>
      <c r="E66" s="35"/>
      <c r="F66" s="34"/>
      <c r="G66" s="51"/>
      <c r="H66" s="55"/>
    </row>
    <row r="67" spans="1:8" x14ac:dyDescent="0.2">
      <c r="A67" s="8" t="s">
        <v>38</v>
      </c>
      <c r="B67" s="51">
        <f>M43</f>
        <v>6.3201060564424694</v>
      </c>
      <c r="C67" s="51">
        <f>N43</f>
        <v>0.23288664573802795</v>
      </c>
      <c r="D67" s="34"/>
      <c r="E67" s="35"/>
      <c r="F67" s="34"/>
      <c r="G67" s="51"/>
      <c r="H67" s="55"/>
    </row>
    <row r="68" spans="1:8" x14ac:dyDescent="0.2">
      <c r="A68" s="59" t="s">
        <v>30</v>
      </c>
      <c r="B68" s="51">
        <f>M53</f>
        <v>11.70660752162199</v>
      </c>
      <c r="C68" s="51">
        <f>N53</f>
        <v>1.9024938039775321</v>
      </c>
      <c r="D68" s="34"/>
      <c r="E68" s="35"/>
      <c r="F68" s="34"/>
      <c r="G68" s="51"/>
      <c r="H68" s="55"/>
    </row>
    <row r="69" spans="1:8" x14ac:dyDescent="0.2">
      <c r="A69" s="60"/>
      <c r="C69" s="34"/>
      <c r="D69" s="34"/>
      <c r="E69" s="35"/>
      <c r="F69" s="34"/>
      <c r="G69" s="51"/>
      <c r="H69" s="55"/>
    </row>
    <row r="70" spans="1:8" x14ac:dyDescent="0.2">
      <c r="A70" s="60"/>
      <c r="C70" s="34"/>
      <c r="D70" s="34"/>
      <c r="E70" s="35"/>
      <c r="F70" s="34"/>
      <c r="G70" s="51"/>
      <c r="H70" s="55"/>
    </row>
    <row r="71" spans="1:8" x14ac:dyDescent="0.2">
      <c r="A71" s="60"/>
      <c r="B71" s="36"/>
      <c r="C71" s="34"/>
      <c r="D71" s="34"/>
      <c r="E71" s="35"/>
      <c r="F71" s="34"/>
      <c r="G71" s="51"/>
      <c r="H71" s="55"/>
    </row>
    <row r="72" spans="1:8" x14ac:dyDescent="0.2">
      <c r="A72" s="60"/>
      <c r="B72" s="36"/>
      <c r="C72" s="34"/>
      <c r="D72" s="34"/>
      <c r="E72" s="35"/>
      <c r="F72" s="34"/>
      <c r="G72" s="51"/>
      <c r="H72" s="55"/>
    </row>
    <row r="73" spans="1:8" x14ac:dyDescent="0.2">
      <c r="C73" s="34"/>
      <c r="D73" s="34"/>
      <c r="E73" s="35"/>
      <c r="F73" s="34"/>
      <c r="G73" s="51"/>
      <c r="H73" s="55"/>
    </row>
    <row r="74" spans="1:8" x14ac:dyDescent="0.2">
      <c r="C74" s="34"/>
      <c r="D74" s="35"/>
      <c r="H74" s="55"/>
    </row>
    <row r="75" spans="1:8" x14ac:dyDescent="0.2">
      <c r="A75" s="61"/>
      <c r="C75" s="34"/>
      <c r="D75" s="35"/>
      <c r="H75" s="46"/>
    </row>
    <row r="76" spans="1:8" x14ac:dyDescent="0.2">
      <c r="A76" s="61"/>
      <c r="C76" s="34"/>
      <c r="D76" s="35"/>
      <c r="H76" s="46"/>
    </row>
    <row r="77" spans="1:8" x14ac:dyDescent="0.2">
      <c r="A77" s="62"/>
      <c r="B77" s="46"/>
      <c r="C77" s="63"/>
      <c r="D77" s="64"/>
      <c r="E77" s="46"/>
      <c r="F77" s="46"/>
      <c r="G77" s="46"/>
    </row>
    <row r="78" spans="1:8" x14ac:dyDescent="0.2">
      <c r="A78" s="65"/>
      <c r="B78" s="66"/>
      <c r="C78" s="67"/>
      <c r="D78" s="46"/>
      <c r="E78" s="46"/>
      <c r="F78" s="46"/>
      <c r="G78" s="46"/>
    </row>
    <row r="79" spans="1:8" x14ac:dyDescent="0.2">
      <c r="A79" s="65"/>
      <c r="B79" s="68"/>
      <c r="C79" s="63"/>
      <c r="D79" s="46"/>
      <c r="E79" s="46"/>
      <c r="F79" s="46"/>
      <c r="G79" s="46"/>
    </row>
    <row r="80" spans="1:8" x14ac:dyDescent="0.2">
      <c r="A80" s="65"/>
      <c r="B80" s="68"/>
      <c r="C80" s="63"/>
      <c r="D80" s="46"/>
      <c r="E80" s="46"/>
      <c r="F80" s="46"/>
      <c r="G80" s="46"/>
    </row>
    <row r="81" spans="1:7" x14ac:dyDescent="0.2">
      <c r="A81" s="65"/>
      <c r="B81" s="68"/>
      <c r="C81" s="63"/>
      <c r="D81" s="46"/>
      <c r="E81" s="46"/>
      <c r="F81" s="46"/>
      <c r="G81" s="46"/>
    </row>
    <row r="82" spans="1:7" x14ac:dyDescent="0.2">
      <c r="A82" s="65"/>
      <c r="B82" s="68"/>
      <c r="C82" s="63"/>
      <c r="D82" s="46"/>
      <c r="E82" s="46"/>
      <c r="F82" s="46"/>
      <c r="G82" s="46"/>
    </row>
    <row r="83" spans="1:7" x14ac:dyDescent="0.2">
      <c r="A83" s="65"/>
      <c r="B83" s="46"/>
      <c r="C83" s="46"/>
      <c r="D83" s="69"/>
      <c r="E83" s="66"/>
      <c r="F83" s="66"/>
      <c r="G83" s="46"/>
    </row>
    <row r="84" spans="1:7" x14ac:dyDescent="0.2">
      <c r="A84" s="65"/>
      <c r="B84" s="68"/>
      <c r="C84" s="63"/>
      <c r="D84" s="55"/>
      <c r="E84" s="55"/>
      <c r="F84" s="55"/>
      <c r="G84" s="46"/>
    </row>
    <row r="85" spans="1:7" x14ac:dyDescent="0.2">
      <c r="A85" s="65"/>
      <c r="B85" s="68"/>
      <c r="C85" s="63"/>
      <c r="D85" s="55"/>
      <c r="E85" s="55"/>
      <c r="F85" s="55"/>
      <c r="G85" s="46"/>
    </row>
    <row r="86" spans="1:7" x14ac:dyDescent="0.2">
      <c r="A86" s="65"/>
      <c r="B86" s="68"/>
      <c r="C86" s="63"/>
      <c r="D86" s="55"/>
      <c r="E86" s="55"/>
      <c r="F86" s="55"/>
      <c r="G86" s="46"/>
    </row>
    <row r="87" spans="1:7" x14ac:dyDescent="0.2">
      <c r="A87" s="65"/>
      <c r="B87" s="68"/>
      <c r="C87" s="63"/>
      <c r="D87" s="55"/>
      <c r="E87" s="55"/>
      <c r="F87" s="55"/>
      <c r="G87" s="46"/>
    </row>
    <row r="88" spans="1:7" x14ac:dyDescent="0.2">
      <c r="A88" s="65"/>
      <c r="B88" s="46"/>
      <c r="C88" s="55"/>
      <c r="D88" s="55"/>
      <c r="E88" s="55"/>
      <c r="F88" s="55"/>
      <c r="G88" s="46"/>
    </row>
    <row r="89" spans="1:7" x14ac:dyDescent="0.2">
      <c r="A89" s="65"/>
      <c r="B89" s="46"/>
      <c r="C89" s="55"/>
      <c r="D89" s="55"/>
      <c r="E89" s="55"/>
      <c r="F89" s="55"/>
      <c r="G89" s="46"/>
    </row>
    <row r="90" spans="1:7" x14ac:dyDescent="0.2">
      <c r="C90" s="55"/>
      <c r="D90" s="55"/>
      <c r="E90" s="70"/>
      <c r="F90" s="70"/>
    </row>
    <row r="91" spans="1:7" x14ac:dyDescent="0.2">
      <c r="C91" s="55"/>
      <c r="D91" s="55"/>
      <c r="E91" s="70"/>
      <c r="F91" s="70"/>
    </row>
    <row r="92" spans="1:7" x14ac:dyDescent="0.2">
      <c r="C92" s="55"/>
      <c r="D92" s="55"/>
      <c r="E92" s="70"/>
      <c r="F92" s="70"/>
    </row>
    <row r="93" spans="1:7" x14ac:dyDescent="0.2">
      <c r="C93" s="55"/>
      <c r="D93" s="55"/>
      <c r="E93" s="70"/>
      <c r="F93" s="70"/>
    </row>
    <row r="94" spans="1:7" x14ac:dyDescent="0.2">
      <c r="C94" s="55"/>
      <c r="E94" s="70"/>
      <c r="F94" s="70"/>
    </row>
    <row r="95" spans="1:7" x14ac:dyDescent="0.2">
      <c r="C95" s="55"/>
      <c r="E95" s="70"/>
      <c r="F95" s="70"/>
    </row>
    <row r="96" spans="1:7" x14ac:dyDescent="0.2">
      <c r="C96" s="55"/>
      <c r="D96" s="55"/>
      <c r="E96" s="70"/>
      <c r="F96" s="70"/>
    </row>
    <row r="97" spans="2:6" x14ac:dyDescent="0.2">
      <c r="C97" s="55"/>
      <c r="D97" s="55"/>
      <c r="E97" s="70"/>
      <c r="F97" s="70"/>
    </row>
    <row r="98" spans="2:6" x14ac:dyDescent="0.2">
      <c r="C98" s="55"/>
      <c r="D98" s="55"/>
      <c r="E98" s="70"/>
      <c r="F98" s="70"/>
    </row>
    <row r="99" spans="2:6" x14ac:dyDescent="0.2">
      <c r="C99" s="55"/>
      <c r="D99" s="55"/>
      <c r="E99" s="70"/>
      <c r="F99" s="70"/>
    </row>
    <row r="100" spans="2:6" x14ac:dyDescent="0.2">
      <c r="C100" s="55"/>
      <c r="D100" s="55"/>
      <c r="E100" s="70"/>
      <c r="F100" s="70"/>
    </row>
    <row r="101" spans="2:6" x14ac:dyDescent="0.2">
      <c r="C101" s="55"/>
      <c r="D101" s="55"/>
      <c r="E101" s="70"/>
      <c r="F101" s="70"/>
    </row>
    <row r="102" spans="2:6" x14ac:dyDescent="0.2">
      <c r="C102" s="55"/>
      <c r="D102" s="55"/>
      <c r="E102" s="70"/>
      <c r="F102" s="70"/>
    </row>
    <row r="103" spans="2:6" x14ac:dyDescent="0.2">
      <c r="C103" s="55"/>
      <c r="D103" s="55"/>
      <c r="E103" s="70"/>
      <c r="F103" s="70"/>
    </row>
    <row r="104" spans="2:6" x14ac:dyDescent="0.2">
      <c r="C104" s="55"/>
      <c r="D104" s="55"/>
      <c r="E104" s="70"/>
      <c r="F104" s="70"/>
    </row>
    <row r="105" spans="2:6" x14ac:dyDescent="0.2">
      <c r="C105" s="55"/>
      <c r="D105" s="55"/>
      <c r="E105" s="70"/>
      <c r="F105" s="70"/>
    </row>
    <row r="106" spans="2:6" x14ac:dyDescent="0.2">
      <c r="C106" s="55"/>
    </row>
    <row r="107" spans="2:6" x14ac:dyDescent="0.2">
      <c r="C107" s="55"/>
    </row>
    <row r="108" spans="2:6" ht="13.5" thickBot="1" x14ac:dyDescent="0.25">
      <c r="B108" s="71"/>
      <c r="C108" s="71"/>
      <c r="D108" s="71"/>
      <c r="E108" s="71"/>
    </row>
    <row r="109" spans="2:6" x14ac:dyDescent="0.2">
      <c r="B109" s="70"/>
      <c r="C109" s="70"/>
      <c r="D109" s="70"/>
      <c r="E109" s="70"/>
    </row>
    <row r="110" spans="2:6" x14ac:dyDescent="0.2">
      <c r="B110" s="70"/>
      <c r="C110" s="70"/>
      <c r="D110" s="70"/>
      <c r="E110" s="70"/>
    </row>
    <row r="111" spans="2:6" x14ac:dyDescent="0.2">
      <c r="B111" s="70"/>
      <c r="C111" s="70"/>
      <c r="D111" s="70"/>
      <c r="E111" s="70"/>
    </row>
    <row r="112" spans="2:6" x14ac:dyDescent="0.2">
      <c r="B112" s="70"/>
      <c r="C112" s="70"/>
      <c r="D112" s="70"/>
      <c r="E112" s="70"/>
    </row>
    <row r="113" spans="2:5" x14ac:dyDescent="0.2">
      <c r="B113" s="70"/>
      <c r="C113" s="70"/>
      <c r="D113" s="70"/>
      <c r="E113" s="70"/>
    </row>
    <row r="114" spans="2:5" x14ac:dyDescent="0.2">
      <c r="B114" s="70"/>
      <c r="C114" s="70"/>
      <c r="D114" s="70"/>
      <c r="E114" s="70"/>
    </row>
    <row r="115" spans="2:5" x14ac:dyDescent="0.2">
      <c r="B115" s="70"/>
      <c r="C115" s="70"/>
      <c r="D115" s="70"/>
      <c r="E115" s="70"/>
    </row>
    <row r="116" spans="2:5" x14ac:dyDescent="0.2">
      <c r="B116" s="70"/>
      <c r="C116" s="70"/>
      <c r="D116" s="70"/>
      <c r="E116" s="70"/>
    </row>
    <row r="117" spans="2:5" x14ac:dyDescent="0.2">
      <c r="B117" s="70"/>
      <c r="C117" s="70"/>
      <c r="D117" s="70"/>
      <c r="E117" s="70"/>
    </row>
    <row r="118" spans="2:5" x14ac:dyDescent="0.2">
      <c r="B118" s="70"/>
      <c r="C118" s="70"/>
      <c r="D118" s="70"/>
      <c r="E118" s="70"/>
    </row>
  </sheetData>
  <pageMargins left="0.7" right="0.7" top="0.75" bottom="0.75" header="0.3" footer="0.3"/>
  <pageSetup paperSize="9" scale="3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tabSelected="1" zoomScale="70" zoomScaleNormal="70" workbookViewId="0">
      <selection activeCell="F4" sqref="F4"/>
    </sheetView>
  </sheetViews>
  <sheetFormatPr baseColWidth="10" defaultColWidth="8.75" defaultRowHeight="12.75" x14ac:dyDescent="0.2"/>
  <cols>
    <col min="1" max="1" width="28.125" style="8" customWidth="1"/>
    <col min="2" max="2" width="9" style="10" bestFit="1" customWidth="1"/>
    <col min="3" max="3" width="11.875" style="10" bestFit="1" customWidth="1"/>
    <col min="4" max="4" width="6" style="10" bestFit="1" customWidth="1"/>
    <col min="5" max="5" width="6.75" style="10" customWidth="1"/>
    <col min="6" max="8" width="11" style="10" bestFit="1" customWidth="1"/>
    <col min="9" max="9" width="12.125" style="10" bestFit="1" customWidth="1"/>
    <col min="10" max="10" width="12" style="10" bestFit="1" customWidth="1"/>
    <col min="11" max="11" width="12.125" style="10" bestFit="1" customWidth="1"/>
    <col min="12" max="12" width="13" style="10" bestFit="1" customWidth="1"/>
    <col min="13" max="13" width="14.875" style="10" bestFit="1" customWidth="1"/>
    <col min="14" max="14" width="13.75" style="10" bestFit="1" customWidth="1"/>
    <col min="15" max="15" width="14" style="10" customWidth="1"/>
    <col min="16" max="16" width="11.375" style="10" customWidth="1"/>
    <col min="17" max="17" width="10.375" style="10" bestFit="1" customWidth="1"/>
    <col min="18" max="16384" width="8.75" style="10"/>
  </cols>
  <sheetData>
    <row r="1" spans="1:20" s="3" customFormat="1" x14ac:dyDescent="0.2">
      <c r="A1" s="1" t="s">
        <v>0</v>
      </c>
      <c r="B1" s="2">
        <v>42479</v>
      </c>
    </row>
    <row r="2" spans="1:20" s="3" customFormat="1" x14ac:dyDescent="0.2">
      <c r="A2" s="1" t="s">
        <v>1</v>
      </c>
      <c r="B2" s="3">
        <v>69</v>
      </c>
      <c r="C2" s="4"/>
      <c r="E2" s="5" t="s">
        <v>2</v>
      </c>
    </row>
    <row r="3" spans="1:20" s="3" customFormat="1" ht="15" x14ac:dyDescent="0.3">
      <c r="A3" s="1" t="s">
        <v>3</v>
      </c>
      <c r="B3" s="3" t="s">
        <v>4</v>
      </c>
      <c r="D3" s="6" t="s">
        <v>5</v>
      </c>
      <c r="E3" s="80">
        <v>4971584</v>
      </c>
      <c r="F3" s="80">
        <v>5134840</v>
      </c>
      <c r="G3" s="77"/>
      <c r="H3" s="77"/>
    </row>
    <row r="4" spans="1:20" s="3" customFormat="1" ht="15" x14ac:dyDescent="0.25">
      <c r="A4" s="1"/>
      <c r="D4" s="6" t="s">
        <v>6</v>
      </c>
      <c r="E4" s="82">
        <v>5641440</v>
      </c>
      <c r="F4" s="82">
        <v>5440112</v>
      </c>
    </row>
    <row r="5" spans="1:20" s="3" customFormat="1" x14ac:dyDescent="0.2">
      <c r="A5" s="1"/>
      <c r="D5" s="7"/>
      <c r="F5" s="7"/>
    </row>
    <row r="6" spans="1:20" ht="15" x14ac:dyDescent="0.3">
      <c r="B6" s="9"/>
      <c r="C6" s="9"/>
      <c r="D6" s="9"/>
      <c r="N6" s="11"/>
      <c r="O6" s="11"/>
      <c r="P6" s="11"/>
    </row>
    <row r="7" spans="1:20" ht="15" x14ac:dyDescent="0.3">
      <c r="A7" s="12" t="s">
        <v>7</v>
      </c>
      <c r="B7" s="13" t="s">
        <v>8</v>
      </c>
      <c r="C7" s="14" t="s">
        <v>9</v>
      </c>
      <c r="D7" s="14"/>
      <c r="E7" s="15" t="s">
        <v>10</v>
      </c>
      <c r="F7" s="16" t="s">
        <v>11</v>
      </c>
      <c r="G7" s="17" t="s">
        <v>12</v>
      </c>
      <c r="H7" s="17" t="s">
        <v>13</v>
      </c>
      <c r="N7" s="11"/>
      <c r="O7" s="11"/>
      <c r="P7" s="11"/>
    </row>
    <row r="8" spans="1:20" ht="15" x14ac:dyDescent="0.3">
      <c r="A8" s="78">
        <v>0</v>
      </c>
      <c r="B8" s="17">
        <v>0</v>
      </c>
      <c r="C8">
        <v>0.05</v>
      </c>
      <c r="D8">
        <v>3.5999999999999997E-2</v>
      </c>
      <c r="E8" s="18">
        <f t="shared" ref="E8:E13" si="0">AVERAGE(C8:D8)</f>
        <v>4.2999999999999997E-2</v>
      </c>
      <c r="F8" s="19"/>
      <c r="G8" s="17"/>
      <c r="H8" s="17"/>
      <c r="N8" s="11"/>
      <c r="O8" s="11"/>
      <c r="P8" s="11"/>
    </row>
    <row r="9" spans="1:20" ht="15" x14ac:dyDescent="0.3">
      <c r="A9" s="78">
        <v>3</v>
      </c>
      <c r="B9" s="19">
        <f>A9/23</f>
        <v>0.13043478260869565</v>
      </c>
      <c r="C9">
        <v>8.5999999999999993E-2</v>
      </c>
      <c r="D9">
        <v>7.8E-2</v>
      </c>
      <c r="E9" s="18">
        <f t="shared" si="0"/>
        <v>8.199999999999999E-2</v>
      </c>
      <c r="F9" s="19">
        <f>(E9-$E$8)</f>
        <v>3.8999999999999993E-2</v>
      </c>
      <c r="G9" s="19">
        <f>LOG(B9)</f>
        <v>-0.88460658129793046</v>
      </c>
      <c r="H9" s="19">
        <f>LOG(F9)</f>
        <v>-1.4089353929735009</v>
      </c>
      <c r="N9" s="11"/>
      <c r="O9" s="11"/>
      <c r="P9" s="11"/>
    </row>
    <row r="10" spans="1:20" ht="15" x14ac:dyDescent="0.3">
      <c r="A10" s="78">
        <v>9.74</v>
      </c>
      <c r="B10" s="19">
        <f t="shared" ref="B10:B13" si="1">A10/23</f>
        <v>0.42347826086956525</v>
      </c>
      <c r="C10">
        <v>0.16800000000000001</v>
      </c>
      <c r="D10">
        <v>0.159</v>
      </c>
      <c r="E10" s="18">
        <f t="shared" si="0"/>
        <v>0.16350000000000001</v>
      </c>
      <c r="F10" s="19">
        <f>(E10-$E$8)</f>
        <v>0.12050000000000001</v>
      </c>
      <c r="G10" s="19">
        <f>LOG(B10)</f>
        <v>-0.37316887913897734</v>
      </c>
      <c r="H10" s="19">
        <f>LOG(F10)</f>
        <v>-0.91901295308911279</v>
      </c>
      <c r="N10" s="11"/>
      <c r="O10" s="11"/>
      <c r="P10" s="11"/>
    </row>
    <row r="11" spans="1:20" ht="15" x14ac:dyDescent="0.3">
      <c r="A11" s="78">
        <v>29.8</v>
      </c>
      <c r="B11" s="19">
        <f t="shared" si="1"/>
        <v>1.2956521739130435</v>
      </c>
      <c r="C11">
        <v>0.40899999999999997</v>
      </c>
      <c r="D11">
        <v>0.40799999999999997</v>
      </c>
      <c r="E11" s="18">
        <f t="shared" si="0"/>
        <v>0.40849999999999997</v>
      </c>
      <c r="F11" s="19">
        <f>(E11-$E$8)</f>
        <v>0.36549999999999999</v>
      </c>
      <c r="G11" s="19">
        <f>LOG(B11)</f>
        <v>0.11248842805866238</v>
      </c>
      <c r="H11" s="19">
        <f>LOG(F11)</f>
        <v>-0.43711261870612073</v>
      </c>
      <c r="N11" s="11"/>
      <c r="O11" s="11"/>
      <c r="P11" s="11"/>
      <c r="Q11" s="11"/>
      <c r="R11" s="11"/>
      <c r="S11" s="11"/>
      <c r="T11" s="11"/>
    </row>
    <row r="12" spans="1:20" ht="15" x14ac:dyDescent="0.3">
      <c r="A12" s="78">
        <v>104</v>
      </c>
      <c r="B12" s="19">
        <f t="shared" si="1"/>
        <v>4.5217391304347823</v>
      </c>
      <c r="C12">
        <v>1.3919999999999999</v>
      </c>
      <c r="D12">
        <v>1.341</v>
      </c>
      <c r="E12" s="18">
        <f t="shared" si="0"/>
        <v>1.3664999999999998</v>
      </c>
      <c r="F12" s="19">
        <f>(E12-$E$8)</f>
        <v>1.3234999999999999</v>
      </c>
      <c r="G12" s="19">
        <f>LOG(B12)</f>
        <v>0.65530550328118742</v>
      </c>
      <c r="H12" s="19">
        <f>LOG(F12)</f>
        <v>0.12172394563736699</v>
      </c>
      <c r="N12" s="11"/>
      <c r="O12" s="11"/>
      <c r="P12" s="11"/>
      <c r="Q12" s="11"/>
      <c r="R12" s="11"/>
      <c r="S12" s="11"/>
      <c r="T12" s="11"/>
    </row>
    <row r="13" spans="1:20" ht="15" x14ac:dyDescent="0.3">
      <c r="A13" s="78">
        <v>207</v>
      </c>
      <c r="B13" s="19">
        <f t="shared" si="1"/>
        <v>9</v>
      </c>
      <c r="C13">
        <v>2.3260000000000001</v>
      </c>
      <c r="D13">
        <v>2.343</v>
      </c>
      <c r="E13" s="18">
        <f t="shared" si="0"/>
        <v>2.3345000000000002</v>
      </c>
      <c r="F13" s="19">
        <f>(E13-$E$8)</f>
        <v>2.2915000000000001</v>
      </c>
      <c r="G13" s="19">
        <f>LOG(B13)</f>
        <v>0.95424250943932487</v>
      </c>
      <c r="H13" s="19">
        <f>LOG(F13)</f>
        <v>0.36011986158080544</v>
      </c>
      <c r="N13" s="11"/>
    </row>
    <row r="14" spans="1:20" ht="15" x14ac:dyDescent="0.3">
      <c r="N14" s="11"/>
    </row>
    <row r="15" spans="1:20" ht="15" x14ac:dyDescent="0.3">
      <c r="A15" s="12" t="s">
        <v>14</v>
      </c>
      <c r="B15" s="18">
        <f>SLOPE(H9:H13,G9:G13)</f>
        <v>0.97499537908902212</v>
      </c>
      <c r="N15" s="11"/>
    </row>
    <row r="16" spans="1:20" ht="15" x14ac:dyDescent="0.25">
      <c r="A16" s="12" t="s">
        <v>15</v>
      </c>
      <c r="B16" s="18">
        <f>INTERCEPT(H9:H13,G9:G13)</f>
        <v>-0.54717389361512225</v>
      </c>
      <c r="C16" s="20"/>
      <c r="G16" s="20"/>
      <c r="H16" s="20"/>
    </row>
    <row r="17" spans="1:17" ht="15" x14ac:dyDescent="0.3">
      <c r="B17" s="11"/>
      <c r="C17" s="11"/>
      <c r="D17" s="11"/>
      <c r="E17" s="11"/>
      <c r="F17" s="11"/>
      <c r="G17" s="11"/>
    </row>
    <row r="18" spans="1:17" ht="15" x14ac:dyDescent="0.3">
      <c r="B18" s="11"/>
      <c r="C18" s="11"/>
      <c r="D18" s="11"/>
      <c r="E18" s="11"/>
      <c r="F18" s="11"/>
      <c r="G18" s="11"/>
    </row>
    <row r="19" spans="1:17" ht="23.25" x14ac:dyDescent="0.35">
      <c r="A19" s="21" t="s">
        <v>16</v>
      </c>
      <c r="B19" s="22"/>
      <c r="C19" s="22"/>
      <c r="K19" s="23"/>
      <c r="L19" s="24" t="s">
        <v>17</v>
      </c>
      <c r="M19" s="25"/>
    </row>
    <row r="20" spans="1:17" s="24" customFormat="1" x14ac:dyDescent="0.2">
      <c r="A20" s="26" t="s">
        <v>18</v>
      </c>
      <c r="B20" s="16" t="s">
        <v>19</v>
      </c>
      <c r="C20" s="16" t="s">
        <v>19</v>
      </c>
      <c r="D20" s="16" t="s">
        <v>20</v>
      </c>
      <c r="E20" s="27" t="s">
        <v>21</v>
      </c>
      <c r="F20" s="28" t="s">
        <v>13</v>
      </c>
      <c r="G20" s="28" t="s">
        <v>22</v>
      </c>
      <c r="H20" s="28" t="s">
        <v>23</v>
      </c>
      <c r="I20" s="16" t="s">
        <v>24</v>
      </c>
      <c r="J20" s="28" t="s">
        <v>25</v>
      </c>
      <c r="K20" s="28" t="s">
        <v>26</v>
      </c>
      <c r="L20" s="28" t="s">
        <v>27</v>
      </c>
      <c r="M20" s="29" t="s">
        <v>28</v>
      </c>
    </row>
    <row r="21" spans="1:17" s="31" customFormat="1" x14ac:dyDescent="0.2">
      <c r="A21" s="30"/>
      <c r="L21" s="32"/>
      <c r="M21" s="33"/>
    </row>
    <row r="22" spans="1:17" ht="15" x14ac:dyDescent="0.3">
      <c r="A22" s="8" t="s">
        <v>29</v>
      </c>
      <c r="B22">
        <v>0.45500000000000002</v>
      </c>
      <c r="C22">
        <v>0.47799999999999998</v>
      </c>
      <c r="D22" s="34">
        <f t="shared" ref="D22:D27" si="2">AVERAGE(B22:C22)</f>
        <v>0.46650000000000003</v>
      </c>
      <c r="E22" s="34">
        <f t="shared" ref="E22:E27" si="3">D22-E$8</f>
        <v>0.42350000000000004</v>
      </c>
      <c r="F22" s="34">
        <f>LOG(E22)</f>
        <v>-0.37314658533327422</v>
      </c>
      <c r="G22" s="35">
        <f>(F22-$B$16)/$B$15</f>
        <v>0.17849039289237334</v>
      </c>
      <c r="H22" s="35">
        <f>10^G22</f>
        <v>1.508309244586904</v>
      </c>
      <c r="I22" s="36">
        <v>500</v>
      </c>
      <c r="J22" s="37">
        <f>(H22*I22)</f>
        <v>754.15462229345201</v>
      </c>
      <c r="K22" s="37">
        <f>(0.05*J22/1000)*1000</f>
        <v>37.707731114672605</v>
      </c>
      <c r="L22" s="38">
        <f>K22+K40+K50</f>
        <v>40.617319368005731</v>
      </c>
      <c r="M22" s="39">
        <f>(L22*1000000/50000)/1000</f>
        <v>0.81234638736011455</v>
      </c>
      <c r="N22" s="40"/>
    </row>
    <row r="23" spans="1:17" ht="15" x14ac:dyDescent="0.3">
      <c r="B23">
        <v>0.46400000000000002</v>
      </c>
      <c r="C23">
        <v>0.47599999999999998</v>
      </c>
      <c r="D23" s="34">
        <f t="shared" si="2"/>
        <v>0.47</v>
      </c>
      <c r="E23" s="34">
        <f t="shared" si="3"/>
        <v>0.42699999999999999</v>
      </c>
      <c r="F23" s="34">
        <f t="shared" ref="F23:F27" si="4">LOG(E23)</f>
        <v>-0.36957212497497616</v>
      </c>
      <c r="G23" s="35">
        <f t="shared" ref="G23:G27" si="5">(F23-$B$16)/$B$15</f>
        <v>0.18215652345561542</v>
      </c>
      <c r="H23" s="35">
        <f t="shared" ref="H23:H27" si="6">10^G23</f>
        <v>1.5210956468689498</v>
      </c>
      <c r="I23" s="36">
        <v>500</v>
      </c>
      <c r="J23" s="37">
        <f t="shared" ref="J23:J27" si="7">(H23*I23)</f>
        <v>760.54782343447494</v>
      </c>
      <c r="K23" s="37">
        <f t="shared" ref="K23:K27" si="8">(0.05*J23/1000)*1000</f>
        <v>38.02739117172375</v>
      </c>
      <c r="L23" s="38">
        <f>K23+K41+K51</f>
        <v>40.829181351765136</v>
      </c>
      <c r="M23" s="39">
        <f t="shared" ref="M23:M27" si="9">(L23*1000000/50000)/1000</f>
        <v>0.81658362703530274</v>
      </c>
      <c r="N23" s="40"/>
    </row>
    <row r="24" spans="1:17" ht="15" x14ac:dyDescent="0.3">
      <c r="B24">
        <v>0.47899999999999998</v>
      </c>
      <c r="C24">
        <v>0.46600000000000003</v>
      </c>
      <c r="D24" s="34">
        <f t="shared" si="2"/>
        <v>0.47250000000000003</v>
      </c>
      <c r="E24" s="34">
        <f t="shared" si="3"/>
        <v>0.42950000000000005</v>
      </c>
      <c r="F24" s="34">
        <f t="shared" si="4"/>
        <v>-0.36703683183273883</v>
      </c>
      <c r="G24" s="35">
        <f t="shared" si="5"/>
        <v>0.18475683643823299</v>
      </c>
      <c r="H24" s="35">
        <f t="shared" si="6"/>
        <v>1.5302304384226266</v>
      </c>
      <c r="I24" s="36">
        <v>500</v>
      </c>
      <c r="J24" s="37">
        <f t="shared" si="7"/>
        <v>765.11521921131327</v>
      </c>
      <c r="K24" s="37">
        <f t="shared" si="8"/>
        <v>38.255760960565667</v>
      </c>
      <c r="L24" s="38">
        <f t="shared" ref="L24:L27" si="10">K24+K42+K52</f>
        <v>40.478715760046782</v>
      </c>
      <c r="M24" s="39">
        <f t="shared" si="9"/>
        <v>0.80957431520093559</v>
      </c>
      <c r="N24" s="40"/>
    </row>
    <row r="25" spans="1:17" ht="15" x14ac:dyDescent="0.3">
      <c r="A25" s="8" t="s">
        <v>30</v>
      </c>
      <c r="B25">
        <v>0.376</v>
      </c>
      <c r="C25">
        <v>0.39</v>
      </c>
      <c r="D25" s="34">
        <f t="shared" si="2"/>
        <v>0.38300000000000001</v>
      </c>
      <c r="E25" s="34">
        <f t="shared" si="3"/>
        <v>0.34</v>
      </c>
      <c r="F25" s="34">
        <f t="shared" si="4"/>
        <v>-0.46852108295774486</v>
      </c>
      <c r="G25" s="35">
        <f t="shared" si="5"/>
        <v>8.0669931718923546E-2</v>
      </c>
      <c r="H25" s="35">
        <f t="shared" si="6"/>
        <v>1.2041204485764796</v>
      </c>
      <c r="I25" s="36">
        <v>500</v>
      </c>
      <c r="J25" s="37">
        <f t="shared" si="7"/>
        <v>602.06022428823985</v>
      </c>
      <c r="K25" s="37">
        <f t="shared" si="8"/>
        <v>30.103011214411993</v>
      </c>
      <c r="L25" s="38">
        <f t="shared" si="10"/>
        <v>37.625640324182811</v>
      </c>
      <c r="M25" s="39">
        <f t="shared" si="9"/>
        <v>0.75251280648365615</v>
      </c>
      <c r="N25" s="40"/>
    </row>
    <row r="26" spans="1:17" ht="15" x14ac:dyDescent="0.3">
      <c r="B26">
        <v>0.38500000000000001</v>
      </c>
      <c r="C26">
        <v>0.39900000000000002</v>
      </c>
      <c r="D26" s="34">
        <f t="shared" si="2"/>
        <v>0.39200000000000002</v>
      </c>
      <c r="E26" s="34">
        <f t="shared" si="3"/>
        <v>0.34900000000000003</v>
      </c>
      <c r="F26" s="34">
        <f t="shared" si="4"/>
        <v>-0.45717457304082004</v>
      </c>
      <c r="G26" s="35">
        <f t="shared" si="5"/>
        <v>9.2307432942289672E-2</v>
      </c>
      <c r="H26" s="35">
        <f t="shared" si="6"/>
        <v>1.2368226586487785</v>
      </c>
      <c r="I26" s="36">
        <v>500</v>
      </c>
      <c r="J26" s="37">
        <f t="shared" si="7"/>
        <v>618.41132932438927</v>
      </c>
      <c r="K26" s="37">
        <f t="shared" si="8"/>
        <v>30.920566466219466</v>
      </c>
      <c r="L26" s="38">
        <f t="shared" si="10"/>
        <v>37.623379436179597</v>
      </c>
      <c r="M26" s="39">
        <f t="shared" si="9"/>
        <v>0.75246758872359198</v>
      </c>
      <c r="N26" s="40"/>
    </row>
    <row r="27" spans="1:17" ht="15" x14ac:dyDescent="0.3">
      <c r="B27">
        <v>0.38700000000000001</v>
      </c>
      <c r="C27">
        <v>0.38400000000000001</v>
      </c>
      <c r="D27" s="34">
        <f t="shared" si="2"/>
        <v>0.38550000000000001</v>
      </c>
      <c r="E27" s="34">
        <f t="shared" si="3"/>
        <v>0.34250000000000003</v>
      </c>
      <c r="F27" s="34">
        <f t="shared" si="4"/>
        <v>-0.4653394241715556</v>
      </c>
      <c r="G27" s="35">
        <f t="shared" si="5"/>
        <v>8.3933186965488932E-2</v>
      </c>
      <c r="H27" s="35">
        <f t="shared" si="6"/>
        <v>1.2132021938096185</v>
      </c>
      <c r="I27" s="36">
        <v>500</v>
      </c>
      <c r="J27" s="37">
        <f t="shared" si="7"/>
        <v>606.6010969048092</v>
      </c>
      <c r="K27" s="37">
        <f t="shared" si="8"/>
        <v>30.330054845240461</v>
      </c>
      <c r="L27" s="38">
        <f t="shared" si="10"/>
        <v>38.735706575323512</v>
      </c>
      <c r="M27" s="39">
        <f t="shared" si="9"/>
        <v>0.77471413150647028</v>
      </c>
      <c r="N27" s="40"/>
    </row>
    <row r="28" spans="1:17" ht="23.25" x14ac:dyDescent="0.35">
      <c r="A28" s="21" t="s">
        <v>16</v>
      </c>
      <c r="B28" s="72"/>
      <c r="C28" s="72"/>
      <c r="I28" s="36"/>
      <c r="J28" s="36"/>
      <c r="K28" s="41"/>
      <c r="L28" s="24" t="s">
        <v>17</v>
      </c>
      <c r="M28" s="25"/>
    </row>
    <row r="29" spans="1:17" s="24" customFormat="1" x14ac:dyDescent="0.2">
      <c r="A29" s="26" t="s">
        <v>18</v>
      </c>
      <c r="B29" s="73"/>
      <c r="C29" s="73"/>
      <c r="D29" s="16" t="s">
        <v>20</v>
      </c>
      <c r="E29" s="27" t="s">
        <v>21</v>
      </c>
      <c r="F29" s="28" t="s">
        <v>13</v>
      </c>
      <c r="G29" s="28" t="s">
        <v>22</v>
      </c>
      <c r="H29" s="28" t="s">
        <v>23</v>
      </c>
      <c r="I29" s="27" t="s">
        <v>24</v>
      </c>
      <c r="J29" s="42" t="s">
        <v>25</v>
      </c>
      <c r="K29" s="42" t="s">
        <v>26</v>
      </c>
      <c r="L29" s="28" t="s">
        <v>27</v>
      </c>
      <c r="M29" s="29" t="s">
        <v>28</v>
      </c>
    </row>
    <row r="30" spans="1:17" s="31" customFormat="1" x14ac:dyDescent="0.2">
      <c r="A30" s="30"/>
      <c r="B30" s="74"/>
      <c r="C30" s="74"/>
      <c r="L30" s="32"/>
      <c r="M30" s="33"/>
    </row>
    <row r="31" spans="1:17" ht="15" x14ac:dyDescent="0.3">
      <c r="A31" s="8" t="s">
        <v>29</v>
      </c>
      <c r="B31">
        <v>0.45500000000000002</v>
      </c>
      <c r="C31">
        <v>0.47799999999999998</v>
      </c>
      <c r="D31" s="34">
        <f t="shared" ref="D31:D36" si="11">AVERAGE(B31:C31)</f>
        <v>0.46650000000000003</v>
      </c>
      <c r="E31" s="34">
        <f t="shared" ref="E31:E36" si="12">D31-E$8</f>
        <v>0.42350000000000004</v>
      </c>
      <c r="F31" s="34">
        <f>LOG(E31)</f>
        <v>-0.37314658533327422</v>
      </c>
      <c r="G31" s="35">
        <f>(F31-$B$16)/$B$15</f>
        <v>0.17849039289237334</v>
      </c>
      <c r="H31" s="35">
        <f>10^G31</f>
        <v>1.508309244586904</v>
      </c>
      <c r="I31" s="36">
        <v>500</v>
      </c>
      <c r="J31" s="37">
        <f>(H31*I31)</f>
        <v>754.15462229345201</v>
      </c>
      <c r="K31" s="37">
        <f>(0.05*J31/1000)*1000</f>
        <v>37.707731114672605</v>
      </c>
      <c r="L31" s="38">
        <f>K31+K50</f>
        <v>39.341417554204369</v>
      </c>
      <c r="M31" s="39">
        <f>(L31*1000000/50000)/1000</f>
        <v>0.78682835108408733</v>
      </c>
      <c r="N31" s="43"/>
      <c r="Q31" s="11"/>
    </row>
    <row r="32" spans="1:17" ht="15" x14ac:dyDescent="0.3">
      <c r="B32">
        <v>0.46400000000000002</v>
      </c>
      <c r="C32">
        <v>0.47599999999999998</v>
      </c>
      <c r="D32" s="34">
        <f t="shared" si="11"/>
        <v>0.47</v>
      </c>
      <c r="E32" s="34">
        <f t="shared" si="12"/>
        <v>0.42699999999999999</v>
      </c>
      <c r="F32" s="34">
        <f t="shared" ref="F32:F36" si="13">LOG(E32)</f>
        <v>-0.36957212497497616</v>
      </c>
      <c r="G32" s="35">
        <f t="shared" ref="G32:G36" si="14">(F32-$B$16)/$B$15</f>
        <v>0.18215652345561542</v>
      </c>
      <c r="H32" s="35">
        <f t="shared" ref="H32:H36" si="15">10^G32</f>
        <v>1.5210956468689498</v>
      </c>
      <c r="I32" s="36">
        <v>500</v>
      </c>
      <c r="J32" s="37">
        <f t="shared" ref="J32:J36" si="16">(H32*I32)</f>
        <v>760.54782343447494</v>
      </c>
      <c r="K32" s="37">
        <f t="shared" ref="K32:K36" si="17">(0.05*J32/1000)*1000</f>
        <v>38.02739117172375</v>
      </c>
      <c r="L32" s="38">
        <f>K32+K51</f>
        <v>39.962702037338289</v>
      </c>
      <c r="M32" s="39">
        <f t="shared" ref="M32:M36" si="18">(L32*1000000/50000)/1000</f>
        <v>0.79925404074676576</v>
      </c>
      <c r="N32" s="44"/>
      <c r="Q32" s="11"/>
    </row>
    <row r="33" spans="1:19" ht="15" x14ac:dyDescent="0.3">
      <c r="B33">
        <v>0.47899999999999998</v>
      </c>
      <c r="C33">
        <v>0.46600000000000003</v>
      </c>
      <c r="D33" s="34">
        <f t="shared" si="11"/>
        <v>0.47250000000000003</v>
      </c>
      <c r="E33" s="34">
        <f t="shared" si="12"/>
        <v>0.42950000000000005</v>
      </c>
      <c r="F33" s="34">
        <f t="shared" si="13"/>
        <v>-0.36703683183273883</v>
      </c>
      <c r="G33" s="35">
        <f t="shared" si="14"/>
        <v>0.18475683643823299</v>
      </c>
      <c r="H33" s="35">
        <f t="shared" si="15"/>
        <v>1.5302304384226266</v>
      </c>
      <c r="I33" s="36">
        <v>500</v>
      </c>
      <c r="J33" s="37">
        <f t="shared" si="16"/>
        <v>765.11521921131327</v>
      </c>
      <c r="K33" s="37">
        <f t="shared" si="17"/>
        <v>38.255760960565667</v>
      </c>
      <c r="L33" s="38">
        <f t="shared" ref="L33:L36" si="19">K33+K52</f>
        <v>39.794018931264091</v>
      </c>
      <c r="M33" s="39">
        <f t="shared" si="18"/>
        <v>0.79588037862528171</v>
      </c>
      <c r="N33" s="44"/>
      <c r="Q33" s="11"/>
    </row>
    <row r="34" spans="1:19" ht="15" x14ac:dyDescent="0.3">
      <c r="A34" s="8" t="s">
        <v>30</v>
      </c>
      <c r="B34">
        <v>0.376</v>
      </c>
      <c r="C34">
        <v>0.39</v>
      </c>
      <c r="D34" s="34">
        <f t="shared" si="11"/>
        <v>0.38300000000000001</v>
      </c>
      <c r="E34" s="34">
        <f t="shared" si="12"/>
        <v>0.34</v>
      </c>
      <c r="F34" s="34">
        <f t="shared" si="13"/>
        <v>-0.46852108295774486</v>
      </c>
      <c r="G34" s="35">
        <f t="shared" si="14"/>
        <v>8.0669931718923546E-2</v>
      </c>
      <c r="H34" s="35">
        <f t="shared" si="15"/>
        <v>1.2041204485764796</v>
      </c>
      <c r="I34" s="36">
        <v>500</v>
      </c>
      <c r="J34" s="37">
        <f t="shared" si="16"/>
        <v>602.06022428823985</v>
      </c>
      <c r="K34" s="37">
        <f t="shared" si="17"/>
        <v>30.103011214411993</v>
      </c>
      <c r="L34" s="38">
        <f t="shared" si="19"/>
        <v>34.561579915622914</v>
      </c>
      <c r="M34" s="39">
        <f t="shared" si="18"/>
        <v>0.69123159831245828</v>
      </c>
      <c r="N34" s="44"/>
      <c r="Q34" s="11"/>
    </row>
    <row r="35" spans="1:19" ht="15" x14ac:dyDescent="0.3">
      <c r="B35">
        <v>0.38500000000000001</v>
      </c>
      <c r="C35">
        <v>0.39900000000000002</v>
      </c>
      <c r="D35" s="34">
        <f t="shared" si="11"/>
        <v>0.39200000000000002</v>
      </c>
      <c r="E35" s="34">
        <f t="shared" si="12"/>
        <v>0.34900000000000003</v>
      </c>
      <c r="F35" s="34">
        <f t="shared" si="13"/>
        <v>-0.45717457304082004</v>
      </c>
      <c r="G35" s="35">
        <f t="shared" si="14"/>
        <v>9.2307432942289672E-2</v>
      </c>
      <c r="H35" s="35">
        <f t="shared" si="15"/>
        <v>1.2368226586487785</v>
      </c>
      <c r="I35" s="36">
        <v>500</v>
      </c>
      <c r="J35" s="37">
        <f t="shared" si="16"/>
        <v>618.41132932438927</v>
      </c>
      <c r="K35" s="37">
        <f t="shared" si="17"/>
        <v>30.920566466219466</v>
      </c>
      <c r="L35" s="38">
        <f t="shared" si="19"/>
        <v>34.976026012352065</v>
      </c>
      <c r="M35" s="39">
        <f t="shared" si="18"/>
        <v>0.69952052024704126</v>
      </c>
      <c r="N35" s="44"/>
      <c r="Q35" s="11"/>
      <c r="S35" s="11"/>
    </row>
    <row r="36" spans="1:19" ht="15" x14ac:dyDescent="0.3">
      <c r="B36">
        <v>0.38700000000000001</v>
      </c>
      <c r="C36">
        <v>0.38400000000000001</v>
      </c>
      <c r="D36" s="34">
        <f t="shared" si="11"/>
        <v>0.38550000000000001</v>
      </c>
      <c r="E36" s="34">
        <f t="shared" si="12"/>
        <v>0.34250000000000003</v>
      </c>
      <c r="F36" s="34">
        <f t="shared" si="13"/>
        <v>-0.4653394241715556</v>
      </c>
      <c r="G36" s="35">
        <f t="shared" si="14"/>
        <v>8.3933186965488932E-2</v>
      </c>
      <c r="H36" s="35">
        <f t="shared" si="15"/>
        <v>1.2132021938096185</v>
      </c>
      <c r="I36" s="36">
        <v>500</v>
      </c>
      <c r="J36" s="37">
        <f t="shared" si="16"/>
        <v>606.6010969048092</v>
      </c>
      <c r="K36" s="37">
        <f t="shared" si="17"/>
        <v>30.330054845240461</v>
      </c>
      <c r="L36" s="38">
        <f t="shared" si="19"/>
        <v>36.015101317222204</v>
      </c>
      <c r="M36" s="39">
        <f t="shared" si="18"/>
        <v>0.72030202634444407</v>
      </c>
      <c r="N36" s="45"/>
      <c r="Q36" s="11"/>
      <c r="S36" s="11"/>
    </row>
    <row r="37" spans="1:19" ht="15" x14ac:dyDescent="0.3">
      <c r="B37" s="3"/>
      <c r="C37" s="3"/>
      <c r="I37" s="36"/>
      <c r="J37" s="36"/>
      <c r="K37" s="36"/>
      <c r="R37" s="11"/>
      <c r="S37" s="11"/>
    </row>
    <row r="38" spans="1:19" ht="23.25" x14ac:dyDescent="0.35">
      <c r="A38" s="21" t="s">
        <v>31</v>
      </c>
      <c r="B38" s="3"/>
      <c r="C38" s="3"/>
      <c r="E38" s="35"/>
      <c r="F38" s="34"/>
      <c r="H38" s="46"/>
      <c r="I38" s="36"/>
      <c r="J38" s="36"/>
      <c r="K38" s="36"/>
      <c r="M38" s="47" t="s">
        <v>32</v>
      </c>
      <c r="R38" s="11"/>
      <c r="S38" s="11"/>
    </row>
    <row r="39" spans="1:19" ht="15" x14ac:dyDescent="0.3">
      <c r="A39" s="26" t="s">
        <v>18</v>
      </c>
      <c r="B39" s="75"/>
      <c r="C39" s="75"/>
      <c r="D39" s="16" t="s">
        <v>20</v>
      </c>
      <c r="E39" s="27" t="s">
        <v>21</v>
      </c>
      <c r="F39" s="28" t="s">
        <v>13</v>
      </c>
      <c r="G39" s="28" t="s">
        <v>22</v>
      </c>
      <c r="H39" s="28" t="s">
        <v>23</v>
      </c>
      <c r="I39" s="27" t="s">
        <v>24</v>
      </c>
      <c r="J39" s="42" t="s">
        <v>25</v>
      </c>
      <c r="K39" s="42" t="s">
        <v>33</v>
      </c>
      <c r="L39" s="28" t="s">
        <v>34</v>
      </c>
      <c r="M39" s="24" t="s">
        <v>35</v>
      </c>
      <c r="N39" s="42" t="s">
        <v>36</v>
      </c>
      <c r="R39" s="11"/>
      <c r="S39" s="11"/>
    </row>
    <row r="40" spans="1:19" ht="15" x14ac:dyDescent="0.3">
      <c r="A40" s="8" t="s">
        <v>37</v>
      </c>
      <c r="B40">
        <v>0.25900000000000001</v>
      </c>
      <c r="C40">
        <v>0.28199999999999997</v>
      </c>
      <c r="D40" s="34">
        <f>AVERAGE(B40,C40)</f>
        <v>0.27049999999999996</v>
      </c>
      <c r="E40" s="34">
        <f t="shared" ref="E40:E45" si="20">D40-E$8</f>
        <v>0.22749999999999998</v>
      </c>
      <c r="F40" s="34">
        <f t="shared" ref="F40:F45" si="21">LOG(E40)</f>
        <v>-0.64301859900686886</v>
      </c>
      <c r="G40" s="35">
        <f t="shared" ref="G40:G45" si="22">(F40-$B$16)/$B$15</f>
        <v>-9.8302727835795717E-2</v>
      </c>
      <c r="H40" s="34">
        <f t="shared" ref="H40:H45" si="23">10^G40</f>
        <v>0.79743863362585143</v>
      </c>
      <c r="I40" s="48">
        <v>16</v>
      </c>
      <c r="J40" s="49">
        <f t="shared" ref="J40:J45" si="24">H40*I40</f>
        <v>12.759018138013623</v>
      </c>
      <c r="K40" s="37">
        <f>(0.1*J40/1000)*1000</f>
        <v>1.2759018138013625</v>
      </c>
      <c r="L40" s="50">
        <f>K40*100/L22</f>
        <v>3.1412752826972392</v>
      </c>
      <c r="M40" s="51">
        <f>AVERAGE(L40:L42)</f>
        <v>2.318326542435349</v>
      </c>
      <c r="N40" s="52">
        <f>STDEV(L40:L42)</f>
        <v>0.7445204629489236</v>
      </c>
      <c r="R40" s="11"/>
      <c r="S40" s="11"/>
    </row>
    <row r="41" spans="1:19" ht="15" x14ac:dyDescent="0.3">
      <c r="B41">
        <v>0.16600000000000001</v>
      </c>
      <c r="C41">
        <v>0.23200000000000001</v>
      </c>
      <c r="D41" s="34">
        <f>AVERAGE(B41,C41)</f>
        <v>0.19900000000000001</v>
      </c>
      <c r="E41" s="34">
        <f t="shared" si="20"/>
        <v>0.15600000000000003</v>
      </c>
      <c r="F41" s="34">
        <f t="shared" si="21"/>
        <v>-0.80687540164553828</v>
      </c>
      <c r="G41" s="35">
        <f t="shared" si="22"/>
        <v>-0.2663617834507746</v>
      </c>
      <c r="H41" s="34">
        <f t="shared" si="23"/>
        <v>0.5415495715167814</v>
      </c>
      <c r="I41" s="48">
        <v>16</v>
      </c>
      <c r="J41" s="49">
        <f t="shared" si="24"/>
        <v>8.6647931442685024</v>
      </c>
      <c r="K41" s="37">
        <f t="shared" ref="K41:K45" si="25">(0.1*J41/1000)*1000</f>
        <v>0.86647931442685033</v>
      </c>
      <c r="L41" s="50">
        <f t="shared" ref="L41:L45" si="26">K41*100/L23</f>
        <v>2.1222059461875311</v>
      </c>
      <c r="M41" s="51"/>
      <c r="N41" s="52"/>
      <c r="R41" s="11"/>
      <c r="S41" s="11"/>
    </row>
    <row r="42" spans="1:19" s="24" customFormat="1" ht="15" x14ac:dyDescent="0.3">
      <c r="A42" s="8"/>
      <c r="B42">
        <v>0.154</v>
      </c>
      <c r="C42">
        <v>0.18</v>
      </c>
      <c r="D42" s="34">
        <f>AVERAGE(B42,C42)</f>
        <v>0.16699999999999998</v>
      </c>
      <c r="E42" s="34">
        <f t="shared" si="20"/>
        <v>0.12399999999999999</v>
      </c>
      <c r="F42" s="34">
        <f t="shared" si="21"/>
        <v>-0.90657831483776496</v>
      </c>
      <c r="G42" s="35">
        <f t="shared" si="22"/>
        <v>-0.36862166624671483</v>
      </c>
      <c r="H42" s="34">
        <f t="shared" si="23"/>
        <v>0.42793551798918256</v>
      </c>
      <c r="I42" s="48">
        <v>16</v>
      </c>
      <c r="J42" s="49">
        <f t="shared" si="24"/>
        <v>6.8469682878269209</v>
      </c>
      <c r="K42" s="37">
        <f t="shared" si="25"/>
        <v>0.68469682878269211</v>
      </c>
      <c r="L42" s="50">
        <f t="shared" si="26"/>
        <v>1.6914983984212764</v>
      </c>
      <c r="M42" s="51"/>
      <c r="N42" s="52"/>
      <c r="R42" s="11"/>
      <c r="S42" s="11"/>
    </row>
    <row r="43" spans="1:19" ht="15" x14ac:dyDescent="0.3">
      <c r="A43" s="8" t="s">
        <v>38</v>
      </c>
      <c r="B43">
        <v>0.47799999999999998</v>
      </c>
      <c r="C43">
        <v>0.67700000000000005</v>
      </c>
      <c r="D43" s="34">
        <f t="shared" ref="D43:D45" si="27">AVERAGE(B43,C43)</f>
        <v>0.57750000000000001</v>
      </c>
      <c r="E43" s="34">
        <f t="shared" si="20"/>
        <v>0.53449999999999998</v>
      </c>
      <c r="F43" s="34">
        <f t="shared" si="21"/>
        <v>-0.27205229045520318</v>
      </c>
      <c r="G43" s="35">
        <f t="shared" si="22"/>
        <v>0.28217734059106658</v>
      </c>
      <c r="H43" s="34">
        <f t="shared" si="23"/>
        <v>1.915037755349936</v>
      </c>
      <c r="I43" s="48">
        <v>16</v>
      </c>
      <c r="J43" s="49">
        <f t="shared" si="24"/>
        <v>30.640604085598977</v>
      </c>
      <c r="K43" s="37">
        <f t="shared" si="25"/>
        <v>3.0640604085598979</v>
      </c>
      <c r="L43" s="50">
        <f t="shared" si="26"/>
        <v>8.1435435574250139</v>
      </c>
      <c r="M43" s="51">
        <f>AVERAGE(L43:L45)</f>
        <v>7.4011698038018849</v>
      </c>
      <c r="N43" s="52">
        <f>STDEV(L43:L45)</f>
        <v>0.6429471390809669</v>
      </c>
      <c r="R43" s="11"/>
      <c r="S43" s="11"/>
    </row>
    <row r="44" spans="1:19" ht="15" x14ac:dyDescent="0.3">
      <c r="A44" s="53"/>
      <c r="B44">
        <v>0.442</v>
      </c>
      <c r="C44">
        <v>0.57099999999999995</v>
      </c>
      <c r="D44" s="34">
        <f t="shared" si="27"/>
        <v>0.50649999999999995</v>
      </c>
      <c r="E44" s="34">
        <f t="shared" si="20"/>
        <v>0.46349999999999997</v>
      </c>
      <c r="F44" s="34">
        <f t="shared" si="21"/>
        <v>-0.33395026151948415</v>
      </c>
      <c r="G44" s="35">
        <f t="shared" si="22"/>
        <v>0.21869194118115887</v>
      </c>
      <c r="H44" s="34">
        <f t="shared" si="23"/>
        <v>1.6545958898922051</v>
      </c>
      <c r="I44" s="48">
        <v>16</v>
      </c>
      <c r="J44" s="49">
        <f t="shared" si="24"/>
        <v>26.473534238275281</v>
      </c>
      <c r="K44" s="37">
        <f t="shared" si="25"/>
        <v>2.6473534238275285</v>
      </c>
      <c r="L44" s="50">
        <f t="shared" si="26"/>
        <v>7.0364583498359696</v>
      </c>
      <c r="M44" s="51"/>
      <c r="N44" s="52"/>
    </row>
    <row r="45" spans="1:19" ht="15" x14ac:dyDescent="0.3">
      <c r="A45" s="54"/>
      <c r="B45">
        <v>0.441</v>
      </c>
      <c r="C45">
        <v>0.59699999999999998</v>
      </c>
      <c r="D45" s="34">
        <f t="shared" si="27"/>
        <v>0.51900000000000002</v>
      </c>
      <c r="E45" s="34">
        <f t="shared" si="20"/>
        <v>0.47600000000000003</v>
      </c>
      <c r="F45" s="34">
        <f t="shared" si="21"/>
        <v>-0.32239304727950679</v>
      </c>
      <c r="G45" s="35">
        <f t="shared" si="22"/>
        <v>0.23054555042674904</v>
      </c>
      <c r="H45" s="34">
        <f t="shared" si="23"/>
        <v>1.7003782863133172</v>
      </c>
      <c r="I45" s="48">
        <v>16</v>
      </c>
      <c r="J45" s="49">
        <f t="shared" si="24"/>
        <v>27.206052581013076</v>
      </c>
      <c r="K45" s="37">
        <f t="shared" si="25"/>
        <v>2.7206052581013078</v>
      </c>
      <c r="L45" s="50">
        <f t="shared" si="26"/>
        <v>7.0235075041446722</v>
      </c>
      <c r="M45" s="51"/>
      <c r="N45" s="52"/>
    </row>
    <row r="46" spans="1:19" x14ac:dyDescent="0.2">
      <c r="B46" s="3"/>
      <c r="C46" s="3"/>
      <c r="E46" s="35"/>
      <c r="F46" s="34"/>
      <c r="G46" s="51"/>
      <c r="H46" s="55"/>
      <c r="I46" s="36"/>
      <c r="J46" s="36"/>
      <c r="K46" s="36"/>
    </row>
    <row r="47" spans="1:19" x14ac:dyDescent="0.2">
      <c r="B47" s="3"/>
      <c r="C47" s="3"/>
      <c r="E47" s="35"/>
      <c r="F47" s="34"/>
      <c r="G47" s="51"/>
      <c r="H47" s="55"/>
      <c r="I47" s="36"/>
      <c r="J47" s="36"/>
      <c r="K47" s="36"/>
    </row>
    <row r="48" spans="1:19" ht="23.25" x14ac:dyDescent="0.35">
      <c r="A48" s="21" t="s">
        <v>39</v>
      </c>
      <c r="B48" s="3"/>
      <c r="C48" s="3"/>
      <c r="E48" s="35"/>
      <c r="F48" s="34"/>
      <c r="H48" s="46"/>
      <c r="I48" s="36"/>
      <c r="J48" s="36"/>
      <c r="K48" s="36"/>
      <c r="M48" s="47" t="s">
        <v>32</v>
      </c>
    </row>
    <row r="49" spans="1:25" x14ac:dyDescent="0.2">
      <c r="A49" s="26" t="s">
        <v>18</v>
      </c>
      <c r="B49" s="75"/>
      <c r="C49" s="75"/>
      <c r="D49" s="16" t="s">
        <v>20</v>
      </c>
      <c r="E49" s="27" t="s">
        <v>21</v>
      </c>
      <c r="F49" s="28" t="s">
        <v>13</v>
      </c>
      <c r="G49" s="28" t="s">
        <v>22</v>
      </c>
      <c r="H49" s="28" t="s">
        <v>23</v>
      </c>
      <c r="I49" s="27" t="s">
        <v>24</v>
      </c>
      <c r="J49" s="42" t="s">
        <v>25</v>
      </c>
      <c r="K49" s="42" t="s">
        <v>33</v>
      </c>
      <c r="L49" s="28" t="s">
        <v>34</v>
      </c>
      <c r="M49" s="24" t="s">
        <v>35</v>
      </c>
      <c r="N49" s="42" t="s">
        <v>36</v>
      </c>
      <c r="O49" s="10" t="s">
        <v>40</v>
      </c>
      <c r="P49" s="24" t="s">
        <v>35</v>
      </c>
      <c r="Q49" s="42" t="s">
        <v>36</v>
      </c>
    </row>
    <row r="50" spans="1:25" ht="15" x14ac:dyDescent="0.3">
      <c r="A50" s="8" t="s">
        <v>29</v>
      </c>
      <c r="B50">
        <v>0.36199999999999999</v>
      </c>
      <c r="C50">
        <v>0.30299999999999999</v>
      </c>
      <c r="D50" s="34">
        <f t="shared" ref="D50:D52" si="28">AVERAGE(B50,C50)</f>
        <v>0.33250000000000002</v>
      </c>
      <c r="E50" s="34">
        <f t="shared" ref="E50:E55" si="29">D50-E$8</f>
        <v>0.28950000000000004</v>
      </c>
      <c r="F50" s="34">
        <f t="shared" ref="F50:F55" si="30">LOG(E50)</f>
        <v>-0.538351431936545</v>
      </c>
      <c r="G50" s="35">
        <f t="shared" ref="G50:G55" si="31">(F50-$B$16)/$B$15</f>
        <v>9.0487215301681117E-3</v>
      </c>
      <c r="H50" s="34">
        <f t="shared" ref="H50:H55" si="32">10^G50</f>
        <v>1.0210540247073525</v>
      </c>
      <c r="I50" s="48">
        <v>16</v>
      </c>
      <c r="J50" s="49">
        <f t="shared" ref="J50:J55" si="33">H50*I50</f>
        <v>16.33686439531764</v>
      </c>
      <c r="K50" s="37">
        <f>(0.1*J50/1000)*1000</f>
        <v>1.6336864395317641</v>
      </c>
      <c r="L50" s="50">
        <f t="shared" ref="L50:L55" si="34">K50*100/L31</f>
        <v>4.152586615062563</v>
      </c>
      <c r="M50" s="51">
        <f>AVERAGE(L50:L52)</f>
        <v>4.2869767066719477</v>
      </c>
      <c r="N50" s="52">
        <f>STDEV(L50:L52)</f>
        <v>0.50229082393953517</v>
      </c>
      <c r="O50" s="10">
        <f>L50/L40</f>
        <v>1.3219429185133265</v>
      </c>
      <c r="P50" s="51">
        <f>AVERAGE(O50:O52)</f>
        <v>1.9630621955914236</v>
      </c>
      <c r="Q50" s="52">
        <f>STDEV(O50:O52)</f>
        <v>0.55522806252760193</v>
      </c>
      <c r="S50" s="11"/>
      <c r="T50" s="11"/>
    </row>
    <row r="51" spans="1:25" ht="15" x14ac:dyDescent="0.3">
      <c r="B51">
        <v>0.41199999999999998</v>
      </c>
      <c r="C51">
        <v>0.35699999999999998</v>
      </c>
      <c r="D51" s="34">
        <f t="shared" si="28"/>
        <v>0.38449999999999995</v>
      </c>
      <c r="E51" s="34">
        <f t="shared" si="29"/>
        <v>0.34149999999999997</v>
      </c>
      <c r="F51" s="34">
        <f t="shared" si="30"/>
        <v>-0.46660929198244866</v>
      </c>
      <c r="G51" s="35">
        <f t="shared" si="31"/>
        <v>8.2630752268742419E-2</v>
      </c>
      <c r="H51" s="34">
        <f t="shared" si="32"/>
        <v>1.2095692910090889</v>
      </c>
      <c r="I51" s="48">
        <v>16</v>
      </c>
      <c r="J51" s="49">
        <f t="shared" si="33"/>
        <v>19.353108656145423</v>
      </c>
      <c r="K51" s="37">
        <f t="shared" ref="K51:K55" si="35">(0.1*J51/1000)*1000</f>
        <v>1.9353108656145424</v>
      </c>
      <c r="L51" s="50">
        <f t="shared" si="34"/>
        <v>4.8427928216823934</v>
      </c>
      <c r="M51" s="51"/>
      <c r="N51" s="52"/>
      <c r="O51" s="10">
        <f t="shared" ref="O51:O55" si="36">L51/L41</f>
        <v>2.2819617626565893</v>
      </c>
      <c r="P51" s="51"/>
      <c r="Q51" s="52"/>
      <c r="S51" s="11"/>
      <c r="T51" s="11"/>
    </row>
    <row r="52" spans="1:25" ht="15" x14ac:dyDescent="0.3">
      <c r="B52">
        <v>0.38400000000000001</v>
      </c>
      <c r="C52">
        <v>0.248</v>
      </c>
      <c r="D52" s="34">
        <f t="shared" si="28"/>
        <v>0.316</v>
      </c>
      <c r="E52" s="34">
        <f t="shared" si="29"/>
        <v>0.27300000000000002</v>
      </c>
      <c r="F52" s="34">
        <f t="shared" si="30"/>
        <v>-0.56383735295924398</v>
      </c>
      <c r="G52" s="35">
        <f t="shared" si="31"/>
        <v>-1.709080853253999E-2</v>
      </c>
      <c r="H52" s="34">
        <f t="shared" si="32"/>
        <v>0.96141123168651599</v>
      </c>
      <c r="I52" s="48">
        <v>16</v>
      </c>
      <c r="J52" s="49">
        <f t="shared" si="33"/>
        <v>15.382579706984256</v>
      </c>
      <c r="K52" s="37">
        <f t="shared" si="35"/>
        <v>1.5382579706984256</v>
      </c>
      <c r="L52" s="50">
        <f t="shared" si="34"/>
        <v>3.8655506832708881</v>
      </c>
      <c r="M52" s="51"/>
      <c r="N52" s="52"/>
      <c r="O52" s="10">
        <f t="shared" si="36"/>
        <v>2.2852819056043545</v>
      </c>
      <c r="P52" s="51"/>
      <c r="Q52" s="52"/>
      <c r="S52" s="11"/>
      <c r="T52" s="11"/>
    </row>
    <row r="53" spans="1:25" ht="15" x14ac:dyDescent="0.3">
      <c r="A53" s="8" t="s">
        <v>30</v>
      </c>
      <c r="B53">
        <v>0.72499999999999998</v>
      </c>
      <c r="C53">
        <v>0.90200000000000002</v>
      </c>
      <c r="D53" s="34">
        <f>AVERAGE(B53:C53)</f>
        <v>0.8135</v>
      </c>
      <c r="E53" s="34">
        <f t="shared" si="29"/>
        <v>0.77049999999999996</v>
      </c>
      <c r="F53" s="34">
        <f t="shared" si="30"/>
        <v>-0.11322735694556191</v>
      </c>
      <c r="G53" s="35">
        <f t="shared" si="31"/>
        <v>0.44507548033203426</v>
      </c>
      <c r="H53" s="34">
        <f t="shared" si="32"/>
        <v>2.7866054382568239</v>
      </c>
      <c r="I53" s="48">
        <v>16</v>
      </c>
      <c r="J53" s="49">
        <f t="shared" si="33"/>
        <v>44.585687012109183</v>
      </c>
      <c r="K53" s="37">
        <f t="shared" si="35"/>
        <v>4.4585687012109183</v>
      </c>
      <c r="L53" s="50">
        <f t="shared" si="34"/>
        <v>12.900361361071651</v>
      </c>
      <c r="M53" s="51">
        <f>AVERAGE(L53:L55)</f>
        <v>13.426835009594472</v>
      </c>
      <c r="N53" s="52">
        <f>STDEV(L53:L55)</f>
        <v>2.1441396162481179</v>
      </c>
      <c r="O53" s="10">
        <f t="shared" si="36"/>
        <v>1.584121368063357</v>
      </c>
      <c r="P53" s="51">
        <f>AVERAGE(O53:O55)</f>
        <v>1.8264801462556066</v>
      </c>
      <c r="Q53" s="52">
        <f>STDEV(O53:O55)</f>
        <v>0.36598369780728901</v>
      </c>
      <c r="S53" s="11"/>
      <c r="T53" s="11"/>
    </row>
    <row r="54" spans="1:25" ht="15" x14ac:dyDescent="0.3">
      <c r="A54" s="53"/>
      <c r="B54">
        <v>0.65900000000000003</v>
      </c>
      <c r="C54">
        <v>0.83199999999999996</v>
      </c>
      <c r="D54" s="34">
        <f>AVERAGE(B54:C54)</f>
        <v>0.74550000000000005</v>
      </c>
      <c r="E54" s="34">
        <f t="shared" si="29"/>
        <v>0.70250000000000001</v>
      </c>
      <c r="F54" s="34">
        <f t="shared" si="30"/>
        <v>-0.15335367142288248</v>
      </c>
      <c r="G54" s="35">
        <f t="shared" si="31"/>
        <v>0.40392009094463815</v>
      </c>
      <c r="H54" s="34">
        <f t="shared" si="32"/>
        <v>2.534662216332876</v>
      </c>
      <c r="I54" s="48">
        <v>16</v>
      </c>
      <c r="J54" s="49">
        <f t="shared" si="33"/>
        <v>40.554595461326016</v>
      </c>
      <c r="K54" s="37">
        <f t="shared" si="35"/>
        <v>4.0554595461326022</v>
      </c>
      <c r="L54" s="50">
        <f t="shared" si="34"/>
        <v>11.594969493390655</v>
      </c>
      <c r="M54" s="51"/>
      <c r="N54" s="52"/>
      <c r="O54" s="10">
        <f t="shared" si="36"/>
        <v>1.6478417005994146</v>
      </c>
      <c r="P54" s="51"/>
      <c r="Q54" s="52"/>
      <c r="S54" s="11"/>
      <c r="T54" s="11"/>
    </row>
    <row r="55" spans="1:25" ht="15" x14ac:dyDescent="0.3">
      <c r="A55" s="54"/>
      <c r="B55">
        <v>1.0680000000000001</v>
      </c>
      <c r="C55">
        <v>0.97099999999999997</v>
      </c>
      <c r="D55" s="34">
        <f>AVERAGE(B55:C55)</f>
        <v>1.0195000000000001</v>
      </c>
      <c r="E55" s="34">
        <f t="shared" si="29"/>
        <v>0.97650000000000003</v>
      </c>
      <c r="F55" s="34">
        <f t="shared" si="30"/>
        <v>-1.0327752376126795E-2</v>
      </c>
      <c r="G55" s="35">
        <f t="shared" si="31"/>
        <v>0.55061403648968332</v>
      </c>
      <c r="H55" s="34">
        <f t="shared" si="32"/>
        <v>3.5531540449885886</v>
      </c>
      <c r="I55" s="48">
        <v>16</v>
      </c>
      <c r="J55" s="49">
        <f t="shared" si="33"/>
        <v>56.850464719817417</v>
      </c>
      <c r="K55" s="37">
        <f t="shared" si="35"/>
        <v>5.6850464719817424</v>
      </c>
      <c r="L55" s="50">
        <f t="shared" si="34"/>
        <v>15.785174174321112</v>
      </c>
      <c r="M55" s="51"/>
      <c r="N55" s="52"/>
      <c r="O55" s="10">
        <f t="shared" si="36"/>
        <v>2.2474773701040478</v>
      </c>
      <c r="P55" s="51"/>
      <c r="Q55" s="52"/>
      <c r="S55" s="11"/>
      <c r="T55" s="11"/>
      <c r="Y55" s="8"/>
    </row>
    <row r="56" spans="1:25" x14ac:dyDescent="0.2">
      <c r="D56" s="34"/>
      <c r="E56" s="35"/>
      <c r="F56" s="34"/>
      <c r="G56" s="51"/>
      <c r="H56" s="55"/>
    </row>
    <row r="57" spans="1:25" x14ac:dyDescent="0.2">
      <c r="B57" s="51"/>
      <c r="C57" s="51"/>
      <c r="D57" s="34"/>
      <c r="E57" s="35"/>
      <c r="F57" s="34"/>
      <c r="G57" s="51"/>
      <c r="H57" s="55"/>
      <c r="M57" s="10" t="s">
        <v>41</v>
      </c>
      <c r="N57" s="10" t="s">
        <v>42</v>
      </c>
      <c r="O57" s="42" t="s">
        <v>36</v>
      </c>
    </row>
    <row r="58" spans="1:25" ht="15" x14ac:dyDescent="0.3">
      <c r="C58" s="11"/>
      <c r="D58" s="11"/>
      <c r="E58" s="11"/>
      <c r="F58" s="11"/>
      <c r="G58" s="11"/>
      <c r="H58" s="55"/>
      <c r="M58" s="10" t="s">
        <v>29</v>
      </c>
      <c r="N58" s="51">
        <f>P50</f>
        <v>1.9630621955914236</v>
      </c>
      <c r="O58" s="51">
        <f>Q50</f>
        <v>0.55522806252760193</v>
      </c>
    </row>
    <row r="59" spans="1:25" ht="15" x14ac:dyDescent="0.3">
      <c r="D59" s="11"/>
      <c r="E59" s="11"/>
      <c r="G59" s="11"/>
      <c r="M59" s="10" t="s">
        <v>30</v>
      </c>
      <c r="N59" s="51">
        <f>P53</f>
        <v>1.8264801462556066</v>
      </c>
      <c r="O59" s="51">
        <f>Q53</f>
        <v>0.36598369780728901</v>
      </c>
    </row>
    <row r="60" spans="1:25" x14ac:dyDescent="0.2">
      <c r="G60" s="51"/>
      <c r="H60" s="55"/>
    </row>
    <row r="61" spans="1:25" ht="15" x14ac:dyDescent="0.3">
      <c r="A61" s="56"/>
      <c r="D61" s="11"/>
      <c r="E61" s="11"/>
      <c r="F61" s="11"/>
      <c r="G61" s="51"/>
      <c r="H61" s="55"/>
    </row>
    <row r="62" spans="1:25" ht="15" x14ac:dyDescent="0.3">
      <c r="C62" s="34"/>
      <c r="D62" s="11"/>
      <c r="E62" s="11"/>
      <c r="F62" s="11"/>
      <c r="G62" s="51"/>
      <c r="H62" s="55"/>
    </row>
    <row r="63" spans="1:25" ht="15" x14ac:dyDescent="0.3">
      <c r="C63" s="34"/>
      <c r="D63" s="11"/>
      <c r="E63" s="11"/>
      <c r="F63" s="11"/>
      <c r="G63" s="51"/>
      <c r="H63" s="55"/>
    </row>
    <row r="64" spans="1:25" ht="13.5" thickBot="1" x14ac:dyDescent="0.25">
      <c r="B64" s="57" t="s">
        <v>20</v>
      </c>
      <c r="C64" s="58" t="s">
        <v>43</v>
      </c>
      <c r="D64" s="34"/>
      <c r="E64" s="35"/>
      <c r="F64" s="34"/>
      <c r="G64" s="51"/>
      <c r="H64" s="55"/>
    </row>
    <row r="65" spans="1:8" x14ac:dyDescent="0.2">
      <c r="A65" s="8" t="s">
        <v>37</v>
      </c>
      <c r="B65" s="51">
        <f>M40</f>
        <v>2.318326542435349</v>
      </c>
      <c r="C65" s="51">
        <f>N40</f>
        <v>0.7445204629489236</v>
      </c>
      <c r="D65" s="34"/>
      <c r="E65" s="35"/>
      <c r="F65" s="34"/>
      <c r="G65" s="51"/>
      <c r="H65" s="55"/>
    </row>
    <row r="66" spans="1:8" x14ac:dyDescent="0.2">
      <c r="A66" s="8" t="s">
        <v>29</v>
      </c>
      <c r="B66" s="51">
        <f>M50</f>
        <v>4.2869767066719477</v>
      </c>
      <c r="C66" s="51">
        <f>N50</f>
        <v>0.50229082393953517</v>
      </c>
      <c r="D66" s="34"/>
      <c r="E66" s="35"/>
      <c r="F66" s="34"/>
      <c r="G66" s="51"/>
      <c r="H66" s="55"/>
    </row>
    <row r="67" spans="1:8" x14ac:dyDescent="0.2">
      <c r="A67" s="8" t="s">
        <v>38</v>
      </c>
      <c r="B67" s="51">
        <f>M43</f>
        <v>7.4011698038018849</v>
      </c>
      <c r="C67" s="51">
        <f>N43</f>
        <v>0.6429471390809669</v>
      </c>
      <c r="D67" s="34"/>
      <c r="E67" s="35"/>
      <c r="F67" s="34"/>
      <c r="G67" s="51"/>
      <c r="H67" s="55"/>
    </row>
    <row r="68" spans="1:8" x14ac:dyDescent="0.2">
      <c r="A68" s="59" t="s">
        <v>30</v>
      </c>
      <c r="B68" s="51">
        <f>M53</f>
        <v>13.426835009594472</v>
      </c>
      <c r="C68" s="51">
        <f>N53</f>
        <v>2.1441396162481179</v>
      </c>
      <c r="D68" s="34"/>
      <c r="E68" s="35"/>
      <c r="F68" s="34"/>
      <c r="G68" s="51"/>
      <c r="H68" s="55"/>
    </row>
    <row r="69" spans="1:8" x14ac:dyDescent="0.2">
      <c r="A69" s="60"/>
      <c r="C69" s="34"/>
      <c r="D69" s="34"/>
      <c r="E69" s="35"/>
      <c r="F69" s="34"/>
      <c r="G69" s="51"/>
      <c r="H69" s="55"/>
    </row>
    <row r="70" spans="1:8" x14ac:dyDescent="0.2">
      <c r="A70" s="60"/>
      <c r="C70" s="34"/>
      <c r="D70" s="34"/>
      <c r="E70" s="35"/>
      <c r="F70" s="34"/>
      <c r="G70" s="51"/>
      <c r="H70" s="55"/>
    </row>
    <row r="71" spans="1:8" x14ac:dyDescent="0.2">
      <c r="A71" s="60"/>
      <c r="B71" s="36"/>
      <c r="C71" s="34"/>
      <c r="D71" s="34"/>
      <c r="E71" s="35"/>
      <c r="F71" s="34"/>
      <c r="G71" s="51"/>
      <c r="H71" s="55"/>
    </row>
    <row r="72" spans="1:8" x14ac:dyDescent="0.2">
      <c r="A72" s="60"/>
      <c r="B72" s="36"/>
      <c r="C72" s="34"/>
      <c r="D72" s="34"/>
      <c r="E72" s="35"/>
      <c r="F72" s="34"/>
      <c r="G72" s="51"/>
      <c r="H72" s="55"/>
    </row>
    <row r="73" spans="1:8" x14ac:dyDescent="0.2">
      <c r="C73" s="34"/>
      <c r="D73" s="34"/>
      <c r="E73" s="35"/>
      <c r="F73" s="34"/>
      <c r="G73" s="51"/>
      <c r="H73" s="55"/>
    </row>
    <row r="74" spans="1:8" x14ac:dyDescent="0.2">
      <c r="C74" s="34"/>
      <c r="D74" s="35"/>
      <c r="H74" s="55"/>
    </row>
    <row r="75" spans="1:8" x14ac:dyDescent="0.2">
      <c r="A75" s="61"/>
      <c r="C75" s="34"/>
      <c r="D75" s="35"/>
      <c r="H75" s="46"/>
    </row>
    <row r="76" spans="1:8" x14ac:dyDescent="0.2">
      <c r="A76" s="61"/>
      <c r="C76" s="34"/>
      <c r="D76" s="35"/>
      <c r="H76" s="46"/>
    </row>
    <row r="77" spans="1:8" x14ac:dyDescent="0.2">
      <c r="A77" s="62"/>
      <c r="B77" s="46"/>
      <c r="C77" s="63"/>
      <c r="D77" s="64"/>
      <c r="E77" s="46"/>
      <c r="F77" s="46"/>
      <c r="G77" s="46"/>
    </row>
    <row r="78" spans="1:8" x14ac:dyDescent="0.2">
      <c r="A78" s="65"/>
      <c r="B78" s="66"/>
      <c r="C78" s="67"/>
      <c r="D78" s="46"/>
      <c r="E78" s="46"/>
      <c r="F78" s="46"/>
      <c r="G78" s="46"/>
    </row>
    <row r="79" spans="1:8" x14ac:dyDescent="0.2">
      <c r="A79" s="65"/>
      <c r="B79" s="68"/>
      <c r="C79" s="63"/>
      <c r="D79" s="46"/>
      <c r="E79" s="46"/>
      <c r="F79" s="46"/>
      <c r="G79" s="46"/>
    </row>
    <row r="80" spans="1:8" x14ac:dyDescent="0.2">
      <c r="A80" s="65"/>
      <c r="B80" s="68"/>
      <c r="C80" s="63"/>
      <c r="D80" s="46"/>
      <c r="E80" s="46"/>
      <c r="F80" s="46"/>
      <c r="G80" s="46"/>
    </row>
    <row r="81" spans="1:7" x14ac:dyDescent="0.2">
      <c r="A81" s="65"/>
      <c r="B81" s="68"/>
      <c r="C81" s="63"/>
      <c r="D81" s="46"/>
      <c r="E81" s="46"/>
      <c r="F81" s="46"/>
      <c r="G81" s="46"/>
    </row>
    <row r="82" spans="1:7" x14ac:dyDescent="0.2">
      <c r="A82" s="65"/>
      <c r="B82" s="68"/>
      <c r="C82" s="63"/>
      <c r="D82" s="46"/>
      <c r="E82" s="46"/>
      <c r="F82" s="46"/>
      <c r="G82" s="46"/>
    </row>
    <row r="83" spans="1:7" x14ac:dyDescent="0.2">
      <c r="A83" s="65"/>
      <c r="B83" s="46"/>
      <c r="C83" s="46"/>
      <c r="D83" s="69"/>
      <c r="E83" s="66"/>
      <c r="F83" s="66"/>
      <c r="G83" s="46"/>
    </row>
    <row r="84" spans="1:7" x14ac:dyDescent="0.2">
      <c r="A84" s="65"/>
      <c r="B84" s="68"/>
      <c r="C84" s="63"/>
      <c r="D84" s="55"/>
      <c r="E84" s="55"/>
      <c r="F84" s="55"/>
      <c r="G84" s="46"/>
    </row>
    <row r="85" spans="1:7" x14ac:dyDescent="0.2">
      <c r="A85" s="65"/>
      <c r="B85" s="68"/>
      <c r="C85" s="63"/>
      <c r="D85" s="55"/>
      <c r="E85" s="55"/>
      <c r="F85" s="55"/>
      <c r="G85" s="46"/>
    </row>
    <row r="86" spans="1:7" x14ac:dyDescent="0.2">
      <c r="A86" s="65"/>
      <c r="B86" s="68"/>
      <c r="C86" s="63"/>
      <c r="D86" s="55"/>
      <c r="E86" s="55"/>
      <c r="F86" s="55"/>
      <c r="G86" s="46"/>
    </row>
    <row r="87" spans="1:7" x14ac:dyDescent="0.2">
      <c r="A87" s="65"/>
      <c r="B87" s="68"/>
      <c r="C87" s="63"/>
      <c r="D87" s="55"/>
      <c r="E87" s="55"/>
      <c r="F87" s="55"/>
      <c r="G87" s="46"/>
    </row>
    <row r="88" spans="1:7" x14ac:dyDescent="0.2">
      <c r="A88" s="65"/>
      <c r="B88" s="46"/>
      <c r="C88" s="55"/>
      <c r="D88" s="55"/>
      <c r="E88" s="55"/>
      <c r="F88" s="55"/>
      <c r="G88" s="46"/>
    </row>
    <row r="89" spans="1:7" x14ac:dyDescent="0.2">
      <c r="A89" s="65"/>
      <c r="B89" s="46"/>
      <c r="C89" s="55"/>
      <c r="D89" s="55"/>
      <c r="E89" s="55"/>
      <c r="F89" s="55"/>
      <c r="G89" s="46"/>
    </row>
    <row r="90" spans="1:7" x14ac:dyDescent="0.2">
      <c r="C90" s="55"/>
      <c r="D90" s="55"/>
      <c r="E90" s="70"/>
      <c r="F90" s="70"/>
    </row>
    <row r="91" spans="1:7" x14ac:dyDescent="0.2">
      <c r="C91" s="55"/>
      <c r="D91" s="55"/>
      <c r="E91" s="70"/>
      <c r="F91" s="70"/>
    </row>
    <row r="92" spans="1:7" x14ac:dyDescent="0.2">
      <c r="C92" s="55"/>
      <c r="D92" s="55"/>
      <c r="E92" s="70"/>
      <c r="F92" s="70"/>
    </row>
    <row r="93" spans="1:7" x14ac:dyDescent="0.2">
      <c r="C93" s="55"/>
      <c r="D93" s="55"/>
      <c r="E93" s="70"/>
      <c r="F93" s="70"/>
    </row>
    <row r="94" spans="1:7" x14ac:dyDescent="0.2">
      <c r="C94" s="55"/>
      <c r="E94" s="70"/>
      <c r="F94" s="70"/>
    </row>
    <row r="95" spans="1:7" x14ac:dyDescent="0.2">
      <c r="C95" s="55"/>
      <c r="E95" s="70"/>
      <c r="F95" s="70"/>
    </row>
    <row r="96" spans="1:7" x14ac:dyDescent="0.2">
      <c r="C96" s="55"/>
      <c r="D96" s="55"/>
      <c r="E96" s="70"/>
      <c r="F96" s="70"/>
    </row>
    <row r="97" spans="2:6" x14ac:dyDescent="0.2">
      <c r="C97" s="55"/>
      <c r="D97" s="55"/>
      <c r="E97" s="70"/>
      <c r="F97" s="70"/>
    </row>
    <row r="98" spans="2:6" x14ac:dyDescent="0.2">
      <c r="C98" s="55"/>
      <c r="D98" s="55"/>
      <c r="E98" s="70"/>
      <c r="F98" s="70"/>
    </row>
    <row r="99" spans="2:6" x14ac:dyDescent="0.2">
      <c r="C99" s="55"/>
      <c r="D99" s="55"/>
      <c r="E99" s="70"/>
      <c r="F99" s="70"/>
    </row>
    <row r="100" spans="2:6" x14ac:dyDescent="0.2">
      <c r="C100" s="55"/>
      <c r="D100" s="55"/>
      <c r="E100" s="70"/>
      <c r="F100" s="70"/>
    </row>
    <row r="101" spans="2:6" x14ac:dyDescent="0.2">
      <c r="C101" s="55"/>
      <c r="D101" s="55"/>
      <c r="E101" s="70"/>
      <c r="F101" s="70"/>
    </row>
    <row r="102" spans="2:6" x14ac:dyDescent="0.2">
      <c r="C102" s="55"/>
      <c r="D102" s="55"/>
      <c r="E102" s="70"/>
      <c r="F102" s="70"/>
    </row>
    <row r="103" spans="2:6" x14ac:dyDescent="0.2">
      <c r="C103" s="55"/>
      <c r="D103" s="55"/>
      <c r="E103" s="70"/>
      <c r="F103" s="70"/>
    </row>
    <row r="104" spans="2:6" x14ac:dyDescent="0.2">
      <c r="C104" s="55"/>
      <c r="D104" s="55"/>
      <c r="E104" s="70"/>
      <c r="F104" s="70"/>
    </row>
    <row r="105" spans="2:6" x14ac:dyDescent="0.2">
      <c r="C105" s="55"/>
      <c r="D105" s="55"/>
      <c r="E105" s="70"/>
      <c r="F105" s="70"/>
    </row>
    <row r="106" spans="2:6" x14ac:dyDescent="0.2">
      <c r="C106" s="55"/>
    </row>
    <row r="107" spans="2:6" x14ac:dyDescent="0.2">
      <c r="C107" s="55"/>
    </row>
    <row r="108" spans="2:6" ht="13.5" thickBot="1" x14ac:dyDescent="0.25">
      <c r="B108" s="71"/>
      <c r="C108" s="71"/>
      <c r="D108" s="71"/>
      <c r="E108" s="71"/>
    </row>
    <row r="109" spans="2:6" x14ac:dyDescent="0.2">
      <c r="B109" s="70"/>
      <c r="C109" s="70"/>
      <c r="D109" s="70"/>
      <c r="E109" s="70"/>
    </row>
    <row r="110" spans="2:6" x14ac:dyDescent="0.2">
      <c r="B110" s="70"/>
      <c r="C110" s="70"/>
      <c r="D110" s="70"/>
      <c r="E110" s="70"/>
    </row>
    <row r="111" spans="2:6" x14ac:dyDescent="0.2">
      <c r="B111" s="70"/>
      <c r="C111" s="70"/>
      <c r="D111" s="70"/>
      <c r="E111" s="70"/>
    </row>
    <row r="112" spans="2:6" x14ac:dyDescent="0.2">
      <c r="B112" s="70"/>
      <c r="C112" s="70"/>
      <c r="D112" s="70"/>
      <c r="E112" s="70"/>
    </row>
    <row r="113" spans="2:5" x14ac:dyDescent="0.2">
      <c r="B113" s="70"/>
      <c r="C113" s="70"/>
      <c r="D113" s="70"/>
      <c r="E113" s="70"/>
    </row>
    <row r="114" spans="2:5" x14ac:dyDescent="0.2">
      <c r="B114" s="70"/>
      <c r="C114" s="70"/>
      <c r="D114" s="70"/>
      <c r="E114" s="70"/>
    </row>
    <row r="115" spans="2:5" x14ac:dyDescent="0.2">
      <c r="B115" s="70"/>
      <c r="C115" s="70"/>
      <c r="D115" s="70"/>
      <c r="E115" s="70"/>
    </row>
    <row r="116" spans="2:5" x14ac:dyDescent="0.2">
      <c r="B116" s="70"/>
      <c r="C116" s="70"/>
      <c r="D116" s="70"/>
      <c r="E116" s="70"/>
    </row>
    <row r="117" spans="2:5" x14ac:dyDescent="0.2">
      <c r="B117" s="70"/>
      <c r="C117" s="70"/>
      <c r="D117" s="70"/>
      <c r="E117" s="70"/>
    </row>
    <row r="118" spans="2:5" x14ac:dyDescent="0.2">
      <c r="B118" s="70"/>
      <c r="C118" s="70"/>
      <c r="D118" s="70"/>
      <c r="E118" s="70"/>
    </row>
  </sheetData>
  <pageMargins left="0.7" right="0.7" top="0.75" bottom="0.75" header="0.3" footer="0.3"/>
  <pageSetup paperSize="9" scale="3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zoomScale="70" zoomScaleNormal="70" workbookViewId="0">
      <selection activeCell="F4" sqref="F4"/>
    </sheetView>
  </sheetViews>
  <sheetFormatPr baseColWidth="10" defaultColWidth="8.75" defaultRowHeight="12.75" x14ac:dyDescent="0.2"/>
  <cols>
    <col min="1" max="1" width="28.125" style="8" customWidth="1"/>
    <col min="2" max="2" width="9" style="10" bestFit="1" customWidth="1"/>
    <col min="3" max="3" width="11.875" style="10" bestFit="1" customWidth="1"/>
    <col min="4" max="4" width="6" style="10" bestFit="1" customWidth="1"/>
    <col min="5" max="5" width="6.875" style="10" customWidth="1"/>
    <col min="6" max="8" width="11" style="10" bestFit="1" customWidth="1"/>
    <col min="9" max="9" width="12.125" style="10" bestFit="1" customWidth="1"/>
    <col min="10" max="10" width="12" style="10" bestFit="1" customWidth="1"/>
    <col min="11" max="11" width="12.125" style="10" bestFit="1" customWidth="1"/>
    <col min="12" max="12" width="13" style="10" bestFit="1" customWidth="1"/>
    <col min="13" max="13" width="14.875" style="10" bestFit="1" customWidth="1"/>
    <col min="14" max="14" width="13.75" style="10" bestFit="1" customWidth="1"/>
    <col min="15" max="15" width="14" style="10" customWidth="1"/>
    <col min="16" max="16" width="11.375" style="10" customWidth="1"/>
    <col min="17" max="17" width="10.375" style="10" bestFit="1" customWidth="1"/>
    <col min="18" max="16384" width="8.75" style="10"/>
  </cols>
  <sheetData>
    <row r="1" spans="1:20" s="3" customFormat="1" x14ac:dyDescent="0.2">
      <c r="A1" s="1" t="s">
        <v>0</v>
      </c>
      <c r="B1" s="2">
        <v>42479</v>
      </c>
    </row>
    <row r="2" spans="1:20" s="3" customFormat="1" x14ac:dyDescent="0.2">
      <c r="A2" s="1" t="s">
        <v>1</v>
      </c>
      <c r="B2" s="3">
        <v>69</v>
      </c>
      <c r="C2" s="4"/>
      <c r="E2" s="5" t="s">
        <v>2</v>
      </c>
    </row>
    <row r="3" spans="1:20" s="3" customFormat="1" ht="15" x14ac:dyDescent="0.3">
      <c r="A3" s="1" t="s">
        <v>3</v>
      </c>
      <c r="B3" s="3" t="s">
        <v>4</v>
      </c>
      <c r="D3" s="6" t="s">
        <v>5</v>
      </c>
      <c r="E3" s="80">
        <v>4732400</v>
      </c>
      <c r="F3" s="80">
        <v>4663960</v>
      </c>
    </row>
    <row r="4" spans="1:20" s="3" customFormat="1" ht="15" x14ac:dyDescent="0.25">
      <c r="A4" s="1"/>
      <c r="D4" s="6" t="s">
        <v>6</v>
      </c>
      <c r="E4" s="83">
        <v>5835992</v>
      </c>
      <c r="F4" s="83">
        <v>5426480</v>
      </c>
    </row>
    <row r="5" spans="1:20" s="3" customFormat="1" x14ac:dyDescent="0.2">
      <c r="A5" s="1"/>
      <c r="D5" s="7"/>
    </row>
    <row r="6" spans="1:20" ht="15" x14ac:dyDescent="0.3">
      <c r="B6" s="9"/>
      <c r="C6" s="9"/>
      <c r="D6" s="9"/>
      <c r="N6" s="11"/>
      <c r="O6" s="11"/>
      <c r="P6" s="11"/>
    </row>
    <row r="7" spans="1:20" ht="15" x14ac:dyDescent="0.3">
      <c r="A7" s="12" t="s">
        <v>7</v>
      </c>
      <c r="B7" s="13" t="s">
        <v>8</v>
      </c>
      <c r="C7" s="14" t="s">
        <v>9</v>
      </c>
      <c r="D7" s="14"/>
      <c r="E7" s="15" t="s">
        <v>10</v>
      </c>
      <c r="F7" s="16" t="s">
        <v>11</v>
      </c>
      <c r="G7" s="17" t="s">
        <v>12</v>
      </c>
      <c r="H7" s="17" t="s">
        <v>13</v>
      </c>
      <c r="N7" s="11"/>
      <c r="O7" s="11"/>
      <c r="P7" s="11"/>
    </row>
    <row r="8" spans="1:20" ht="15" x14ac:dyDescent="0.3">
      <c r="A8" s="78">
        <v>0</v>
      </c>
      <c r="B8" s="17">
        <v>0</v>
      </c>
      <c r="C8">
        <v>0.05</v>
      </c>
      <c r="D8">
        <v>3.5999999999999997E-2</v>
      </c>
      <c r="E8" s="18">
        <f t="shared" ref="E8:E13" si="0">AVERAGE(C8:D8)</f>
        <v>4.2999999999999997E-2</v>
      </c>
      <c r="F8" s="19"/>
      <c r="G8" s="17"/>
      <c r="H8" s="17"/>
      <c r="N8" s="11"/>
      <c r="O8" s="11"/>
      <c r="P8" s="11"/>
    </row>
    <row r="9" spans="1:20" ht="15" x14ac:dyDescent="0.3">
      <c r="A9" s="78">
        <v>3</v>
      </c>
      <c r="B9" s="19">
        <f>A9/23</f>
        <v>0.13043478260869565</v>
      </c>
      <c r="C9">
        <v>8.5999999999999993E-2</v>
      </c>
      <c r="D9">
        <v>7.8E-2</v>
      </c>
      <c r="E9" s="18">
        <f t="shared" si="0"/>
        <v>8.199999999999999E-2</v>
      </c>
      <c r="F9" s="19">
        <f>(E9-$E$8)</f>
        <v>3.8999999999999993E-2</v>
      </c>
      <c r="G9" s="19">
        <f>LOG(B9)</f>
        <v>-0.88460658129793046</v>
      </c>
      <c r="H9" s="19">
        <f>LOG(F9)</f>
        <v>-1.4089353929735009</v>
      </c>
      <c r="N9" s="11"/>
      <c r="O9" s="11"/>
      <c r="P9" s="11"/>
    </row>
    <row r="10" spans="1:20" ht="15" x14ac:dyDescent="0.3">
      <c r="A10" s="78">
        <v>9.74</v>
      </c>
      <c r="B10" s="19">
        <f t="shared" ref="B10:B13" si="1">A10/23</f>
        <v>0.42347826086956525</v>
      </c>
      <c r="C10">
        <v>0.16800000000000001</v>
      </c>
      <c r="D10">
        <v>0.159</v>
      </c>
      <c r="E10" s="18">
        <f t="shared" si="0"/>
        <v>0.16350000000000001</v>
      </c>
      <c r="F10" s="19">
        <f>(E10-$E$8)</f>
        <v>0.12050000000000001</v>
      </c>
      <c r="G10" s="19">
        <f>LOG(B10)</f>
        <v>-0.37316887913897734</v>
      </c>
      <c r="H10" s="19">
        <f>LOG(F10)</f>
        <v>-0.91901295308911279</v>
      </c>
      <c r="N10" s="11"/>
      <c r="O10" s="11"/>
      <c r="P10" s="11"/>
    </row>
    <row r="11" spans="1:20" ht="15" x14ac:dyDescent="0.3">
      <c r="A11" s="78">
        <v>29.8</v>
      </c>
      <c r="B11" s="19">
        <f t="shared" si="1"/>
        <v>1.2956521739130435</v>
      </c>
      <c r="C11">
        <v>0.40899999999999997</v>
      </c>
      <c r="D11">
        <v>0.40799999999999997</v>
      </c>
      <c r="E11" s="18">
        <f t="shared" si="0"/>
        <v>0.40849999999999997</v>
      </c>
      <c r="F11" s="19">
        <f>(E11-$E$8)</f>
        <v>0.36549999999999999</v>
      </c>
      <c r="G11" s="19">
        <f>LOG(B11)</f>
        <v>0.11248842805866238</v>
      </c>
      <c r="H11" s="19">
        <f>LOG(F11)</f>
        <v>-0.43711261870612073</v>
      </c>
      <c r="N11" s="11"/>
      <c r="O11" s="11"/>
      <c r="P11" s="11"/>
      <c r="Q11" s="11"/>
      <c r="R11" s="11"/>
      <c r="S11" s="11"/>
      <c r="T11" s="11"/>
    </row>
    <row r="12" spans="1:20" ht="15" x14ac:dyDescent="0.3">
      <c r="A12" s="78">
        <v>104</v>
      </c>
      <c r="B12" s="19">
        <f t="shared" si="1"/>
        <v>4.5217391304347823</v>
      </c>
      <c r="C12">
        <v>1.3919999999999999</v>
      </c>
      <c r="D12">
        <v>1.341</v>
      </c>
      <c r="E12" s="18">
        <f t="shared" si="0"/>
        <v>1.3664999999999998</v>
      </c>
      <c r="F12" s="19">
        <f>(E12-$E$8)</f>
        <v>1.3234999999999999</v>
      </c>
      <c r="G12" s="19">
        <f>LOG(B12)</f>
        <v>0.65530550328118742</v>
      </c>
      <c r="H12" s="19">
        <f>LOG(F12)</f>
        <v>0.12172394563736699</v>
      </c>
      <c r="N12" s="11"/>
      <c r="O12" s="11"/>
      <c r="P12" s="11"/>
      <c r="Q12" s="11"/>
      <c r="R12" s="11"/>
      <c r="S12" s="11"/>
      <c r="T12" s="11"/>
    </row>
    <row r="13" spans="1:20" ht="15" x14ac:dyDescent="0.3">
      <c r="A13" s="78">
        <v>207</v>
      </c>
      <c r="B13" s="19">
        <f t="shared" si="1"/>
        <v>9</v>
      </c>
      <c r="C13">
        <v>2.3260000000000001</v>
      </c>
      <c r="D13">
        <v>2.343</v>
      </c>
      <c r="E13" s="18">
        <f t="shared" si="0"/>
        <v>2.3345000000000002</v>
      </c>
      <c r="F13" s="19">
        <f>(E13-$E$8)</f>
        <v>2.2915000000000001</v>
      </c>
      <c r="G13" s="19">
        <f>LOG(B13)</f>
        <v>0.95424250943932487</v>
      </c>
      <c r="H13" s="19">
        <f>LOG(F13)</f>
        <v>0.36011986158080544</v>
      </c>
      <c r="N13" s="11"/>
    </row>
    <row r="14" spans="1:20" ht="15" x14ac:dyDescent="0.3">
      <c r="N14" s="11"/>
    </row>
    <row r="15" spans="1:20" ht="15" x14ac:dyDescent="0.3">
      <c r="A15" s="12" t="s">
        <v>14</v>
      </c>
      <c r="B15" s="18">
        <f>SLOPE(H9:H13,G9:G13)</f>
        <v>0.97499537908902212</v>
      </c>
      <c r="N15" s="11"/>
    </row>
    <row r="16" spans="1:20" ht="15" x14ac:dyDescent="0.25">
      <c r="A16" s="12" t="s">
        <v>15</v>
      </c>
      <c r="B16" s="18">
        <f>INTERCEPT(H9:H13,G9:G13)</f>
        <v>-0.54717389361512225</v>
      </c>
      <c r="C16" s="20"/>
      <c r="G16" s="20"/>
      <c r="H16" s="20"/>
    </row>
    <row r="17" spans="1:17" ht="15" x14ac:dyDescent="0.3">
      <c r="B17" s="11"/>
      <c r="C17" s="11"/>
      <c r="D17" s="11"/>
      <c r="E17" s="11"/>
      <c r="F17" s="11"/>
      <c r="G17" s="11"/>
    </row>
    <row r="18" spans="1:17" ht="15" x14ac:dyDescent="0.3">
      <c r="B18" s="11"/>
      <c r="C18" s="11"/>
      <c r="D18" s="11"/>
      <c r="E18" s="11"/>
      <c r="F18" s="11"/>
      <c r="G18" s="11"/>
    </row>
    <row r="19" spans="1:17" ht="23.25" x14ac:dyDescent="0.35">
      <c r="A19" s="21" t="s">
        <v>16</v>
      </c>
      <c r="B19" s="22"/>
      <c r="C19" s="22"/>
      <c r="K19" s="23"/>
      <c r="L19" s="24" t="s">
        <v>17</v>
      </c>
      <c r="M19" s="25"/>
    </row>
    <row r="20" spans="1:17" s="24" customFormat="1" x14ac:dyDescent="0.2">
      <c r="A20" s="26" t="s">
        <v>18</v>
      </c>
      <c r="B20" s="16" t="s">
        <v>19</v>
      </c>
      <c r="C20" s="16" t="s">
        <v>19</v>
      </c>
      <c r="D20" s="16" t="s">
        <v>20</v>
      </c>
      <c r="E20" s="27" t="s">
        <v>21</v>
      </c>
      <c r="F20" s="28" t="s">
        <v>13</v>
      </c>
      <c r="G20" s="28" t="s">
        <v>22</v>
      </c>
      <c r="H20" s="28" t="s">
        <v>23</v>
      </c>
      <c r="I20" s="16" t="s">
        <v>24</v>
      </c>
      <c r="J20" s="28" t="s">
        <v>25</v>
      </c>
      <c r="K20" s="28" t="s">
        <v>26</v>
      </c>
      <c r="L20" s="28" t="s">
        <v>27</v>
      </c>
      <c r="M20" s="29" t="s">
        <v>28</v>
      </c>
    </row>
    <row r="21" spans="1:17" s="31" customFormat="1" x14ac:dyDescent="0.2">
      <c r="A21" s="30"/>
      <c r="L21" s="32"/>
      <c r="M21" s="33"/>
    </row>
    <row r="22" spans="1:17" ht="15" x14ac:dyDescent="0.3">
      <c r="A22" s="8" t="s">
        <v>29</v>
      </c>
      <c r="B22">
        <v>0.32300000000000001</v>
      </c>
      <c r="C22">
        <v>0.34</v>
      </c>
      <c r="D22" s="34">
        <f t="shared" ref="D22:D27" si="2">AVERAGE(B22:C22)</f>
        <v>0.33150000000000002</v>
      </c>
      <c r="E22" s="34">
        <f t="shared" ref="E22:E27" si="3">D22-E$8</f>
        <v>0.28850000000000003</v>
      </c>
      <c r="F22" s="34">
        <f>LOG(E22)</f>
        <v>-0.53985418250824968</v>
      </c>
      <c r="G22" s="35">
        <f>(F22-$B$16)/$B$15</f>
        <v>7.5074315877390893E-3</v>
      </c>
      <c r="H22" s="35">
        <f>10^G22</f>
        <v>1.0174367762705194</v>
      </c>
      <c r="I22" s="36">
        <v>500</v>
      </c>
      <c r="J22" s="37">
        <f>(H22*I22)</f>
        <v>508.71838813525972</v>
      </c>
      <c r="K22" s="37">
        <f>(0.05*J22/1000)*1000</f>
        <v>25.435919406762988</v>
      </c>
      <c r="L22" s="38">
        <f>K22+K40+K50</f>
        <v>26.52857945878522</v>
      </c>
      <c r="M22" s="39">
        <f>(L22*1000000/50000)/1000</f>
        <v>0.53057158917570435</v>
      </c>
      <c r="N22" s="40"/>
    </row>
    <row r="23" spans="1:17" ht="15" x14ac:dyDescent="0.3">
      <c r="B23">
        <v>0.32100000000000001</v>
      </c>
      <c r="C23">
        <v>0.35</v>
      </c>
      <c r="D23" s="34">
        <f t="shared" si="2"/>
        <v>0.33550000000000002</v>
      </c>
      <c r="E23" s="34">
        <f t="shared" si="3"/>
        <v>0.29250000000000004</v>
      </c>
      <c r="F23" s="34">
        <f t="shared" ref="F23:F27" si="4">LOG(E23)</f>
        <v>-0.53387412958180069</v>
      </c>
      <c r="G23" s="35">
        <f t="shared" ref="G23:G27" si="5">(F23-$B$16)/$B$15</f>
        <v>1.3640848273299583E-2</v>
      </c>
      <c r="H23" s="35">
        <f t="shared" ref="H23:H27" si="6">10^G23</f>
        <v>1.0319076884579406</v>
      </c>
      <c r="I23" s="36">
        <v>500</v>
      </c>
      <c r="J23" s="37">
        <f t="shared" ref="J23:J27" si="7">(H23*I23)</f>
        <v>515.9538442289703</v>
      </c>
      <c r="K23" s="37">
        <f t="shared" ref="K23:K27" si="8">(0.05*J23/1000)*1000</f>
        <v>25.797692211448517</v>
      </c>
      <c r="L23" s="38">
        <f>K23+K41+K51</f>
        <v>27.012915611879087</v>
      </c>
      <c r="M23" s="39">
        <f t="shared" ref="M23:M27" si="9">(L23*1000000/50000)/1000</f>
        <v>0.54025831223758181</v>
      </c>
      <c r="N23" s="40"/>
    </row>
    <row r="24" spans="1:17" ht="15" x14ac:dyDescent="0.3">
      <c r="B24">
        <v>0.35599999999999998</v>
      </c>
      <c r="C24">
        <v>0.36499999999999999</v>
      </c>
      <c r="D24" s="34">
        <f t="shared" si="2"/>
        <v>0.36049999999999999</v>
      </c>
      <c r="E24" s="34">
        <f t="shared" si="3"/>
        <v>0.3175</v>
      </c>
      <c r="F24" s="34">
        <f t="shared" si="4"/>
        <v>-0.49825627037200554</v>
      </c>
      <c r="G24" s="35">
        <f t="shared" si="5"/>
        <v>5.0172159060715184E-2</v>
      </c>
      <c r="H24" s="35">
        <f t="shared" si="6"/>
        <v>1.1224633228020018</v>
      </c>
      <c r="I24" s="36">
        <v>500</v>
      </c>
      <c r="J24" s="37">
        <f t="shared" si="7"/>
        <v>561.23166140100091</v>
      </c>
      <c r="K24" s="37">
        <f t="shared" si="8"/>
        <v>28.061583070050048</v>
      </c>
      <c r="L24" s="38">
        <f t="shared" ref="L24:L27" si="10">K24+K42+K52</f>
        <v>29.453912552674375</v>
      </c>
      <c r="M24" s="39">
        <f t="shared" si="9"/>
        <v>0.58907825105348754</v>
      </c>
      <c r="N24" s="40"/>
    </row>
    <row r="25" spans="1:17" ht="15" x14ac:dyDescent="0.3">
      <c r="A25" s="8" t="s">
        <v>30</v>
      </c>
      <c r="B25">
        <v>0.29099999999999998</v>
      </c>
      <c r="C25">
        <v>0.29499999999999998</v>
      </c>
      <c r="D25" s="34">
        <f t="shared" si="2"/>
        <v>0.29299999999999998</v>
      </c>
      <c r="E25" s="34">
        <f t="shared" si="3"/>
        <v>0.25</v>
      </c>
      <c r="F25" s="34">
        <f t="shared" si="4"/>
        <v>-0.6020599913279624</v>
      </c>
      <c r="G25" s="35">
        <f t="shared" si="5"/>
        <v>-5.6293700349762131E-2</v>
      </c>
      <c r="H25" s="35">
        <f t="shared" si="6"/>
        <v>0.87842826119325623</v>
      </c>
      <c r="I25" s="36">
        <v>500</v>
      </c>
      <c r="J25" s="37">
        <f t="shared" si="7"/>
        <v>439.21413059662814</v>
      </c>
      <c r="K25" s="37">
        <f t="shared" si="8"/>
        <v>21.960706529831409</v>
      </c>
      <c r="L25" s="38">
        <f t="shared" si="10"/>
        <v>25.574592677924642</v>
      </c>
      <c r="M25" s="39">
        <f t="shared" si="9"/>
        <v>0.5114918535584928</v>
      </c>
      <c r="N25" s="40"/>
    </row>
    <row r="26" spans="1:17" ht="15" x14ac:dyDescent="0.3">
      <c r="B26">
        <v>0.313</v>
      </c>
      <c r="C26">
        <v>0.31</v>
      </c>
      <c r="D26" s="34">
        <f t="shared" si="2"/>
        <v>0.3115</v>
      </c>
      <c r="E26" s="34">
        <f t="shared" si="3"/>
        <v>0.26850000000000002</v>
      </c>
      <c r="F26" s="34">
        <f t="shared" si="4"/>
        <v>-0.57105570996442556</v>
      </c>
      <c r="G26" s="35">
        <f t="shared" si="5"/>
        <v>-2.4494286702791416E-2</v>
      </c>
      <c r="H26" s="35">
        <f t="shared" si="6"/>
        <v>0.94516082628324039</v>
      </c>
      <c r="I26" s="36">
        <v>500</v>
      </c>
      <c r="J26" s="37">
        <f t="shared" si="7"/>
        <v>472.58041314162017</v>
      </c>
      <c r="K26" s="37">
        <f t="shared" si="8"/>
        <v>23.629020657081011</v>
      </c>
      <c r="L26" s="38">
        <f t="shared" si="10"/>
        <v>28.385629620857102</v>
      </c>
      <c r="M26" s="39">
        <f t="shared" si="9"/>
        <v>0.567712592417142</v>
      </c>
      <c r="N26" s="40"/>
    </row>
    <row r="27" spans="1:17" ht="15" x14ac:dyDescent="0.3">
      <c r="B27">
        <v>0.33900000000000002</v>
      </c>
      <c r="C27">
        <v>0.308</v>
      </c>
      <c r="D27" s="34">
        <f t="shared" si="2"/>
        <v>0.32350000000000001</v>
      </c>
      <c r="E27" s="34">
        <f t="shared" si="3"/>
        <v>0.28050000000000003</v>
      </c>
      <c r="F27" s="34">
        <f t="shared" si="4"/>
        <v>-0.55206713440781974</v>
      </c>
      <c r="G27" s="35">
        <f t="shared" si="5"/>
        <v>-5.0187322910898698E-3</v>
      </c>
      <c r="H27" s="35">
        <f t="shared" si="6"/>
        <v>0.98851045661813897</v>
      </c>
      <c r="I27" s="36">
        <v>500</v>
      </c>
      <c r="J27" s="37">
        <f t="shared" si="7"/>
        <v>494.25522830906948</v>
      </c>
      <c r="K27" s="37">
        <f t="shared" si="8"/>
        <v>24.712761415453475</v>
      </c>
      <c r="L27" s="38">
        <f t="shared" si="10"/>
        <v>28.933851655458039</v>
      </c>
      <c r="M27" s="39">
        <f t="shared" si="9"/>
        <v>0.57867703310916074</v>
      </c>
      <c r="N27" s="40"/>
    </row>
    <row r="28" spans="1:17" ht="23.25" x14ac:dyDescent="0.35">
      <c r="A28" s="21" t="s">
        <v>16</v>
      </c>
      <c r="B28" s="3"/>
      <c r="C28" s="3"/>
      <c r="I28" s="36"/>
      <c r="J28" s="36"/>
      <c r="K28" s="41"/>
      <c r="L28" s="24" t="s">
        <v>17</v>
      </c>
      <c r="M28" s="25"/>
    </row>
    <row r="29" spans="1:17" s="24" customFormat="1" x14ac:dyDescent="0.2">
      <c r="A29" s="26" t="s">
        <v>18</v>
      </c>
      <c r="B29" s="73"/>
      <c r="C29" s="73"/>
      <c r="D29" s="16" t="s">
        <v>20</v>
      </c>
      <c r="E29" s="27" t="s">
        <v>21</v>
      </c>
      <c r="F29" s="28" t="s">
        <v>13</v>
      </c>
      <c r="G29" s="28" t="s">
        <v>22</v>
      </c>
      <c r="H29" s="28" t="s">
        <v>23</v>
      </c>
      <c r="I29" s="27" t="s">
        <v>24</v>
      </c>
      <c r="J29" s="42" t="s">
        <v>25</v>
      </c>
      <c r="K29" s="42" t="s">
        <v>26</v>
      </c>
      <c r="L29" s="28" t="s">
        <v>27</v>
      </c>
      <c r="M29" s="29" t="s">
        <v>28</v>
      </c>
    </row>
    <row r="30" spans="1:17" s="31" customFormat="1" x14ac:dyDescent="0.2">
      <c r="A30" s="30"/>
      <c r="B30" s="74"/>
      <c r="C30" s="74"/>
      <c r="L30" s="32"/>
      <c r="M30" s="33"/>
    </row>
    <row r="31" spans="1:17" ht="15" x14ac:dyDescent="0.3">
      <c r="A31" s="8" t="s">
        <v>29</v>
      </c>
      <c r="B31">
        <v>0.32300000000000001</v>
      </c>
      <c r="C31">
        <v>0.34</v>
      </c>
      <c r="D31" s="34">
        <f t="shared" ref="D31:D36" si="11">AVERAGE(B31:C31)</f>
        <v>0.33150000000000002</v>
      </c>
      <c r="E31" s="34">
        <f t="shared" ref="E31:E36" si="12">D31-E$8</f>
        <v>0.28850000000000003</v>
      </c>
      <c r="F31" s="34">
        <f>LOG(E31)</f>
        <v>-0.53985418250824968</v>
      </c>
      <c r="G31" s="35">
        <f>(F31-$B$16)/$B$15</f>
        <v>7.5074315877390893E-3</v>
      </c>
      <c r="H31" s="35">
        <f>10^G31</f>
        <v>1.0174367762705194</v>
      </c>
      <c r="I31" s="36">
        <v>500</v>
      </c>
      <c r="J31" s="37">
        <f>(H31*I31)</f>
        <v>508.71838813525972</v>
      </c>
      <c r="K31" s="37">
        <f>(0.05*J31/1000)*1000</f>
        <v>25.435919406762988</v>
      </c>
      <c r="L31" s="38">
        <f>K31+K50</f>
        <v>26.001959502853637</v>
      </c>
      <c r="M31" s="39">
        <f>(L31*1000000/50000)/1000</f>
        <v>0.52003919005707266</v>
      </c>
      <c r="N31" s="43"/>
      <c r="Q31" s="11"/>
    </row>
    <row r="32" spans="1:17" ht="15" x14ac:dyDescent="0.3">
      <c r="B32">
        <v>0.32100000000000001</v>
      </c>
      <c r="C32">
        <v>0.35</v>
      </c>
      <c r="D32" s="34">
        <f t="shared" si="11"/>
        <v>0.33550000000000002</v>
      </c>
      <c r="E32" s="34">
        <f t="shared" si="12"/>
        <v>0.29250000000000004</v>
      </c>
      <c r="F32" s="34">
        <f t="shared" ref="F32:F36" si="13">LOG(E32)</f>
        <v>-0.53387412958180069</v>
      </c>
      <c r="G32" s="35">
        <f t="shared" ref="G32:G36" si="14">(F32-$B$16)/$B$15</f>
        <v>1.3640848273299583E-2</v>
      </c>
      <c r="H32" s="35">
        <f t="shared" ref="H32:H36" si="15">10^G32</f>
        <v>1.0319076884579406</v>
      </c>
      <c r="I32" s="36">
        <v>500</v>
      </c>
      <c r="J32" s="37">
        <f t="shared" ref="J32:J36" si="16">(H32*I32)</f>
        <v>515.9538442289703</v>
      </c>
      <c r="K32" s="37">
        <f t="shared" ref="K32:K36" si="17">(0.05*J32/1000)*1000</f>
        <v>25.797692211448517</v>
      </c>
      <c r="L32" s="38">
        <f>K32+K51</f>
        <v>26.584510893740191</v>
      </c>
      <c r="M32" s="39">
        <f t="shared" ref="M32:M36" si="18">(L32*1000000/50000)/1000</f>
        <v>0.53169021787480386</v>
      </c>
      <c r="N32" s="44"/>
      <c r="Q32" s="11"/>
    </row>
    <row r="33" spans="1:19" ht="15" x14ac:dyDescent="0.3">
      <c r="B33">
        <v>0.35599999999999998</v>
      </c>
      <c r="C33">
        <v>0.36499999999999999</v>
      </c>
      <c r="D33" s="34">
        <f t="shared" si="11"/>
        <v>0.36049999999999999</v>
      </c>
      <c r="E33" s="34">
        <f t="shared" si="12"/>
        <v>0.3175</v>
      </c>
      <c r="F33" s="34">
        <f t="shared" si="13"/>
        <v>-0.49825627037200554</v>
      </c>
      <c r="G33" s="35">
        <f t="shared" si="14"/>
        <v>5.0172159060715184E-2</v>
      </c>
      <c r="H33" s="35">
        <f t="shared" si="15"/>
        <v>1.1224633228020018</v>
      </c>
      <c r="I33" s="36">
        <v>500</v>
      </c>
      <c r="J33" s="37">
        <f t="shared" si="16"/>
        <v>561.23166140100091</v>
      </c>
      <c r="K33" s="37">
        <f t="shared" si="17"/>
        <v>28.061583070050048</v>
      </c>
      <c r="L33" s="38">
        <f t="shared" ref="L33:L36" si="19">K33+K52</f>
        <v>28.845560340840557</v>
      </c>
      <c r="M33" s="39">
        <f t="shared" si="18"/>
        <v>0.57691120681681118</v>
      </c>
      <c r="N33" s="44"/>
      <c r="Q33" s="11"/>
    </row>
    <row r="34" spans="1:19" ht="15" x14ac:dyDescent="0.3">
      <c r="A34" s="8" t="s">
        <v>30</v>
      </c>
      <c r="B34">
        <v>0.29099999999999998</v>
      </c>
      <c r="C34">
        <v>0.29499999999999998</v>
      </c>
      <c r="D34" s="34">
        <f t="shared" si="11"/>
        <v>0.29299999999999998</v>
      </c>
      <c r="E34" s="34">
        <f t="shared" si="12"/>
        <v>0.25</v>
      </c>
      <c r="F34" s="34">
        <f t="shared" si="13"/>
        <v>-0.6020599913279624</v>
      </c>
      <c r="G34" s="35">
        <f t="shared" si="14"/>
        <v>-5.6293700349762131E-2</v>
      </c>
      <c r="H34" s="35">
        <f t="shared" si="15"/>
        <v>0.87842826119325623</v>
      </c>
      <c r="I34" s="36">
        <v>500</v>
      </c>
      <c r="J34" s="37">
        <f t="shared" si="16"/>
        <v>439.21413059662814</v>
      </c>
      <c r="K34" s="37">
        <f t="shared" si="17"/>
        <v>21.960706529831409</v>
      </c>
      <c r="L34" s="38">
        <f t="shared" si="19"/>
        <v>24.338940152962348</v>
      </c>
      <c r="M34" s="39">
        <f t="shared" si="18"/>
        <v>0.48677880305924698</v>
      </c>
      <c r="N34" s="44"/>
      <c r="Q34" s="11"/>
    </row>
    <row r="35" spans="1:19" ht="15" x14ac:dyDescent="0.3">
      <c r="B35">
        <v>0.313</v>
      </c>
      <c r="C35">
        <v>0.31</v>
      </c>
      <c r="D35" s="34">
        <f t="shared" si="11"/>
        <v>0.3115</v>
      </c>
      <c r="E35" s="34">
        <f t="shared" si="12"/>
        <v>0.26850000000000002</v>
      </c>
      <c r="F35" s="34">
        <f t="shared" si="13"/>
        <v>-0.57105570996442556</v>
      </c>
      <c r="G35" s="35">
        <f t="shared" si="14"/>
        <v>-2.4494286702791416E-2</v>
      </c>
      <c r="H35" s="35">
        <f t="shared" si="15"/>
        <v>0.94516082628324039</v>
      </c>
      <c r="I35" s="36">
        <v>500</v>
      </c>
      <c r="J35" s="37">
        <f t="shared" si="16"/>
        <v>472.58041314162017</v>
      </c>
      <c r="K35" s="37">
        <f t="shared" si="17"/>
        <v>23.629020657081011</v>
      </c>
      <c r="L35" s="38">
        <f t="shared" si="19"/>
        <v>27.049294580511372</v>
      </c>
      <c r="M35" s="39">
        <f t="shared" si="18"/>
        <v>0.54098589161022748</v>
      </c>
      <c r="N35" s="44"/>
      <c r="Q35" s="11"/>
      <c r="S35" s="11"/>
    </row>
    <row r="36" spans="1:19" ht="15" x14ac:dyDescent="0.3">
      <c r="B36">
        <v>0.33900000000000002</v>
      </c>
      <c r="C36">
        <v>0.308</v>
      </c>
      <c r="D36" s="34">
        <f t="shared" si="11"/>
        <v>0.32350000000000001</v>
      </c>
      <c r="E36" s="34">
        <f t="shared" si="12"/>
        <v>0.28050000000000003</v>
      </c>
      <c r="F36" s="34">
        <f t="shared" si="13"/>
        <v>-0.55206713440781974</v>
      </c>
      <c r="G36" s="35">
        <f t="shared" si="14"/>
        <v>-5.0187322910898698E-3</v>
      </c>
      <c r="H36" s="35">
        <f t="shared" si="15"/>
        <v>0.98851045661813897</v>
      </c>
      <c r="I36" s="36">
        <v>500</v>
      </c>
      <c r="J36" s="37">
        <f t="shared" si="16"/>
        <v>494.25522830906948</v>
      </c>
      <c r="K36" s="37">
        <f t="shared" si="17"/>
        <v>24.712761415453475</v>
      </c>
      <c r="L36" s="38">
        <f t="shared" si="19"/>
        <v>27.59175745426322</v>
      </c>
      <c r="M36" s="39">
        <f t="shared" si="18"/>
        <v>0.55183514908526443</v>
      </c>
      <c r="N36" s="45"/>
      <c r="Q36" s="11"/>
      <c r="S36" s="11"/>
    </row>
    <row r="37" spans="1:19" ht="15" x14ac:dyDescent="0.3">
      <c r="B37" s="3"/>
      <c r="C37" s="3"/>
      <c r="I37" s="36"/>
      <c r="J37" s="36"/>
      <c r="K37" s="36"/>
      <c r="R37" s="11"/>
      <c r="S37" s="11"/>
    </row>
    <row r="38" spans="1:19" ht="23.25" x14ac:dyDescent="0.35">
      <c r="A38" s="21" t="s">
        <v>31</v>
      </c>
      <c r="B38" s="3"/>
      <c r="C38" s="3"/>
      <c r="E38" s="35"/>
      <c r="F38" s="34"/>
      <c r="H38" s="46"/>
      <c r="I38" s="36"/>
      <c r="J38" s="36"/>
      <c r="K38" s="36"/>
      <c r="M38" s="47" t="s">
        <v>32</v>
      </c>
      <c r="R38" s="11"/>
      <c r="S38" s="11"/>
    </row>
    <row r="39" spans="1:19" ht="15" x14ac:dyDescent="0.3">
      <c r="A39" s="26" t="s">
        <v>18</v>
      </c>
      <c r="B39" s="75"/>
      <c r="C39" s="75"/>
      <c r="D39" s="16" t="s">
        <v>20</v>
      </c>
      <c r="E39" s="27" t="s">
        <v>21</v>
      </c>
      <c r="F39" s="28" t="s">
        <v>13</v>
      </c>
      <c r="G39" s="28" t="s">
        <v>22</v>
      </c>
      <c r="H39" s="28" t="s">
        <v>23</v>
      </c>
      <c r="I39" s="27" t="s">
        <v>24</v>
      </c>
      <c r="J39" s="42" t="s">
        <v>25</v>
      </c>
      <c r="K39" s="42" t="s">
        <v>33</v>
      </c>
      <c r="L39" s="28" t="s">
        <v>34</v>
      </c>
      <c r="M39" s="24" t="s">
        <v>35</v>
      </c>
      <c r="N39" s="42" t="s">
        <v>36</v>
      </c>
      <c r="R39" s="11"/>
      <c r="S39" s="11"/>
    </row>
    <row r="40" spans="1:19" ht="15" x14ac:dyDescent="0.3">
      <c r="A40" s="8" t="s">
        <v>37</v>
      </c>
      <c r="B40">
        <v>0.114</v>
      </c>
      <c r="C40">
        <v>0.16400000000000001</v>
      </c>
      <c r="D40" s="34">
        <f>AVERAGE(B40,C40)</f>
        <v>0.13900000000000001</v>
      </c>
      <c r="E40" s="34">
        <f t="shared" ref="E40:E45" si="20">D40-E$8</f>
        <v>9.6000000000000016E-2</v>
      </c>
      <c r="F40" s="34">
        <f t="shared" ref="F40:F45" si="21">LOG(E40)</f>
        <v>-1.0177287669604316</v>
      </c>
      <c r="G40" s="35">
        <f t="shared" ref="G40:G45" si="22">(F40-$B$16)/$B$15</f>
        <v>-0.48262267025815847</v>
      </c>
      <c r="H40" s="34">
        <f t="shared" ref="H40:H45" si="23">10^G40</f>
        <v>0.32913747245724023</v>
      </c>
      <c r="I40" s="48">
        <v>16</v>
      </c>
      <c r="J40" s="49">
        <f t="shared" ref="J40:J45" si="24">H40*I40</f>
        <v>5.2661995593158437</v>
      </c>
      <c r="K40" s="37">
        <f>(0.1*J40/1000)*1000</f>
        <v>0.52661995593158439</v>
      </c>
      <c r="L40" s="50">
        <f>K40*100/L22</f>
        <v>1.9851042410685453</v>
      </c>
      <c r="M40" s="51">
        <f>AVERAGE(L40:L42)</f>
        <v>1.8788224793455539</v>
      </c>
      <c r="N40" s="52">
        <f>STDEV(L40:L42)</f>
        <v>0.2568167524974892</v>
      </c>
      <c r="R40" s="11"/>
      <c r="S40" s="11"/>
    </row>
    <row r="41" spans="1:19" ht="15" x14ac:dyDescent="0.3">
      <c r="B41">
        <v>0.108</v>
      </c>
      <c r="C41">
        <v>0.13500000000000001</v>
      </c>
      <c r="D41" s="34">
        <f>AVERAGE(B41,C41)</f>
        <v>0.1215</v>
      </c>
      <c r="E41" s="34">
        <f t="shared" si="20"/>
        <v>7.85E-2</v>
      </c>
      <c r="F41" s="34">
        <f t="shared" si="21"/>
        <v>-1.1051303432547475</v>
      </c>
      <c r="G41" s="35">
        <f t="shared" si="22"/>
        <v>-0.57226573746528586</v>
      </c>
      <c r="H41" s="34">
        <f t="shared" si="23"/>
        <v>0.26775294883680961</v>
      </c>
      <c r="I41" s="48">
        <v>16</v>
      </c>
      <c r="J41" s="49">
        <f t="shared" si="24"/>
        <v>4.2840471813889538</v>
      </c>
      <c r="K41" s="37">
        <f t="shared" ref="K41:K45" si="25">(0.1*J41/1000)*1000</f>
        <v>0.42840471813889541</v>
      </c>
      <c r="L41" s="50">
        <f t="shared" ref="L41:L45" si="26">K41*100/L23</f>
        <v>1.5859255042817442</v>
      </c>
      <c r="M41" s="51"/>
      <c r="N41" s="52"/>
      <c r="R41" s="11"/>
      <c r="S41" s="11"/>
    </row>
    <row r="42" spans="1:19" s="24" customFormat="1" ht="15" x14ac:dyDescent="0.3">
      <c r="A42" s="8"/>
      <c r="B42">
        <v>0.114</v>
      </c>
      <c r="C42">
        <v>0.193</v>
      </c>
      <c r="D42" s="34">
        <f>AVERAGE(B42,C42)</f>
        <v>0.1535</v>
      </c>
      <c r="E42" s="34">
        <f t="shared" si="20"/>
        <v>0.1105</v>
      </c>
      <c r="F42" s="34">
        <f t="shared" si="21"/>
        <v>-0.95663772197887054</v>
      </c>
      <c r="G42" s="35">
        <f t="shared" si="22"/>
        <v>-0.41996489126576886</v>
      </c>
      <c r="H42" s="34">
        <f t="shared" si="23"/>
        <v>0.38022013239613706</v>
      </c>
      <c r="I42" s="48">
        <v>16</v>
      </c>
      <c r="J42" s="49">
        <f t="shared" si="24"/>
        <v>6.0835221183381929</v>
      </c>
      <c r="K42" s="37">
        <f t="shared" si="25"/>
        <v>0.60835221183381938</v>
      </c>
      <c r="L42" s="50">
        <f t="shared" si="26"/>
        <v>2.0654376926863725</v>
      </c>
      <c r="M42" s="51"/>
      <c r="N42" s="52"/>
      <c r="R42" s="11"/>
      <c r="S42" s="11"/>
    </row>
    <row r="43" spans="1:19" ht="15" x14ac:dyDescent="0.3">
      <c r="A43" s="8" t="s">
        <v>38</v>
      </c>
      <c r="B43">
        <v>0.223</v>
      </c>
      <c r="C43">
        <v>0.30399999999999999</v>
      </c>
      <c r="D43" s="34">
        <f t="shared" ref="D43:D45" si="27">AVERAGE(B43,C43)</f>
        <v>0.26350000000000001</v>
      </c>
      <c r="E43" s="34">
        <f t="shared" si="20"/>
        <v>0.22050000000000003</v>
      </c>
      <c r="F43" s="34">
        <f t="shared" si="21"/>
        <v>-0.65659140619614265</v>
      </c>
      <c r="G43" s="35">
        <f t="shared" si="22"/>
        <v>-0.11222362169885731</v>
      </c>
      <c r="H43" s="34">
        <f t="shared" si="23"/>
        <v>0.772282828101434</v>
      </c>
      <c r="I43" s="48">
        <v>16</v>
      </c>
      <c r="J43" s="49">
        <f t="shared" si="24"/>
        <v>12.356525249622944</v>
      </c>
      <c r="K43" s="37">
        <f t="shared" si="25"/>
        <v>1.2356525249622945</v>
      </c>
      <c r="L43" s="50">
        <f t="shared" si="26"/>
        <v>4.8315628738395482</v>
      </c>
      <c r="M43" s="51">
        <f>AVERAGE(L43:L45)</f>
        <v>4.7259471382808611</v>
      </c>
      <c r="N43" s="52">
        <f>STDEV(L43:L45)</f>
        <v>9.7808447009653757E-2</v>
      </c>
      <c r="R43" s="11"/>
      <c r="S43" s="11"/>
    </row>
    <row r="44" spans="1:19" ht="15" x14ac:dyDescent="0.3">
      <c r="A44" s="53"/>
      <c r="B44">
        <v>0.24</v>
      </c>
      <c r="C44">
        <v>0.32200000000000001</v>
      </c>
      <c r="D44" s="34">
        <f t="shared" si="27"/>
        <v>0.28100000000000003</v>
      </c>
      <c r="E44" s="34">
        <f t="shared" si="20"/>
        <v>0.23800000000000004</v>
      </c>
      <c r="F44" s="34">
        <f t="shared" si="21"/>
        <v>-0.62342304294348794</v>
      </c>
      <c r="G44" s="35">
        <f t="shared" si="22"/>
        <v>-7.8204626364084276E-2</v>
      </c>
      <c r="H44" s="34">
        <f t="shared" si="23"/>
        <v>0.83520940021608181</v>
      </c>
      <c r="I44" s="48">
        <v>16</v>
      </c>
      <c r="J44" s="49">
        <f t="shared" si="24"/>
        <v>13.363350403457309</v>
      </c>
      <c r="K44" s="37">
        <f t="shared" si="25"/>
        <v>1.336335040345731</v>
      </c>
      <c r="L44" s="50">
        <f t="shared" si="26"/>
        <v>4.7077872085099814</v>
      </c>
      <c r="M44" s="51"/>
      <c r="N44" s="52"/>
    </row>
    <row r="45" spans="1:19" ht="15" x14ac:dyDescent="0.3">
      <c r="A45" s="54"/>
      <c r="B45">
        <v>0.25900000000000001</v>
      </c>
      <c r="C45">
        <v>0.30499999999999999</v>
      </c>
      <c r="D45" s="34">
        <f t="shared" si="27"/>
        <v>0.28200000000000003</v>
      </c>
      <c r="E45" s="34">
        <f t="shared" si="20"/>
        <v>0.23900000000000005</v>
      </c>
      <c r="F45" s="34">
        <f t="shared" si="21"/>
        <v>-0.62160209905186226</v>
      </c>
      <c r="G45" s="35">
        <f t="shared" si="22"/>
        <v>-7.6336982751940119E-2</v>
      </c>
      <c r="H45" s="34">
        <f t="shared" si="23"/>
        <v>0.83880887574676177</v>
      </c>
      <c r="I45" s="48">
        <v>16</v>
      </c>
      <c r="J45" s="49">
        <f t="shared" si="24"/>
        <v>13.420942011948188</v>
      </c>
      <c r="K45" s="37">
        <f t="shared" si="25"/>
        <v>1.3420942011948189</v>
      </c>
      <c r="L45" s="50">
        <f t="shared" si="26"/>
        <v>4.6384913324930537</v>
      </c>
      <c r="M45" s="51"/>
      <c r="N45" s="52"/>
    </row>
    <row r="46" spans="1:19" x14ac:dyDescent="0.2">
      <c r="B46" s="3"/>
      <c r="C46" s="3"/>
      <c r="E46" s="35"/>
      <c r="F46" s="34"/>
      <c r="G46" s="51"/>
      <c r="H46" s="55"/>
      <c r="I46" s="36"/>
      <c r="J46" s="36"/>
      <c r="K46" s="36"/>
    </row>
    <row r="47" spans="1:19" x14ac:dyDescent="0.2">
      <c r="B47" s="3"/>
      <c r="C47" s="3"/>
      <c r="E47" s="35"/>
      <c r="F47" s="34"/>
      <c r="G47" s="51"/>
      <c r="H47" s="55"/>
      <c r="I47" s="36"/>
      <c r="J47" s="36"/>
      <c r="K47" s="36"/>
    </row>
    <row r="48" spans="1:19" ht="23.25" x14ac:dyDescent="0.35">
      <c r="A48" s="21" t="s">
        <v>39</v>
      </c>
      <c r="B48" s="3"/>
      <c r="C48" s="3"/>
      <c r="E48" s="35"/>
      <c r="F48" s="34"/>
      <c r="H48" s="46"/>
      <c r="I48" s="36"/>
      <c r="J48" s="36"/>
      <c r="K48" s="36"/>
      <c r="M48" s="47" t="s">
        <v>32</v>
      </c>
    </row>
    <row r="49" spans="1:25" x14ac:dyDescent="0.2">
      <c r="A49" s="26" t="s">
        <v>18</v>
      </c>
      <c r="B49" s="75"/>
      <c r="C49" s="75"/>
      <c r="D49" s="16" t="s">
        <v>20</v>
      </c>
      <c r="E49" s="27" t="s">
        <v>21</v>
      </c>
      <c r="F49" s="28" t="s">
        <v>13</v>
      </c>
      <c r="G49" s="28" t="s">
        <v>22</v>
      </c>
      <c r="H49" s="28" t="s">
        <v>23</v>
      </c>
      <c r="I49" s="27" t="s">
        <v>24</v>
      </c>
      <c r="J49" s="42" t="s">
        <v>25</v>
      </c>
      <c r="K49" s="42" t="s">
        <v>33</v>
      </c>
      <c r="L49" s="28" t="s">
        <v>34</v>
      </c>
      <c r="M49" s="24" t="s">
        <v>35</v>
      </c>
      <c r="N49" s="42" t="s">
        <v>36</v>
      </c>
      <c r="O49" s="10" t="s">
        <v>40</v>
      </c>
      <c r="P49" s="24" t="s">
        <v>35</v>
      </c>
      <c r="Q49" s="42" t="s">
        <v>36</v>
      </c>
    </row>
    <row r="50" spans="1:25" ht="15" x14ac:dyDescent="0.3">
      <c r="A50" s="8" t="s">
        <v>29</v>
      </c>
      <c r="B50">
        <v>0.14399999999999999</v>
      </c>
      <c r="C50">
        <v>0.14799999999999999</v>
      </c>
      <c r="D50" s="34">
        <f t="shared" ref="D50:D52" si="28">AVERAGE(B50,C50)</f>
        <v>0.14599999999999999</v>
      </c>
      <c r="E50" s="34">
        <f t="shared" ref="E50:E55" si="29">D50-E$8</f>
        <v>0.10299999999999999</v>
      </c>
      <c r="F50" s="34">
        <f t="shared" ref="F50:F55" si="30">LOG(E50)</f>
        <v>-0.98716277529482777</v>
      </c>
      <c r="G50" s="35">
        <f t="shared" ref="G50:G55" si="31">(F50-$B$16)/$B$15</f>
        <v>-0.45127278663700443</v>
      </c>
      <c r="H50" s="34">
        <f t="shared" ref="H50:H55" si="32">10^G50</f>
        <v>0.35377506005665549</v>
      </c>
      <c r="I50" s="48">
        <v>16</v>
      </c>
      <c r="J50" s="49">
        <f t="shared" ref="J50:J55" si="33">H50*I50</f>
        <v>5.6604009609064878</v>
      </c>
      <c r="K50" s="37">
        <f>(0.1*J50/1000)*1000</f>
        <v>0.56604009609064876</v>
      </c>
      <c r="L50" s="50">
        <f t="shared" ref="L50:L55" si="34">K50*100/L31</f>
        <v>2.1769132285146724</v>
      </c>
      <c r="M50" s="51">
        <f>AVERAGE(L50:L52)</f>
        <v>2.6181484697282502</v>
      </c>
      <c r="N50" s="52">
        <f>STDEV(L50:L52)</f>
        <v>0.40079746252870802</v>
      </c>
      <c r="O50" s="10">
        <f>L50/L40</f>
        <v>1.0966241386612925</v>
      </c>
      <c r="P50" s="51">
        <f>AVERAGE(O50:O52)</f>
        <v>1.4262379725795986</v>
      </c>
      <c r="Q50" s="52">
        <f>STDEV(O50:O52)</f>
        <v>0.39649232879038077</v>
      </c>
      <c r="S50" s="11"/>
      <c r="T50" s="11"/>
    </row>
    <row r="51" spans="1:25" ht="15" x14ac:dyDescent="0.3">
      <c r="B51">
        <v>0.189</v>
      </c>
      <c r="C51">
        <v>0.18099999999999999</v>
      </c>
      <c r="D51" s="34">
        <f t="shared" si="28"/>
        <v>0.185</v>
      </c>
      <c r="E51" s="34">
        <f t="shared" si="29"/>
        <v>0.14200000000000002</v>
      </c>
      <c r="F51" s="34">
        <f t="shared" si="30"/>
        <v>-0.8477116556169435</v>
      </c>
      <c r="G51" s="35">
        <f t="shared" si="31"/>
        <v>-0.30824531936000138</v>
      </c>
      <c r="H51" s="34">
        <f t="shared" si="32"/>
        <v>0.49176167643229657</v>
      </c>
      <c r="I51" s="48">
        <v>16</v>
      </c>
      <c r="J51" s="49">
        <f t="shared" si="33"/>
        <v>7.8681868229167451</v>
      </c>
      <c r="K51" s="37">
        <f t="shared" ref="K51:K55" si="35">(0.1*J51/1000)*1000</f>
        <v>0.78681868229167451</v>
      </c>
      <c r="L51" s="50">
        <f t="shared" si="34"/>
        <v>2.9596883893656489</v>
      </c>
      <c r="M51" s="51"/>
      <c r="N51" s="52"/>
      <c r="O51" s="10">
        <f t="shared" ref="O51:O55" si="36">L51/L41</f>
        <v>1.8662215730656739</v>
      </c>
      <c r="P51" s="51"/>
      <c r="Q51" s="52"/>
      <c r="S51" s="11"/>
      <c r="T51" s="11"/>
    </row>
    <row r="52" spans="1:25" ht="15" x14ac:dyDescent="0.3">
      <c r="B52">
        <v>0.185</v>
      </c>
      <c r="C52">
        <v>0.184</v>
      </c>
      <c r="D52" s="34">
        <f t="shared" si="28"/>
        <v>0.1845</v>
      </c>
      <c r="E52" s="34">
        <f t="shared" si="29"/>
        <v>0.14150000000000001</v>
      </c>
      <c r="F52" s="34">
        <f t="shared" si="30"/>
        <v>-0.84924356013969093</v>
      </c>
      <c r="G52" s="35">
        <f t="shared" si="31"/>
        <v>-0.30981651093239504</v>
      </c>
      <c r="H52" s="34">
        <f t="shared" si="32"/>
        <v>0.48998579424406735</v>
      </c>
      <c r="I52" s="48">
        <v>16</v>
      </c>
      <c r="J52" s="49">
        <f t="shared" si="33"/>
        <v>7.8397727079050776</v>
      </c>
      <c r="K52" s="37">
        <f t="shared" si="35"/>
        <v>0.78397727079050783</v>
      </c>
      <c r="L52" s="50">
        <f t="shared" si="34"/>
        <v>2.7178437913044293</v>
      </c>
      <c r="M52" s="51"/>
      <c r="N52" s="52"/>
      <c r="O52" s="10">
        <f t="shared" si="36"/>
        <v>1.3158682060118294</v>
      </c>
      <c r="P52" s="51"/>
      <c r="Q52" s="52"/>
      <c r="S52" s="11"/>
      <c r="T52" s="11"/>
    </row>
    <row r="53" spans="1:25" ht="15" x14ac:dyDescent="0.3">
      <c r="A53" s="8" t="s">
        <v>30</v>
      </c>
      <c r="B53">
        <v>0.46400000000000002</v>
      </c>
      <c r="C53">
        <v>0.45700000000000002</v>
      </c>
      <c r="D53" s="34">
        <f>AVERAGE(B53:C53)</f>
        <v>0.46050000000000002</v>
      </c>
      <c r="E53" s="34">
        <f t="shared" si="29"/>
        <v>0.41750000000000004</v>
      </c>
      <c r="F53" s="34">
        <f t="shared" si="30"/>
        <v>-0.37934352018037909</v>
      </c>
      <c r="G53" s="35">
        <f t="shared" si="31"/>
        <v>0.17213453215701793</v>
      </c>
      <c r="H53" s="34">
        <f t="shared" si="32"/>
        <v>1.4863960144568358</v>
      </c>
      <c r="I53" s="48">
        <v>16</v>
      </c>
      <c r="J53" s="49">
        <f t="shared" si="33"/>
        <v>23.782336231309372</v>
      </c>
      <c r="K53" s="37">
        <f t="shared" si="35"/>
        <v>2.3782336231309373</v>
      </c>
      <c r="L53" s="50">
        <f t="shared" si="34"/>
        <v>9.7713113561416804</v>
      </c>
      <c r="M53" s="51">
        <f>AVERAGE(L53:L55)</f>
        <v>10.950056061295735</v>
      </c>
      <c r="N53" s="52">
        <f>STDEV(L53:L55)</f>
        <v>1.5044845993607658</v>
      </c>
      <c r="O53" s="10">
        <f t="shared" si="36"/>
        <v>2.0223914313623763</v>
      </c>
      <c r="P53" s="51">
        <f>AVERAGE(O53:O55)</f>
        <v>2.3192584673566485</v>
      </c>
      <c r="Q53" s="52">
        <f>STDEV(O53:O55)</f>
        <v>0.33720561745429228</v>
      </c>
      <c r="S53" s="11"/>
      <c r="T53" s="11"/>
    </row>
    <row r="54" spans="1:25" ht="15" x14ac:dyDescent="0.3">
      <c r="A54" s="53"/>
      <c r="B54">
        <v>0.64600000000000002</v>
      </c>
      <c r="C54">
        <v>0.63</v>
      </c>
      <c r="D54" s="34">
        <f>AVERAGE(B54:C54)</f>
        <v>0.63800000000000001</v>
      </c>
      <c r="E54" s="34">
        <f t="shared" si="29"/>
        <v>0.59499999999999997</v>
      </c>
      <c r="F54" s="34">
        <f t="shared" si="30"/>
        <v>-0.22548303427145044</v>
      </c>
      <c r="G54" s="35">
        <f t="shared" si="31"/>
        <v>0.3299409066371583</v>
      </c>
      <c r="H54" s="34">
        <f t="shared" si="32"/>
        <v>2.1376712021439768</v>
      </c>
      <c r="I54" s="48">
        <v>16</v>
      </c>
      <c r="J54" s="49">
        <f t="shared" si="33"/>
        <v>34.202739234303628</v>
      </c>
      <c r="K54" s="37">
        <f t="shared" si="35"/>
        <v>3.4202739234303632</v>
      </c>
      <c r="L54" s="50">
        <f t="shared" si="34"/>
        <v>12.644595640932614</v>
      </c>
      <c r="M54" s="51"/>
      <c r="N54" s="52"/>
      <c r="O54" s="10">
        <f t="shared" si="36"/>
        <v>2.6858893745400696</v>
      </c>
      <c r="P54" s="51"/>
      <c r="Q54" s="52"/>
      <c r="S54" s="11"/>
      <c r="T54" s="11"/>
    </row>
    <row r="55" spans="1:25" ht="15" x14ac:dyDescent="0.3">
      <c r="A55" s="54"/>
      <c r="B55">
        <v>0.58899999999999997</v>
      </c>
      <c r="C55">
        <v>0.503</v>
      </c>
      <c r="D55" s="34">
        <f>AVERAGE(B55:C55)</f>
        <v>0.54600000000000004</v>
      </c>
      <c r="E55" s="34">
        <f t="shared" si="29"/>
        <v>0.503</v>
      </c>
      <c r="F55" s="34">
        <f t="shared" si="30"/>
        <v>-0.29843201494407262</v>
      </c>
      <c r="G55" s="35">
        <f t="shared" si="31"/>
        <v>0.25512108467986722</v>
      </c>
      <c r="H55" s="34">
        <f t="shared" si="32"/>
        <v>1.7993725242560907</v>
      </c>
      <c r="I55" s="48">
        <v>16</v>
      </c>
      <c r="J55" s="49">
        <f t="shared" si="33"/>
        <v>28.789960388097452</v>
      </c>
      <c r="K55" s="37">
        <f t="shared" si="35"/>
        <v>2.8789960388097455</v>
      </c>
      <c r="L55" s="50">
        <f t="shared" si="34"/>
        <v>10.434261186812911</v>
      </c>
      <c r="M55" s="51"/>
      <c r="N55" s="52"/>
      <c r="O55" s="10">
        <f t="shared" si="36"/>
        <v>2.2494945961675001</v>
      </c>
      <c r="P55" s="51"/>
      <c r="Q55" s="52"/>
      <c r="S55" s="11"/>
      <c r="T55" s="11"/>
      <c r="Y55" s="8"/>
    </row>
    <row r="56" spans="1:25" x14ac:dyDescent="0.2">
      <c r="D56" s="34"/>
      <c r="E56" s="35"/>
      <c r="F56" s="34"/>
      <c r="G56" s="51"/>
      <c r="H56" s="55"/>
    </row>
    <row r="57" spans="1:25" x14ac:dyDescent="0.2">
      <c r="B57" s="51"/>
      <c r="C57" s="51"/>
      <c r="D57" s="34"/>
      <c r="E57" s="35"/>
      <c r="F57" s="34"/>
      <c r="G57" s="51"/>
      <c r="H57" s="55"/>
      <c r="M57" s="10" t="s">
        <v>41</v>
      </c>
      <c r="N57" s="10" t="s">
        <v>42</v>
      </c>
      <c r="O57" s="42" t="s">
        <v>36</v>
      </c>
    </row>
    <row r="58" spans="1:25" ht="15" x14ac:dyDescent="0.3">
      <c r="C58" s="11"/>
      <c r="D58" s="11"/>
      <c r="E58" s="11"/>
      <c r="F58" s="11"/>
      <c r="G58" s="11"/>
      <c r="H58" s="55"/>
      <c r="M58" s="10" t="s">
        <v>29</v>
      </c>
      <c r="N58" s="51">
        <f>P50</f>
        <v>1.4262379725795986</v>
      </c>
      <c r="O58" s="51">
        <f>Q50</f>
        <v>0.39649232879038077</v>
      </c>
    </row>
    <row r="59" spans="1:25" ht="15" x14ac:dyDescent="0.3">
      <c r="D59" s="11"/>
      <c r="E59" s="11"/>
      <c r="G59" s="11"/>
      <c r="M59" s="10" t="s">
        <v>30</v>
      </c>
      <c r="N59" s="51">
        <f>P53</f>
        <v>2.3192584673566485</v>
      </c>
      <c r="O59" s="51">
        <f>Q53</f>
        <v>0.33720561745429228</v>
      </c>
    </row>
    <row r="60" spans="1:25" x14ac:dyDescent="0.2">
      <c r="G60" s="51"/>
      <c r="H60" s="55"/>
    </row>
    <row r="61" spans="1:25" ht="15" x14ac:dyDescent="0.3">
      <c r="A61" s="56"/>
      <c r="D61" s="11"/>
      <c r="E61" s="11"/>
      <c r="F61" s="11"/>
      <c r="G61" s="51"/>
      <c r="H61" s="55"/>
    </row>
    <row r="62" spans="1:25" ht="15" x14ac:dyDescent="0.3">
      <c r="C62" s="34"/>
      <c r="D62" s="11"/>
      <c r="E62" s="11"/>
      <c r="F62" s="11"/>
      <c r="G62" s="51"/>
      <c r="H62" s="55"/>
    </row>
    <row r="63" spans="1:25" ht="15" x14ac:dyDescent="0.3">
      <c r="C63" s="34"/>
      <c r="D63" s="11"/>
      <c r="E63" s="11"/>
      <c r="F63" s="11"/>
      <c r="G63" s="51"/>
      <c r="H63" s="55"/>
    </row>
    <row r="64" spans="1:25" ht="13.5" thickBot="1" x14ac:dyDescent="0.25">
      <c r="B64" s="57" t="s">
        <v>20</v>
      </c>
      <c r="C64" s="58" t="s">
        <v>43</v>
      </c>
      <c r="D64" s="34"/>
      <c r="E64" s="35"/>
      <c r="F64" s="34"/>
      <c r="G64" s="51"/>
      <c r="H64" s="55"/>
    </row>
    <row r="65" spans="1:8" x14ac:dyDescent="0.2">
      <c r="A65" s="8" t="s">
        <v>37</v>
      </c>
      <c r="B65" s="51">
        <f>M40</f>
        <v>1.8788224793455539</v>
      </c>
      <c r="C65" s="51">
        <f>N40</f>
        <v>0.2568167524974892</v>
      </c>
      <c r="D65" s="34"/>
      <c r="E65" s="35"/>
      <c r="F65" s="34"/>
      <c r="G65" s="51"/>
      <c r="H65" s="55"/>
    </row>
    <row r="66" spans="1:8" x14ac:dyDescent="0.2">
      <c r="A66" s="8" t="s">
        <v>29</v>
      </c>
      <c r="B66" s="51">
        <f>M50</f>
        <v>2.6181484697282502</v>
      </c>
      <c r="C66" s="51">
        <f>N50</f>
        <v>0.40079746252870802</v>
      </c>
      <c r="D66" s="34"/>
      <c r="E66" s="35"/>
      <c r="F66" s="34"/>
      <c r="G66" s="51"/>
      <c r="H66" s="55"/>
    </row>
    <row r="67" spans="1:8" x14ac:dyDescent="0.2">
      <c r="A67" s="8" t="s">
        <v>38</v>
      </c>
      <c r="B67" s="51">
        <f>M43</f>
        <v>4.7259471382808611</v>
      </c>
      <c r="C67" s="51">
        <f>N43</f>
        <v>9.7808447009653757E-2</v>
      </c>
      <c r="D67" s="34"/>
      <c r="E67" s="35"/>
      <c r="F67" s="34"/>
      <c r="G67" s="51"/>
      <c r="H67" s="55"/>
    </row>
    <row r="68" spans="1:8" x14ac:dyDescent="0.2">
      <c r="A68" s="59" t="s">
        <v>30</v>
      </c>
      <c r="B68" s="51">
        <f>M53</f>
        <v>10.950056061295735</v>
      </c>
      <c r="C68" s="51">
        <f>N53</f>
        <v>1.5044845993607658</v>
      </c>
      <c r="D68" s="34"/>
      <c r="E68" s="35"/>
      <c r="F68" s="34"/>
      <c r="G68" s="51"/>
      <c r="H68" s="55"/>
    </row>
    <row r="69" spans="1:8" x14ac:dyDescent="0.2">
      <c r="A69" s="60"/>
      <c r="C69" s="34"/>
      <c r="D69" s="34"/>
      <c r="E69" s="35"/>
      <c r="F69" s="34"/>
      <c r="G69" s="51"/>
      <c r="H69" s="55"/>
    </row>
    <row r="70" spans="1:8" x14ac:dyDescent="0.2">
      <c r="A70" s="60"/>
      <c r="C70" s="34"/>
      <c r="D70" s="34"/>
      <c r="E70" s="35"/>
      <c r="F70" s="34"/>
      <c r="G70" s="51"/>
      <c r="H70" s="55"/>
    </row>
    <row r="71" spans="1:8" x14ac:dyDescent="0.2">
      <c r="A71" s="60"/>
      <c r="B71" s="36"/>
      <c r="C71" s="34"/>
      <c r="D71" s="34"/>
      <c r="E71" s="35"/>
      <c r="F71" s="34"/>
      <c r="G71" s="51"/>
      <c r="H71" s="55"/>
    </row>
    <row r="72" spans="1:8" x14ac:dyDescent="0.2">
      <c r="A72" s="60"/>
      <c r="B72" s="36"/>
      <c r="C72" s="34"/>
      <c r="D72" s="34"/>
      <c r="E72" s="35"/>
      <c r="F72" s="34"/>
      <c r="G72" s="51"/>
      <c r="H72" s="55"/>
    </row>
    <row r="73" spans="1:8" x14ac:dyDescent="0.2">
      <c r="C73" s="34"/>
      <c r="D73" s="34"/>
      <c r="E73" s="35"/>
      <c r="F73" s="34"/>
      <c r="G73" s="51"/>
      <c r="H73" s="55"/>
    </row>
    <row r="74" spans="1:8" x14ac:dyDescent="0.2">
      <c r="C74" s="34"/>
      <c r="D74" s="35"/>
      <c r="H74" s="55"/>
    </row>
    <row r="75" spans="1:8" x14ac:dyDescent="0.2">
      <c r="A75" s="61"/>
      <c r="C75" s="34"/>
      <c r="D75" s="35"/>
      <c r="H75" s="46"/>
    </row>
    <row r="76" spans="1:8" x14ac:dyDescent="0.2">
      <c r="A76" s="61"/>
      <c r="C76" s="34"/>
      <c r="D76" s="35"/>
      <c r="H76" s="46"/>
    </row>
    <row r="77" spans="1:8" x14ac:dyDescent="0.2">
      <c r="A77" s="62"/>
      <c r="B77" s="46"/>
      <c r="C77" s="63"/>
      <c r="D77" s="64"/>
      <c r="E77" s="46"/>
      <c r="F77" s="46"/>
      <c r="G77" s="46"/>
    </row>
    <row r="78" spans="1:8" x14ac:dyDescent="0.2">
      <c r="A78" s="65"/>
      <c r="B78" s="66"/>
      <c r="C78" s="67"/>
      <c r="D78" s="46"/>
      <c r="E78" s="46"/>
      <c r="F78" s="46"/>
      <c r="G78" s="46"/>
    </row>
    <row r="79" spans="1:8" x14ac:dyDescent="0.2">
      <c r="A79" s="65"/>
      <c r="B79" s="68"/>
      <c r="C79" s="63"/>
      <c r="D79" s="46"/>
      <c r="E79" s="46"/>
      <c r="F79" s="46"/>
      <c r="G79" s="46"/>
    </row>
    <row r="80" spans="1:8" x14ac:dyDescent="0.2">
      <c r="A80" s="65"/>
      <c r="B80" s="68"/>
      <c r="C80" s="63"/>
      <c r="D80" s="46"/>
      <c r="E80" s="46"/>
      <c r="F80" s="46"/>
      <c r="G80" s="46"/>
    </row>
    <row r="81" spans="1:7" x14ac:dyDescent="0.2">
      <c r="A81" s="65"/>
      <c r="B81" s="68"/>
      <c r="C81" s="63"/>
      <c r="D81" s="46"/>
      <c r="E81" s="46"/>
      <c r="F81" s="46"/>
      <c r="G81" s="46"/>
    </row>
    <row r="82" spans="1:7" x14ac:dyDescent="0.2">
      <c r="A82" s="65"/>
      <c r="B82" s="68"/>
      <c r="C82" s="63"/>
      <c r="D82" s="46"/>
      <c r="E82" s="46"/>
      <c r="F82" s="46"/>
      <c r="G82" s="46"/>
    </row>
    <row r="83" spans="1:7" x14ac:dyDescent="0.2">
      <c r="A83" s="65"/>
      <c r="B83" s="46"/>
      <c r="C83" s="46"/>
      <c r="D83" s="69"/>
      <c r="E83" s="66"/>
      <c r="F83" s="66"/>
      <c r="G83" s="46"/>
    </row>
    <row r="84" spans="1:7" x14ac:dyDescent="0.2">
      <c r="A84" s="65"/>
      <c r="B84" s="68"/>
      <c r="C84" s="63"/>
      <c r="D84" s="55"/>
      <c r="E84" s="55"/>
      <c r="F84" s="55"/>
      <c r="G84" s="46"/>
    </row>
    <row r="85" spans="1:7" x14ac:dyDescent="0.2">
      <c r="A85" s="65"/>
      <c r="B85" s="68"/>
      <c r="C85" s="63"/>
      <c r="D85" s="55"/>
      <c r="E85" s="55"/>
      <c r="F85" s="55"/>
      <c r="G85" s="46"/>
    </row>
    <row r="86" spans="1:7" x14ac:dyDescent="0.2">
      <c r="A86" s="65"/>
      <c r="B86" s="68"/>
      <c r="C86" s="63"/>
      <c r="D86" s="55"/>
      <c r="E86" s="55"/>
      <c r="F86" s="55"/>
      <c r="G86" s="46"/>
    </row>
    <row r="87" spans="1:7" x14ac:dyDescent="0.2">
      <c r="A87" s="65"/>
      <c r="B87" s="68"/>
      <c r="C87" s="63"/>
      <c r="D87" s="55"/>
      <c r="E87" s="55"/>
      <c r="F87" s="55"/>
      <c r="G87" s="46"/>
    </row>
    <row r="88" spans="1:7" x14ac:dyDescent="0.2">
      <c r="A88" s="65"/>
      <c r="B88" s="46"/>
      <c r="C88" s="55"/>
      <c r="D88" s="55"/>
      <c r="E88" s="55"/>
      <c r="F88" s="55"/>
      <c r="G88" s="46"/>
    </row>
    <row r="89" spans="1:7" x14ac:dyDescent="0.2">
      <c r="A89" s="65"/>
      <c r="B89" s="46"/>
      <c r="C89" s="55"/>
      <c r="D89" s="55"/>
      <c r="E89" s="55"/>
      <c r="F89" s="55"/>
      <c r="G89" s="46"/>
    </row>
    <row r="90" spans="1:7" x14ac:dyDescent="0.2">
      <c r="C90" s="55"/>
      <c r="D90" s="55"/>
      <c r="E90" s="70"/>
      <c r="F90" s="70"/>
    </row>
    <row r="91" spans="1:7" x14ac:dyDescent="0.2">
      <c r="C91" s="55"/>
      <c r="D91" s="55"/>
      <c r="E91" s="70"/>
      <c r="F91" s="70"/>
    </row>
    <row r="92" spans="1:7" x14ac:dyDescent="0.2">
      <c r="C92" s="55"/>
      <c r="D92" s="55"/>
      <c r="E92" s="70"/>
      <c r="F92" s="70"/>
    </row>
    <row r="93" spans="1:7" x14ac:dyDescent="0.2">
      <c r="C93" s="55"/>
      <c r="D93" s="55"/>
      <c r="E93" s="70"/>
      <c r="F93" s="70"/>
    </row>
    <row r="94" spans="1:7" x14ac:dyDescent="0.2">
      <c r="C94" s="55"/>
      <c r="E94" s="70"/>
      <c r="F94" s="70"/>
    </row>
    <row r="95" spans="1:7" x14ac:dyDescent="0.2">
      <c r="C95" s="55"/>
      <c r="E95" s="70"/>
      <c r="F95" s="70"/>
    </row>
    <row r="96" spans="1:7" x14ac:dyDescent="0.2">
      <c r="C96" s="55"/>
      <c r="D96" s="55"/>
      <c r="E96" s="70"/>
      <c r="F96" s="70"/>
    </row>
    <row r="97" spans="2:6" x14ac:dyDescent="0.2">
      <c r="C97" s="55"/>
      <c r="D97" s="55"/>
      <c r="E97" s="70"/>
      <c r="F97" s="70"/>
    </row>
    <row r="98" spans="2:6" x14ac:dyDescent="0.2">
      <c r="C98" s="55"/>
      <c r="D98" s="55"/>
      <c r="E98" s="70"/>
      <c r="F98" s="70"/>
    </row>
    <row r="99" spans="2:6" x14ac:dyDescent="0.2">
      <c r="C99" s="55"/>
      <c r="D99" s="55"/>
      <c r="E99" s="70"/>
      <c r="F99" s="70"/>
    </row>
    <row r="100" spans="2:6" x14ac:dyDescent="0.2">
      <c r="C100" s="55"/>
      <c r="D100" s="55"/>
      <c r="E100" s="70"/>
      <c r="F100" s="70"/>
    </row>
    <row r="101" spans="2:6" x14ac:dyDescent="0.2">
      <c r="C101" s="55"/>
      <c r="D101" s="55"/>
      <c r="E101" s="70"/>
      <c r="F101" s="70"/>
    </row>
    <row r="102" spans="2:6" x14ac:dyDescent="0.2">
      <c r="C102" s="55"/>
      <c r="D102" s="55"/>
      <c r="E102" s="70"/>
      <c r="F102" s="70"/>
    </row>
    <row r="103" spans="2:6" x14ac:dyDescent="0.2">
      <c r="C103" s="55"/>
      <c r="D103" s="55"/>
      <c r="E103" s="70"/>
      <c r="F103" s="70"/>
    </row>
    <row r="104" spans="2:6" x14ac:dyDescent="0.2">
      <c r="C104" s="55"/>
      <c r="D104" s="55"/>
      <c r="E104" s="70"/>
      <c r="F104" s="70"/>
    </row>
    <row r="105" spans="2:6" x14ac:dyDescent="0.2">
      <c r="C105" s="55"/>
      <c r="D105" s="55"/>
      <c r="E105" s="70"/>
      <c r="F105" s="70"/>
    </row>
    <row r="106" spans="2:6" x14ac:dyDescent="0.2">
      <c r="C106" s="55"/>
    </row>
    <row r="107" spans="2:6" x14ac:dyDescent="0.2">
      <c r="C107" s="55"/>
    </row>
    <row r="108" spans="2:6" ht="13.5" thickBot="1" x14ac:dyDescent="0.25">
      <c r="B108" s="71"/>
      <c r="C108" s="71"/>
      <c r="D108" s="71"/>
      <c r="E108" s="71"/>
    </row>
    <row r="109" spans="2:6" x14ac:dyDescent="0.2">
      <c r="B109" s="70"/>
      <c r="C109" s="70"/>
      <c r="D109" s="70"/>
      <c r="E109" s="70"/>
    </row>
    <row r="110" spans="2:6" x14ac:dyDescent="0.2">
      <c r="B110" s="70"/>
      <c r="C110" s="70"/>
      <c r="D110" s="70"/>
      <c r="E110" s="70"/>
    </row>
    <row r="111" spans="2:6" x14ac:dyDescent="0.2">
      <c r="B111" s="70"/>
      <c r="C111" s="70"/>
      <c r="D111" s="70"/>
      <c r="E111" s="70"/>
    </row>
    <row r="112" spans="2:6" x14ac:dyDescent="0.2">
      <c r="B112" s="70"/>
      <c r="C112" s="70"/>
      <c r="D112" s="70"/>
      <c r="E112" s="70"/>
    </row>
    <row r="113" spans="2:5" x14ac:dyDescent="0.2">
      <c r="B113" s="70"/>
      <c r="C113" s="70"/>
      <c r="D113" s="70"/>
      <c r="E113" s="70"/>
    </row>
    <row r="114" spans="2:5" x14ac:dyDescent="0.2">
      <c r="B114" s="70"/>
      <c r="C114" s="70"/>
      <c r="D114" s="70"/>
      <c r="E114" s="70"/>
    </row>
    <row r="115" spans="2:5" x14ac:dyDescent="0.2">
      <c r="B115" s="70"/>
      <c r="C115" s="70"/>
      <c r="D115" s="70"/>
      <c r="E115" s="70"/>
    </row>
    <row r="116" spans="2:5" x14ac:dyDescent="0.2">
      <c r="B116" s="70"/>
      <c r="C116" s="70"/>
      <c r="D116" s="70"/>
      <c r="E116" s="70"/>
    </row>
    <row r="117" spans="2:5" x14ac:dyDescent="0.2">
      <c r="B117" s="70"/>
      <c r="C117" s="70"/>
      <c r="D117" s="70"/>
      <c r="E117" s="70"/>
    </row>
    <row r="118" spans="2:5" x14ac:dyDescent="0.2">
      <c r="B118" s="70"/>
      <c r="C118" s="70"/>
      <c r="D118" s="70"/>
      <c r="E118" s="70"/>
    </row>
  </sheetData>
  <pageMargins left="0.7" right="0.7" top="0.75" bottom="0.75" header="0.3" footer="0.3"/>
  <pageSetup paperSize="9" scale="3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siNTP</vt:lpstr>
      <vt:lpstr>siHNF4A</vt:lpstr>
      <vt:lpstr>siANK1</vt:lpstr>
      <vt:lpstr>siANK1!Zone_d_impression</vt:lpstr>
      <vt:lpstr>siHNF4A!Zone_d_impression</vt:lpstr>
      <vt:lpstr>siNTP!Zone_d_impression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Marlene MH. Huyvaert</dc:creator>
  <cp:lastModifiedBy>Marlene MH. Huyvaert</cp:lastModifiedBy>
  <dcterms:created xsi:type="dcterms:W3CDTF">2016-03-17T14:56:32Z</dcterms:created>
  <dcterms:modified xsi:type="dcterms:W3CDTF">2016-05-26T12:23:20Z</dcterms:modified>
</cp:coreProperties>
</file>