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fils\marlene\Documents\DROP-GOOD\PROJET SIRNA\siRNA_ serie 2\2_siFAF1_ZFAN3_ZFAN6_29022016\"/>
    </mc:Choice>
  </mc:AlternateContent>
  <bookViews>
    <workbookView xWindow="0" yWindow="0" windowWidth="28800" windowHeight="12435"/>
  </bookViews>
  <sheets>
    <sheet name="siNTP" sheetId="1" r:id="rId1"/>
    <sheet name="siFAF1" sheetId="2" r:id="rId2"/>
    <sheet name="siZFAND3" sheetId="3" r:id="rId3"/>
    <sheet name="siZFAND6" sheetId="4" r:id="rId4"/>
  </sheets>
  <externalReferences>
    <externalReference r:id="rId5"/>
  </externalReferences>
  <definedNames>
    <definedName name="_xlnm.Print_Area" localSheetId="1">siFAF1!$A$6:$Q$83</definedName>
    <definedName name="_xlnm.Print_Area" localSheetId="0">siNTP!$A$6:$Q$83</definedName>
    <definedName name="_xlnm.Print_Area" localSheetId="2">siZFAND3!$A$6:$Q$83</definedName>
    <definedName name="_xlnm.Print_Area" localSheetId="3">siZFAND6!$A$6:$Q$83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2" i="4"/>
  <c r="B11" i="4"/>
  <c r="B10" i="4"/>
  <c r="B9" i="4"/>
  <c r="B13" i="3"/>
  <c r="B12" i="3"/>
  <c r="B11" i="3"/>
  <c r="B10" i="3"/>
  <c r="B9" i="3"/>
  <c r="B13" i="2"/>
  <c r="B12" i="2"/>
  <c r="B11" i="2"/>
  <c r="B10" i="2"/>
  <c r="B9" i="2"/>
  <c r="D55" i="4" l="1"/>
  <c r="D54" i="4"/>
  <c r="D53" i="4"/>
  <c r="D52" i="4"/>
  <c r="D51" i="4"/>
  <c r="D50" i="4"/>
  <c r="D45" i="4"/>
  <c r="D44" i="4"/>
  <c r="D43" i="4"/>
  <c r="D42" i="4"/>
  <c r="D41" i="4"/>
  <c r="D40" i="4"/>
  <c r="D36" i="4"/>
  <c r="D35" i="4"/>
  <c r="D34" i="4"/>
  <c r="D33" i="4"/>
  <c r="D32" i="4"/>
  <c r="D31" i="4"/>
  <c r="D27" i="4"/>
  <c r="D26" i="4"/>
  <c r="D25" i="4"/>
  <c r="D24" i="4"/>
  <c r="D23" i="4"/>
  <c r="D22" i="4"/>
  <c r="G13" i="4"/>
  <c r="E13" i="4"/>
  <c r="G12" i="4"/>
  <c r="E12" i="4"/>
  <c r="E11" i="4"/>
  <c r="G11" i="4"/>
  <c r="E10" i="4"/>
  <c r="G10" i="4"/>
  <c r="G9" i="4"/>
  <c r="E9" i="4"/>
  <c r="E8" i="4"/>
  <c r="D55" i="3"/>
  <c r="D54" i="3"/>
  <c r="D53" i="3"/>
  <c r="D52" i="3"/>
  <c r="D51" i="3"/>
  <c r="D50" i="3"/>
  <c r="D45" i="3"/>
  <c r="D44" i="3"/>
  <c r="D43" i="3"/>
  <c r="D42" i="3"/>
  <c r="D41" i="3"/>
  <c r="D40" i="3"/>
  <c r="D36" i="3"/>
  <c r="D35" i="3"/>
  <c r="D34" i="3"/>
  <c r="D33" i="3"/>
  <c r="D32" i="3"/>
  <c r="D31" i="3"/>
  <c r="D27" i="3"/>
  <c r="D26" i="3"/>
  <c r="D25" i="3"/>
  <c r="D24" i="3"/>
  <c r="D23" i="3"/>
  <c r="D22" i="3"/>
  <c r="G13" i="3"/>
  <c r="E13" i="3"/>
  <c r="G12" i="3"/>
  <c r="E12" i="3"/>
  <c r="E11" i="3"/>
  <c r="G11" i="3"/>
  <c r="E10" i="3"/>
  <c r="G10" i="3"/>
  <c r="G9" i="3"/>
  <c r="E9" i="3"/>
  <c r="E8" i="3"/>
  <c r="D55" i="2"/>
  <c r="D54" i="2"/>
  <c r="D53" i="2"/>
  <c r="D52" i="2"/>
  <c r="D51" i="2"/>
  <c r="D50" i="2"/>
  <c r="D45" i="2"/>
  <c r="D44" i="2"/>
  <c r="D43" i="2"/>
  <c r="D42" i="2"/>
  <c r="D41" i="2"/>
  <c r="D40" i="2"/>
  <c r="D36" i="2"/>
  <c r="D35" i="2"/>
  <c r="D34" i="2"/>
  <c r="D33" i="2"/>
  <c r="D32" i="2"/>
  <c r="D31" i="2"/>
  <c r="D27" i="2"/>
  <c r="D26" i="2"/>
  <c r="D25" i="2"/>
  <c r="D24" i="2"/>
  <c r="D23" i="2"/>
  <c r="D22" i="2"/>
  <c r="E13" i="2"/>
  <c r="G13" i="2"/>
  <c r="G12" i="2"/>
  <c r="E12" i="2"/>
  <c r="E11" i="2"/>
  <c r="G11" i="2"/>
  <c r="E10" i="2"/>
  <c r="G10" i="2"/>
  <c r="E9" i="2"/>
  <c r="G9" i="2"/>
  <c r="E8" i="2"/>
  <c r="E42" i="2" s="1"/>
  <c r="F42" i="2" s="1"/>
  <c r="D55" i="1"/>
  <c r="D54" i="1"/>
  <c r="D53" i="1"/>
  <c r="D52" i="1"/>
  <c r="D51" i="1"/>
  <c r="D50" i="1"/>
  <c r="D45" i="1"/>
  <c r="D44" i="1"/>
  <c r="D43" i="1"/>
  <c r="D42" i="1"/>
  <c r="D41" i="1"/>
  <c r="D40" i="1"/>
  <c r="D36" i="1"/>
  <c r="D35" i="1"/>
  <c r="D34" i="1"/>
  <c r="D33" i="1"/>
  <c r="D32" i="1"/>
  <c r="D31" i="1"/>
  <c r="D27" i="1"/>
  <c r="D26" i="1"/>
  <c r="D25" i="1"/>
  <c r="D24" i="1"/>
  <c r="D23" i="1"/>
  <c r="D22" i="1"/>
  <c r="E13" i="1"/>
  <c r="B13" i="1"/>
  <c r="G13" i="1" s="1"/>
  <c r="E12" i="1"/>
  <c r="B12" i="1"/>
  <c r="G12" i="1" s="1"/>
  <c r="E11" i="1"/>
  <c r="B11" i="1"/>
  <c r="G11" i="1" s="1"/>
  <c r="E10" i="1"/>
  <c r="B10" i="1"/>
  <c r="G10" i="1" s="1"/>
  <c r="E9" i="1"/>
  <c r="B9" i="1"/>
  <c r="G9" i="1" s="1"/>
  <c r="E8" i="1"/>
  <c r="F9" i="3" l="1"/>
  <c r="H9" i="3" s="1"/>
  <c r="F9" i="4"/>
  <c r="H9" i="4" s="1"/>
  <c r="E26" i="3"/>
  <c r="F26" i="3" s="1"/>
  <c r="E40" i="3"/>
  <c r="F40" i="3" s="1"/>
  <c r="E40" i="4"/>
  <c r="F40" i="4" s="1"/>
  <c r="E24" i="4"/>
  <c r="F24" i="4" s="1"/>
  <c r="E45" i="4"/>
  <c r="F45" i="4" s="1"/>
  <c r="F10" i="3"/>
  <c r="H10" i="3" s="1"/>
  <c r="E32" i="3"/>
  <c r="F32" i="3" s="1"/>
  <c r="E43" i="3"/>
  <c r="F43" i="3" s="1"/>
  <c r="E51" i="3"/>
  <c r="F51" i="3" s="1"/>
  <c r="E42" i="3"/>
  <c r="F42" i="3" s="1"/>
  <c r="E54" i="3"/>
  <c r="F54" i="3" s="1"/>
  <c r="F13" i="2"/>
  <c r="H13" i="2" s="1"/>
  <c r="F12" i="2"/>
  <c r="H12" i="2" s="1"/>
  <c r="E54" i="1"/>
  <c r="F54" i="1" s="1"/>
  <c r="E52" i="3"/>
  <c r="F52" i="3" s="1"/>
  <c r="F10" i="2"/>
  <c r="H10" i="2" s="1"/>
  <c r="E24" i="2"/>
  <c r="F24" i="2" s="1"/>
  <c r="E31" i="2"/>
  <c r="F31" i="2" s="1"/>
  <c r="E53" i="2"/>
  <c r="F53" i="2" s="1"/>
  <c r="E25" i="2"/>
  <c r="F25" i="2" s="1"/>
  <c r="E36" i="2"/>
  <c r="F36" i="2" s="1"/>
  <c r="F9" i="2"/>
  <c r="H9" i="2" s="1"/>
  <c r="F11" i="2"/>
  <c r="H11" i="2" s="1"/>
  <c r="E27" i="2"/>
  <c r="F27" i="2" s="1"/>
  <c r="E34" i="2"/>
  <c r="F34" i="2" s="1"/>
  <c r="E52" i="2"/>
  <c r="F52" i="2" s="1"/>
  <c r="F13" i="4"/>
  <c r="H13" i="4" s="1"/>
  <c r="E34" i="4"/>
  <c r="F34" i="4" s="1"/>
  <c r="E52" i="4"/>
  <c r="F52" i="4" s="1"/>
  <c r="E42" i="4"/>
  <c r="F42" i="4" s="1"/>
  <c r="F13" i="3"/>
  <c r="H13" i="3" s="1"/>
  <c r="E24" i="3"/>
  <c r="F24" i="3" s="1"/>
  <c r="E35" i="3"/>
  <c r="F35" i="3" s="1"/>
  <c r="E45" i="3"/>
  <c r="F45" i="3" s="1"/>
  <c r="E23" i="3"/>
  <c r="F23" i="3" s="1"/>
  <c r="E41" i="3"/>
  <c r="F41" i="3" s="1"/>
  <c r="F10" i="1"/>
  <c r="H10" i="1" s="1"/>
  <c r="F11" i="4"/>
  <c r="H11" i="4" s="1"/>
  <c r="E22" i="4"/>
  <c r="F22" i="4" s="1"/>
  <c r="E25" i="4"/>
  <c r="F25" i="4" s="1"/>
  <c r="E31" i="4"/>
  <c r="F31" i="4" s="1"/>
  <c r="E50" i="4"/>
  <c r="F50" i="4" s="1"/>
  <c r="E53" i="4"/>
  <c r="F53" i="4" s="1"/>
  <c r="E23" i="4"/>
  <c r="F23" i="4" s="1"/>
  <c r="E26" i="4"/>
  <c r="F26" i="4" s="1"/>
  <c r="E32" i="4"/>
  <c r="F32" i="4" s="1"/>
  <c r="E35" i="4"/>
  <c r="F35" i="4" s="1"/>
  <c r="E41" i="4"/>
  <c r="F41" i="4" s="1"/>
  <c r="E43" i="4"/>
  <c r="F43" i="4" s="1"/>
  <c r="E51" i="4"/>
  <c r="F51" i="4" s="1"/>
  <c r="E54" i="4"/>
  <c r="F54" i="4" s="1"/>
  <c r="F10" i="4"/>
  <c r="H10" i="4" s="1"/>
  <c r="F12" i="4"/>
  <c r="H12" i="4" s="1"/>
  <c r="E27" i="4"/>
  <c r="F27" i="4" s="1"/>
  <c r="E33" i="4"/>
  <c r="F33" i="4" s="1"/>
  <c r="E36" i="4"/>
  <c r="F36" i="4" s="1"/>
  <c r="E44" i="4"/>
  <c r="F44" i="4" s="1"/>
  <c r="E55" i="4"/>
  <c r="F55" i="4" s="1"/>
  <c r="E54" i="2"/>
  <c r="F54" i="2" s="1"/>
  <c r="E23" i="2"/>
  <c r="F23" i="2" s="1"/>
  <c r="E32" i="2"/>
  <c r="F32" i="2" s="1"/>
  <c r="E35" i="2"/>
  <c r="F35" i="2" s="1"/>
  <c r="E41" i="2"/>
  <c r="F41" i="2" s="1"/>
  <c r="E43" i="2"/>
  <c r="F43" i="2" s="1"/>
  <c r="E51" i="2"/>
  <c r="F51" i="2" s="1"/>
  <c r="E55" i="2"/>
  <c r="F55" i="2" s="1"/>
  <c r="F12" i="1"/>
  <c r="H12" i="1" s="1"/>
  <c r="E32" i="1"/>
  <c r="F32" i="1" s="1"/>
  <c r="E55" i="1"/>
  <c r="F55" i="1" s="1"/>
  <c r="E22" i="1"/>
  <c r="F22" i="1" s="1"/>
  <c r="F11" i="1"/>
  <c r="H11" i="1" s="1"/>
  <c r="F13" i="1"/>
  <c r="H13" i="1" s="1"/>
  <c r="E31" i="1"/>
  <c r="F31" i="1" s="1"/>
  <c r="E35" i="1"/>
  <c r="F35" i="1" s="1"/>
  <c r="E36" i="1"/>
  <c r="F36" i="1" s="1"/>
  <c r="E25" i="1"/>
  <c r="F25" i="1" s="1"/>
  <c r="E51" i="1"/>
  <c r="F51" i="1" s="1"/>
  <c r="F9" i="1"/>
  <c r="H9" i="1" s="1"/>
  <c r="E23" i="1"/>
  <c r="F23" i="1" s="1"/>
  <c r="E27" i="1"/>
  <c r="F27" i="1" s="1"/>
  <c r="E34" i="1"/>
  <c r="F34" i="1" s="1"/>
  <c r="E41" i="1"/>
  <c r="F41" i="1" s="1"/>
  <c r="E34" i="3"/>
  <c r="F34" i="3" s="1"/>
  <c r="E27" i="3"/>
  <c r="F27" i="3" s="1"/>
  <c r="E33" i="3"/>
  <c r="F33" i="3" s="1"/>
  <c r="E36" i="3"/>
  <c r="F36" i="3" s="1"/>
  <c r="E44" i="3"/>
  <c r="F44" i="3" s="1"/>
  <c r="E55" i="3"/>
  <c r="F55" i="3" s="1"/>
  <c r="F11" i="3"/>
  <c r="H11" i="3" s="1"/>
  <c r="E22" i="3"/>
  <c r="F22" i="3" s="1"/>
  <c r="E25" i="3"/>
  <c r="F25" i="3" s="1"/>
  <c r="E31" i="3"/>
  <c r="F31" i="3" s="1"/>
  <c r="E50" i="3"/>
  <c r="F50" i="3" s="1"/>
  <c r="E53" i="3"/>
  <c r="F53" i="3" s="1"/>
  <c r="F12" i="3"/>
  <c r="H12" i="3" s="1"/>
  <c r="E22" i="2"/>
  <c r="F22" i="2" s="1"/>
  <c r="E26" i="2"/>
  <c r="F26" i="2" s="1"/>
  <c r="E33" i="2"/>
  <c r="F33" i="2" s="1"/>
  <c r="E40" i="2"/>
  <c r="F40" i="2" s="1"/>
  <c r="E44" i="2"/>
  <c r="F44" i="2" s="1"/>
  <c r="E45" i="2"/>
  <c r="F45" i="2" s="1"/>
  <c r="E50" i="2"/>
  <c r="F50" i="2" s="1"/>
  <c r="E24" i="1"/>
  <c r="F24" i="1" s="1"/>
  <c r="E42" i="1"/>
  <c r="F42" i="1" s="1"/>
  <c r="E43" i="1"/>
  <c r="F43" i="1" s="1"/>
  <c r="E52" i="1"/>
  <c r="F52" i="1" s="1"/>
  <c r="E53" i="1"/>
  <c r="F53" i="1" s="1"/>
  <c r="E26" i="1"/>
  <c r="F26" i="1" s="1"/>
  <c r="E33" i="1"/>
  <c r="F33" i="1" s="1"/>
  <c r="E40" i="1"/>
  <c r="F40" i="1" s="1"/>
  <c r="E44" i="1"/>
  <c r="F44" i="1" s="1"/>
  <c r="E45" i="1"/>
  <c r="F45" i="1" s="1"/>
  <c r="E50" i="1"/>
  <c r="F50" i="1" s="1"/>
  <c r="B15" i="4" l="1"/>
  <c r="B15" i="2"/>
  <c r="B16" i="1"/>
  <c r="B15" i="1"/>
  <c r="B16" i="2"/>
  <c r="B16" i="4"/>
  <c r="B16" i="3"/>
  <c r="B15" i="3"/>
  <c r="G51" i="2" l="1"/>
  <c r="H51" i="2" s="1"/>
  <c r="J51" i="2" s="1"/>
  <c r="K51" i="2" s="1"/>
  <c r="G36" i="1"/>
  <c r="H36" i="1" s="1"/>
  <c r="J36" i="1" s="1"/>
  <c r="K36" i="1" s="1"/>
  <c r="G43" i="2"/>
  <c r="H43" i="2" s="1"/>
  <c r="J43" i="2" s="1"/>
  <c r="K43" i="2" s="1"/>
  <c r="G33" i="1"/>
  <c r="H33" i="1" s="1"/>
  <c r="J33" i="1" s="1"/>
  <c r="K33" i="1" s="1"/>
  <c r="G31" i="1"/>
  <c r="H31" i="1" s="1"/>
  <c r="J31" i="1" s="1"/>
  <c r="K31" i="1" s="1"/>
  <c r="G35" i="1"/>
  <c r="H35" i="1" s="1"/>
  <c r="J35" i="1" s="1"/>
  <c r="K35" i="1" s="1"/>
  <c r="G55" i="1"/>
  <c r="H55" i="1" s="1"/>
  <c r="J55" i="1" s="1"/>
  <c r="K55" i="1" s="1"/>
  <c r="L36" i="1" s="1"/>
  <c r="M36" i="1" s="1"/>
  <c r="G52" i="1"/>
  <c r="H52" i="1" s="1"/>
  <c r="J52" i="1" s="1"/>
  <c r="K52" i="1" s="1"/>
  <c r="G23" i="1"/>
  <c r="H23" i="1" s="1"/>
  <c r="J23" i="1" s="1"/>
  <c r="K23" i="1" s="1"/>
  <c r="G42" i="1"/>
  <c r="H42" i="1" s="1"/>
  <c r="J42" i="1" s="1"/>
  <c r="K42" i="1" s="1"/>
  <c r="G53" i="1"/>
  <c r="H53" i="1" s="1"/>
  <c r="J53" i="1" s="1"/>
  <c r="K53" i="1" s="1"/>
  <c r="G41" i="1"/>
  <c r="H41" i="1" s="1"/>
  <c r="J41" i="1" s="1"/>
  <c r="K41" i="1" s="1"/>
  <c r="G25" i="1"/>
  <c r="H25" i="1" s="1"/>
  <c r="J25" i="1" s="1"/>
  <c r="K25" i="1" s="1"/>
  <c r="G24" i="1"/>
  <c r="H24" i="1" s="1"/>
  <c r="J24" i="1" s="1"/>
  <c r="K24" i="1" s="1"/>
  <c r="G22" i="1"/>
  <c r="H22" i="1" s="1"/>
  <c r="J22" i="1" s="1"/>
  <c r="K22" i="1" s="1"/>
  <c r="G34" i="1"/>
  <c r="H34" i="1" s="1"/>
  <c r="J34" i="1" s="1"/>
  <c r="K34" i="1" s="1"/>
  <c r="G42" i="4"/>
  <c r="H42" i="4" s="1"/>
  <c r="J42" i="4" s="1"/>
  <c r="K42" i="4" s="1"/>
  <c r="G35" i="2"/>
  <c r="H35" i="2" s="1"/>
  <c r="J35" i="2" s="1"/>
  <c r="K35" i="2" s="1"/>
  <c r="G24" i="2"/>
  <c r="H24" i="2" s="1"/>
  <c r="J24" i="2" s="1"/>
  <c r="K24" i="2" s="1"/>
  <c r="G32" i="2"/>
  <c r="H32" i="2" s="1"/>
  <c r="J32" i="2" s="1"/>
  <c r="K32" i="2" s="1"/>
  <c r="G34" i="2"/>
  <c r="H34" i="2" s="1"/>
  <c r="J34" i="2" s="1"/>
  <c r="K34" i="2" s="1"/>
  <c r="G25" i="2"/>
  <c r="H25" i="2" s="1"/>
  <c r="J25" i="2" s="1"/>
  <c r="K25" i="2" s="1"/>
  <c r="G26" i="1"/>
  <c r="H26" i="1" s="1"/>
  <c r="J26" i="1" s="1"/>
  <c r="K26" i="1" s="1"/>
  <c r="G43" i="1"/>
  <c r="H43" i="1" s="1"/>
  <c r="J43" i="1" s="1"/>
  <c r="K43" i="1" s="1"/>
  <c r="G44" i="1"/>
  <c r="H44" i="1" s="1"/>
  <c r="J44" i="1" s="1"/>
  <c r="K44" i="1" s="1"/>
  <c r="G45" i="1"/>
  <c r="H45" i="1" s="1"/>
  <c r="J45" i="1" s="1"/>
  <c r="K45" i="1" s="1"/>
  <c r="G27" i="1"/>
  <c r="H27" i="1" s="1"/>
  <c r="J27" i="1" s="1"/>
  <c r="K27" i="1" s="1"/>
  <c r="G54" i="1"/>
  <c r="H54" i="1" s="1"/>
  <c r="J54" i="1" s="1"/>
  <c r="K54" i="1" s="1"/>
  <c r="G50" i="1"/>
  <c r="H50" i="1" s="1"/>
  <c r="J50" i="1" s="1"/>
  <c r="K50" i="1" s="1"/>
  <c r="L31" i="1" s="1"/>
  <c r="M31" i="1" s="1"/>
  <c r="G51" i="1"/>
  <c r="H51" i="1" s="1"/>
  <c r="J51" i="1" s="1"/>
  <c r="K51" i="1" s="1"/>
  <c r="G32" i="1"/>
  <c r="H32" i="1" s="1"/>
  <c r="J32" i="1" s="1"/>
  <c r="K32" i="1" s="1"/>
  <c r="G40" i="1"/>
  <c r="H40" i="1" s="1"/>
  <c r="J40" i="1" s="1"/>
  <c r="K40" i="1" s="1"/>
  <c r="G52" i="2"/>
  <c r="H52" i="2" s="1"/>
  <c r="J52" i="2" s="1"/>
  <c r="K52" i="2" s="1"/>
  <c r="G50" i="2"/>
  <c r="H50" i="2" s="1"/>
  <c r="J50" i="2" s="1"/>
  <c r="K50" i="2" s="1"/>
  <c r="G44" i="2"/>
  <c r="H44" i="2" s="1"/>
  <c r="J44" i="2" s="1"/>
  <c r="K44" i="2" s="1"/>
  <c r="G45" i="2"/>
  <c r="H45" i="2" s="1"/>
  <c r="J45" i="2" s="1"/>
  <c r="K45" i="2" s="1"/>
  <c r="G27" i="2"/>
  <c r="H27" i="2" s="1"/>
  <c r="J27" i="2" s="1"/>
  <c r="K27" i="2" s="1"/>
  <c r="G23" i="2"/>
  <c r="H23" i="2" s="1"/>
  <c r="J23" i="2" s="1"/>
  <c r="K23" i="2" s="1"/>
  <c r="G55" i="2"/>
  <c r="H55" i="2" s="1"/>
  <c r="J55" i="2" s="1"/>
  <c r="K55" i="2" s="1"/>
  <c r="G53" i="2"/>
  <c r="H53" i="2" s="1"/>
  <c r="J53" i="2" s="1"/>
  <c r="K53" i="2" s="1"/>
  <c r="G26" i="2"/>
  <c r="H26" i="2" s="1"/>
  <c r="J26" i="2" s="1"/>
  <c r="K26" i="2" s="1"/>
  <c r="G36" i="2"/>
  <c r="H36" i="2" s="1"/>
  <c r="J36" i="2" s="1"/>
  <c r="K36" i="2" s="1"/>
  <c r="G41" i="2"/>
  <c r="H41" i="2" s="1"/>
  <c r="J41" i="2" s="1"/>
  <c r="K41" i="2" s="1"/>
  <c r="G42" i="2"/>
  <c r="H42" i="2" s="1"/>
  <c r="J42" i="2" s="1"/>
  <c r="K42" i="2" s="1"/>
  <c r="G33" i="2"/>
  <c r="H33" i="2" s="1"/>
  <c r="J33" i="2" s="1"/>
  <c r="K33" i="2" s="1"/>
  <c r="L33" i="2" s="1"/>
  <c r="G31" i="2"/>
  <c r="H31" i="2" s="1"/>
  <c r="J31" i="2" s="1"/>
  <c r="K31" i="2" s="1"/>
  <c r="L31" i="2" s="1"/>
  <c r="M31" i="2" s="1"/>
  <c r="G22" i="2"/>
  <c r="H22" i="2" s="1"/>
  <c r="J22" i="2" s="1"/>
  <c r="K22" i="2" s="1"/>
  <c r="G54" i="2"/>
  <c r="H54" i="2" s="1"/>
  <c r="J54" i="2" s="1"/>
  <c r="K54" i="2" s="1"/>
  <c r="G40" i="2"/>
  <c r="H40" i="2" s="1"/>
  <c r="J40" i="2" s="1"/>
  <c r="K40" i="2" s="1"/>
  <c r="G33" i="4"/>
  <c r="H33" i="4" s="1"/>
  <c r="J33" i="4" s="1"/>
  <c r="K33" i="4" s="1"/>
  <c r="G44" i="4"/>
  <c r="H44" i="4" s="1"/>
  <c r="J44" i="4" s="1"/>
  <c r="K44" i="4" s="1"/>
  <c r="G23" i="4"/>
  <c r="H23" i="4" s="1"/>
  <c r="J23" i="4" s="1"/>
  <c r="K23" i="4" s="1"/>
  <c r="G34" i="4"/>
  <c r="H34" i="4" s="1"/>
  <c r="J34" i="4" s="1"/>
  <c r="K34" i="4" s="1"/>
  <c r="G31" i="4"/>
  <c r="H31" i="4" s="1"/>
  <c r="J31" i="4" s="1"/>
  <c r="K31" i="4" s="1"/>
  <c r="G43" i="4"/>
  <c r="H43" i="4" s="1"/>
  <c r="J43" i="4" s="1"/>
  <c r="K43" i="4" s="1"/>
  <c r="G54" i="4"/>
  <c r="H54" i="4" s="1"/>
  <c r="J54" i="4" s="1"/>
  <c r="K54" i="4" s="1"/>
  <c r="G22" i="4"/>
  <c r="H22" i="4" s="1"/>
  <c r="J22" i="4" s="1"/>
  <c r="K22" i="4" s="1"/>
  <c r="G55" i="4"/>
  <c r="H55" i="4" s="1"/>
  <c r="J55" i="4" s="1"/>
  <c r="K55" i="4" s="1"/>
  <c r="G53" i="4"/>
  <c r="H53" i="4" s="1"/>
  <c r="J53" i="4" s="1"/>
  <c r="K53" i="4" s="1"/>
  <c r="G36" i="4"/>
  <c r="H36" i="4" s="1"/>
  <c r="J36" i="4" s="1"/>
  <c r="K36" i="4" s="1"/>
  <c r="G50" i="4"/>
  <c r="H50" i="4" s="1"/>
  <c r="J50" i="4" s="1"/>
  <c r="K50" i="4" s="1"/>
  <c r="G24" i="4"/>
  <c r="H24" i="4" s="1"/>
  <c r="J24" i="4" s="1"/>
  <c r="K24" i="4" s="1"/>
  <c r="G41" i="4"/>
  <c r="H41" i="4" s="1"/>
  <c r="J41" i="4" s="1"/>
  <c r="K41" i="4" s="1"/>
  <c r="G52" i="4"/>
  <c r="H52" i="4" s="1"/>
  <c r="J52" i="4" s="1"/>
  <c r="K52" i="4" s="1"/>
  <c r="G32" i="4"/>
  <c r="H32" i="4" s="1"/>
  <c r="J32" i="4" s="1"/>
  <c r="K32" i="4" s="1"/>
  <c r="G25" i="4"/>
  <c r="H25" i="4" s="1"/>
  <c r="J25" i="4" s="1"/>
  <c r="K25" i="4" s="1"/>
  <c r="G26" i="4"/>
  <c r="H26" i="4" s="1"/>
  <c r="J26" i="4" s="1"/>
  <c r="K26" i="4" s="1"/>
  <c r="G35" i="4"/>
  <c r="H35" i="4" s="1"/>
  <c r="J35" i="4" s="1"/>
  <c r="K35" i="4" s="1"/>
  <c r="L35" i="4" s="1"/>
  <c r="M35" i="4" s="1"/>
  <c r="G45" i="4"/>
  <c r="H45" i="4" s="1"/>
  <c r="J45" i="4" s="1"/>
  <c r="K45" i="4" s="1"/>
  <c r="G27" i="4"/>
  <c r="H27" i="4" s="1"/>
  <c r="J27" i="4" s="1"/>
  <c r="K27" i="4" s="1"/>
  <c r="G40" i="4"/>
  <c r="H40" i="4" s="1"/>
  <c r="J40" i="4" s="1"/>
  <c r="K40" i="4" s="1"/>
  <c r="G51" i="4"/>
  <c r="H51" i="4" s="1"/>
  <c r="J51" i="4" s="1"/>
  <c r="K51" i="4" s="1"/>
  <c r="G42" i="3"/>
  <c r="H42" i="3" s="1"/>
  <c r="J42" i="3" s="1"/>
  <c r="K42" i="3" s="1"/>
  <c r="G36" i="3"/>
  <c r="H36" i="3" s="1"/>
  <c r="J36" i="3" s="1"/>
  <c r="K36" i="3" s="1"/>
  <c r="G33" i="3"/>
  <c r="H33" i="3" s="1"/>
  <c r="J33" i="3" s="1"/>
  <c r="K33" i="3" s="1"/>
  <c r="G52" i="3"/>
  <c r="H52" i="3" s="1"/>
  <c r="J52" i="3" s="1"/>
  <c r="K52" i="3" s="1"/>
  <c r="G41" i="3"/>
  <c r="H41" i="3" s="1"/>
  <c r="J41" i="3" s="1"/>
  <c r="K41" i="3" s="1"/>
  <c r="G51" i="3"/>
  <c r="H51" i="3" s="1"/>
  <c r="J51" i="3" s="1"/>
  <c r="K51" i="3" s="1"/>
  <c r="G35" i="3"/>
  <c r="H35" i="3" s="1"/>
  <c r="J35" i="3" s="1"/>
  <c r="K35" i="3" s="1"/>
  <c r="G32" i="3"/>
  <c r="H32" i="3" s="1"/>
  <c r="J32" i="3" s="1"/>
  <c r="K32" i="3" s="1"/>
  <c r="G43" i="3"/>
  <c r="H43" i="3" s="1"/>
  <c r="J43" i="3" s="1"/>
  <c r="K43" i="3" s="1"/>
  <c r="G24" i="3"/>
  <c r="H24" i="3" s="1"/>
  <c r="J24" i="3" s="1"/>
  <c r="K24" i="3" s="1"/>
  <c r="G23" i="3"/>
  <c r="H23" i="3" s="1"/>
  <c r="J23" i="3" s="1"/>
  <c r="K23" i="3" s="1"/>
  <c r="G34" i="3"/>
  <c r="H34" i="3" s="1"/>
  <c r="J34" i="3" s="1"/>
  <c r="K34" i="3" s="1"/>
  <c r="G53" i="3"/>
  <c r="H53" i="3" s="1"/>
  <c r="J53" i="3" s="1"/>
  <c r="K53" i="3" s="1"/>
  <c r="G50" i="3"/>
  <c r="H50" i="3" s="1"/>
  <c r="J50" i="3" s="1"/>
  <c r="K50" i="3" s="1"/>
  <c r="G26" i="3"/>
  <c r="H26" i="3" s="1"/>
  <c r="J26" i="3" s="1"/>
  <c r="K26" i="3" s="1"/>
  <c r="G55" i="3"/>
  <c r="H55" i="3" s="1"/>
  <c r="J55" i="3" s="1"/>
  <c r="K55" i="3" s="1"/>
  <c r="G25" i="3"/>
  <c r="H25" i="3" s="1"/>
  <c r="J25" i="3" s="1"/>
  <c r="K25" i="3" s="1"/>
  <c r="G44" i="3"/>
  <c r="H44" i="3" s="1"/>
  <c r="J44" i="3" s="1"/>
  <c r="K44" i="3" s="1"/>
  <c r="G22" i="3"/>
  <c r="H22" i="3" s="1"/>
  <c r="J22" i="3" s="1"/>
  <c r="K22" i="3" s="1"/>
  <c r="G40" i="3"/>
  <c r="H40" i="3" s="1"/>
  <c r="J40" i="3" s="1"/>
  <c r="K40" i="3" s="1"/>
  <c r="G31" i="3"/>
  <c r="H31" i="3" s="1"/>
  <c r="J31" i="3" s="1"/>
  <c r="K31" i="3" s="1"/>
  <c r="G27" i="3"/>
  <c r="H27" i="3" s="1"/>
  <c r="J27" i="3" s="1"/>
  <c r="K27" i="3" s="1"/>
  <c r="G45" i="3"/>
  <c r="H45" i="3" s="1"/>
  <c r="J45" i="3" s="1"/>
  <c r="K45" i="3" s="1"/>
  <c r="G54" i="3"/>
  <c r="H54" i="3" s="1"/>
  <c r="J54" i="3" s="1"/>
  <c r="K54" i="3" s="1"/>
  <c r="L32" i="2" l="1"/>
  <c r="M32" i="2" s="1"/>
  <c r="L34" i="1"/>
  <c r="M34" i="1" s="1"/>
  <c r="L24" i="1"/>
  <c r="M24" i="1" s="1"/>
  <c r="L25" i="1"/>
  <c r="M25" i="1" s="1"/>
  <c r="L35" i="1"/>
  <c r="M35" i="1" s="1"/>
  <c r="L35" i="2"/>
  <c r="M35" i="2" s="1"/>
  <c r="L25" i="2"/>
  <c r="M25" i="2" s="1"/>
  <c r="L23" i="1"/>
  <c r="M23" i="1" s="1"/>
  <c r="L33" i="1"/>
  <c r="M33" i="1" s="1"/>
  <c r="L32" i="1"/>
  <c r="M32" i="1" s="1"/>
  <c r="L27" i="1"/>
  <c r="M27" i="1" s="1"/>
  <c r="L26" i="1"/>
  <c r="L44" i="1" s="1"/>
  <c r="L27" i="4"/>
  <c r="M27" i="4" s="1"/>
  <c r="L31" i="4"/>
  <c r="M31" i="4" s="1"/>
  <c r="L24" i="2"/>
  <c r="M24" i="2" s="1"/>
  <c r="L27" i="2"/>
  <c r="L45" i="2" s="1"/>
  <c r="L22" i="1"/>
  <c r="M22" i="1" s="1"/>
  <c r="L22" i="4"/>
  <c r="M22" i="4" s="1"/>
  <c r="L34" i="4"/>
  <c r="M34" i="4" s="1"/>
  <c r="L33" i="4"/>
  <c r="M33" i="4" s="1"/>
  <c r="L32" i="4"/>
  <c r="M32" i="4" s="1"/>
  <c r="L34" i="2"/>
  <c r="M34" i="2" s="1"/>
  <c r="L22" i="2"/>
  <c r="L40" i="2" s="1"/>
  <c r="L26" i="2"/>
  <c r="M26" i="2" s="1"/>
  <c r="M33" i="2"/>
  <c r="L52" i="2"/>
  <c r="L36" i="2"/>
  <c r="M36" i="2" s="1"/>
  <c r="L50" i="2"/>
  <c r="L25" i="4"/>
  <c r="M25" i="4" s="1"/>
  <c r="L36" i="4"/>
  <c r="M36" i="4" s="1"/>
  <c r="L26" i="4"/>
  <c r="M26" i="4" s="1"/>
  <c r="L23" i="4"/>
  <c r="M23" i="4" s="1"/>
  <c r="L51" i="2"/>
  <c r="L23" i="2"/>
  <c r="L24" i="4"/>
  <c r="L25" i="3"/>
  <c r="M25" i="3" s="1"/>
  <c r="L22" i="3"/>
  <c r="M22" i="3" s="1"/>
  <c r="L26" i="3"/>
  <c r="M26" i="3" s="1"/>
  <c r="L23" i="3"/>
  <c r="M23" i="3" s="1"/>
  <c r="L33" i="3"/>
  <c r="M33" i="3" s="1"/>
  <c r="L24" i="3"/>
  <c r="M24" i="3" s="1"/>
  <c r="L36" i="3"/>
  <c r="M36" i="3" s="1"/>
  <c r="L35" i="3"/>
  <c r="M35" i="3" s="1"/>
  <c r="L54" i="4"/>
  <c r="L31" i="3"/>
  <c r="M31" i="3" s="1"/>
  <c r="L34" i="3"/>
  <c r="M34" i="3" s="1"/>
  <c r="L32" i="3"/>
  <c r="M32" i="3" s="1"/>
  <c r="L27" i="3"/>
  <c r="M27" i="3" s="1"/>
  <c r="L50" i="1"/>
  <c r="L55" i="1"/>
  <c r="L53" i="4" l="1"/>
  <c r="M50" i="2"/>
  <c r="B66" i="2" s="1"/>
  <c r="L42" i="1"/>
  <c r="M27" i="2"/>
  <c r="M22" i="2"/>
  <c r="L54" i="2"/>
  <c r="L53" i="1"/>
  <c r="M26" i="1"/>
  <c r="L51" i="1"/>
  <c r="M50" i="1" s="1"/>
  <c r="B66" i="1" s="1"/>
  <c r="L41" i="1"/>
  <c r="L43" i="1"/>
  <c r="L50" i="4"/>
  <c r="L43" i="4"/>
  <c r="O53" i="4" s="1"/>
  <c r="L45" i="1"/>
  <c r="O55" i="1" s="1"/>
  <c r="L54" i="1"/>
  <c r="O54" i="1" s="1"/>
  <c r="L51" i="4"/>
  <c r="L40" i="4"/>
  <c r="O50" i="4" s="1"/>
  <c r="L55" i="4"/>
  <c r="L43" i="2"/>
  <c r="M43" i="2" s="1"/>
  <c r="B67" i="2" s="1"/>
  <c r="N50" i="2"/>
  <c r="C66" i="2" s="1"/>
  <c r="L42" i="2"/>
  <c r="O52" i="2" s="1"/>
  <c r="L52" i="1"/>
  <c r="O52" i="1" s="1"/>
  <c r="L44" i="4"/>
  <c r="O54" i="4" s="1"/>
  <c r="L45" i="4"/>
  <c r="L43" i="3"/>
  <c r="L53" i="2"/>
  <c r="L40" i="1"/>
  <c r="L52" i="4"/>
  <c r="N50" i="4" s="1"/>
  <c r="C66" i="4" s="1"/>
  <c r="L41" i="4"/>
  <c r="O51" i="4" s="1"/>
  <c r="L44" i="2"/>
  <c r="L55" i="2"/>
  <c r="L53" i="3"/>
  <c r="M23" i="2"/>
  <c r="L41" i="2"/>
  <c r="O51" i="2" s="1"/>
  <c r="M24" i="4"/>
  <c r="L42" i="4"/>
  <c r="L52" i="3"/>
  <c r="L42" i="3"/>
  <c r="L40" i="3"/>
  <c r="N40" i="3" s="1"/>
  <c r="C65" i="3" s="1"/>
  <c r="L44" i="3"/>
  <c r="L55" i="3"/>
  <c r="L41" i="3"/>
  <c r="L54" i="3"/>
  <c r="L50" i="3"/>
  <c r="M53" i="4"/>
  <c r="B68" i="4" s="1"/>
  <c r="N53" i="4"/>
  <c r="C68" i="4" s="1"/>
  <c r="L45" i="3"/>
  <c r="L51" i="3"/>
  <c r="O50" i="2"/>
  <c r="N50" i="1"/>
  <c r="C66" i="1" s="1"/>
  <c r="O53" i="1"/>
  <c r="O54" i="2" l="1"/>
  <c r="M40" i="1"/>
  <c r="B65" i="1" s="1"/>
  <c r="N43" i="1"/>
  <c r="C67" i="1" s="1"/>
  <c r="O51" i="1"/>
  <c r="O52" i="3"/>
  <c r="N43" i="2"/>
  <c r="C67" i="2" s="1"/>
  <c r="M43" i="1"/>
  <c r="B67" i="1" s="1"/>
  <c r="N40" i="2"/>
  <c r="C65" i="2" s="1"/>
  <c r="N53" i="1"/>
  <c r="C68" i="1" s="1"/>
  <c r="M53" i="1"/>
  <c r="B68" i="1" s="1"/>
  <c r="N43" i="4"/>
  <c r="C67" i="4" s="1"/>
  <c r="M43" i="4"/>
  <c r="B67" i="4" s="1"/>
  <c r="O54" i="3"/>
  <c r="O53" i="2"/>
  <c r="N40" i="1"/>
  <c r="C65" i="1" s="1"/>
  <c r="O55" i="4"/>
  <c r="P53" i="4" s="1"/>
  <c r="N59" i="4" s="1"/>
  <c r="M50" i="4"/>
  <c r="B66" i="4" s="1"/>
  <c r="N40" i="4"/>
  <c r="C65" i="4" s="1"/>
  <c r="N53" i="3"/>
  <c r="C68" i="3" s="1"/>
  <c r="M40" i="2"/>
  <c r="B65" i="2" s="1"/>
  <c r="M53" i="2"/>
  <c r="B68" i="2" s="1"/>
  <c r="O50" i="1"/>
  <c r="O55" i="3"/>
  <c r="O53" i="3"/>
  <c r="M53" i="3"/>
  <c r="B68" i="3" s="1"/>
  <c r="O55" i="2"/>
  <c r="P53" i="2" s="1"/>
  <c r="N59" i="2" s="1"/>
  <c r="N53" i="2"/>
  <c r="C68" i="2" s="1"/>
  <c r="O52" i="4"/>
  <c r="Q50" i="4" s="1"/>
  <c r="O58" i="4" s="1"/>
  <c r="M40" i="4"/>
  <c r="B65" i="4" s="1"/>
  <c r="N43" i="3"/>
  <c r="C67" i="3" s="1"/>
  <c r="M50" i="3"/>
  <c r="B66" i="3" s="1"/>
  <c r="O50" i="3"/>
  <c r="M40" i="3"/>
  <c r="B65" i="3" s="1"/>
  <c r="O51" i="3"/>
  <c r="Q53" i="4"/>
  <c r="O59" i="4" s="1"/>
  <c r="N50" i="3"/>
  <c r="C66" i="3" s="1"/>
  <c r="M43" i="3"/>
  <c r="B67" i="3" s="1"/>
  <c r="Q50" i="2"/>
  <c r="O58" i="2" s="1"/>
  <c r="P50" i="2"/>
  <c r="N58" i="2" s="1"/>
  <c r="Q53" i="1"/>
  <c r="O59" i="1" s="1"/>
  <c r="P53" i="1"/>
  <c r="N59" i="1" s="1"/>
  <c r="P50" i="4" l="1"/>
  <c r="N58" i="4" s="1"/>
  <c r="Q53" i="3"/>
  <c r="O59" i="3" s="1"/>
  <c r="Q53" i="2"/>
  <c r="O59" i="2" s="1"/>
  <c r="Q50" i="1"/>
  <c r="O58" i="1" s="1"/>
  <c r="P53" i="3"/>
  <c r="N59" i="3" s="1"/>
  <c r="P50" i="1"/>
  <c r="N58" i="1" s="1"/>
  <c r="Q50" i="3"/>
  <c r="O58" i="3" s="1"/>
  <c r="P50" i="3"/>
  <c r="N58" i="3" s="1"/>
</calcChain>
</file>

<file path=xl/sharedStrings.xml><?xml version="1.0" encoding="utf-8"?>
<sst xmlns="http://schemas.openxmlformats.org/spreadsheetml/2006/main" count="376" uniqueCount="44">
  <si>
    <t>Date</t>
  </si>
  <si>
    <t>passage</t>
  </si>
  <si>
    <t>viabilité</t>
  </si>
  <si>
    <t>operateur</t>
  </si>
  <si>
    <t>Marlene</t>
  </si>
  <si>
    <t>J0</t>
  </si>
  <si>
    <t>J3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</si>
  <si>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</si>
  <si>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</si>
  <si>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</si>
  <si>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</si>
  <si>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</si>
  <si>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</si>
  <si>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</si>
  <si>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</si>
  <si>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</si>
  <si>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</si>
  <si>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</si>
  <si>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</si>
  <si>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</si>
  <si>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</si>
  <si>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</si>
  <si>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</si>
  <si>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</si>
  <si>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</si>
  <si>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</si>
  <si>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</si>
  <si>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</si>
  <si>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</si>
  <si>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</si>
  <si>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</si>
  <si>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</si>
  <si>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</si>
  <si>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</si>
  <si>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</si>
  <si>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</si>
  <si>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</si>
  <si>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</si>
  <si>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</si>
  <si>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</si>
  <si>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11mM/0,5mM</t>
  </si>
  <si>
    <t>Fold change</t>
  </si>
  <si>
    <t>Mean</t>
  </si>
  <si>
    <t>ectype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</si>
</sst>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6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sz val="10"/>
      <name val="Comic Sans MS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8" fillId="0" borderId="0"/>
    <xf numFmtId="0" fontId="4" fillId="0" borderId="0"/>
    <xf numFmtId="0" fontId="15" fillId="0" borderId="0"/>
    <xf numFmtId="0" fontId="3" fillId="0" borderId="0"/>
    <xf numFmtId="0" fontId="2" fillId="0" borderId="0"/>
    <xf numFmtId="0" fontId="2" fillId="0" borderId="0"/>
    <xf numFmtId="0" fontId="1" fillId="0" borderId="0"/>
  </cellStyleXfs>
  <cellXfs count="93">
    <xf numFmtId="0" fontId="0" fillId="0" borderId="0" xfId="0"/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1" applyFont="1" applyAlignment="1">
      <alignment horizontal="left"/>
    </xf>
    <xf numFmtId="0" fontId="5" fillId="0" borderId="2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8" fillId="0" borderId="0" xfId="1"/>
    <xf numFmtId="0" fontId="5" fillId="0" borderId="1" xfId="1" applyFont="1" applyBorder="1" applyAlignment="1">
      <alignment horizontal="left"/>
    </xf>
    <xf numFmtId="0" fontId="9" fillId="0" borderId="1" xfId="1" applyFont="1" applyBorder="1" applyAlignment="1" applyProtection="1">
      <alignment horizontal="center"/>
    </xf>
    <xf numFmtId="0" fontId="9" fillId="0" borderId="3" xfId="1" applyFont="1" applyBorder="1" applyAlignment="1" applyProtection="1">
      <alignment horizontal="center"/>
      <protection locked="0"/>
    </xf>
    <xf numFmtId="0" fontId="9" fillId="0" borderId="4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2" fontId="5" fillId="0" borderId="1" xfId="1" applyNumberFormat="1" applyFont="1" applyBorder="1" applyAlignment="1">
      <alignment horizontal="center"/>
    </xf>
    <xf numFmtId="0" fontId="4" fillId="0" borderId="0" xfId="2" applyFill="1"/>
    <xf numFmtId="0" fontId="10" fillId="0" borderId="0" xfId="0" applyFont="1" applyAlignment="1">
      <alignment horizontal="left"/>
    </xf>
    <xf numFmtId="0" fontId="10" fillId="0" borderId="0" xfId="1" applyFont="1" applyAlignment="1">
      <alignment horizontal="center"/>
    </xf>
    <xf numFmtId="0" fontId="9" fillId="0" borderId="0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11" fillId="0" borderId="1" xfId="1" applyFont="1" applyBorder="1" applyAlignment="1">
      <alignment horizontal="left"/>
    </xf>
    <xf numFmtId="0" fontId="9" fillId="0" borderId="1" xfId="1" applyFont="1" applyFill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11" fillId="2" borderId="0" xfId="1" applyFont="1" applyFill="1" applyAlignment="1">
      <alignment horizontal="center"/>
    </xf>
    <xf numFmtId="0" fontId="13" fillId="2" borderId="0" xfId="1" applyFont="1" applyFill="1" applyAlignment="1">
      <alignment horizontal="center"/>
    </xf>
    <xf numFmtId="2" fontId="5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0" fontId="5" fillId="0" borderId="0" xfId="1" applyFont="1" applyFill="1" applyAlignment="1">
      <alignment horizontal="center"/>
    </xf>
    <xf numFmtId="165" fontId="5" fillId="0" borderId="0" xfId="1" applyNumberFormat="1" applyFont="1" applyFill="1" applyAlignment="1">
      <alignment horizontal="center"/>
    </xf>
    <xf numFmtId="165" fontId="11" fillId="0" borderId="0" xfId="1" applyNumberFormat="1" applyFont="1" applyAlignment="1">
      <alignment horizontal="center"/>
    </xf>
    <xf numFmtId="2" fontId="13" fillId="0" borderId="5" xfId="1" applyNumberFormat="1" applyFont="1" applyBorder="1" applyAlignment="1">
      <alignment horizontal="center"/>
    </xf>
    <xf numFmtId="2" fontId="5" fillId="0" borderId="6" xfId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1" xfId="1" applyFont="1" applyFill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1" fontId="5" fillId="0" borderId="0" xfId="1" applyNumberFormat="1" applyFont="1" applyFill="1" applyAlignment="1">
      <alignment horizontal="center"/>
    </xf>
    <xf numFmtId="165" fontId="5" fillId="0" borderId="0" xfId="1" applyNumberFormat="1" applyFont="1" applyFill="1" applyBorder="1" applyAlignment="1">
      <alignment horizontal="center"/>
    </xf>
    <xf numFmtId="165" fontId="5" fillId="0" borderId="5" xfId="1" applyNumberFormat="1" applyFont="1" applyBorder="1" applyAlignment="1">
      <alignment horizontal="center"/>
    </xf>
    <xf numFmtId="165" fontId="5" fillId="0" borderId="0" xfId="1" applyNumberFormat="1" applyFont="1" applyAlignment="1">
      <alignment horizontal="center"/>
    </xf>
    <xf numFmtId="2" fontId="11" fillId="0" borderId="6" xfId="1" applyNumberFormat="1" applyFont="1" applyBorder="1" applyAlignment="1">
      <alignment horizontal="center"/>
    </xf>
    <xf numFmtId="0" fontId="5" fillId="0" borderId="9" xfId="1" applyFont="1" applyBorder="1" applyAlignment="1">
      <alignment horizontal="left"/>
    </xf>
    <xf numFmtId="0" fontId="5" fillId="0" borderId="10" xfId="1" applyFont="1" applyBorder="1" applyAlignment="1">
      <alignment horizontal="left"/>
    </xf>
    <xf numFmtId="1" fontId="5" fillId="0" borderId="0" xfId="1" applyNumberFormat="1" applyFont="1" applyBorder="1" applyAlignment="1">
      <alignment horizontal="center"/>
    </xf>
    <xf numFmtId="0" fontId="11" fillId="0" borderId="0" xfId="1" applyFont="1" applyFill="1" applyAlignment="1">
      <alignment horizontal="left"/>
    </xf>
    <xf numFmtId="0" fontId="11" fillId="0" borderId="11" xfId="1" applyFont="1" applyBorder="1" applyAlignment="1">
      <alignment horizontal="center"/>
    </xf>
    <xf numFmtId="2" fontId="11" fillId="0" borderId="11" xfId="1" applyNumberFormat="1" applyFont="1" applyBorder="1" applyAlignment="1">
      <alignment horizontal="center"/>
    </xf>
    <xf numFmtId="0" fontId="5" fillId="0" borderId="5" xfId="1" applyFont="1" applyBorder="1" applyAlignment="1">
      <alignment horizontal="left"/>
    </xf>
    <xf numFmtId="0" fontId="12" fillId="0" borderId="0" xfId="1" applyFont="1" applyAlignment="1">
      <alignment horizontal="left"/>
    </xf>
    <xf numFmtId="0" fontId="5" fillId="0" borderId="0" xfId="1" applyFont="1" applyFill="1" applyAlignment="1">
      <alignment horizontal="left"/>
    </xf>
    <xf numFmtId="0" fontId="5" fillId="0" borderId="0" xfId="1" applyFont="1" applyFill="1" applyBorder="1" applyAlignment="1">
      <alignment horizontal="left"/>
    </xf>
    <xf numFmtId="2" fontId="5" fillId="0" borderId="0" xfId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0" fontId="5" fillId="0" borderId="0" xfId="1" applyFont="1" applyBorder="1" applyAlignment="1">
      <alignment horizontal="left"/>
    </xf>
    <xf numFmtId="0" fontId="11" fillId="0" borderId="0" xfId="1" applyFont="1" applyBorder="1" applyAlignment="1">
      <alignment horizontal="center"/>
    </xf>
    <xf numFmtId="2" fontId="11" fillId="0" borderId="0" xfId="1" applyNumberFormat="1" applyFont="1" applyBorder="1" applyAlignment="1">
      <alignment horizontal="center"/>
    </xf>
    <xf numFmtId="165" fontId="5" fillId="0" borderId="0" xfId="1" applyNumberFormat="1" applyFont="1" applyBorder="1" applyAlignment="1">
      <alignment horizontal="center"/>
    </xf>
    <xf numFmtId="14" fontId="11" fillId="0" borderId="0" xfId="1" applyNumberFormat="1" applyFont="1" applyBorder="1" applyAlignment="1">
      <alignment horizontal="center"/>
    </xf>
    <xf numFmtId="1" fontId="5" fillId="0" borderId="0" xfId="1" applyNumberFormat="1" applyFont="1" applyAlignment="1">
      <alignment horizontal="center"/>
    </xf>
    <xf numFmtId="0" fontId="5" fillId="0" borderId="11" xfId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0" borderId="0" xfId="3" applyProtection="1">
      <protection locked="0"/>
    </xf>
    <xf numFmtId="0" fontId="15" fillId="0" borderId="0" xfId="3" applyProtection="1">
      <protection locked="0"/>
    </xf>
    <xf numFmtId="0" fontId="5" fillId="0" borderId="1" xfId="0" applyFont="1" applyBorder="1" applyAlignment="1">
      <alignment horizontal="left"/>
    </xf>
    <xf numFmtId="0" fontId="3" fillId="0" borderId="0" xfId="4" applyProtection="1">
      <protection locked="0"/>
    </xf>
    <xf numFmtId="0" fontId="1" fillId="0" borderId="0" xfId="7"/>
    <xf numFmtId="0" fontId="1" fillId="3" borderId="12" xfId="7" applyFill="1" applyBorder="1" applyProtection="1">
      <protection locked="0"/>
    </xf>
    <xf numFmtId="0" fontId="1" fillId="3" borderId="15" xfId="7" applyFill="1" applyBorder="1" applyProtection="1">
      <protection locked="0"/>
    </xf>
    <xf numFmtId="0" fontId="1" fillId="3" borderId="13" xfId="7" applyFill="1" applyBorder="1" applyProtection="1">
      <protection locked="0"/>
    </xf>
    <xf numFmtId="0" fontId="1" fillId="3" borderId="11" xfId="7" applyFill="1" applyBorder="1" applyProtection="1">
      <protection locked="0"/>
    </xf>
    <xf numFmtId="0" fontId="1" fillId="3" borderId="13" xfId="7" applyFill="1" applyBorder="1" applyProtection="1">
      <protection locked="0"/>
    </xf>
    <xf numFmtId="0" fontId="1" fillId="3" borderId="11" xfId="7" applyFill="1" applyBorder="1" applyProtection="1">
      <protection locked="0"/>
    </xf>
    <xf numFmtId="0" fontId="1" fillId="3" borderId="14" xfId="7" applyFill="1" applyBorder="1" applyProtection="1">
      <protection locked="0"/>
    </xf>
    <xf numFmtId="0" fontId="1" fillId="3" borderId="16" xfId="7" applyFill="1" applyBorder="1" applyProtection="1">
      <protection locked="0"/>
    </xf>
    <xf numFmtId="0" fontId="1" fillId="0" borderId="0" xfId="7" applyProtection="1">
      <protection locked="0"/>
    </xf>
    <xf numFmtId="0" fontId="1" fillId="0" borderId="0" xfId="7" applyProtection="1">
      <protection locked="0"/>
    </xf>
    <xf numFmtId="0" fontId="1" fillId="0" borderId="0" xfId="7" applyProtection="1">
      <protection locked="0"/>
    </xf>
    <xf numFmtId="0" fontId="1" fillId="0" borderId="0" xfId="7" applyProtection="1">
      <protection locked="0"/>
    </xf>
  </cellXfs>
  <cellStyles count="8">
    <cellStyle name="Normal" xfId="0" builtinId="0"/>
    <cellStyle name="Normal 2" xfId="3"/>
    <cellStyle name="Normal 2 2" xfId="2"/>
    <cellStyle name="Normal 3" xfId="4"/>
    <cellStyle name="Normal 4" xfId="5"/>
    <cellStyle name="Normal 6" xfId="1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-1.5157001606532141</c:v>
                </c:pt>
                <c:pt idx="1">
                  <c:v>-1.1249387366082999</c:v>
                </c:pt>
                <c:pt idx="2">
                  <c:v>-0.6064247967304125</c:v>
                </c:pt>
                <c:pt idx="3">
                  <c:v>-2.525809549904983E-2</c:v>
                </c:pt>
                <c:pt idx="4">
                  <c:v>0.21761552866633035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888"/>
        <c:axId val="174266280"/>
      </c:scatterChart>
      <c:valAx>
        <c:axId val="1742658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266280"/>
        <c:crosses val="autoZero"/>
        <c:crossBetween val="midCat"/>
      </c:valAx>
      <c:valAx>
        <c:axId val="17426628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42658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siZFAND6!$G$9:$G$13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siZFAND6!$H$9:$H$13</c:f>
              <c:numCache>
                <c:formatCode>0.00</c:formatCode>
                <c:ptCount val="5"/>
                <c:pt idx="0">
                  <c:v>-1.5157001606532141</c:v>
                </c:pt>
                <c:pt idx="1">
                  <c:v>-1.1249387366082999</c:v>
                </c:pt>
                <c:pt idx="2">
                  <c:v>-0.6064247967304125</c:v>
                </c:pt>
                <c:pt idx="3">
                  <c:v>-2.525809549904983E-2</c:v>
                </c:pt>
                <c:pt idx="4">
                  <c:v>0.21761552866633035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44824"/>
        <c:axId val="224445216"/>
      </c:scatterChart>
      <c:valAx>
        <c:axId val="2244448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445216"/>
        <c:crosses val="autoZero"/>
        <c:crossBetween val="midCat"/>
      </c:valAx>
      <c:valAx>
        <c:axId val="22444521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44448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siZFAND6!$C$65:$C$68</c:f>
                <c:numCache>
                  <c:formatCode>General</c:formatCode>
                  <c:ptCount val="4"/>
                  <c:pt idx="0">
                    <c:v>0.32989705736813624</c:v>
                  </c:pt>
                  <c:pt idx="1">
                    <c:v>0.42954014516473027</c:v>
                  </c:pt>
                  <c:pt idx="2">
                    <c:v>0.77124157420288031</c:v>
                  </c:pt>
                  <c:pt idx="3">
                    <c:v>0.66462520826158766</c:v>
                  </c:pt>
                </c:numCache>
              </c:numRef>
            </c:plus>
            <c:minus>
              <c:numRef>
                <c:f>siZFAND6!$C$65:$C$68</c:f>
                <c:numCache>
                  <c:formatCode>General</c:formatCode>
                  <c:ptCount val="4"/>
                  <c:pt idx="0">
                    <c:v>0.32989705736813624</c:v>
                  </c:pt>
                  <c:pt idx="1">
                    <c:v>0.42954014516473027</c:v>
                  </c:pt>
                  <c:pt idx="2">
                    <c:v>0.77124157420288031</c:v>
                  </c:pt>
                  <c:pt idx="3">
                    <c:v>0.66462520826158766</c:v>
                  </c:pt>
                </c:numCache>
              </c:numRef>
            </c:minus>
          </c:errBars>
          <c:cat>
            <c:strRef>
              <c:f>(siZFAND6!$A$65,siZFAND6!$A$66,siZFAND6!$A$67,siZFAND6!$A$68)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siZFAND6!$B$65:$B$68</c:f>
              <c:numCache>
                <c:formatCode>0.0</c:formatCode>
                <c:ptCount val="4"/>
                <c:pt idx="0">
                  <c:v>1.3861076827812422</c:v>
                </c:pt>
                <c:pt idx="1">
                  <c:v>2.1230642401559829</c:v>
                </c:pt>
                <c:pt idx="2">
                  <c:v>8.593318411935277</c:v>
                </c:pt>
                <c:pt idx="3">
                  <c:v>9.0852445242526638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446000"/>
        <c:axId val="224446392"/>
      </c:barChart>
      <c:catAx>
        <c:axId val="22444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4446392"/>
        <c:crosses val="autoZero"/>
        <c:auto val="1"/>
        <c:lblAlgn val="ctr"/>
        <c:lblOffset val="100"/>
        <c:noMultiLvlLbl val="0"/>
      </c:catAx>
      <c:valAx>
        <c:axId val="2244463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siZFAND6!$M$48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44460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siZFAND6!$O$58:$O$59</c:f>
                <c:numCache>
                  <c:formatCode>General</c:formatCode>
                  <c:ptCount val="2"/>
                  <c:pt idx="0">
                    <c:v>0.77193306509575565</c:v>
                  </c:pt>
                  <c:pt idx="1">
                    <c:v>5.6953275005941648E-2</c:v>
                  </c:pt>
                </c:numCache>
              </c:numRef>
            </c:plus>
            <c:minus>
              <c:numRef>
                <c:f>siZFAND6!$O$58:$O$59</c:f>
                <c:numCache>
                  <c:formatCode>General</c:formatCode>
                  <c:ptCount val="2"/>
                  <c:pt idx="0">
                    <c:v>0.77193306509575565</c:v>
                  </c:pt>
                  <c:pt idx="1">
                    <c:v>5.6953275005941648E-2</c:v>
                  </c:pt>
                </c:numCache>
              </c:numRef>
            </c:minus>
          </c:errBars>
          <c:cat>
            <c:strRef>
              <c:f>siZFAND6!$M$58:$M$59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siZFAND6!$N$58:$N$59</c:f>
              <c:numCache>
                <c:formatCode>0.0</c:formatCode>
                <c:ptCount val="2"/>
                <c:pt idx="0">
                  <c:v>1.6504702637511584</c:v>
                </c:pt>
                <c:pt idx="1">
                  <c:v>1.0591958970022992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447176"/>
        <c:axId val="224447568"/>
      </c:barChart>
      <c:catAx>
        <c:axId val="22444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4447568"/>
        <c:crosses val="autoZero"/>
        <c:auto val="1"/>
        <c:lblAlgn val="ctr"/>
        <c:lblOffset val="100"/>
        <c:noMultiLvlLbl val="0"/>
      </c:catAx>
      <c:valAx>
        <c:axId val="2244475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siZFAND6!$M$57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44471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0.58680375583514299</c:v>
                  </c:pt>
                  <c:pt idx="1">
                    <c:v>0.73765500326684885</c:v>
                  </c:pt>
                  <c:pt idx="2">
                    <c:v>1.0737164807705455</c:v>
                  </c:pt>
                  <c:pt idx="3">
                    <c:v>1.7843801230897955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0.58680375583514299</c:v>
                  </c:pt>
                  <c:pt idx="1">
                    <c:v>0.73765500326684885</c:v>
                  </c:pt>
                  <c:pt idx="2">
                    <c:v>1.0737164807705455</c:v>
                  </c:pt>
                  <c:pt idx="3">
                    <c:v>1.7843801230897955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2.3375435417170718</c:v>
                </c:pt>
                <c:pt idx="1">
                  <c:v>5.4545709582767126</c:v>
                </c:pt>
                <c:pt idx="2">
                  <c:v>10.875664181535797</c:v>
                </c:pt>
                <c:pt idx="3">
                  <c:v>15.105023451593789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18312"/>
        <c:axId val="172818704"/>
      </c:barChart>
      <c:catAx>
        <c:axId val="17281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2818704"/>
        <c:crosses val="autoZero"/>
        <c:auto val="1"/>
        <c:lblAlgn val="ctr"/>
        <c:lblOffset val="100"/>
        <c:noMultiLvlLbl val="0"/>
      </c:catAx>
      <c:valAx>
        <c:axId val="172818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28183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0.28255773612810081</c:v>
                  </c:pt>
                  <c:pt idx="1">
                    <c:v>2.6405121247416116E-2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0.28255773612810081</c:v>
                  </c:pt>
                  <c:pt idx="1">
                    <c:v>2.6405121247416116E-2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2.3807227714128452</c:v>
                </c:pt>
                <c:pt idx="1">
                  <c:v>1.3871449422275373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19488"/>
        <c:axId val="174337152"/>
      </c:barChart>
      <c:catAx>
        <c:axId val="1728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4337152"/>
        <c:crosses val="autoZero"/>
        <c:auto val="1"/>
        <c:lblAlgn val="ctr"/>
        <c:lblOffset val="100"/>
        <c:noMultiLvlLbl val="0"/>
      </c:catAx>
      <c:valAx>
        <c:axId val="1743371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28194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siFAF1!$G$9:$G$13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siFAF1!$H$9:$H$13</c:f>
              <c:numCache>
                <c:formatCode>0.00</c:formatCode>
                <c:ptCount val="5"/>
                <c:pt idx="0">
                  <c:v>-1.5157001606532141</c:v>
                </c:pt>
                <c:pt idx="1">
                  <c:v>-1.1249387366082999</c:v>
                </c:pt>
                <c:pt idx="2">
                  <c:v>-0.6064247967304125</c:v>
                </c:pt>
                <c:pt idx="3">
                  <c:v>-2.525809549904983E-2</c:v>
                </c:pt>
                <c:pt idx="4">
                  <c:v>0.21761552866633035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37936"/>
        <c:axId val="174338328"/>
      </c:scatterChart>
      <c:valAx>
        <c:axId val="1743379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338328"/>
        <c:crosses val="autoZero"/>
        <c:crossBetween val="midCat"/>
      </c:valAx>
      <c:valAx>
        <c:axId val="17433832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4337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siFAF1!$C$65:$C$68</c:f>
                <c:numCache>
                  <c:formatCode>General</c:formatCode>
                  <c:ptCount val="4"/>
                  <c:pt idx="0">
                    <c:v>0.12400970150708496</c:v>
                  </c:pt>
                  <c:pt idx="1">
                    <c:v>0.22644398259523796</c:v>
                  </c:pt>
                  <c:pt idx="2">
                    <c:v>1.6409737158896844</c:v>
                  </c:pt>
                  <c:pt idx="3">
                    <c:v>0.80529521541904148</c:v>
                  </c:pt>
                </c:numCache>
              </c:numRef>
            </c:plus>
            <c:minus>
              <c:numRef>
                <c:f>siFAF1!$C$65:$C$68</c:f>
                <c:numCache>
                  <c:formatCode>General</c:formatCode>
                  <c:ptCount val="4"/>
                  <c:pt idx="0">
                    <c:v>0.12400970150708496</c:v>
                  </c:pt>
                  <c:pt idx="1">
                    <c:v>0.22644398259523796</c:v>
                  </c:pt>
                  <c:pt idx="2">
                    <c:v>1.6409737158896844</c:v>
                  </c:pt>
                  <c:pt idx="3">
                    <c:v>0.80529521541904148</c:v>
                  </c:pt>
                </c:numCache>
              </c:numRef>
            </c:minus>
          </c:errBars>
          <c:cat>
            <c:strRef>
              <c:f>(siFAF1!$A$65,siFAF1!$A$66,siFAF1!$A$67,siFAF1!$A$68)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siFAF1!$B$65:$B$68</c:f>
              <c:numCache>
                <c:formatCode>0.0</c:formatCode>
                <c:ptCount val="4"/>
                <c:pt idx="0">
                  <c:v>1.7399465642980259</c:v>
                </c:pt>
                <c:pt idx="1">
                  <c:v>2.9789369817956821</c:v>
                </c:pt>
                <c:pt idx="2">
                  <c:v>9.111963435952509</c:v>
                </c:pt>
                <c:pt idx="3">
                  <c:v>13.522062667512337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91248"/>
        <c:axId val="173791640"/>
      </c:barChart>
      <c:catAx>
        <c:axId val="17379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3791640"/>
        <c:crosses val="autoZero"/>
        <c:auto val="1"/>
        <c:lblAlgn val="ctr"/>
        <c:lblOffset val="100"/>
        <c:noMultiLvlLbl val="0"/>
      </c:catAx>
      <c:valAx>
        <c:axId val="1737916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siFAF1!$M$48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37912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siFAF1!$O$58:$O$59</c:f>
                <c:numCache>
                  <c:formatCode>General</c:formatCode>
                  <c:ptCount val="2"/>
                  <c:pt idx="0">
                    <c:v>5.2268847467991521E-2</c:v>
                  </c:pt>
                  <c:pt idx="1">
                    <c:v>0.24946355236512344</c:v>
                  </c:pt>
                </c:numCache>
              </c:numRef>
            </c:plus>
            <c:minus>
              <c:numRef>
                <c:f>siFAF1!$O$58:$O$59</c:f>
                <c:numCache>
                  <c:formatCode>General</c:formatCode>
                  <c:ptCount val="2"/>
                  <c:pt idx="0">
                    <c:v>5.2268847467991521E-2</c:v>
                  </c:pt>
                  <c:pt idx="1">
                    <c:v>0.24946355236512344</c:v>
                  </c:pt>
                </c:numCache>
              </c:numRef>
            </c:minus>
          </c:errBars>
          <c:cat>
            <c:strRef>
              <c:f>siFAF1!$M$58:$M$59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siFAF1!$N$58:$N$59</c:f>
              <c:numCache>
                <c:formatCode>0.0</c:formatCode>
                <c:ptCount val="2"/>
                <c:pt idx="0">
                  <c:v>1.712306292123527</c:v>
                </c:pt>
                <c:pt idx="1">
                  <c:v>1.5118795534981067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92424"/>
        <c:axId val="173792816"/>
      </c:barChart>
      <c:catAx>
        <c:axId val="17379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3792816"/>
        <c:crosses val="autoZero"/>
        <c:auto val="1"/>
        <c:lblAlgn val="ctr"/>
        <c:lblOffset val="100"/>
        <c:noMultiLvlLbl val="0"/>
      </c:catAx>
      <c:valAx>
        <c:axId val="1737928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siFAF1!$M$57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37924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siZFAND3!$G$9:$G$13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siZFAND3!$H$9:$H$13</c:f>
              <c:numCache>
                <c:formatCode>0.00</c:formatCode>
                <c:ptCount val="5"/>
                <c:pt idx="0">
                  <c:v>-1.5157001606532141</c:v>
                </c:pt>
                <c:pt idx="1">
                  <c:v>-1.1249387366082999</c:v>
                </c:pt>
                <c:pt idx="2">
                  <c:v>-0.6064247967304125</c:v>
                </c:pt>
                <c:pt idx="3">
                  <c:v>-2.525809549904983E-2</c:v>
                </c:pt>
                <c:pt idx="4">
                  <c:v>0.21761552866633035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95080"/>
        <c:axId val="226595472"/>
      </c:scatterChart>
      <c:valAx>
        <c:axId val="2265950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6595472"/>
        <c:crosses val="autoZero"/>
        <c:crossBetween val="midCat"/>
      </c:valAx>
      <c:valAx>
        <c:axId val="22659547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65950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siZFAND3!$C$65:$C$68</c:f>
                <c:numCache>
                  <c:formatCode>General</c:formatCode>
                  <c:ptCount val="4"/>
                  <c:pt idx="0">
                    <c:v>0.19027459689611231</c:v>
                  </c:pt>
                  <c:pt idx="1">
                    <c:v>0.24204198193876159</c:v>
                  </c:pt>
                  <c:pt idx="2">
                    <c:v>0.11618158131178312</c:v>
                  </c:pt>
                  <c:pt idx="3">
                    <c:v>1.2946689471138142</c:v>
                  </c:pt>
                </c:numCache>
              </c:numRef>
            </c:plus>
            <c:minus>
              <c:numRef>
                <c:f>siZFAND3!$C$65:$C$68</c:f>
                <c:numCache>
                  <c:formatCode>General</c:formatCode>
                  <c:ptCount val="4"/>
                  <c:pt idx="0">
                    <c:v>0.19027459689611231</c:v>
                  </c:pt>
                  <c:pt idx="1">
                    <c:v>0.24204198193876159</c:v>
                  </c:pt>
                  <c:pt idx="2">
                    <c:v>0.11618158131178312</c:v>
                  </c:pt>
                  <c:pt idx="3">
                    <c:v>1.2946689471138142</c:v>
                  </c:pt>
                </c:numCache>
              </c:numRef>
            </c:minus>
          </c:errBars>
          <c:cat>
            <c:strRef>
              <c:f>(siZFAND3!$A$65,siZFAND3!$A$66,siZFAND3!$A$67,siZFAND3!$A$68)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siZFAND3!$B$65:$B$68</c:f>
              <c:numCache>
                <c:formatCode>0.0</c:formatCode>
                <c:ptCount val="4"/>
                <c:pt idx="0">
                  <c:v>1.7216633694636621</c:v>
                </c:pt>
                <c:pt idx="1">
                  <c:v>3.4016390123610614</c:v>
                </c:pt>
                <c:pt idx="2">
                  <c:v>10.042468990869144</c:v>
                </c:pt>
                <c:pt idx="3">
                  <c:v>13.435388122548709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596256"/>
        <c:axId val="226596648"/>
      </c:barChart>
      <c:catAx>
        <c:axId val="22659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6596648"/>
        <c:crosses val="autoZero"/>
        <c:auto val="1"/>
        <c:lblAlgn val="ctr"/>
        <c:lblOffset val="100"/>
        <c:noMultiLvlLbl val="0"/>
      </c:catAx>
      <c:valAx>
        <c:axId val="2265966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siZFAND3!$M$48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65962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siZFAND3!$O$58:$O$59</c:f>
                <c:numCache>
                  <c:formatCode>General</c:formatCode>
                  <c:ptCount val="2"/>
                  <c:pt idx="0">
                    <c:v>7.7886453960375121E-2</c:v>
                  </c:pt>
                  <c:pt idx="1">
                    <c:v>0.12609985004534061</c:v>
                  </c:pt>
                </c:numCache>
              </c:numRef>
            </c:plus>
            <c:minus>
              <c:numRef>
                <c:f>siZFAND3!$O$58:$O$59</c:f>
                <c:numCache>
                  <c:formatCode>General</c:formatCode>
                  <c:ptCount val="2"/>
                  <c:pt idx="0">
                    <c:v>7.7886453960375121E-2</c:v>
                  </c:pt>
                  <c:pt idx="1">
                    <c:v>0.12609985004534061</c:v>
                  </c:pt>
                </c:numCache>
              </c:numRef>
            </c:minus>
          </c:errBars>
          <c:cat>
            <c:strRef>
              <c:f>siZFAND3!$M$58:$M$59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siZFAND3!$N$58:$N$59</c:f>
              <c:numCache>
                <c:formatCode>0.0</c:formatCode>
                <c:ptCount val="2"/>
                <c:pt idx="0">
                  <c:v>1.9813472740515099</c:v>
                </c:pt>
                <c:pt idx="1">
                  <c:v>1.3377845823796601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597432"/>
        <c:axId val="226597824"/>
      </c:barChart>
      <c:catAx>
        <c:axId val="22659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6597824"/>
        <c:crosses val="autoZero"/>
        <c:auto val="1"/>
        <c:lblAlgn val="ctr"/>
        <c:lblOffset val="100"/>
        <c:noMultiLvlLbl val="0"/>
      </c:catAx>
      <c:valAx>
        <c:axId val="2265978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siZFAND3!$M$57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65974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P10-PC141\Profils\profils\marlene\Mes%20documents\Endo%20cell-betaTrophin\ELISA\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70" zoomScaleNormal="70" workbookViewId="0">
      <selection activeCell="F4" sqref="F4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42429</v>
      </c>
    </row>
    <row r="2" spans="1:20" s="3" customFormat="1" ht="13.5" thickBot="1" x14ac:dyDescent="0.25">
      <c r="A2" s="1" t="s">
        <v>1</v>
      </c>
      <c r="B2" s="3">
        <v>64</v>
      </c>
      <c r="C2" s="4"/>
      <c r="E2" s="5" t="s">
        <v>2</v>
      </c>
    </row>
    <row r="3" spans="1:20" s="3" customFormat="1" ht="15.75" thickBot="1" x14ac:dyDescent="0.3">
      <c r="A3" s="1" t="s">
        <v>3</v>
      </c>
      <c r="B3" s="3" t="s">
        <v>4</v>
      </c>
      <c r="D3" s="6" t="s">
        <v>5</v>
      </c>
      <c r="E3" s="81">
        <v>231992</v>
      </c>
      <c r="F3" s="82">
        <v>231800</v>
      </c>
      <c r="H3" s="76"/>
      <c r="I3" s="76"/>
    </row>
    <row r="4" spans="1:20" s="3" customFormat="1" ht="15" x14ac:dyDescent="0.25">
      <c r="A4" s="1"/>
      <c r="D4" s="6" t="s">
        <v>6</v>
      </c>
      <c r="E4" s="89">
        <v>282312</v>
      </c>
      <c r="F4" s="89">
        <v>284560</v>
      </c>
      <c r="H4" s="79"/>
      <c r="I4" s="79"/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.75" x14ac:dyDescent="0.3">
      <c r="A8" s="78">
        <v>0</v>
      </c>
      <c r="B8" s="17">
        <v>0</v>
      </c>
      <c r="C8" s="80">
        <v>7.2999999999999995E-2</v>
      </c>
      <c r="D8" s="80">
        <v>6.9000000000000006E-2</v>
      </c>
      <c r="E8" s="18">
        <f t="shared" ref="E8:E13" si="0">AVERAGE(C8:D8)</f>
        <v>7.1000000000000008E-2</v>
      </c>
      <c r="F8" s="19"/>
      <c r="G8" s="17"/>
      <c r="H8" s="17"/>
      <c r="N8" s="11"/>
      <c r="O8" s="11"/>
      <c r="P8" s="11"/>
    </row>
    <row r="9" spans="1:20" ht="15.75" x14ac:dyDescent="0.3">
      <c r="A9" s="78">
        <v>3</v>
      </c>
      <c r="B9" s="19">
        <f>A9/23</f>
        <v>0.13043478260869565</v>
      </c>
      <c r="C9" s="80">
        <v>0.106</v>
      </c>
      <c r="D9" s="80">
        <v>9.7000000000000003E-2</v>
      </c>
      <c r="E9" s="18">
        <f t="shared" si="0"/>
        <v>0.10150000000000001</v>
      </c>
      <c r="F9" s="19">
        <f>(E9-$E$8)</f>
        <v>3.0499999999999999E-2</v>
      </c>
      <c r="G9" s="19">
        <f>LOG(B9)</f>
        <v>-0.88460658129793046</v>
      </c>
      <c r="H9" s="19">
        <f>LOG(F9)</f>
        <v>-1.5157001606532141</v>
      </c>
      <c r="N9" s="11"/>
      <c r="O9" s="11"/>
      <c r="P9" s="11"/>
    </row>
    <row r="10" spans="1:20" ht="15.75" x14ac:dyDescent="0.3">
      <c r="A10" s="78">
        <v>9.74</v>
      </c>
      <c r="B10" s="19">
        <f t="shared" ref="B10:B13" si="1">A10/23</f>
        <v>0.42347826086956525</v>
      </c>
      <c r="C10" s="80">
        <v>0.156</v>
      </c>
      <c r="D10" s="80">
        <v>0.13600000000000001</v>
      </c>
      <c r="E10" s="18">
        <f t="shared" si="0"/>
        <v>0.14600000000000002</v>
      </c>
      <c r="F10" s="19">
        <f>(E10-$E$8)</f>
        <v>7.5000000000000011E-2</v>
      </c>
      <c r="G10" s="19">
        <f>LOG(B10)</f>
        <v>-0.37316887913897734</v>
      </c>
      <c r="H10" s="19">
        <f>LOG(F10)</f>
        <v>-1.1249387366082999</v>
      </c>
      <c r="N10" s="11"/>
      <c r="O10" s="11"/>
      <c r="P10" s="11"/>
    </row>
    <row r="11" spans="1:20" ht="15.75" x14ac:dyDescent="0.3">
      <c r="A11" s="78">
        <v>29.8</v>
      </c>
      <c r="B11" s="19">
        <f t="shared" si="1"/>
        <v>1.2956521739130435</v>
      </c>
      <c r="C11" s="80">
        <v>0.317</v>
      </c>
      <c r="D11" s="80">
        <v>0.32</v>
      </c>
      <c r="E11" s="18">
        <f t="shared" si="0"/>
        <v>0.31850000000000001</v>
      </c>
      <c r="F11" s="19">
        <f>(E11-$E$8)</f>
        <v>0.2475</v>
      </c>
      <c r="G11" s="19">
        <f>LOG(B11)</f>
        <v>0.11248842805866238</v>
      </c>
      <c r="H11" s="19">
        <f>LOG(F11)</f>
        <v>-0.6064247967304125</v>
      </c>
      <c r="N11" s="11"/>
      <c r="O11" s="11"/>
      <c r="P11" s="11"/>
      <c r="Q11" s="11"/>
      <c r="R11" s="11"/>
      <c r="S11" s="11"/>
      <c r="T11" s="11"/>
    </row>
    <row r="12" spans="1:20" ht="15.75" x14ac:dyDescent="0.3">
      <c r="A12" s="78">
        <v>104</v>
      </c>
      <c r="B12" s="19">
        <f t="shared" si="1"/>
        <v>4.5217391304347823</v>
      </c>
      <c r="C12" s="80">
        <v>1.0329999999999999</v>
      </c>
      <c r="D12" s="80">
        <v>0.996</v>
      </c>
      <c r="E12" s="18">
        <f t="shared" si="0"/>
        <v>1.0145</v>
      </c>
      <c r="F12" s="19">
        <f>(E12-$E$8)</f>
        <v>0.94350000000000001</v>
      </c>
      <c r="G12" s="19">
        <f>LOG(B12)</f>
        <v>0.65530550328118742</v>
      </c>
      <c r="H12" s="19">
        <f>LOG(F12)</f>
        <v>-2.525809549904983E-2</v>
      </c>
      <c r="N12" s="11"/>
      <c r="O12" s="11"/>
      <c r="P12" s="11"/>
      <c r="Q12" s="11"/>
      <c r="R12" s="11"/>
      <c r="S12" s="11"/>
      <c r="T12" s="11"/>
    </row>
    <row r="13" spans="1:20" ht="15.75" x14ac:dyDescent="0.3">
      <c r="A13" s="78">
        <v>207</v>
      </c>
      <c r="B13" s="19">
        <f t="shared" si="1"/>
        <v>9</v>
      </c>
      <c r="C13" s="80">
        <v>1.702</v>
      </c>
      <c r="D13" s="80">
        <v>1.7410000000000001</v>
      </c>
      <c r="E13" s="18">
        <f t="shared" si="0"/>
        <v>1.7215</v>
      </c>
      <c r="F13" s="19">
        <f>(E13-$E$8)</f>
        <v>1.6505000000000001</v>
      </c>
      <c r="G13" s="19">
        <f>LOG(B13)</f>
        <v>0.95424250943932487</v>
      </c>
      <c r="H13" s="19">
        <f>LOG(F13)</f>
        <v>0.21761552866633035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0.9712204505254407</v>
      </c>
      <c r="N15" s="11"/>
    </row>
    <row r="16" spans="1:20" ht="15" x14ac:dyDescent="0.25">
      <c r="A16" s="12" t="s">
        <v>15</v>
      </c>
      <c r="B16" s="18">
        <f>INTERCEPT(H9:H13,G9:G13)</f>
        <v>-0.70112120386280907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25">
      <c r="A22" s="8" t="s">
        <v>29</v>
      </c>
      <c r="B22" s="80">
        <v>0.26100000000000001</v>
      </c>
      <c r="C22" s="80">
        <v>0.28599999999999998</v>
      </c>
      <c r="D22" s="34">
        <f t="shared" ref="D22:D27" si="2">AVERAGE(B22:C22)</f>
        <v>0.27349999999999997</v>
      </c>
      <c r="E22" s="34">
        <f t="shared" ref="E22:E27" si="3">D22-E$8</f>
        <v>0.20249999999999996</v>
      </c>
      <c r="F22" s="34">
        <f>LOG(E22)</f>
        <v>-0.69357497244931277</v>
      </c>
      <c r="G22" s="35">
        <f>(F22-$B$16)/$B$15</f>
        <v>7.769844023994465E-3</v>
      </c>
      <c r="H22" s="35">
        <f>10^G22</f>
        <v>1.0180517247703673</v>
      </c>
      <c r="I22" s="36">
        <v>500</v>
      </c>
      <c r="J22" s="37">
        <f>(H22*I22)</f>
        <v>509.02586238518364</v>
      </c>
      <c r="K22" s="37">
        <f>(0.05*J22/1000)*1000</f>
        <v>25.451293119259184</v>
      </c>
      <c r="L22" s="38">
        <f>K22+K40+K50</f>
        <v>27.174006172827522</v>
      </c>
      <c r="M22" s="39">
        <f>(L22*1000000/50000)/1000</f>
        <v>0.5434801234565505</v>
      </c>
      <c r="N22" s="40"/>
    </row>
    <row r="23" spans="1:17" ht="15" x14ac:dyDescent="0.25">
      <c r="B23" s="80">
        <v>0.223</v>
      </c>
      <c r="C23" s="80">
        <v>0.23699999999999999</v>
      </c>
      <c r="D23" s="34">
        <f t="shared" si="2"/>
        <v>0.22999999999999998</v>
      </c>
      <c r="E23" s="34">
        <f t="shared" si="3"/>
        <v>0.15899999999999997</v>
      </c>
      <c r="F23" s="34">
        <f t="shared" ref="F23:F27" si="4">LOG(E23)</f>
        <v>-0.79860287567954857</v>
      </c>
      <c r="G23" s="35">
        <f t="shared" ref="G23:G27" si="5">(F23-$B$16)/$B$15</f>
        <v>-0.10037028335225115</v>
      </c>
      <c r="H23" s="35">
        <f t="shared" ref="H23:H27" si="6">10^G23</f>
        <v>0.79365127201356056</v>
      </c>
      <c r="I23" s="36">
        <v>500</v>
      </c>
      <c r="J23" s="37">
        <f t="shared" ref="J23:J27" si="7">(H23*I23)</f>
        <v>396.82563600678026</v>
      </c>
      <c r="K23" s="37">
        <f t="shared" ref="K23:K27" si="8">(0.05*J23/1000)*1000</f>
        <v>19.841281800339015</v>
      </c>
      <c r="L23" s="38">
        <f>K23+K41+K51</f>
        <v>21.773930738712007</v>
      </c>
      <c r="M23" s="39">
        <f t="shared" ref="M23:M27" si="9">(L23*1000000/50000)/1000</f>
        <v>0.4354786147742401</v>
      </c>
      <c r="N23" s="40"/>
    </row>
    <row r="24" spans="1:17" ht="15" x14ac:dyDescent="0.25">
      <c r="B24" s="80">
        <v>0.26300000000000001</v>
      </c>
      <c r="C24" s="80">
        <v>0.27700000000000002</v>
      </c>
      <c r="D24" s="34">
        <f t="shared" si="2"/>
        <v>0.27</v>
      </c>
      <c r="E24" s="34">
        <f t="shared" si="3"/>
        <v>0.19900000000000001</v>
      </c>
      <c r="F24" s="34">
        <f t="shared" si="4"/>
        <v>-0.70114692359029329</v>
      </c>
      <c r="G24" s="35">
        <f t="shared" si="5"/>
        <v>-2.6481863587514541E-5</v>
      </c>
      <c r="H24" s="35">
        <f t="shared" si="6"/>
        <v>0.99993902511471267</v>
      </c>
      <c r="I24" s="36">
        <v>500</v>
      </c>
      <c r="J24" s="37">
        <f t="shared" si="7"/>
        <v>499.96951255735632</v>
      </c>
      <c r="K24" s="37">
        <f t="shared" si="8"/>
        <v>24.998475627867819</v>
      </c>
      <c r="L24" s="38">
        <f t="shared" ref="L24:L27" si="10">K24+K42+K52</f>
        <v>27.104421481914194</v>
      </c>
      <c r="M24" s="39">
        <f t="shared" si="9"/>
        <v>0.54208842963828385</v>
      </c>
      <c r="N24" s="40"/>
    </row>
    <row r="25" spans="1:17" ht="15" x14ac:dyDescent="0.25">
      <c r="A25" s="8" t="s">
        <v>30</v>
      </c>
      <c r="B25" s="80">
        <v>0.219</v>
      </c>
      <c r="C25" s="80">
        <v>0.23200000000000001</v>
      </c>
      <c r="D25" s="34">
        <f t="shared" si="2"/>
        <v>0.22550000000000001</v>
      </c>
      <c r="E25" s="34">
        <f t="shared" si="3"/>
        <v>0.1545</v>
      </c>
      <c r="F25" s="34">
        <f t="shared" si="4"/>
        <v>-0.81107151623914653</v>
      </c>
      <c r="G25" s="35">
        <f t="shared" si="5"/>
        <v>-0.11320839909914701</v>
      </c>
      <c r="H25" s="35">
        <f t="shared" si="6"/>
        <v>0.77053363464213609</v>
      </c>
      <c r="I25" s="36">
        <v>500</v>
      </c>
      <c r="J25" s="37">
        <f t="shared" si="7"/>
        <v>385.26681732106806</v>
      </c>
      <c r="K25" s="37">
        <f t="shared" si="8"/>
        <v>19.263340866053404</v>
      </c>
      <c r="L25" s="38">
        <f t="shared" si="10"/>
        <v>26.397684387156133</v>
      </c>
      <c r="M25" s="39">
        <f t="shared" si="9"/>
        <v>0.52795368774312257</v>
      </c>
      <c r="N25" s="40"/>
    </row>
    <row r="26" spans="1:17" ht="15" x14ac:dyDescent="0.25">
      <c r="B26" s="80">
        <v>0.26400000000000001</v>
      </c>
      <c r="C26" s="80">
        <v>0.26300000000000001</v>
      </c>
      <c r="D26" s="34">
        <f t="shared" si="2"/>
        <v>0.26350000000000001</v>
      </c>
      <c r="E26" s="34">
        <f t="shared" si="3"/>
        <v>0.1925</v>
      </c>
      <c r="F26" s="34">
        <f t="shared" si="4"/>
        <v>-0.71556926615548055</v>
      </c>
      <c r="G26" s="35">
        <f t="shared" si="5"/>
        <v>-1.4876192408072673E-2</v>
      </c>
      <c r="H26" s="35">
        <f t="shared" si="6"/>
        <v>0.96632631763312793</v>
      </c>
      <c r="I26" s="36">
        <v>500</v>
      </c>
      <c r="J26" s="37">
        <f t="shared" si="7"/>
        <v>483.16315881656396</v>
      </c>
      <c r="K26" s="37">
        <f t="shared" si="8"/>
        <v>24.1581579408282</v>
      </c>
      <c r="L26" s="38">
        <f t="shared" si="10"/>
        <v>31.012922836098106</v>
      </c>
      <c r="M26" s="39">
        <f t="shared" si="9"/>
        <v>0.62025845672196211</v>
      </c>
      <c r="N26" s="40"/>
    </row>
    <row r="27" spans="1:17" ht="15" x14ac:dyDescent="0.25">
      <c r="B27" s="80">
        <v>0.248</v>
      </c>
      <c r="C27" s="80">
        <v>0.26400000000000001</v>
      </c>
      <c r="D27" s="34">
        <f t="shared" si="2"/>
        <v>0.25600000000000001</v>
      </c>
      <c r="E27" s="34">
        <f t="shared" si="3"/>
        <v>0.185</v>
      </c>
      <c r="F27" s="34">
        <f t="shared" si="4"/>
        <v>-0.73282827159698616</v>
      </c>
      <c r="G27" s="35">
        <f t="shared" si="5"/>
        <v>-3.2646622831122657E-2</v>
      </c>
      <c r="H27" s="35">
        <f t="shared" si="6"/>
        <v>0.92758427409751798</v>
      </c>
      <c r="I27" s="36">
        <v>500</v>
      </c>
      <c r="J27" s="37">
        <f t="shared" si="7"/>
        <v>463.792137048759</v>
      </c>
      <c r="K27" s="37">
        <f t="shared" si="8"/>
        <v>23.189606852437951</v>
      </c>
      <c r="L27" s="38">
        <f t="shared" si="10"/>
        <v>30.45097767804009</v>
      </c>
      <c r="M27" s="39">
        <f t="shared" si="9"/>
        <v>0.60901955356080184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/>
      <c r="C29" s="73"/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.75" x14ac:dyDescent="0.3">
      <c r="A31" s="8" t="s">
        <v>29</v>
      </c>
      <c r="B31" s="80">
        <v>0.26100000000000001</v>
      </c>
      <c r="C31" s="80">
        <v>0.28599999999999998</v>
      </c>
      <c r="D31" s="34">
        <f t="shared" ref="D31:D36" si="11">AVERAGE(B31:C31)</f>
        <v>0.27349999999999997</v>
      </c>
      <c r="E31" s="34">
        <f t="shared" ref="E31:E36" si="12">D31-E$8</f>
        <v>0.20249999999999996</v>
      </c>
      <c r="F31" s="34">
        <f>LOG(E31)</f>
        <v>-0.69357497244931277</v>
      </c>
      <c r="G31" s="35">
        <f>(F31-$B$16)/$B$15</f>
        <v>7.769844023994465E-3</v>
      </c>
      <c r="H31" s="35">
        <f>10^G31</f>
        <v>1.0180517247703673</v>
      </c>
      <c r="I31" s="36">
        <v>500</v>
      </c>
      <c r="J31" s="37">
        <f>(H31*I31)</f>
        <v>509.02586238518364</v>
      </c>
      <c r="K31" s="37">
        <f>(0.05*J31/1000)*1000</f>
        <v>25.451293119259184</v>
      </c>
      <c r="L31" s="38">
        <f>K31+K50</f>
        <v>26.696472839576447</v>
      </c>
      <c r="M31" s="39">
        <f>(L31*1000000/50000)/1000</f>
        <v>0.53392945679152903</v>
      </c>
      <c r="N31" s="43"/>
      <c r="Q31" s="11"/>
    </row>
    <row r="32" spans="1:17" ht="15.75" x14ac:dyDescent="0.3">
      <c r="B32" s="80">
        <v>0.223</v>
      </c>
      <c r="C32" s="80">
        <v>0.23699999999999999</v>
      </c>
      <c r="D32" s="34">
        <f t="shared" si="11"/>
        <v>0.22999999999999998</v>
      </c>
      <c r="E32" s="34">
        <f t="shared" si="12"/>
        <v>0.15899999999999997</v>
      </c>
      <c r="F32" s="34">
        <f t="shared" ref="F32:F36" si="13">LOG(E32)</f>
        <v>-0.79860287567954857</v>
      </c>
      <c r="G32" s="35">
        <f t="shared" ref="G32:G36" si="14">(F32-$B$16)/$B$15</f>
        <v>-0.10037028335225115</v>
      </c>
      <c r="H32" s="35">
        <f t="shared" ref="H32:H36" si="15">10^G32</f>
        <v>0.79365127201356056</v>
      </c>
      <c r="I32" s="36">
        <v>500</v>
      </c>
      <c r="J32" s="37">
        <f t="shared" ref="J32:J36" si="16">(H32*I32)</f>
        <v>396.82563600678026</v>
      </c>
      <c r="K32" s="37">
        <f t="shared" ref="K32:K36" si="17">(0.05*J32/1000)*1000</f>
        <v>19.841281800339015</v>
      </c>
      <c r="L32" s="38">
        <f>K32+K51</f>
        <v>21.13579994385308</v>
      </c>
      <c r="M32" s="39">
        <f t="shared" ref="M32:M36" si="18">(L32*1000000/50000)/1000</f>
        <v>0.42271599887706163</v>
      </c>
      <c r="N32" s="44"/>
      <c r="Q32" s="11"/>
    </row>
    <row r="33" spans="1:19" ht="15.75" x14ac:dyDescent="0.3">
      <c r="B33" s="80">
        <v>0.26300000000000001</v>
      </c>
      <c r="C33" s="80">
        <v>0.27700000000000002</v>
      </c>
      <c r="D33" s="34">
        <f t="shared" si="11"/>
        <v>0.27</v>
      </c>
      <c r="E33" s="34">
        <f t="shared" si="12"/>
        <v>0.19900000000000001</v>
      </c>
      <c r="F33" s="34">
        <f t="shared" si="13"/>
        <v>-0.70114692359029329</v>
      </c>
      <c r="G33" s="35">
        <f t="shared" si="14"/>
        <v>-2.6481863587514541E-5</v>
      </c>
      <c r="H33" s="35">
        <f t="shared" si="15"/>
        <v>0.99993902511471267</v>
      </c>
      <c r="I33" s="36">
        <v>500</v>
      </c>
      <c r="J33" s="37">
        <f t="shared" si="16"/>
        <v>499.96951255735632</v>
      </c>
      <c r="K33" s="37">
        <f t="shared" si="17"/>
        <v>24.998475627867819</v>
      </c>
      <c r="L33" s="38">
        <f t="shared" ref="L33:L36" si="19">K33+K52</f>
        <v>26.474351057493116</v>
      </c>
      <c r="M33" s="39">
        <f t="shared" si="18"/>
        <v>0.52948702114986235</v>
      </c>
      <c r="N33" s="44"/>
      <c r="Q33" s="11"/>
    </row>
    <row r="34" spans="1:19" ht="15.75" x14ac:dyDescent="0.3">
      <c r="A34" s="8" t="s">
        <v>30</v>
      </c>
      <c r="B34" s="80">
        <v>0.219</v>
      </c>
      <c r="C34" s="80">
        <v>0.23200000000000001</v>
      </c>
      <c r="D34" s="34">
        <f t="shared" si="11"/>
        <v>0.22550000000000001</v>
      </c>
      <c r="E34" s="34">
        <f t="shared" si="12"/>
        <v>0.1545</v>
      </c>
      <c r="F34" s="34">
        <f t="shared" si="13"/>
        <v>-0.81107151623914653</v>
      </c>
      <c r="G34" s="35">
        <f t="shared" si="14"/>
        <v>-0.11320839909914701</v>
      </c>
      <c r="H34" s="35">
        <f t="shared" si="15"/>
        <v>0.77053363464213609</v>
      </c>
      <c r="I34" s="36">
        <v>500</v>
      </c>
      <c r="J34" s="37">
        <f t="shared" si="16"/>
        <v>385.26681732106806</v>
      </c>
      <c r="K34" s="37">
        <f t="shared" si="17"/>
        <v>19.263340866053404</v>
      </c>
      <c r="L34" s="38">
        <f t="shared" si="19"/>
        <v>23.220164430052517</v>
      </c>
      <c r="M34" s="39">
        <f t="shared" si="18"/>
        <v>0.46440328860105029</v>
      </c>
      <c r="N34" s="44"/>
      <c r="Q34" s="11"/>
    </row>
    <row r="35" spans="1:19" ht="15.75" x14ac:dyDescent="0.3">
      <c r="B35" s="80">
        <v>0.26400000000000001</v>
      </c>
      <c r="C35" s="80">
        <v>0.26300000000000001</v>
      </c>
      <c r="D35" s="34">
        <f t="shared" si="11"/>
        <v>0.26350000000000001</v>
      </c>
      <c r="E35" s="34">
        <f t="shared" si="12"/>
        <v>0.1925</v>
      </c>
      <c r="F35" s="34">
        <f t="shared" si="13"/>
        <v>-0.71556926615548055</v>
      </c>
      <c r="G35" s="35">
        <f t="shared" si="14"/>
        <v>-1.4876192408072673E-2</v>
      </c>
      <c r="H35" s="35">
        <f t="shared" si="15"/>
        <v>0.96632631763312793</v>
      </c>
      <c r="I35" s="36">
        <v>500</v>
      </c>
      <c r="J35" s="37">
        <f t="shared" si="16"/>
        <v>483.16315881656396</v>
      </c>
      <c r="K35" s="37">
        <f t="shared" si="17"/>
        <v>24.1581579408282</v>
      </c>
      <c r="L35" s="38">
        <f t="shared" si="19"/>
        <v>27.936672379840967</v>
      </c>
      <c r="M35" s="39">
        <f t="shared" si="18"/>
        <v>0.55873344759681931</v>
      </c>
      <c r="N35" s="44"/>
      <c r="Q35" s="11"/>
      <c r="S35" s="11"/>
    </row>
    <row r="36" spans="1:19" ht="15.75" x14ac:dyDescent="0.3">
      <c r="B36" s="80">
        <v>0.248</v>
      </c>
      <c r="C36" s="80">
        <v>0.26400000000000001</v>
      </c>
      <c r="D36" s="34">
        <f t="shared" si="11"/>
        <v>0.25600000000000001</v>
      </c>
      <c r="E36" s="34">
        <f t="shared" si="12"/>
        <v>0.185</v>
      </c>
      <c r="F36" s="34">
        <f t="shared" si="13"/>
        <v>-0.73282827159698616</v>
      </c>
      <c r="G36" s="35">
        <f t="shared" si="14"/>
        <v>-3.2646622831122657E-2</v>
      </c>
      <c r="H36" s="35">
        <f t="shared" si="15"/>
        <v>0.92758427409751798</v>
      </c>
      <c r="I36" s="36">
        <v>500</v>
      </c>
      <c r="J36" s="37">
        <f t="shared" si="16"/>
        <v>463.792137048759</v>
      </c>
      <c r="K36" s="37">
        <f t="shared" si="17"/>
        <v>23.189606852437951</v>
      </c>
      <c r="L36" s="38">
        <f t="shared" si="19"/>
        <v>27.201668734856867</v>
      </c>
      <c r="M36" s="39">
        <f t="shared" si="18"/>
        <v>0.54403337469713731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/>
      <c r="C39" s="75"/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.75" x14ac:dyDescent="0.3">
      <c r="A40" s="8" t="s">
        <v>37</v>
      </c>
      <c r="B40" s="80">
        <v>0.13</v>
      </c>
      <c r="C40" s="80">
        <v>0.13500000000000001</v>
      </c>
      <c r="D40" s="34">
        <f>AVERAGE(B40,C40)</f>
        <v>0.13250000000000001</v>
      </c>
      <c r="E40" s="34">
        <f t="shared" ref="E40:E45" si="20">D40-E$8</f>
        <v>6.1499999999999999E-2</v>
      </c>
      <c r="F40" s="34">
        <f t="shared" ref="F40:F45" si="21">LOG(E40)</f>
        <v>-1.2111248842245832</v>
      </c>
      <c r="G40" s="35">
        <f t="shared" ref="G40:G45" si="22">(F40-$B$16)/$B$15</f>
        <v>-0.52511629062779375</v>
      </c>
      <c r="H40" s="34">
        <f t="shared" ref="H40:H45" si="23">10^G40</f>
        <v>0.29845833328192223</v>
      </c>
      <c r="I40" s="48">
        <v>16</v>
      </c>
      <c r="J40" s="49">
        <f t="shared" ref="J40:J45" si="24">H40*I40</f>
        <v>4.7753333325107556</v>
      </c>
      <c r="K40" s="37">
        <f>(0.1*J40/1000)*1000</f>
        <v>0.47753333325107561</v>
      </c>
      <c r="L40" s="50">
        <f>K40*100/L22</f>
        <v>1.7573166437585568</v>
      </c>
      <c r="M40" s="51">
        <f>AVERAGE(L40:L42)</f>
        <v>2.3375435417170718</v>
      </c>
      <c r="N40" s="52">
        <f>STDEV(L40:L42)</f>
        <v>0.58680375583514299</v>
      </c>
      <c r="R40" s="11"/>
      <c r="S40" s="11"/>
    </row>
    <row r="41" spans="1:19" ht="15.75" x14ac:dyDescent="0.3">
      <c r="B41" s="80">
        <v>0.152</v>
      </c>
      <c r="C41" s="80">
        <v>0.153</v>
      </c>
      <c r="D41" s="34">
        <f>AVERAGE(B41,C41)</f>
        <v>0.1525</v>
      </c>
      <c r="E41" s="34">
        <f t="shared" si="20"/>
        <v>8.1499999999999989E-2</v>
      </c>
      <c r="F41" s="34">
        <f t="shared" si="21"/>
        <v>-1.0888423912600234</v>
      </c>
      <c r="G41" s="35">
        <f t="shared" si="22"/>
        <v>-0.39921027938348391</v>
      </c>
      <c r="H41" s="34">
        <f t="shared" si="23"/>
        <v>0.39883174678682981</v>
      </c>
      <c r="I41" s="48">
        <v>16</v>
      </c>
      <c r="J41" s="49">
        <f t="shared" si="24"/>
        <v>6.381307948589277</v>
      </c>
      <c r="K41" s="37">
        <f t="shared" ref="K41:K45" si="25">(0.1*J41/1000)*1000</f>
        <v>0.63813079485892776</v>
      </c>
      <c r="L41" s="50">
        <f t="shared" ref="L41:L45" si="26">K41*100/L23</f>
        <v>2.9307101345940771</v>
      </c>
      <c r="M41" s="51"/>
      <c r="N41" s="52"/>
      <c r="R41" s="11"/>
      <c r="S41" s="11"/>
    </row>
    <row r="42" spans="1:19" s="24" customFormat="1" ht="15.75" x14ac:dyDescent="0.3">
      <c r="A42" s="8"/>
      <c r="B42" s="80">
        <v>0.151</v>
      </c>
      <c r="C42" s="80">
        <v>0.152</v>
      </c>
      <c r="D42" s="34">
        <f>AVERAGE(B42,C42)</f>
        <v>0.1515</v>
      </c>
      <c r="E42" s="34">
        <f t="shared" si="20"/>
        <v>8.0499999999999988E-2</v>
      </c>
      <c r="F42" s="34">
        <f t="shared" si="21"/>
        <v>-1.0942041196321315</v>
      </c>
      <c r="G42" s="35">
        <f t="shared" si="22"/>
        <v>-0.40473088839579141</v>
      </c>
      <c r="H42" s="34">
        <f t="shared" si="23"/>
        <v>0.39379401526317409</v>
      </c>
      <c r="I42" s="48">
        <v>16</v>
      </c>
      <c r="J42" s="49">
        <f t="shared" si="24"/>
        <v>6.3007042442107855</v>
      </c>
      <c r="K42" s="37">
        <f t="shared" si="25"/>
        <v>0.63007042442107863</v>
      </c>
      <c r="L42" s="50">
        <f t="shared" si="26"/>
        <v>2.3246038467985821</v>
      </c>
      <c r="M42" s="51"/>
      <c r="N42" s="52"/>
      <c r="R42" s="11"/>
      <c r="S42" s="11"/>
    </row>
    <row r="43" spans="1:19" ht="15.75" x14ac:dyDescent="0.3">
      <c r="A43" s="8" t="s">
        <v>38</v>
      </c>
      <c r="B43" s="80">
        <v>0.45200000000000001</v>
      </c>
      <c r="C43" s="80">
        <v>0.46500000000000002</v>
      </c>
      <c r="D43" s="34">
        <f t="shared" ref="D43:D45" si="27">AVERAGE(B43,C43)</f>
        <v>0.45850000000000002</v>
      </c>
      <c r="E43" s="34">
        <f t="shared" si="20"/>
        <v>0.38750000000000001</v>
      </c>
      <c r="F43" s="34">
        <f t="shared" si="21"/>
        <v>-0.4117282931576709</v>
      </c>
      <c r="G43" s="35">
        <f t="shared" si="22"/>
        <v>0.29796830425942278</v>
      </c>
      <c r="H43" s="34">
        <f t="shared" si="23"/>
        <v>1.9859499731897596</v>
      </c>
      <c r="I43" s="48">
        <v>16</v>
      </c>
      <c r="J43" s="49">
        <f t="shared" si="24"/>
        <v>31.775199571036154</v>
      </c>
      <c r="K43" s="37">
        <f t="shared" si="25"/>
        <v>3.1775199571036157</v>
      </c>
      <c r="L43" s="50">
        <f t="shared" si="26"/>
        <v>12.037116250430081</v>
      </c>
      <c r="M43" s="51">
        <f>AVERAGE(L43:L45)</f>
        <v>10.875664181535797</v>
      </c>
      <c r="N43" s="52">
        <f>STDEV(L43:L45)</f>
        <v>1.0737164807705455</v>
      </c>
      <c r="R43" s="11"/>
      <c r="S43" s="11"/>
    </row>
    <row r="44" spans="1:19" ht="15" x14ac:dyDescent="0.25">
      <c r="A44" s="53"/>
      <c r="B44" s="80">
        <v>0.45</v>
      </c>
      <c r="C44" s="80">
        <v>0.443</v>
      </c>
      <c r="D44" s="34">
        <f t="shared" si="27"/>
        <v>0.44650000000000001</v>
      </c>
      <c r="E44" s="34">
        <f t="shared" si="20"/>
        <v>0.3755</v>
      </c>
      <c r="F44" s="34">
        <f t="shared" si="21"/>
        <v>-0.42539005865981283</v>
      </c>
      <c r="G44" s="35">
        <f t="shared" si="22"/>
        <v>0.28390170846775592</v>
      </c>
      <c r="H44" s="34">
        <f t="shared" si="23"/>
        <v>1.9226565351607117</v>
      </c>
      <c r="I44" s="48">
        <v>16</v>
      </c>
      <c r="J44" s="49">
        <f t="shared" si="24"/>
        <v>30.762504562571387</v>
      </c>
      <c r="K44" s="37">
        <f t="shared" si="25"/>
        <v>3.0762504562571387</v>
      </c>
      <c r="L44" s="50">
        <f t="shared" si="26"/>
        <v>9.9192535721801622</v>
      </c>
      <c r="M44" s="51"/>
      <c r="N44" s="52"/>
    </row>
    <row r="45" spans="1:19" ht="15" x14ac:dyDescent="0.25">
      <c r="A45" s="54"/>
      <c r="B45" s="80">
        <v>0.45800000000000002</v>
      </c>
      <c r="C45" s="80">
        <v>0.47599999999999998</v>
      </c>
      <c r="D45" s="34">
        <f t="shared" si="27"/>
        <v>0.46699999999999997</v>
      </c>
      <c r="E45" s="34">
        <f t="shared" si="20"/>
        <v>0.39599999999999996</v>
      </c>
      <c r="F45" s="34">
        <f t="shared" si="21"/>
        <v>-0.40230481407448776</v>
      </c>
      <c r="G45" s="35">
        <f t="shared" si="22"/>
        <v>0.30767102322305756</v>
      </c>
      <c r="H45" s="34">
        <f t="shared" si="23"/>
        <v>2.0308180894895149</v>
      </c>
      <c r="I45" s="48">
        <v>16</v>
      </c>
      <c r="J45" s="49">
        <f t="shared" si="24"/>
        <v>32.493089431832239</v>
      </c>
      <c r="K45" s="37">
        <f t="shared" si="25"/>
        <v>3.2493089431832241</v>
      </c>
      <c r="L45" s="50">
        <f t="shared" si="26"/>
        <v>10.670622721997145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/>
      <c r="C49" s="75"/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.75" x14ac:dyDescent="0.3">
      <c r="A50" s="8" t="s">
        <v>29</v>
      </c>
      <c r="B50" s="80">
        <v>0.22600000000000001</v>
      </c>
      <c r="C50" s="80">
        <v>0.22800000000000001</v>
      </c>
      <c r="D50" s="34">
        <f t="shared" ref="D50:D52" si="28">AVERAGE(B50,C50)</f>
        <v>0.22700000000000001</v>
      </c>
      <c r="E50" s="34">
        <f t="shared" ref="E50:E55" si="29">D50-E$8</f>
        <v>0.156</v>
      </c>
      <c r="F50" s="34">
        <f t="shared" ref="F50:F55" si="30">LOG(E50)</f>
        <v>-0.80687540164553839</v>
      </c>
      <c r="G50" s="35">
        <f t="shared" ref="G50:G55" si="31">(F50-$B$16)/$B$15</f>
        <v>-0.10888794374697852</v>
      </c>
      <c r="H50" s="34">
        <f t="shared" ref="H50:H55" si="32">10^G50</f>
        <v>0.7782373251982907</v>
      </c>
      <c r="I50" s="48">
        <v>16</v>
      </c>
      <c r="J50" s="49">
        <f t="shared" ref="J50:J55" si="33">H50*I50</f>
        <v>12.451797203172651</v>
      </c>
      <c r="K50" s="37">
        <f>(0.1*J50/1000)*1000</f>
        <v>1.2451797203172652</v>
      </c>
      <c r="L50" s="50">
        <f t="shared" ref="L50:L55" si="34">K50*100/L31</f>
        <v>4.6642106161355379</v>
      </c>
      <c r="M50" s="51">
        <f>AVERAGE(L50:L52)</f>
        <v>5.4545709582767126</v>
      </c>
      <c r="N50" s="52">
        <f>STDEV(L50:L52)</f>
        <v>0.73765500326684885</v>
      </c>
      <c r="O50" s="10">
        <f>L50/L40</f>
        <v>2.6541663010484573</v>
      </c>
      <c r="P50" s="51">
        <f>AVERAGE(O50:O52)</f>
        <v>2.3807227714128452</v>
      </c>
      <c r="Q50" s="52">
        <f>STDEV(O50:O52)</f>
        <v>0.28255773612810081</v>
      </c>
      <c r="S50" s="11"/>
      <c r="T50" s="11"/>
    </row>
    <row r="51" spans="1:25" ht="15.75" x14ac:dyDescent="0.3">
      <c r="B51" s="80">
        <v>0.23799999999999999</v>
      </c>
      <c r="C51" s="80">
        <v>0.22800000000000001</v>
      </c>
      <c r="D51" s="34">
        <f t="shared" si="28"/>
        <v>0.23299999999999998</v>
      </c>
      <c r="E51" s="34">
        <f t="shared" si="29"/>
        <v>0.16199999999999998</v>
      </c>
      <c r="F51" s="34">
        <f t="shared" si="30"/>
        <v>-0.79048498545736912</v>
      </c>
      <c r="G51" s="35">
        <f t="shared" si="31"/>
        <v>-9.2011840922638394E-2</v>
      </c>
      <c r="H51" s="34">
        <f t="shared" si="32"/>
        <v>0.80907383969628999</v>
      </c>
      <c r="I51" s="48">
        <v>16</v>
      </c>
      <c r="J51" s="49">
        <f t="shared" si="33"/>
        <v>12.94518143514064</v>
      </c>
      <c r="K51" s="37">
        <f t="shared" ref="K51:K55" si="35">(0.1*J51/1000)*1000</f>
        <v>1.294518143514064</v>
      </c>
      <c r="L51" s="50">
        <f t="shared" si="34"/>
        <v>6.1247653126587638</v>
      </c>
      <c r="M51" s="51"/>
      <c r="N51" s="52"/>
      <c r="O51" s="10">
        <f t="shared" ref="O51:O55" si="36">L51/L41</f>
        <v>2.089857076058832</v>
      </c>
      <c r="P51" s="51"/>
      <c r="Q51" s="52"/>
      <c r="S51" s="11"/>
      <c r="T51" s="11"/>
    </row>
    <row r="52" spans="1:25" ht="15.75" x14ac:dyDescent="0.3">
      <c r="B52" s="80">
        <v>0.251</v>
      </c>
      <c r="C52" s="80">
        <v>0.25900000000000001</v>
      </c>
      <c r="D52" s="34">
        <f t="shared" si="28"/>
        <v>0.255</v>
      </c>
      <c r="E52" s="34">
        <f t="shared" si="29"/>
        <v>0.184</v>
      </c>
      <c r="F52" s="34">
        <f t="shared" si="30"/>
        <v>-0.73518217699046351</v>
      </c>
      <c r="G52" s="35">
        <f t="shared" si="31"/>
        <v>-3.5070279985586261E-2</v>
      </c>
      <c r="H52" s="34">
        <f t="shared" si="32"/>
        <v>0.9224221435158112</v>
      </c>
      <c r="I52" s="48">
        <v>16</v>
      </c>
      <c r="J52" s="49">
        <f t="shared" si="33"/>
        <v>14.758754296252979</v>
      </c>
      <c r="K52" s="37">
        <f t="shared" si="35"/>
        <v>1.4758754296252981</v>
      </c>
      <c r="L52" s="50">
        <f t="shared" si="34"/>
        <v>5.5747369460358369</v>
      </c>
      <c r="M52" s="51"/>
      <c r="N52" s="52"/>
      <c r="O52" s="10">
        <f t="shared" si="36"/>
        <v>2.3981449371312453</v>
      </c>
      <c r="P52" s="51"/>
      <c r="Q52" s="52"/>
      <c r="S52" s="11"/>
      <c r="T52" s="11"/>
    </row>
    <row r="53" spans="1:25" ht="15.75" x14ac:dyDescent="0.3">
      <c r="A53" s="8" t="s">
        <v>30</v>
      </c>
      <c r="B53" s="80">
        <v>0.52800000000000002</v>
      </c>
      <c r="C53" s="80">
        <v>0.57299999999999995</v>
      </c>
      <c r="D53" s="34">
        <f>AVERAGE(B53:C53)</f>
        <v>0.55049999999999999</v>
      </c>
      <c r="E53" s="34">
        <f t="shared" si="29"/>
        <v>0.47949999999999998</v>
      </c>
      <c r="F53" s="34">
        <f t="shared" si="30"/>
        <v>-0.31921138849331759</v>
      </c>
      <c r="G53" s="35">
        <f t="shared" si="31"/>
        <v>0.39322670271499549</v>
      </c>
      <c r="H53" s="34">
        <f t="shared" si="32"/>
        <v>2.4730147274994447</v>
      </c>
      <c r="I53" s="48">
        <v>16</v>
      </c>
      <c r="J53" s="49">
        <f t="shared" si="33"/>
        <v>39.568235639991116</v>
      </c>
      <c r="K53" s="37">
        <f t="shared" si="35"/>
        <v>3.9568235639991123</v>
      </c>
      <c r="L53" s="50">
        <f t="shared" si="34"/>
        <v>17.040463153990522</v>
      </c>
      <c r="M53" s="51">
        <f>AVERAGE(L53:L55)</f>
        <v>15.105023451593789</v>
      </c>
      <c r="N53" s="52">
        <f>STDEV(L53:L55)</f>
        <v>1.7843801230897955</v>
      </c>
      <c r="O53" s="10">
        <f t="shared" si="36"/>
        <v>1.4156599304573199</v>
      </c>
      <c r="P53" s="51">
        <f>AVERAGE(O53:O55)</f>
        <v>1.3871449422275373</v>
      </c>
      <c r="Q53" s="52">
        <f>STDEV(O53:O55)</f>
        <v>2.6405121247416116E-2</v>
      </c>
      <c r="S53" s="11"/>
      <c r="T53" s="11"/>
    </row>
    <row r="54" spans="1:25" ht="15.75" x14ac:dyDescent="0.3">
      <c r="A54" s="53"/>
      <c r="B54" s="80">
        <v>0.56399999999999995</v>
      </c>
      <c r="C54" s="80">
        <v>0.495</v>
      </c>
      <c r="D54" s="34">
        <f>AVERAGE(B54:C54)</f>
        <v>0.52949999999999997</v>
      </c>
      <c r="E54" s="34">
        <f t="shared" si="29"/>
        <v>0.45849999999999996</v>
      </c>
      <c r="F54" s="34">
        <f t="shared" si="30"/>
        <v>-0.33866065999396011</v>
      </c>
      <c r="G54" s="35">
        <f t="shared" si="31"/>
        <v>0.37320110349072028</v>
      </c>
      <c r="H54" s="34">
        <f t="shared" si="32"/>
        <v>2.3615715243829785</v>
      </c>
      <c r="I54" s="48">
        <v>16</v>
      </c>
      <c r="J54" s="49">
        <f t="shared" si="33"/>
        <v>37.785144390127655</v>
      </c>
      <c r="K54" s="37">
        <f t="shared" si="35"/>
        <v>3.7785144390127656</v>
      </c>
      <c r="L54" s="50">
        <f t="shared" si="34"/>
        <v>13.525284570897329</v>
      </c>
      <c r="M54" s="51"/>
      <c r="N54" s="52"/>
      <c r="O54" s="10">
        <f t="shared" si="36"/>
        <v>1.3635385437499803</v>
      </c>
      <c r="P54" s="51"/>
      <c r="Q54" s="52"/>
      <c r="S54" s="11"/>
      <c r="T54" s="11"/>
    </row>
    <row r="55" spans="1:25" ht="15.75" x14ac:dyDescent="0.3">
      <c r="A55" s="54"/>
      <c r="B55" s="80">
        <v>0.56000000000000005</v>
      </c>
      <c r="C55" s="80">
        <v>0.55400000000000005</v>
      </c>
      <c r="D55" s="34">
        <f>AVERAGE(B55:C55)</f>
        <v>0.55700000000000005</v>
      </c>
      <c r="E55" s="34">
        <f t="shared" si="29"/>
        <v>0.48600000000000004</v>
      </c>
      <c r="F55" s="34">
        <f t="shared" si="30"/>
        <v>-0.31336373073770657</v>
      </c>
      <c r="G55" s="35">
        <f t="shared" si="31"/>
        <v>0.39924764034295357</v>
      </c>
      <c r="H55" s="34">
        <f t="shared" si="32"/>
        <v>2.5075386765118215</v>
      </c>
      <c r="I55" s="48">
        <v>16</v>
      </c>
      <c r="J55" s="49">
        <f t="shared" si="33"/>
        <v>40.120618824189144</v>
      </c>
      <c r="K55" s="37">
        <f t="shared" si="35"/>
        <v>4.0120618824189149</v>
      </c>
      <c r="L55" s="50">
        <f t="shared" si="34"/>
        <v>14.749322629893522</v>
      </c>
      <c r="M55" s="51"/>
      <c r="N55" s="52"/>
      <c r="O55" s="10">
        <f t="shared" si="36"/>
        <v>1.3822363524753123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2.3807227714128452</v>
      </c>
      <c r="O58" s="51">
        <f>Q50</f>
        <v>0.28255773612810081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1.3871449422275373</v>
      </c>
      <c r="O59" s="51">
        <f>Q53</f>
        <v>2.6405121247416116E-2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2.3375435417170718</v>
      </c>
      <c r="C65" s="51">
        <f>N40</f>
        <v>0.58680375583514299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5.4545709582767126</v>
      </c>
      <c r="C66" s="51">
        <f>N50</f>
        <v>0.73765500326684885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10.875664181535797</v>
      </c>
      <c r="C67" s="51">
        <f>N43</f>
        <v>1.0737164807705455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15.105023451593789</v>
      </c>
      <c r="C68" s="51">
        <f>N53</f>
        <v>1.7843801230897955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70" zoomScaleNormal="70" workbookViewId="0">
      <selection activeCell="F4" sqref="F4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42429</v>
      </c>
    </row>
    <row r="2" spans="1:20" s="3" customFormat="1" ht="13.5" thickBot="1" x14ac:dyDescent="0.25">
      <c r="A2" s="1" t="s">
        <v>1</v>
      </c>
      <c r="B2" s="3">
        <v>64</v>
      </c>
      <c r="C2" s="4"/>
      <c r="E2" s="5" t="s">
        <v>2</v>
      </c>
    </row>
    <row r="3" spans="1:20" s="3" customFormat="1" ht="15.75" thickBot="1" x14ac:dyDescent="0.3">
      <c r="A3" s="1" t="s">
        <v>3</v>
      </c>
      <c r="B3" s="3" t="s">
        <v>4</v>
      </c>
      <c r="D3" s="6" t="s">
        <v>5</v>
      </c>
      <c r="E3" s="83">
        <v>223208</v>
      </c>
      <c r="F3" s="84">
        <v>218528</v>
      </c>
    </row>
    <row r="4" spans="1:20" s="3" customFormat="1" ht="15" x14ac:dyDescent="0.25">
      <c r="A4" s="1"/>
      <c r="D4" s="6" t="s">
        <v>6</v>
      </c>
      <c r="E4" s="90">
        <v>308120</v>
      </c>
      <c r="F4" s="90">
        <v>292496</v>
      </c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.75" x14ac:dyDescent="0.3">
      <c r="A8" s="78">
        <v>0</v>
      </c>
      <c r="B8" s="17">
        <v>0</v>
      </c>
      <c r="C8" s="80">
        <v>7.2999999999999995E-2</v>
      </c>
      <c r="D8" s="80">
        <v>6.9000000000000006E-2</v>
      </c>
      <c r="E8" s="18">
        <f t="shared" ref="E8:E13" si="0">AVERAGE(C8:D8)</f>
        <v>7.1000000000000008E-2</v>
      </c>
      <c r="F8" s="19"/>
      <c r="G8" s="17"/>
      <c r="H8" s="17"/>
      <c r="N8" s="11"/>
      <c r="O8" s="11"/>
      <c r="P8" s="11"/>
    </row>
    <row r="9" spans="1:20" ht="15.75" x14ac:dyDescent="0.3">
      <c r="A9" s="78">
        <v>3</v>
      </c>
      <c r="B9" s="19">
        <f>A9/23</f>
        <v>0.13043478260869565</v>
      </c>
      <c r="C9" s="80">
        <v>0.106</v>
      </c>
      <c r="D9" s="80">
        <v>9.7000000000000003E-2</v>
      </c>
      <c r="E9" s="18">
        <f t="shared" si="0"/>
        <v>0.10150000000000001</v>
      </c>
      <c r="F9" s="19">
        <f>(E9-$E$8)</f>
        <v>3.0499999999999999E-2</v>
      </c>
      <c r="G9" s="19">
        <f>LOG(B9)</f>
        <v>-0.88460658129793046</v>
      </c>
      <c r="H9" s="19">
        <f>LOG(F9)</f>
        <v>-1.5157001606532141</v>
      </c>
      <c r="N9" s="11"/>
      <c r="O9" s="11"/>
      <c r="P9" s="11"/>
    </row>
    <row r="10" spans="1:20" ht="15.75" x14ac:dyDescent="0.3">
      <c r="A10" s="78">
        <v>9.74</v>
      </c>
      <c r="B10" s="19">
        <f t="shared" ref="B10:B13" si="1">A10/23</f>
        <v>0.42347826086956525</v>
      </c>
      <c r="C10" s="80">
        <v>0.156</v>
      </c>
      <c r="D10" s="80">
        <v>0.13600000000000001</v>
      </c>
      <c r="E10" s="18">
        <f t="shared" si="0"/>
        <v>0.14600000000000002</v>
      </c>
      <c r="F10" s="19">
        <f>(E10-$E$8)</f>
        <v>7.5000000000000011E-2</v>
      </c>
      <c r="G10" s="19">
        <f>LOG(B10)</f>
        <v>-0.37316887913897734</v>
      </c>
      <c r="H10" s="19">
        <f>LOG(F10)</f>
        <v>-1.1249387366082999</v>
      </c>
      <c r="N10" s="11"/>
      <c r="O10" s="11"/>
      <c r="P10" s="11"/>
    </row>
    <row r="11" spans="1:20" ht="15.75" x14ac:dyDescent="0.3">
      <c r="A11" s="78">
        <v>29.8</v>
      </c>
      <c r="B11" s="19">
        <f t="shared" si="1"/>
        <v>1.2956521739130435</v>
      </c>
      <c r="C11" s="80">
        <v>0.317</v>
      </c>
      <c r="D11" s="80">
        <v>0.32</v>
      </c>
      <c r="E11" s="18">
        <f t="shared" si="0"/>
        <v>0.31850000000000001</v>
      </c>
      <c r="F11" s="19">
        <f>(E11-$E$8)</f>
        <v>0.2475</v>
      </c>
      <c r="G11" s="19">
        <f>LOG(B11)</f>
        <v>0.11248842805866238</v>
      </c>
      <c r="H11" s="19">
        <f>LOG(F11)</f>
        <v>-0.6064247967304125</v>
      </c>
      <c r="N11" s="11"/>
      <c r="O11" s="11"/>
      <c r="P11" s="11"/>
      <c r="Q11" s="11"/>
      <c r="R11" s="11"/>
      <c r="S11" s="11"/>
      <c r="T11" s="11"/>
    </row>
    <row r="12" spans="1:20" ht="15.75" x14ac:dyDescent="0.3">
      <c r="A12" s="78">
        <v>104</v>
      </c>
      <c r="B12" s="19">
        <f t="shared" si="1"/>
        <v>4.5217391304347823</v>
      </c>
      <c r="C12" s="80">
        <v>1.0329999999999999</v>
      </c>
      <c r="D12" s="80">
        <v>0.996</v>
      </c>
      <c r="E12" s="18">
        <f t="shared" si="0"/>
        <v>1.0145</v>
      </c>
      <c r="F12" s="19">
        <f>(E12-$E$8)</f>
        <v>0.94350000000000001</v>
      </c>
      <c r="G12" s="19">
        <f>LOG(B12)</f>
        <v>0.65530550328118742</v>
      </c>
      <c r="H12" s="19">
        <f>LOG(F12)</f>
        <v>-2.525809549904983E-2</v>
      </c>
      <c r="N12" s="11"/>
      <c r="O12" s="11"/>
      <c r="P12" s="11"/>
      <c r="Q12" s="11"/>
      <c r="R12" s="11"/>
      <c r="S12" s="11"/>
      <c r="T12" s="11"/>
    </row>
    <row r="13" spans="1:20" ht="15.75" x14ac:dyDescent="0.3">
      <c r="A13" s="78">
        <v>207</v>
      </c>
      <c r="B13" s="19">
        <f t="shared" si="1"/>
        <v>9</v>
      </c>
      <c r="C13" s="80">
        <v>1.702</v>
      </c>
      <c r="D13" s="80">
        <v>1.7410000000000001</v>
      </c>
      <c r="E13" s="18">
        <f t="shared" si="0"/>
        <v>1.7215</v>
      </c>
      <c r="F13" s="19">
        <f>(E13-$E$8)</f>
        <v>1.6505000000000001</v>
      </c>
      <c r="G13" s="19">
        <f>LOG(B13)</f>
        <v>0.95424250943932487</v>
      </c>
      <c r="H13" s="19">
        <f>LOG(F13)</f>
        <v>0.21761552866633035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0.9712204505254407</v>
      </c>
      <c r="N15" s="11"/>
    </row>
    <row r="16" spans="1:20" ht="15" x14ac:dyDescent="0.25">
      <c r="A16" s="12" t="s">
        <v>15</v>
      </c>
      <c r="B16" s="18">
        <f>INTERCEPT(H9:H13,G9:G13)</f>
        <v>-0.70112120386280907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25">
      <c r="A22" s="8" t="s">
        <v>29</v>
      </c>
      <c r="B22" s="80">
        <v>0.28199999999999997</v>
      </c>
      <c r="C22" s="80">
        <v>0.3</v>
      </c>
      <c r="D22" s="34">
        <f t="shared" ref="D22:D27" si="2">AVERAGE(B22:C22)</f>
        <v>0.29099999999999998</v>
      </c>
      <c r="E22" s="34">
        <f t="shared" ref="E22:E27" si="3">D22-E$8</f>
        <v>0.21999999999999997</v>
      </c>
      <c r="F22" s="34">
        <f>LOG(E22)</f>
        <v>-0.65757731917779383</v>
      </c>
      <c r="G22" s="35">
        <f>(F22-$B$16)/$B$15</f>
        <v>4.4834192547590544E-2</v>
      </c>
      <c r="H22" s="35">
        <f>10^G22</f>
        <v>1.1087514289300409</v>
      </c>
      <c r="I22" s="36">
        <v>500</v>
      </c>
      <c r="J22" s="37">
        <f>(H22*I22)</f>
        <v>554.37571446502045</v>
      </c>
      <c r="K22" s="37">
        <f>(0.05*J22/1000)*1000</f>
        <v>27.718785723251024</v>
      </c>
      <c r="L22" s="38">
        <f>K22+K40+K50</f>
        <v>28.996354008756022</v>
      </c>
      <c r="M22" s="39">
        <f>(L22*1000000/50000)/1000</f>
        <v>0.5799270801751204</v>
      </c>
      <c r="N22" s="40"/>
    </row>
    <row r="23" spans="1:17" ht="15" x14ac:dyDescent="0.25">
      <c r="B23" s="80">
        <v>0.32100000000000001</v>
      </c>
      <c r="C23" s="80">
        <v>0.32400000000000001</v>
      </c>
      <c r="D23" s="34">
        <f t="shared" si="2"/>
        <v>0.32250000000000001</v>
      </c>
      <c r="E23" s="34">
        <f t="shared" si="3"/>
        <v>0.2515</v>
      </c>
      <c r="F23" s="34">
        <f t="shared" ref="F23:F27" si="4">LOG(E23)</f>
        <v>-0.59946201060805382</v>
      </c>
      <c r="G23" s="35">
        <f t="shared" ref="G23:G27" si="5">(F23-$B$16)/$B$15</f>
        <v>0.10467159458983441</v>
      </c>
      <c r="H23" s="35">
        <f t="shared" ref="H23:H27" si="6">10^G23</f>
        <v>1.2725404456808664</v>
      </c>
      <c r="I23" s="36">
        <v>500</v>
      </c>
      <c r="J23" s="37">
        <f t="shared" ref="J23:J27" si="7">(H23*I23)</f>
        <v>636.27022284043323</v>
      </c>
      <c r="K23" s="37">
        <f t="shared" ref="K23:K27" si="8">(0.05*J23/1000)*1000</f>
        <v>31.81351114202166</v>
      </c>
      <c r="L23" s="38">
        <f>K23+K41+K51</f>
        <v>33.329446011441092</v>
      </c>
      <c r="M23" s="39">
        <f t="shared" ref="M23:M27" si="9">(L23*1000000/50000)/1000</f>
        <v>0.66658892022882188</v>
      </c>
      <c r="N23" s="40"/>
    </row>
    <row r="24" spans="1:17" ht="15" x14ac:dyDescent="0.25">
      <c r="B24" s="80">
        <v>0.27900000000000003</v>
      </c>
      <c r="C24" s="80">
        <v>0.27200000000000002</v>
      </c>
      <c r="D24" s="34">
        <f t="shared" si="2"/>
        <v>0.27550000000000002</v>
      </c>
      <c r="E24" s="34">
        <f t="shared" si="3"/>
        <v>0.20450000000000002</v>
      </c>
      <c r="F24" s="34">
        <f t="shared" si="4"/>
        <v>-0.68930668765663938</v>
      </c>
      <c r="G24" s="35">
        <f t="shared" si="5"/>
        <v>1.2164608148209717E-2</v>
      </c>
      <c r="H24" s="35">
        <f t="shared" si="6"/>
        <v>1.0284060151030534</v>
      </c>
      <c r="I24" s="36">
        <v>500</v>
      </c>
      <c r="J24" s="37">
        <f t="shared" si="7"/>
        <v>514.20300755152675</v>
      </c>
      <c r="K24" s="37">
        <f t="shared" si="8"/>
        <v>25.71015037757634</v>
      </c>
      <c r="L24" s="38">
        <f t="shared" ref="L24:L27" si="10">K24+K42+K52</f>
        <v>27.076524521606132</v>
      </c>
      <c r="M24" s="39">
        <f t="shared" si="9"/>
        <v>0.54153049043212265</v>
      </c>
      <c r="N24" s="40"/>
    </row>
    <row r="25" spans="1:17" ht="15" x14ac:dyDescent="0.25">
      <c r="A25" s="8" t="s">
        <v>30</v>
      </c>
      <c r="B25" s="80">
        <v>0.23699999999999999</v>
      </c>
      <c r="C25" s="80">
        <v>0.249</v>
      </c>
      <c r="D25" s="34">
        <f t="shared" si="2"/>
        <v>0.24299999999999999</v>
      </c>
      <c r="E25" s="34">
        <f t="shared" si="3"/>
        <v>0.17199999999999999</v>
      </c>
      <c r="F25" s="34">
        <f t="shared" si="4"/>
        <v>-0.76447155309245107</v>
      </c>
      <c r="G25" s="35">
        <f t="shared" si="5"/>
        <v>-6.5227569287043721E-2</v>
      </c>
      <c r="H25" s="35">
        <f t="shared" si="6"/>
        <v>0.86054271166594476</v>
      </c>
      <c r="I25" s="36">
        <v>500</v>
      </c>
      <c r="J25" s="37">
        <f t="shared" si="7"/>
        <v>430.2713558329724</v>
      </c>
      <c r="K25" s="37">
        <f t="shared" si="8"/>
        <v>21.513567791648622</v>
      </c>
      <c r="L25" s="38">
        <f t="shared" si="10"/>
        <v>28.139776178288404</v>
      </c>
      <c r="M25" s="39">
        <f t="shared" si="9"/>
        <v>0.56279552356576812</v>
      </c>
      <c r="N25" s="40"/>
    </row>
    <row r="26" spans="1:17" ht="15" x14ac:dyDescent="0.25">
      <c r="B26" s="80">
        <v>0.24199999999999999</v>
      </c>
      <c r="C26" s="80">
        <v>0.249</v>
      </c>
      <c r="D26" s="34">
        <f t="shared" si="2"/>
        <v>0.2455</v>
      </c>
      <c r="E26" s="34">
        <f t="shared" si="3"/>
        <v>0.17449999999999999</v>
      </c>
      <c r="F26" s="34">
        <f t="shared" si="4"/>
        <v>-0.75820456870480135</v>
      </c>
      <c r="G26" s="35">
        <f t="shared" si="5"/>
        <v>-5.8774879391295318E-2</v>
      </c>
      <c r="H26" s="35">
        <f t="shared" si="6"/>
        <v>0.87342399856835506</v>
      </c>
      <c r="I26" s="36">
        <v>500</v>
      </c>
      <c r="J26" s="37">
        <f t="shared" si="7"/>
        <v>436.71199928417752</v>
      </c>
      <c r="K26" s="37">
        <f t="shared" si="8"/>
        <v>21.835599964208878</v>
      </c>
      <c r="L26" s="38">
        <f t="shared" si="10"/>
        <v>27.60574380260331</v>
      </c>
      <c r="M26" s="39">
        <f t="shared" si="9"/>
        <v>0.55211487605206633</v>
      </c>
      <c r="N26" s="40"/>
    </row>
    <row r="27" spans="1:17" ht="15" x14ac:dyDescent="0.25">
      <c r="B27" s="80">
        <v>0.26</v>
      </c>
      <c r="C27" s="80">
        <v>0.28299999999999997</v>
      </c>
      <c r="D27" s="34">
        <f t="shared" si="2"/>
        <v>0.27149999999999996</v>
      </c>
      <c r="E27" s="34">
        <f t="shared" si="3"/>
        <v>0.20049999999999996</v>
      </c>
      <c r="F27" s="34">
        <f t="shared" si="4"/>
        <v>-0.69788562304379897</v>
      </c>
      <c r="G27" s="35">
        <f t="shared" si="5"/>
        <v>3.3314586994740623E-3</v>
      </c>
      <c r="H27" s="35">
        <f t="shared" si="6"/>
        <v>1.007700464383652</v>
      </c>
      <c r="I27" s="36">
        <v>500</v>
      </c>
      <c r="J27" s="37">
        <f t="shared" si="7"/>
        <v>503.85023219182602</v>
      </c>
      <c r="K27" s="37">
        <f t="shared" si="8"/>
        <v>25.192511609591303</v>
      </c>
      <c r="L27" s="38">
        <f t="shared" si="10"/>
        <v>31.388598925936204</v>
      </c>
      <c r="M27" s="39">
        <f t="shared" si="9"/>
        <v>0.62777197851872402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/>
      <c r="C29" s="73"/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.75" x14ac:dyDescent="0.3">
      <c r="A31" s="8" t="s">
        <v>29</v>
      </c>
      <c r="B31" s="80">
        <v>0.28199999999999997</v>
      </c>
      <c r="C31" s="80">
        <v>0.3</v>
      </c>
      <c r="D31" s="34">
        <f t="shared" ref="D31:D36" si="11">AVERAGE(B31:C31)</f>
        <v>0.29099999999999998</v>
      </c>
      <c r="E31" s="34">
        <f t="shared" ref="E31:E36" si="12">D31-E$8</f>
        <v>0.21999999999999997</v>
      </c>
      <c r="F31" s="34">
        <f>LOG(E31)</f>
        <v>-0.65757731917779383</v>
      </c>
      <c r="G31" s="35">
        <f>(F31-$B$16)/$B$15</f>
        <v>4.4834192547590544E-2</v>
      </c>
      <c r="H31" s="35">
        <f>10^G31</f>
        <v>1.1087514289300409</v>
      </c>
      <c r="I31" s="36">
        <v>500</v>
      </c>
      <c r="J31" s="37">
        <f>(H31*I31)</f>
        <v>554.37571446502045</v>
      </c>
      <c r="K31" s="37">
        <f>(0.05*J31/1000)*1000</f>
        <v>27.718785723251024</v>
      </c>
      <c r="L31" s="38">
        <f>K31+K50</f>
        <v>28.526813597283486</v>
      </c>
      <c r="M31" s="39">
        <f>(L31*1000000/50000)/1000</f>
        <v>0.57053627194566969</v>
      </c>
      <c r="N31" s="43"/>
      <c r="Q31" s="11"/>
    </row>
    <row r="32" spans="1:17" ht="15.75" x14ac:dyDescent="0.3">
      <c r="B32" s="80">
        <v>0.32100000000000001</v>
      </c>
      <c r="C32" s="80">
        <v>0.32400000000000001</v>
      </c>
      <c r="D32" s="34">
        <f t="shared" si="11"/>
        <v>0.32250000000000001</v>
      </c>
      <c r="E32" s="34">
        <f t="shared" si="12"/>
        <v>0.2515</v>
      </c>
      <c r="F32" s="34">
        <f t="shared" ref="F32:F36" si="13">LOG(E32)</f>
        <v>-0.59946201060805382</v>
      </c>
      <c r="G32" s="35">
        <f t="shared" ref="G32:G36" si="14">(F32-$B$16)/$B$15</f>
        <v>0.10467159458983441</v>
      </c>
      <c r="H32" s="35">
        <f t="shared" ref="H32:H36" si="15">10^G32</f>
        <v>1.2725404456808664</v>
      </c>
      <c r="I32" s="36">
        <v>500</v>
      </c>
      <c r="J32" s="37">
        <f t="shared" ref="J32:J36" si="16">(H32*I32)</f>
        <v>636.27022284043323</v>
      </c>
      <c r="K32" s="37">
        <f t="shared" ref="K32:K36" si="17">(0.05*J32/1000)*1000</f>
        <v>31.81351114202166</v>
      </c>
      <c r="L32" s="38">
        <f>K32+K51</f>
        <v>32.751694019588321</v>
      </c>
      <c r="M32" s="39">
        <f t="shared" ref="M32:M36" si="18">(L32*1000000/50000)/1000</f>
        <v>0.65503388039176635</v>
      </c>
      <c r="N32" s="44"/>
      <c r="Q32" s="11"/>
    </row>
    <row r="33" spans="1:19" ht="15.75" x14ac:dyDescent="0.3">
      <c r="B33" s="80">
        <v>0.27900000000000003</v>
      </c>
      <c r="C33" s="80">
        <v>0.27200000000000002</v>
      </c>
      <c r="D33" s="34">
        <f t="shared" si="11"/>
        <v>0.27550000000000002</v>
      </c>
      <c r="E33" s="34">
        <f t="shared" si="12"/>
        <v>0.20450000000000002</v>
      </c>
      <c r="F33" s="34">
        <f t="shared" si="13"/>
        <v>-0.68930668765663938</v>
      </c>
      <c r="G33" s="35">
        <f t="shared" si="14"/>
        <v>1.2164608148209717E-2</v>
      </c>
      <c r="H33" s="35">
        <f t="shared" si="15"/>
        <v>1.0284060151030534</v>
      </c>
      <c r="I33" s="36">
        <v>500</v>
      </c>
      <c r="J33" s="37">
        <f t="shared" si="16"/>
        <v>514.20300755152675</v>
      </c>
      <c r="K33" s="37">
        <f t="shared" si="17"/>
        <v>25.71015037757634</v>
      </c>
      <c r="L33" s="38">
        <f t="shared" ref="L33:L36" si="19">K33+K52</f>
        <v>26.570986013350105</v>
      </c>
      <c r="M33" s="39">
        <f t="shared" si="18"/>
        <v>0.53141972026700202</v>
      </c>
      <c r="N33" s="44"/>
      <c r="Q33" s="11"/>
    </row>
    <row r="34" spans="1:19" ht="15.75" x14ac:dyDescent="0.3">
      <c r="A34" s="8" t="s">
        <v>30</v>
      </c>
      <c r="B34" s="80">
        <v>0.23699999999999999</v>
      </c>
      <c r="C34" s="80">
        <v>0.249</v>
      </c>
      <c r="D34" s="34">
        <f t="shared" si="11"/>
        <v>0.24299999999999999</v>
      </c>
      <c r="E34" s="34">
        <f t="shared" si="12"/>
        <v>0.17199999999999999</v>
      </c>
      <c r="F34" s="34">
        <f t="shared" si="13"/>
        <v>-0.76447155309245107</v>
      </c>
      <c r="G34" s="35">
        <f t="shared" si="14"/>
        <v>-6.5227569287043721E-2</v>
      </c>
      <c r="H34" s="35">
        <f t="shared" si="15"/>
        <v>0.86054271166594476</v>
      </c>
      <c r="I34" s="36">
        <v>500</v>
      </c>
      <c r="J34" s="37">
        <f t="shared" si="16"/>
        <v>430.2713558329724</v>
      </c>
      <c r="K34" s="37">
        <f t="shared" si="17"/>
        <v>21.513567791648622</v>
      </c>
      <c r="L34" s="38">
        <f t="shared" si="19"/>
        <v>25.135200457248949</v>
      </c>
      <c r="M34" s="39">
        <f t="shared" si="18"/>
        <v>0.50270400914497892</v>
      </c>
      <c r="N34" s="44"/>
      <c r="Q34" s="11"/>
    </row>
    <row r="35" spans="1:19" ht="15.75" x14ac:dyDescent="0.3">
      <c r="B35" s="80">
        <v>0.24199999999999999</v>
      </c>
      <c r="C35" s="80">
        <v>0.249</v>
      </c>
      <c r="D35" s="34">
        <f t="shared" si="11"/>
        <v>0.2455</v>
      </c>
      <c r="E35" s="34">
        <f t="shared" si="12"/>
        <v>0.17449999999999999</v>
      </c>
      <c r="F35" s="34">
        <f t="shared" si="13"/>
        <v>-0.75820456870480135</v>
      </c>
      <c r="G35" s="35">
        <f t="shared" si="14"/>
        <v>-5.8774879391295318E-2</v>
      </c>
      <c r="H35" s="35">
        <f t="shared" si="15"/>
        <v>0.87342399856835506</v>
      </c>
      <c r="I35" s="36">
        <v>500</v>
      </c>
      <c r="J35" s="37">
        <f t="shared" si="16"/>
        <v>436.71199928417752</v>
      </c>
      <c r="K35" s="37">
        <f t="shared" si="17"/>
        <v>21.835599964208878</v>
      </c>
      <c r="L35" s="38">
        <f t="shared" si="19"/>
        <v>25.051120106582335</v>
      </c>
      <c r="M35" s="39">
        <f t="shared" si="18"/>
        <v>0.50102240213164673</v>
      </c>
      <c r="N35" s="44"/>
      <c r="Q35" s="11"/>
      <c r="S35" s="11"/>
    </row>
    <row r="36" spans="1:19" ht="15.75" x14ac:dyDescent="0.3">
      <c r="B36" s="80">
        <v>0.26</v>
      </c>
      <c r="C36" s="80">
        <v>0.28299999999999997</v>
      </c>
      <c r="D36" s="34">
        <f t="shared" si="11"/>
        <v>0.27149999999999996</v>
      </c>
      <c r="E36" s="34">
        <f t="shared" si="12"/>
        <v>0.20049999999999996</v>
      </c>
      <c r="F36" s="34">
        <f t="shared" si="13"/>
        <v>-0.69788562304379897</v>
      </c>
      <c r="G36" s="35">
        <f t="shared" si="14"/>
        <v>3.3314586994740623E-3</v>
      </c>
      <c r="H36" s="35">
        <f t="shared" si="15"/>
        <v>1.007700464383652</v>
      </c>
      <c r="I36" s="36">
        <v>500</v>
      </c>
      <c r="J36" s="37">
        <f t="shared" si="16"/>
        <v>503.85023219182602</v>
      </c>
      <c r="K36" s="37">
        <f t="shared" si="17"/>
        <v>25.192511609591303</v>
      </c>
      <c r="L36" s="38">
        <f t="shared" si="19"/>
        <v>29.064396568200259</v>
      </c>
      <c r="M36" s="39">
        <f t="shared" si="18"/>
        <v>0.58128793136400525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/>
      <c r="C39" s="75"/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.75" x14ac:dyDescent="0.3">
      <c r="A40" s="8" t="s">
        <v>37</v>
      </c>
      <c r="B40" s="80">
        <v>0.129</v>
      </c>
      <c r="C40" s="80">
        <v>0.13400000000000001</v>
      </c>
      <c r="D40" s="34">
        <f>AVERAGE(B40,C40)</f>
        <v>0.13150000000000001</v>
      </c>
      <c r="E40" s="34">
        <f t="shared" ref="E40:E45" si="20">D40-E$8</f>
        <v>6.0499999999999998E-2</v>
      </c>
      <c r="F40" s="34">
        <f t="shared" ref="F40:F45" si="21">LOG(E40)</f>
        <v>-1.2182446253475312</v>
      </c>
      <c r="G40" s="35">
        <f t="shared" ref="G40:G45" si="22">(F40-$B$16)/$B$15</f>
        <v>-0.53244700644941401</v>
      </c>
      <c r="H40" s="34">
        <f t="shared" ref="H40:H45" si="23">10^G40</f>
        <v>0.29346275717033576</v>
      </c>
      <c r="I40" s="48">
        <v>16</v>
      </c>
      <c r="J40" s="49">
        <f t="shared" ref="J40:J45" si="24">H40*I40</f>
        <v>4.6954041147253722</v>
      </c>
      <c r="K40" s="37">
        <f>(0.1*J40/1000)*1000</f>
        <v>0.46954041147253722</v>
      </c>
      <c r="L40" s="50">
        <f>K40*100/L22</f>
        <v>1.6193084528170341</v>
      </c>
      <c r="M40" s="51">
        <f>AVERAGE(L40:L42)</f>
        <v>1.7399465642980259</v>
      </c>
      <c r="N40" s="52">
        <f>STDEV(L40:L42)</f>
        <v>0.12400970150708496</v>
      </c>
      <c r="R40" s="11"/>
      <c r="S40" s="11"/>
    </row>
    <row r="41" spans="1:19" ht="15.75" x14ac:dyDescent="0.3">
      <c r="B41" s="80">
        <v>0.14099999999999999</v>
      </c>
      <c r="C41" s="80">
        <v>0.14899999999999999</v>
      </c>
      <c r="D41" s="34">
        <f>AVERAGE(B41,C41)</f>
        <v>0.14499999999999999</v>
      </c>
      <c r="E41" s="34">
        <f t="shared" si="20"/>
        <v>7.3999999999999982E-2</v>
      </c>
      <c r="F41" s="34">
        <f t="shared" si="21"/>
        <v>-1.130768280269024</v>
      </c>
      <c r="G41" s="35">
        <f t="shared" si="22"/>
        <v>-0.4423785312322977</v>
      </c>
      <c r="H41" s="34">
        <f t="shared" si="23"/>
        <v>0.36109499490798092</v>
      </c>
      <c r="I41" s="48">
        <v>16</v>
      </c>
      <c r="J41" s="49">
        <f t="shared" si="24"/>
        <v>5.7775199185276946</v>
      </c>
      <c r="K41" s="37">
        <f t="shared" ref="K41:K45" si="25">(0.1*J41/1000)*1000</f>
        <v>0.57775199185276949</v>
      </c>
      <c r="L41" s="50">
        <f t="shared" ref="L41:L45" si="26">K41*100/L23</f>
        <v>1.7334581308505486</v>
      </c>
      <c r="M41" s="51"/>
      <c r="N41" s="52"/>
      <c r="R41" s="11"/>
      <c r="S41" s="11"/>
    </row>
    <row r="42" spans="1:19" s="24" customFormat="1" ht="15.75" x14ac:dyDescent="0.3">
      <c r="A42" s="8"/>
      <c r="B42" s="80">
        <v>0.13300000000000001</v>
      </c>
      <c r="C42" s="80">
        <v>0.13900000000000001</v>
      </c>
      <c r="D42" s="34">
        <f>AVERAGE(B42,C42)</f>
        <v>0.13600000000000001</v>
      </c>
      <c r="E42" s="34">
        <f t="shared" si="20"/>
        <v>6.5000000000000002E-2</v>
      </c>
      <c r="F42" s="34">
        <f t="shared" si="21"/>
        <v>-1.1870866433571443</v>
      </c>
      <c r="G42" s="35">
        <f t="shared" si="22"/>
        <v>-0.50036574006593737</v>
      </c>
      <c r="H42" s="34">
        <f t="shared" si="23"/>
        <v>0.31596156766001621</v>
      </c>
      <c r="I42" s="48">
        <v>16</v>
      </c>
      <c r="J42" s="49">
        <f t="shared" si="24"/>
        <v>5.0553850825602593</v>
      </c>
      <c r="K42" s="37">
        <f t="shared" si="25"/>
        <v>0.50553850825602598</v>
      </c>
      <c r="L42" s="50">
        <f t="shared" si="26"/>
        <v>1.8670731092264949</v>
      </c>
      <c r="M42" s="51"/>
      <c r="N42" s="52"/>
      <c r="R42" s="11"/>
      <c r="S42" s="11"/>
    </row>
    <row r="43" spans="1:19" ht="15.75" x14ac:dyDescent="0.3">
      <c r="A43" s="8" t="s">
        <v>38</v>
      </c>
      <c r="B43" s="80">
        <v>0.44400000000000001</v>
      </c>
      <c r="C43" s="80">
        <v>0.432</v>
      </c>
      <c r="D43" s="34">
        <f t="shared" ref="D43:D45" si="27">AVERAGE(B43,C43)</f>
        <v>0.438</v>
      </c>
      <c r="E43" s="34">
        <f t="shared" si="20"/>
        <v>0.36699999999999999</v>
      </c>
      <c r="F43" s="34">
        <f t="shared" si="21"/>
        <v>-0.43533393574791068</v>
      </c>
      <c r="G43" s="35">
        <f t="shared" si="22"/>
        <v>0.27366317088062203</v>
      </c>
      <c r="H43" s="34">
        <f t="shared" si="23"/>
        <v>1.8778598256496599</v>
      </c>
      <c r="I43" s="48">
        <v>16</v>
      </c>
      <c r="J43" s="49">
        <f t="shared" si="24"/>
        <v>30.045757210394559</v>
      </c>
      <c r="K43" s="37">
        <f t="shared" si="25"/>
        <v>3.0045757210394561</v>
      </c>
      <c r="L43" s="50">
        <f t="shared" si="26"/>
        <v>10.67732629429254</v>
      </c>
      <c r="M43" s="51">
        <f>AVERAGE(L43:L45)</f>
        <v>9.111963435952509</v>
      </c>
      <c r="N43" s="52">
        <f>STDEV(L43:L45)</f>
        <v>1.6409737158896844</v>
      </c>
      <c r="R43" s="11"/>
      <c r="S43" s="11"/>
    </row>
    <row r="44" spans="1:19" ht="15" x14ac:dyDescent="0.25">
      <c r="A44" s="53"/>
      <c r="B44" s="80">
        <v>0.38600000000000001</v>
      </c>
      <c r="C44" s="80">
        <v>0.38300000000000001</v>
      </c>
      <c r="D44" s="34">
        <f t="shared" si="27"/>
        <v>0.38450000000000001</v>
      </c>
      <c r="E44" s="34">
        <f t="shared" si="20"/>
        <v>0.3135</v>
      </c>
      <c r="F44" s="34">
        <f t="shared" si="21"/>
        <v>-0.50376245483326476</v>
      </c>
      <c r="G44" s="35">
        <f t="shared" si="22"/>
        <v>0.20320695360437593</v>
      </c>
      <c r="H44" s="34">
        <f t="shared" si="23"/>
        <v>1.5966398100131087</v>
      </c>
      <c r="I44" s="48">
        <v>16</v>
      </c>
      <c r="J44" s="49">
        <f t="shared" si="24"/>
        <v>25.54623696020974</v>
      </c>
      <c r="K44" s="37">
        <f t="shared" si="25"/>
        <v>2.5546236960209741</v>
      </c>
      <c r="L44" s="50">
        <f t="shared" si="26"/>
        <v>9.253957126777598</v>
      </c>
      <c r="M44" s="51"/>
      <c r="N44" s="52"/>
    </row>
    <row r="45" spans="1:19" ht="15" x14ac:dyDescent="0.25">
      <c r="A45" s="54"/>
      <c r="B45" s="80">
        <v>0.36299999999999999</v>
      </c>
      <c r="C45" s="80">
        <v>0.35099999999999998</v>
      </c>
      <c r="D45" s="34">
        <f t="shared" si="27"/>
        <v>0.35699999999999998</v>
      </c>
      <c r="E45" s="34">
        <f t="shared" si="20"/>
        <v>0.28599999999999998</v>
      </c>
      <c r="F45" s="34">
        <f t="shared" si="21"/>
        <v>-0.543633966870957</v>
      </c>
      <c r="G45" s="35">
        <f t="shared" si="22"/>
        <v>0.16215395475522554</v>
      </c>
      <c r="H45" s="34">
        <f t="shared" si="23"/>
        <v>1.4526264735849654</v>
      </c>
      <c r="I45" s="48">
        <v>16</v>
      </c>
      <c r="J45" s="49">
        <f t="shared" si="24"/>
        <v>23.242023577359447</v>
      </c>
      <c r="K45" s="37">
        <f t="shared" si="25"/>
        <v>2.324202357735945</v>
      </c>
      <c r="L45" s="50">
        <f t="shared" si="26"/>
        <v>7.4046068867873904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/>
      <c r="C49" s="75"/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.75" x14ac:dyDescent="0.3">
      <c r="A50" s="8" t="s">
        <v>29</v>
      </c>
      <c r="B50" s="80">
        <v>0.17899999999999999</v>
      </c>
      <c r="C50" s="80">
        <v>0.16800000000000001</v>
      </c>
      <c r="D50" s="34">
        <f t="shared" ref="D50:D52" si="28">AVERAGE(B50,C50)</f>
        <v>0.17349999999999999</v>
      </c>
      <c r="E50" s="34">
        <f t="shared" ref="E50:E55" si="29">D50-E$8</f>
        <v>0.10249999999999998</v>
      </c>
      <c r="F50" s="34">
        <f t="shared" ref="F50:F55" si="30">LOG(E50)</f>
        <v>-0.98927613460822694</v>
      </c>
      <c r="G50" s="35">
        <f t="shared" ref="G50:G55" si="31">(F50-$B$16)/$B$15</f>
        <v>-0.29669364003766907</v>
      </c>
      <c r="H50" s="34">
        <f t="shared" ref="H50:H55" si="32">10^G50</f>
        <v>0.50501742127028781</v>
      </c>
      <c r="I50" s="48">
        <v>16</v>
      </c>
      <c r="J50" s="49">
        <f t="shared" ref="J50:J55" si="33">H50*I50</f>
        <v>8.080278740324605</v>
      </c>
      <c r="K50" s="37">
        <f>(0.1*J50/1000)*1000</f>
        <v>0.80802787403246057</v>
      </c>
      <c r="L50" s="50">
        <f t="shared" ref="L50:L55" si="34">K50*100/L31</f>
        <v>2.832520608293267</v>
      </c>
      <c r="M50" s="51">
        <f>AVERAGE(L50:L52)</f>
        <v>2.9789369817956821</v>
      </c>
      <c r="N50" s="52">
        <f>STDEV(L50:L52)</f>
        <v>0.22644398259523796</v>
      </c>
      <c r="O50" s="10">
        <f>L50/L40</f>
        <v>1.7492162184206879</v>
      </c>
      <c r="P50" s="51">
        <f>AVERAGE(O50:O52)</f>
        <v>1.712306292123527</v>
      </c>
      <c r="Q50" s="52">
        <f>STDEV(O50:O52)</f>
        <v>5.2268847467991521E-2</v>
      </c>
      <c r="S50" s="11"/>
      <c r="T50" s="11"/>
    </row>
    <row r="51" spans="1:25" ht="15.75" x14ac:dyDescent="0.3">
      <c r="B51" s="80">
        <v>0.191</v>
      </c>
      <c r="C51" s="80">
        <v>0.188</v>
      </c>
      <c r="D51" s="34">
        <f t="shared" si="28"/>
        <v>0.1895</v>
      </c>
      <c r="E51" s="34">
        <f t="shared" si="29"/>
        <v>0.11849999999999999</v>
      </c>
      <c r="F51" s="34">
        <f t="shared" si="30"/>
        <v>-0.92628164965387738</v>
      </c>
      <c r="G51" s="35">
        <f t="shared" si="31"/>
        <v>-0.23183248012256547</v>
      </c>
      <c r="H51" s="34">
        <f t="shared" si="32"/>
        <v>0.58636429847916238</v>
      </c>
      <c r="I51" s="48">
        <v>16</v>
      </c>
      <c r="J51" s="49">
        <f t="shared" si="33"/>
        <v>9.3818287756665981</v>
      </c>
      <c r="K51" s="37">
        <f t="shared" ref="K51:K55" si="35">(0.1*J51/1000)*1000</f>
        <v>0.93818287756665986</v>
      </c>
      <c r="L51" s="50">
        <f t="shared" si="34"/>
        <v>2.8645323719913418</v>
      </c>
      <c r="M51" s="51"/>
      <c r="N51" s="52"/>
      <c r="O51" s="10">
        <f t="shared" ref="O51:O55" si="36">L51/L41</f>
        <v>1.6524958526606084</v>
      </c>
      <c r="P51" s="51"/>
      <c r="Q51" s="52"/>
      <c r="S51" s="11"/>
      <c r="T51" s="11"/>
    </row>
    <row r="52" spans="1:25" ht="15.75" x14ac:dyDescent="0.3">
      <c r="B52" s="80">
        <v>0.18</v>
      </c>
      <c r="C52" s="80">
        <v>0.18</v>
      </c>
      <c r="D52" s="34">
        <f t="shared" si="28"/>
        <v>0.18</v>
      </c>
      <c r="E52" s="34">
        <f t="shared" si="29"/>
        <v>0.10899999999999999</v>
      </c>
      <c r="F52" s="34">
        <f t="shared" si="30"/>
        <v>-0.96257350205937642</v>
      </c>
      <c r="G52" s="35">
        <f t="shared" si="31"/>
        <v>-0.2691997455934117</v>
      </c>
      <c r="H52" s="34">
        <f t="shared" si="32"/>
        <v>0.53802227235860289</v>
      </c>
      <c r="I52" s="48">
        <v>16</v>
      </c>
      <c r="J52" s="49">
        <f t="shared" si="33"/>
        <v>8.6083563577376463</v>
      </c>
      <c r="K52" s="37">
        <f t="shared" si="35"/>
        <v>0.86083563577376465</v>
      </c>
      <c r="L52" s="50">
        <f t="shared" si="34"/>
        <v>3.2397579651024375</v>
      </c>
      <c r="M52" s="51"/>
      <c r="N52" s="52"/>
      <c r="O52" s="10">
        <f t="shared" si="36"/>
        <v>1.7352068052892844</v>
      </c>
      <c r="P52" s="51"/>
      <c r="Q52" s="52"/>
      <c r="S52" s="11"/>
      <c r="T52" s="11"/>
    </row>
    <row r="53" spans="1:25" ht="15.75" x14ac:dyDescent="0.3">
      <c r="A53" s="8" t="s">
        <v>30</v>
      </c>
      <c r="B53" s="80">
        <v>0.50900000000000001</v>
      </c>
      <c r="C53" s="80">
        <v>0.51300000000000001</v>
      </c>
      <c r="D53" s="34">
        <f>AVERAGE(B53:C53)</f>
        <v>0.51100000000000001</v>
      </c>
      <c r="E53" s="34">
        <f t="shared" si="29"/>
        <v>0.44</v>
      </c>
      <c r="F53" s="34">
        <f t="shared" si="30"/>
        <v>-0.35654732351381258</v>
      </c>
      <c r="G53" s="35">
        <f t="shared" si="31"/>
        <v>0.35478441600213251</v>
      </c>
      <c r="H53" s="34">
        <f t="shared" si="32"/>
        <v>2.2635204160002043</v>
      </c>
      <c r="I53" s="48">
        <v>16</v>
      </c>
      <c r="J53" s="49">
        <f t="shared" si="33"/>
        <v>36.216326656003268</v>
      </c>
      <c r="K53" s="37">
        <f t="shared" si="35"/>
        <v>3.6216326656003268</v>
      </c>
      <c r="L53" s="50">
        <f t="shared" si="34"/>
        <v>14.408608643325358</v>
      </c>
      <c r="M53" s="51">
        <f>AVERAGE(L53:L55)</f>
        <v>13.522062667512337</v>
      </c>
      <c r="N53" s="52">
        <f>STDEV(L53:L55)</f>
        <v>0.80529521541904148</v>
      </c>
      <c r="O53" s="10">
        <f t="shared" si="36"/>
        <v>1.3494584923406658</v>
      </c>
      <c r="P53" s="51">
        <f>AVERAGE(O53:O55)</f>
        <v>1.5118795534981067</v>
      </c>
      <c r="Q53" s="52">
        <f>STDEV(O53:O55)</f>
        <v>0.24946355236512344</v>
      </c>
      <c r="S53" s="11"/>
      <c r="T53" s="11"/>
    </row>
    <row r="54" spans="1:25" ht="15.75" x14ac:dyDescent="0.3">
      <c r="A54" s="53"/>
      <c r="B54" s="80">
        <v>0.497</v>
      </c>
      <c r="C54" s="80">
        <v>0.42899999999999999</v>
      </c>
      <c r="D54" s="34">
        <f>AVERAGE(B54:C54)</f>
        <v>0.46299999999999997</v>
      </c>
      <c r="E54" s="34">
        <f t="shared" si="29"/>
        <v>0.39199999999999996</v>
      </c>
      <c r="F54" s="34">
        <f t="shared" si="30"/>
        <v>-0.40671393297954278</v>
      </c>
      <c r="G54" s="35">
        <f t="shared" si="31"/>
        <v>0.30313125174000277</v>
      </c>
      <c r="H54" s="34">
        <f t="shared" si="32"/>
        <v>2.0097000889834109</v>
      </c>
      <c r="I54" s="48">
        <v>16</v>
      </c>
      <c r="J54" s="49">
        <f t="shared" si="33"/>
        <v>32.155201423734574</v>
      </c>
      <c r="K54" s="37">
        <f t="shared" si="35"/>
        <v>3.2155201423734576</v>
      </c>
      <c r="L54" s="50">
        <f t="shared" si="34"/>
        <v>12.835833801812958</v>
      </c>
      <c r="M54" s="51"/>
      <c r="N54" s="52"/>
      <c r="O54" s="10">
        <f t="shared" si="36"/>
        <v>1.3870643256678494</v>
      </c>
      <c r="P54" s="51"/>
      <c r="Q54" s="52"/>
      <c r="S54" s="11"/>
      <c r="T54" s="11"/>
    </row>
    <row r="55" spans="1:25" ht="15.75" x14ac:dyDescent="0.3">
      <c r="A55" s="54"/>
      <c r="B55" s="80">
        <v>0.55200000000000005</v>
      </c>
      <c r="C55" s="80">
        <v>0.52900000000000003</v>
      </c>
      <c r="D55" s="34">
        <f>AVERAGE(B55:C55)</f>
        <v>0.54049999999999998</v>
      </c>
      <c r="E55" s="34">
        <f t="shared" si="29"/>
        <v>0.46949999999999997</v>
      </c>
      <c r="F55" s="34">
        <f t="shared" si="30"/>
        <v>-0.32836440339787032</v>
      </c>
      <c r="G55" s="35">
        <f t="shared" si="31"/>
        <v>0.38380246242063099</v>
      </c>
      <c r="H55" s="34">
        <f t="shared" si="32"/>
        <v>2.4199280991305971</v>
      </c>
      <c r="I55" s="48">
        <v>16</v>
      </c>
      <c r="J55" s="49">
        <f t="shared" si="33"/>
        <v>38.718849586089554</v>
      </c>
      <c r="K55" s="37">
        <f t="shared" si="35"/>
        <v>3.8718849586089554</v>
      </c>
      <c r="L55" s="50">
        <f t="shared" si="34"/>
        <v>13.321745557398691</v>
      </c>
      <c r="M55" s="51"/>
      <c r="N55" s="52"/>
      <c r="O55" s="10">
        <f t="shared" si="36"/>
        <v>1.7991158424858051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1.712306292123527</v>
      </c>
      <c r="O58" s="51">
        <f>Q50</f>
        <v>5.2268847467991521E-2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1.5118795534981067</v>
      </c>
      <c r="O59" s="51">
        <f>Q53</f>
        <v>0.24946355236512344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1.7399465642980259</v>
      </c>
      <c r="C65" s="51">
        <f>N40</f>
        <v>0.12400970150708496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2.9789369817956821</v>
      </c>
      <c r="C66" s="51">
        <f>N50</f>
        <v>0.22644398259523796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9.111963435952509</v>
      </c>
      <c r="C67" s="51">
        <f>N43</f>
        <v>1.6409737158896844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13.522062667512337</v>
      </c>
      <c r="C68" s="51">
        <f>N53</f>
        <v>0.80529521541904148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70" zoomScaleNormal="70" workbookViewId="0">
      <selection activeCell="F4" sqref="F4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42429</v>
      </c>
    </row>
    <row r="2" spans="1:20" s="3" customFormat="1" ht="13.5" thickBot="1" x14ac:dyDescent="0.25">
      <c r="A2" s="1" t="s">
        <v>1</v>
      </c>
      <c r="B2" s="3">
        <v>64</v>
      </c>
      <c r="C2" s="4"/>
      <c r="E2" s="5" t="s">
        <v>2</v>
      </c>
    </row>
    <row r="3" spans="1:20" s="3" customFormat="1" ht="15.75" thickBot="1" x14ac:dyDescent="0.3">
      <c r="A3" s="1" t="s">
        <v>3</v>
      </c>
      <c r="B3" s="3" t="s">
        <v>4</v>
      </c>
      <c r="D3" s="6" t="s">
        <v>5</v>
      </c>
      <c r="E3" s="85">
        <v>222904</v>
      </c>
      <c r="F3" s="86">
        <v>214136</v>
      </c>
      <c r="G3" s="77"/>
      <c r="H3" s="77"/>
    </row>
    <row r="4" spans="1:20" s="3" customFormat="1" ht="15" x14ac:dyDescent="0.25">
      <c r="A4" s="1"/>
      <c r="D4" s="6" t="s">
        <v>6</v>
      </c>
      <c r="E4" s="91">
        <v>299672</v>
      </c>
      <c r="F4" s="91">
        <v>296272</v>
      </c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.75" x14ac:dyDescent="0.3">
      <c r="A8" s="78">
        <v>0</v>
      </c>
      <c r="B8" s="17">
        <v>0</v>
      </c>
      <c r="C8" s="80">
        <v>7.2999999999999995E-2</v>
      </c>
      <c r="D8" s="80">
        <v>6.9000000000000006E-2</v>
      </c>
      <c r="E8" s="18">
        <f t="shared" ref="E8:E13" si="0">AVERAGE(C8:D8)</f>
        <v>7.1000000000000008E-2</v>
      </c>
      <c r="F8" s="19"/>
      <c r="G8" s="17"/>
      <c r="H8" s="17"/>
      <c r="N8" s="11"/>
      <c r="O8" s="11"/>
      <c r="P8" s="11"/>
    </row>
    <row r="9" spans="1:20" ht="15.75" x14ac:dyDescent="0.3">
      <c r="A9" s="78">
        <v>3</v>
      </c>
      <c r="B9" s="19">
        <f>A9/23</f>
        <v>0.13043478260869565</v>
      </c>
      <c r="C9" s="80">
        <v>0.106</v>
      </c>
      <c r="D9" s="80">
        <v>9.7000000000000003E-2</v>
      </c>
      <c r="E9" s="18">
        <f t="shared" si="0"/>
        <v>0.10150000000000001</v>
      </c>
      <c r="F9" s="19">
        <f>(E9-$E$8)</f>
        <v>3.0499999999999999E-2</v>
      </c>
      <c r="G9" s="19">
        <f>LOG(B9)</f>
        <v>-0.88460658129793046</v>
      </c>
      <c r="H9" s="19">
        <f>LOG(F9)</f>
        <v>-1.5157001606532141</v>
      </c>
      <c r="N9" s="11"/>
      <c r="O9" s="11"/>
      <c r="P9" s="11"/>
    </row>
    <row r="10" spans="1:20" ht="15.75" x14ac:dyDescent="0.3">
      <c r="A10" s="78">
        <v>9.74</v>
      </c>
      <c r="B10" s="19">
        <f t="shared" ref="B10:B13" si="1">A10/23</f>
        <v>0.42347826086956525</v>
      </c>
      <c r="C10" s="80">
        <v>0.156</v>
      </c>
      <c r="D10" s="80">
        <v>0.13600000000000001</v>
      </c>
      <c r="E10" s="18">
        <f t="shared" si="0"/>
        <v>0.14600000000000002</v>
      </c>
      <c r="F10" s="19">
        <f>(E10-$E$8)</f>
        <v>7.5000000000000011E-2</v>
      </c>
      <c r="G10" s="19">
        <f>LOG(B10)</f>
        <v>-0.37316887913897734</v>
      </c>
      <c r="H10" s="19">
        <f>LOG(F10)</f>
        <v>-1.1249387366082999</v>
      </c>
      <c r="N10" s="11"/>
      <c r="O10" s="11"/>
      <c r="P10" s="11"/>
    </row>
    <row r="11" spans="1:20" ht="15.75" x14ac:dyDescent="0.3">
      <c r="A11" s="78">
        <v>29.8</v>
      </c>
      <c r="B11" s="19">
        <f t="shared" si="1"/>
        <v>1.2956521739130435</v>
      </c>
      <c r="C11" s="80">
        <v>0.317</v>
      </c>
      <c r="D11" s="80">
        <v>0.32</v>
      </c>
      <c r="E11" s="18">
        <f t="shared" si="0"/>
        <v>0.31850000000000001</v>
      </c>
      <c r="F11" s="19">
        <f>(E11-$E$8)</f>
        <v>0.2475</v>
      </c>
      <c r="G11" s="19">
        <f>LOG(B11)</f>
        <v>0.11248842805866238</v>
      </c>
      <c r="H11" s="19">
        <f>LOG(F11)</f>
        <v>-0.6064247967304125</v>
      </c>
      <c r="N11" s="11"/>
      <c r="O11" s="11"/>
      <c r="P11" s="11"/>
      <c r="Q11" s="11"/>
      <c r="R11" s="11"/>
      <c r="S11" s="11"/>
      <c r="T11" s="11"/>
    </row>
    <row r="12" spans="1:20" ht="15.75" x14ac:dyDescent="0.3">
      <c r="A12" s="78">
        <v>104</v>
      </c>
      <c r="B12" s="19">
        <f t="shared" si="1"/>
        <v>4.5217391304347823</v>
      </c>
      <c r="C12" s="80">
        <v>1.0329999999999999</v>
      </c>
      <c r="D12" s="80">
        <v>0.996</v>
      </c>
      <c r="E12" s="18">
        <f t="shared" si="0"/>
        <v>1.0145</v>
      </c>
      <c r="F12" s="19">
        <f>(E12-$E$8)</f>
        <v>0.94350000000000001</v>
      </c>
      <c r="G12" s="19">
        <f>LOG(B12)</f>
        <v>0.65530550328118742</v>
      </c>
      <c r="H12" s="19">
        <f>LOG(F12)</f>
        <v>-2.525809549904983E-2</v>
      </c>
      <c r="N12" s="11"/>
      <c r="O12" s="11"/>
      <c r="P12" s="11"/>
      <c r="Q12" s="11"/>
      <c r="R12" s="11"/>
      <c r="S12" s="11"/>
      <c r="T12" s="11"/>
    </row>
    <row r="13" spans="1:20" ht="15.75" x14ac:dyDescent="0.3">
      <c r="A13" s="78">
        <v>207</v>
      </c>
      <c r="B13" s="19">
        <f t="shared" si="1"/>
        <v>9</v>
      </c>
      <c r="C13" s="80">
        <v>1.702</v>
      </c>
      <c r="D13" s="80">
        <v>1.7410000000000001</v>
      </c>
      <c r="E13" s="18">
        <f t="shared" si="0"/>
        <v>1.7215</v>
      </c>
      <c r="F13" s="19">
        <f>(E13-$E$8)</f>
        <v>1.6505000000000001</v>
      </c>
      <c r="G13" s="19">
        <f>LOG(B13)</f>
        <v>0.95424250943932487</v>
      </c>
      <c r="H13" s="19">
        <f>LOG(F13)</f>
        <v>0.21761552866633035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0.9712204505254407</v>
      </c>
      <c r="N15" s="11"/>
    </row>
    <row r="16" spans="1:20" ht="15" x14ac:dyDescent="0.25">
      <c r="A16" s="12" t="s">
        <v>15</v>
      </c>
      <c r="B16" s="18">
        <f>INTERCEPT(H9:H13,G9:G13)</f>
        <v>-0.70112120386280907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25">
      <c r="A22" s="8" t="s">
        <v>29</v>
      </c>
      <c r="B22" s="80">
        <v>0.28799999999999998</v>
      </c>
      <c r="C22" s="80">
        <v>0.315</v>
      </c>
      <c r="D22" s="34">
        <f t="shared" ref="D22:D27" si="2">AVERAGE(B22:C22)</f>
        <v>0.30149999999999999</v>
      </c>
      <c r="E22" s="34">
        <f t="shared" ref="E22:E27" si="3">D22-E$8</f>
        <v>0.23049999999999998</v>
      </c>
      <c r="F22" s="34">
        <f>LOG(E22)</f>
        <v>-0.63732907027433305</v>
      </c>
      <c r="G22" s="35">
        <f>(F22-$B$16)/$B$15</f>
        <v>6.5682444756969216E-2</v>
      </c>
      <c r="H22" s="35">
        <f>10^G22</f>
        <v>1.1632751339467819</v>
      </c>
      <c r="I22" s="36">
        <v>500</v>
      </c>
      <c r="J22" s="37">
        <f>(H22*I22)</f>
        <v>581.63756697339102</v>
      </c>
      <c r="K22" s="37">
        <f>(0.05*J22/1000)*1000</f>
        <v>29.081878348669552</v>
      </c>
      <c r="L22" s="38">
        <f>K22+K40+K50</f>
        <v>30.566461254794543</v>
      </c>
      <c r="M22" s="39">
        <f>(L22*1000000/50000)/1000</f>
        <v>0.61132922509589083</v>
      </c>
      <c r="N22" s="40"/>
    </row>
    <row r="23" spans="1:17" ht="15" x14ac:dyDescent="0.25">
      <c r="B23" s="80">
        <v>0.33800000000000002</v>
      </c>
      <c r="C23" s="80">
        <v>0.33200000000000002</v>
      </c>
      <c r="D23" s="34">
        <f t="shared" si="2"/>
        <v>0.33500000000000002</v>
      </c>
      <c r="E23" s="34">
        <f t="shared" si="3"/>
        <v>0.26400000000000001</v>
      </c>
      <c r="F23" s="34">
        <f t="shared" ref="F23:F27" si="4">LOG(E23)</f>
        <v>-0.57839607313016894</v>
      </c>
      <c r="G23" s="35">
        <f t="shared" ref="G23:G27" si="5">(F23-$B$16)/$B$15</f>
        <v>0.12636176541200766</v>
      </c>
      <c r="H23" s="35">
        <f t="shared" ref="H23:H27" si="6">10^G23</f>
        <v>1.3377093586390509</v>
      </c>
      <c r="I23" s="36">
        <v>500</v>
      </c>
      <c r="J23" s="37">
        <f t="shared" ref="J23:J27" si="7">(H23*I23)</f>
        <v>668.85467931952542</v>
      </c>
      <c r="K23" s="37">
        <f t="shared" ref="K23:K27" si="8">(0.05*J23/1000)*1000</f>
        <v>33.442733965976274</v>
      </c>
      <c r="L23" s="38">
        <f>K23+K41+K51</f>
        <v>35.407353245164344</v>
      </c>
      <c r="M23" s="39">
        <f t="shared" ref="M23:M27" si="9">(L23*1000000/50000)/1000</f>
        <v>0.70814706490328683</v>
      </c>
      <c r="N23" s="40"/>
    </row>
    <row r="24" spans="1:17" ht="15" x14ac:dyDescent="0.25">
      <c r="B24" s="80">
        <v>0.33100000000000002</v>
      </c>
      <c r="C24" s="80">
        <v>0.36199999999999999</v>
      </c>
      <c r="D24" s="34">
        <f t="shared" si="2"/>
        <v>0.34650000000000003</v>
      </c>
      <c r="E24" s="34">
        <f t="shared" si="3"/>
        <v>0.27550000000000002</v>
      </c>
      <c r="F24" s="34">
        <f t="shared" si="4"/>
        <v>-0.55987839681219609</v>
      </c>
      <c r="G24" s="35">
        <f t="shared" si="5"/>
        <v>0.14542816409415504</v>
      </c>
      <c r="H24" s="35">
        <f t="shared" si="6"/>
        <v>1.3977456974806328</v>
      </c>
      <c r="I24" s="36">
        <v>500</v>
      </c>
      <c r="J24" s="37">
        <f t="shared" si="7"/>
        <v>698.87284874031639</v>
      </c>
      <c r="K24" s="37">
        <f t="shared" si="8"/>
        <v>34.943642437015818</v>
      </c>
      <c r="L24" s="38">
        <f t="shared" ref="L24:L27" si="10">K24+K42+K52</f>
        <v>36.700794595854354</v>
      </c>
      <c r="M24" s="39">
        <f t="shared" si="9"/>
        <v>0.73401589191708716</v>
      </c>
      <c r="N24" s="40"/>
    </row>
    <row r="25" spans="1:17" ht="15" x14ac:dyDescent="0.25">
      <c r="A25" s="8" t="s">
        <v>30</v>
      </c>
      <c r="B25" s="80">
        <v>0.246</v>
      </c>
      <c r="C25" s="80">
        <v>0.249</v>
      </c>
      <c r="D25" s="34">
        <f t="shared" si="2"/>
        <v>0.2475</v>
      </c>
      <c r="E25" s="34">
        <f t="shared" si="3"/>
        <v>0.17649999999999999</v>
      </c>
      <c r="F25" s="34">
        <f t="shared" si="4"/>
        <v>-0.75325529027615867</v>
      </c>
      <c r="G25" s="35">
        <f t="shared" si="5"/>
        <v>-5.3678942185725699E-2</v>
      </c>
      <c r="H25" s="35">
        <f t="shared" si="6"/>
        <v>0.88373297002480822</v>
      </c>
      <c r="I25" s="36">
        <v>500</v>
      </c>
      <c r="J25" s="37">
        <f t="shared" si="7"/>
        <v>441.8664850124041</v>
      </c>
      <c r="K25" s="37">
        <f t="shared" si="8"/>
        <v>22.093324250620206</v>
      </c>
      <c r="L25" s="38">
        <f t="shared" si="10"/>
        <v>28.872822638626701</v>
      </c>
      <c r="M25" s="39">
        <f t="shared" si="9"/>
        <v>0.57745645277253399</v>
      </c>
      <c r="N25" s="40"/>
    </row>
    <row r="26" spans="1:17" ht="15" x14ac:dyDescent="0.25">
      <c r="B26" s="80">
        <v>0.253</v>
      </c>
      <c r="C26" s="80">
        <v>0.25800000000000001</v>
      </c>
      <c r="D26" s="34">
        <f t="shared" si="2"/>
        <v>0.2555</v>
      </c>
      <c r="E26" s="34">
        <f t="shared" si="3"/>
        <v>0.1845</v>
      </c>
      <c r="F26" s="34">
        <f t="shared" si="4"/>
        <v>-0.73400362950492082</v>
      </c>
      <c r="G26" s="35">
        <f t="shared" si="5"/>
        <v>-3.3856809362201958E-2</v>
      </c>
      <c r="H26" s="35">
        <f t="shared" si="6"/>
        <v>0.92500310517097906</v>
      </c>
      <c r="I26" s="36">
        <v>500</v>
      </c>
      <c r="J26" s="37">
        <f t="shared" si="7"/>
        <v>462.50155258548955</v>
      </c>
      <c r="K26" s="37">
        <f t="shared" si="8"/>
        <v>23.125077629274479</v>
      </c>
      <c r="L26" s="38">
        <f t="shared" si="10"/>
        <v>29.514550829637439</v>
      </c>
      <c r="M26" s="39">
        <f t="shared" si="9"/>
        <v>0.59029101659274874</v>
      </c>
      <c r="N26" s="40"/>
    </row>
    <row r="27" spans="1:17" ht="15" x14ac:dyDescent="0.25">
      <c r="B27" s="80">
        <v>0.27100000000000002</v>
      </c>
      <c r="C27" s="80">
        <v>0.27700000000000002</v>
      </c>
      <c r="D27" s="34">
        <f t="shared" si="2"/>
        <v>0.27400000000000002</v>
      </c>
      <c r="E27" s="34">
        <f t="shared" si="3"/>
        <v>0.20300000000000001</v>
      </c>
      <c r="F27" s="34">
        <f t="shared" si="4"/>
        <v>-0.69250396208678711</v>
      </c>
      <c r="G27" s="35">
        <f t="shared" si="5"/>
        <v>8.8725909461234535E-3</v>
      </c>
      <c r="H27" s="35">
        <f t="shared" si="6"/>
        <v>1.020640014429063</v>
      </c>
      <c r="I27" s="36">
        <v>500</v>
      </c>
      <c r="J27" s="37">
        <f t="shared" si="7"/>
        <v>510.32000721453153</v>
      </c>
      <c r="K27" s="37">
        <f t="shared" si="8"/>
        <v>25.516000360726579</v>
      </c>
      <c r="L27" s="38">
        <f t="shared" si="10"/>
        <v>32.403803783922463</v>
      </c>
      <c r="M27" s="39">
        <f t="shared" si="9"/>
        <v>0.64807607567844927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/>
      <c r="C29" s="73"/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.75" x14ac:dyDescent="0.3">
      <c r="A31" s="8" t="s">
        <v>29</v>
      </c>
      <c r="B31" s="80">
        <v>0.28799999999999998</v>
      </c>
      <c r="C31" s="80">
        <v>0.315</v>
      </c>
      <c r="D31" s="34">
        <f t="shared" ref="D31:D36" si="11">AVERAGE(B31:C31)</f>
        <v>0.30149999999999999</v>
      </c>
      <c r="E31" s="34">
        <f t="shared" ref="E31:E36" si="12">D31-E$8</f>
        <v>0.23049999999999998</v>
      </c>
      <c r="F31" s="34">
        <f>LOG(E31)</f>
        <v>-0.63732907027433305</v>
      </c>
      <c r="G31" s="35">
        <f>(F31-$B$16)/$B$15</f>
        <v>6.5682444756969216E-2</v>
      </c>
      <c r="H31" s="35">
        <f>10^G31</f>
        <v>1.1632751339467819</v>
      </c>
      <c r="I31" s="36">
        <v>500</v>
      </c>
      <c r="J31" s="37">
        <f>(H31*I31)</f>
        <v>581.63756697339102</v>
      </c>
      <c r="K31" s="37">
        <f>(0.05*J31/1000)*1000</f>
        <v>29.081878348669552</v>
      </c>
      <c r="L31" s="38">
        <f>K31+K50</f>
        <v>30.064926279868899</v>
      </c>
      <c r="M31" s="39">
        <f>(L31*1000000/50000)/1000</f>
        <v>0.60129852559737795</v>
      </c>
      <c r="N31" s="43"/>
      <c r="Q31" s="11"/>
    </row>
    <row r="32" spans="1:17" ht="15.75" x14ac:dyDescent="0.3">
      <c r="B32" s="80">
        <v>0.33800000000000002</v>
      </c>
      <c r="C32" s="80">
        <v>0.33200000000000002</v>
      </c>
      <c r="D32" s="34">
        <f t="shared" si="11"/>
        <v>0.33500000000000002</v>
      </c>
      <c r="E32" s="34">
        <f t="shared" si="12"/>
        <v>0.26400000000000001</v>
      </c>
      <c r="F32" s="34">
        <f t="shared" ref="F32:F36" si="13">LOG(E32)</f>
        <v>-0.57839607313016894</v>
      </c>
      <c r="G32" s="35">
        <f t="shared" ref="G32:G36" si="14">(F32-$B$16)/$B$15</f>
        <v>0.12636176541200766</v>
      </c>
      <c r="H32" s="35">
        <f t="shared" ref="H32:H36" si="15">10^G32</f>
        <v>1.3377093586390509</v>
      </c>
      <c r="I32" s="36">
        <v>500</v>
      </c>
      <c r="J32" s="37">
        <f t="shared" ref="J32:J36" si="16">(H32*I32)</f>
        <v>668.85467931952542</v>
      </c>
      <c r="K32" s="37">
        <f t="shared" ref="K32:K36" si="17">(0.05*J32/1000)*1000</f>
        <v>33.442733965976274</v>
      </c>
      <c r="L32" s="38">
        <f>K32+K51</f>
        <v>34.720799850463344</v>
      </c>
      <c r="M32" s="39">
        <f t="shared" ref="M32:M36" si="18">(L32*1000000/50000)/1000</f>
        <v>0.69441599700926693</v>
      </c>
      <c r="N32" s="44"/>
      <c r="Q32" s="11"/>
    </row>
    <row r="33" spans="1:19" ht="15.75" x14ac:dyDescent="0.3">
      <c r="B33" s="80">
        <v>0.33100000000000002</v>
      </c>
      <c r="C33" s="80">
        <v>0.36199999999999999</v>
      </c>
      <c r="D33" s="34">
        <f t="shared" si="11"/>
        <v>0.34650000000000003</v>
      </c>
      <c r="E33" s="34">
        <f t="shared" si="12"/>
        <v>0.27550000000000002</v>
      </c>
      <c r="F33" s="34">
        <f t="shared" si="13"/>
        <v>-0.55987839681219609</v>
      </c>
      <c r="G33" s="35">
        <f t="shared" si="14"/>
        <v>0.14542816409415504</v>
      </c>
      <c r="H33" s="35">
        <f t="shared" si="15"/>
        <v>1.3977456974806328</v>
      </c>
      <c r="I33" s="36">
        <v>500</v>
      </c>
      <c r="J33" s="37">
        <f t="shared" si="16"/>
        <v>698.87284874031639</v>
      </c>
      <c r="K33" s="37">
        <f t="shared" si="17"/>
        <v>34.943642437015818</v>
      </c>
      <c r="L33" s="38">
        <f t="shared" ref="L33:L36" si="19">K33+K52</f>
        <v>36.119022796118649</v>
      </c>
      <c r="M33" s="39">
        <f t="shared" si="18"/>
        <v>0.72238045592237288</v>
      </c>
      <c r="N33" s="44"/>
      <c r="Q33" s="11"/>
    </row>
    <row r="34" spans="1:19" ht="15.75" x14ac:dyDescent="0.3">
      <c r="A34" s="8" t="s">
        <v>30</v>
      </c>
      <c r="B34" s="80">
        <v>0.246</v>
      </c>
      <c r="C34" s="80">
        <v>0.249</v>
      </c>
      <c r="D34" s="34">
        <f t="shared" si="11"/>
        <v>0.2475</v>
      </c>
      <c r="E34" s="34">
        <f t="shared" si="12"/>
        <v>0.17649999999999999</v>
      </c>
      <c r="F34" s="34">
        <f t="shared" si="13"/>
        <v>-0.75325529027615867</v>
      </c>
      <c r="G34" s="35">
        <f t="shared" si="14"/>
        <v>-5.3678942185725699E-2</v>
      </c>
      <c r="H34" s="35">
        <f t="shared" si="15"/>
        <v>0.88373297002480822</v>
      </c>
      <c r="I34" s="36">
        <v>500</v>
      </c>
      <c r="J34" s="37">
        <f t="shared" si="16"/>
        <v>441.8664850124041</v>
      </c>
      <c r="K34" s="37">
        <f t="shared" si="17"/>
        <v>22.093324250620206</v>
      </c>
      <c r="L34" s="38">
        <f t="shared" si="19"/>
        <v>25.956718278163045</v>
      </c>
      <c r="M34" s="39">
        <f t="shared" si="18"/>
        <v>0.51913436556326087</v>
      </c>
      <c r="N34" s="44"/>
      <c r="Q34" s="11"/>
    </row>
    <row r="35" spans="1:19" ht="15.75" x14ac:dyDescent="0.3">
      <c r="B35" s="80">
        <v>0.253</v>
      </c>
      <c r="C35" s="80">
        <v>0.25800000000000001</v>
      </c>
      <c r="D35" s="34">
        <f t="shared" si="11"/>
        <v>0.2555</v>
      </c>
      <c r="E35" s="34">
        <f t="shared" si="12"/>
        <v>0.1845</v>
      </c>
      <c r="F35" s="34">
        <f t="shared" si="13"/>
        <v>-0.73400362950492082</v>
      </c>
      <c r="G35" s="35">
        <f t="shared" si="14"/>
        <v>-3.3856809362201958E-2</v>
      </c>
      <c r="H35" s="35">
        <f t="shared" si="15"/>
        <v>0.92500310517097906</v>
      </c>
      <c r="I35" s="36">
        <v>500</v>
      </c>
      <c r="J35" s="37">
        <f t="shared" si="16"/>
        <v>462.50155258548955</v>
      </c>
      <c r="K35" s="37">
        <f t="shared" si="17"/>
        <v>23.125077629274479</v>
      </c>
      <c r="L35" s="38">
        <f t="shared" si="19"/>
        <v>26.590023916374935</v>
      </c>
      <c r="M35" s="39">
        <f t="shared" si="18"/>
        <v>0.53180047832749866</v>
      </c>
      <c r="N35" s="44"/>
      <c r="Q35" s="11"/>
      <c r="S35" s="11"/>
    </row>
    <row r="36" spans="1:19" ht="15.75" x14ac:dyDescent="0.3">
      <c r="B36" s="80">
        <v>0.27100000000000002</v>
      </c>
      <c r="C36" s="80">
        <v>0.27700000000000002</v>
      </c>
      <c r="D36" s="34">
        <f t="shared" si="11"/>
        <v>0.27400000000000002</v>
      </c>
      <c r="E36" s="34">
        <f t="shared" si="12"/>
        <v>0.20300000000000001</v>
      </c>
      <c r="F36" s="34">
        <f t="shared" si="13"/>
        <v>-0.69250396208678711</v>
      </c>
      <c r="G36" s="35">
        <f t="shared" si="14"/>
        <v>8.8725909461234535E-3</v>
      </c>
      <c r="H36" s="35">
        <f t="shared" si="15"/>
        <v>1.020640014429063</v>
      </c>
      <c r="I36" s="36">
        <v>500</v>
      </c>
      <c r="J36" s="37">
        <f t="shared" si="16"/>
        <v>510.32000721453153</v>
      </c>
      <c r="K36" s="37">
        <f t="shared" si="17"/>
        <v>25.516000360726579</v>
      </c>
      <c r="L36" s="38">
        <f t="shared" si="19"/>
        <v>29.124921339001784</v>
      </c>
      <c r="M36" s="39">
        <f t="shared" si="18"/>
        <v>0.58249842678003561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/>
      <c r="C39" s="75"/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.75" x14ac:dyDescent="0.3">
      <c r="A40" s="8" t="s">
        <v>37</v>
      </c>
      <c r="B40" s="80">
        <v>0.13600000000000001</v>
      </c>
      <c r="C40" s="80">
        <v>0.13500000000000001</v>
      </c>
      <c r="D40" s="34">
        <f>AVERAGE(B40,C40)</f>
        <v>0.13550000000000001</v>
      </c>
      <c r="E40" s="34">
        <f t="shared" ref="E40:E45" si="20">D40-E$8</f>
        <v>6.4500000000000002E-2</v>
      </c>
      <c r="F40" s="34">
        <f t="shared" ref="F40:F45" si="21">LOG(E40)</f>
        <v>-1.1904402853647322</v>
      </c>
      <c r="G40" s="35">
        <f t="shared" ref="G40:G45" si="22">(F40-$B$16)/$B$15</f>
        <v>-0.5038187583850775</v>
      </c>
      <c r="H40" s="34">
        <f t="shared" ref="H40:H45" si="23">10^G40</f>
        <v>0.31345935932852714</v>
      </c>
      <c r="I40" s="48">
        <v>16</v>
      </c>
      <c r="J40" s="49">
        <f t="shared" ref="J40:J45" si="24">H40*I40</f>
        <v>5.0153497492564343</v>
      </c>
      <c r="K40" s="37">
        <f>(0.1*J40/1000)*1000</f>
        <v>0.50153497492564347</v>
      </c>
      <c r="L40" s="50">
        <f>K40*100/L22</f>
        <v>1.6408015659548243</v>
      </c>
      <c r="M40" s="51">
        <f>AVERAGE(L40:L42)</f>
        <v>1.7216633694636621</v>
      </c>
      <c r="N40" s="52">
        <f>STDEV(L40:L42)</f>
        <v>0.19027459689611231</v>
      </c>
      <c r="R40" s="11"/>
      <c r="S40" s="11"/>
    </row>
    <row r="41" spans="1:19" ht="15.75" x14ac:dyDescent="0.3">
      <c r="B41" s="80">
        <v>0.16200000000000001</v>
      </c>
      <c r="C41" s="80">
        <v>0.155</v>
      </c>
      <c r="D41" s="34">
        <f>AVERAGE(B41,C41)</f>
        <v>0.1585</v>
      </c>
      <c r="E41" s="34">
        <f t="shared" si="20"/>
        <v>8.7499999999999994E-2</v>
      </c>
      <c r="F41" s="34">
        <f t="shared" si="21"/>
        <v>-1.0579919469776868</v>
      </c>
      <c r="G41" s="35">
        <f t="shared" si="22"/>
        <v>-0.36744566377469384</v>
      </c>
      <c r="H41" s="34">
        <f t="shared" si="23"/>
        <v>0.42909587168812713</v>
      </c>
      <c r="I41" s="48">
        <v>16</v>
      </c>
      <c r="J41" s="49">
        <f t="shared" si="24"/>
        <v>6.8655339470100341</v>
      </c>
      <c r="K41" s="37">
        <f t="shared" ref="K41:K45" si="25">(0.1*J41/1000)*1000</f>
        <v>0.68655339470100341</v>
      </c>
      <c r="L41" s="50">
        <f t="shared" ref="L41:L45" si="26">K41*100/L23</f>
        <v>1.9390135996532514</v>
      </c>
      <c r="M41" s="51"/>
      <c r="N41" s="52"/>
      <c r="R41" s="11"/>
      <c r="S41" s="11"/>
    </row>
    <row r="42" spans="1:19" s="24" customFormat="1" ht="15.75" x14ac:dyDescent="0.3">
      <c r="A42" s="8"/>
      <c r="B42" s="80">
        <v>0.14000000000000001</v>
      </c>
      <c r="C42" s="80">
        <v>0.151</v>
      </c>
      <c r="D42" s="34">
        <f>AVERAGE(B42,C42)</f>
        <v>0.14550000000000002</v>
      </c>
      <c r="E42" s="34">
        <f t="shared" si="20"/>
        <v>7.4500000000000011E-2</v>
      </c>
      <c r="F42" s="34">
        <f t="shared" si="21"/>
        <v>-1.127843727251707</v>
      </c>
      <c r="G42" s="35">
        <f t="shared" si="22"/>
        <v>-0.4393673168208479</v>
      </c>
      <c r="H42" s="34">
        <f t="shared" si="23"/>
        <v>0.36360737483481748</v>
      </c>
      <c r="I42" s="48">
        <v>16</v>
      </c>
      <c r="J42" s="49">
        <f t="shared" si="24"/>
        <v>5.8177179973570796</v>
      </c>
      <c r="K42" s="37">
        <f t="shared" si="25"/>
        <v>0.58177179973570803</v>
      </c>
      <c r="L42" s="50">
        <f t="shared" si="26"/>
        <v>1.5851749427829112</v>
      </c>
      <c r="M42" s="51"/>
      <c r="N42" s="52"/>
      <c r="R42" s="11"/>
      <c r="S42" s="11"/>
    </row>
    <row r="43" spans="1:19" ht="15.75" x14ac:dyDescent="0.3">
      <c r="A43" s="8" t="s">
        <v>38</v>
      </c>
      <c r="B43" s="80">
        <v>0.45100000000000001</v>
      </c>
      <c r="C43" s="80">
        <v>0.40400000000000003</v>
      </c>
      <c r="D43" s="34">
        <f t="shared" ref="D43:D45" si="27">AVERAGE(B43,C43)</f>
        <v>0.42749999999999999</v>
      </c>
      <c r="E43" s="34">
        <f t="shared" si="20"/>
        <v>0.35649999999999998</v>
      </c>
      <c r="F43" s="34">
        <f t="shared" si="21"/>
        <v>-0.44794046581211566</v>
      </c>
      <c r="G43" s="35">
        <f t="shared" si="22"/>
        <v>0.26068307963832504</v>
      </c>
      <c r="H43" s="34">
        <f t="shared" si="23"/>
        <v>1.8225652252897846</v>
      </c>
      <c r="I43" s="48">
        <v>16</v>
      </c>
      <c r="J43" s="49">
        <f t="shared" si="24"/>
        <v>29.161043604636554</v>
      </c>
      <c r="K43" s="37">
        <f t="shared" si="25"/>
        <v>2.9161043604636556</v>
      </c>
      <c r="L43" s="50">
        <f t="shared" si="26"/>
        <v>10.09982431216277</v>
      </c>
      <c r="M43" s="51">
        <f>AVERAGE(L43:L45)</f>
        <v>10.042468990869144</v>
      </c>
      <c r="N43" s="52">
        <f>STDEV(L43:L45)</f>
        <v>0.11618158131178312</v>
      </c>
      <c r="R43" s="11"/>
      <c r="S43" s="11"/>
    </row>
    <row r="44" spans="1:19" ht="15" x14ac:dyDescent="0.25">
      <c r="A44" s="53"/>
      <c r="B44" s="80">
        <v>0.41299999999999998</v>
      </c>
      <c r="C44" s="80">
        <v>0.44400000000000001</v>
      </c>
      <c r="D44" s="34">
        <f t="shared" si="27"/>
        <v>0.42849999999999999</v>
      </c>
      <c r="E44" s="34">
        <f t="shared" si="20"/>
        <v>0.35749999999999998</v>
      </c>
      <c r="F44" s="34">
        <f t="shared" si="21"/>
        <v>-0.44672395386290059</v>
      </c>
      <c r="G44" s="35">
        <f t="shared" si="22"/>
        <v>0.26193563970185846</v>
      </c>
      <c r="H44" s="34">
        <f t="shared" si="23"/>
        <v>1.8278293207890652</v>
      </c>
      <c r="I44" s="48">
        <v>16</v>
      </c>
      <c r="J44" s="49">
        <f t="shared" si="24"/>
        <v>29.245269132625044</v>
      </c>
      <c r="K44" s="37">
        <f t="shared" si="25"/>
        <v>2.9245269132625045</v>
      </c>
      <c r="L44" s="50">
        <f t="shared" si="26"/>
        <v>9.9087630712841506</v>
      </c>
      <c r="M44" s="51"/>
      <c r="N44" s="52"/>
    </row>
    <row r="45" spans="1:19" ht="15" x14ac:dyDescent="0.25">
      <c r="A45" s="54"/>
      <c r="B45" s="80">
        <v>0.46100000000000002</v>
      </c>
      <c r="C45" s="80">
        <v>0.48</v>
      </c>
      <c r="D45" s="34">
        <f t="shared" si="27"/>
        <v>0.47050000000000003</v>
      </c>
      <c r="E45" s="34">
        <f t="shared" si="20"/>
        <v>0.39950000000000002</v>
      </c>
      <c r="F45" s="34">
        <f t="shared" si="21"/>
        <v>-0.39848321634998979</v>
      </c>
      <c r="G45" s="35">
        <f t="shared" si="22"/>
        <v>0.31160586388918077</v>
      </c>
      <c r="H45" s="34">
        <f t="shared" si="23"/>
        <v>2.049301528075425</v>
      </c>
      <c r="I45" s="48">
        <v>16</v>
      </c>
      <c r="J45" s="49">
        <f t="shared" si="24"/>
        <v>32.7888244492068</v>
      </c>
      <c r="K45" s="37">
        <f t="shared" si="25"/>
        <v>3.2788824449206802</v>
      </c>
      <c r="L45" s="50">
        <f t="shared" si="26"/>
        <v>10.118819589160507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/>
      <c r="C49" s="75"/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.75" x14ac:dyDescent="0.3">
      <c r="A50" s="8" t="s">
        <v>29</v>
      </c>
      <c r="B50" s="80">
        <v>0.19</v>
      </c>
      <c r="C50" s="80">
        <v>0.2</v>
      </c>
      <c r="D50" s="34">
        <f t="shared" ref="D50:D52" si="28">AVERAGE(B50,C50)</f>
        <v>0.19500000000000001</v>
      </c>
      <c r="E50" s="34">
        <f t="shared" ref="E50:E55" si="29">D50-E$8</f>
        <v>0.124</v>
      </c>
      <c r="F50" s="34">
        <f t="shared" ref="F50:F55" si="30">LOG(E50)</f>
        <v>-0.90657831483776496</v>
      </c>
      <c r="G50" s="35">
        <f t="shared" ref="G50:G55" si="31">(F50-$B$16)/$B$15</f>
        <v>-0.21154528908838502</v>
      </c>
      <c r="H50" s="34">
        <f t="shared" ref="H50:H55" si="32">10^G50</f>
        <v>0.61440495699959174</v>
      </c>
      <c r="I50" s="48">
        <v>16</v>
      </c>
      <c r="J50" s="49">
        <f t="shared" ref="J50:J55" si="33">H50*I50</f>
        <v>9.8304793119934679</v>
      </c>
      <c r="K50" s="37">
        <f>(0.1*J50/1000)*1000</f>
        <v>0.98304793119934697</v>
      </c>
      <c r="L50" s="50">
        <f t="shared" ref="L50:L55" si="34">K50*100/L31</f>
        <v>3.2697500138478093</v>
      </c>
      <c r="M50" s="51">
        <f>AVERAGE(L50:L52)</f>
        <v>3.4016390123610614</v>
      </c>
      <c r="N50" s="52">
        <f>STDEV(L50:L52)</f>
        <v>0.24204198193876159</v>
      </c>
      <c r="O50" s="10">
        <f>L50/L40</f>
        <v>1.9927760197772961</v>
      </c>
      <c r="P50" s="51">
        <f>AVERAGE(O50:O52)</f>
        <v>1.9813472740515099</v>
      </c>
      <c r="Q50" s="52">
        <f>STDEV(O50:O52)</f>
        <v>7.7886453960375121E-2</v>
      </c>
      <c r="S50" s="11"/>
      <c r="T50" s="11"/>
    </row>
    <row r="51" spans="1:25" ht="15.75" x14ac:dyDescent="0.3">
      <c r="B51" s="80">
        <v>0.219</v>
      </c>
      <c r="C51" s="80">
        <v>0.24299999999999999</v>
      </c>
      <c r="D51" s="34">
        <f t="shared" si="28"/>
        <v>0.23099999999999998</v>
      </c>
      <c r="E51" s="34">
        <f t="shared" si="29"/>
        <v>0.15999999999999998</v>
      </c>
      <c r="F51" s="34">
        <f t="shared" si="30"/>
        <v>-0.79588001734407532</v>
      </c>
      <c r="G51" s="35">
        <f t="shared" si="31"/>
        <v>-9.7566740311121655E-2</v>
      </c>
      <c r="H51" s="34">
        <f t="shared" si="32"/>
        <v>0.79879117780441777</v>
      </c>
      <c r="I51" s="48">
        <v>16</v>
      </c>
      <c r="J51" s="49">
        <f t="shared" si="33"/>
        <v>12.780658844870684</v>
      </c>
      <c r="K51" s="37">
        <f t="shared" ref="K51:K55" si="35">(0.1*J51/1000)*1000</f>
        <v>1.2780658844870685</v>
      </c>
      <c r="L51" s="50">
        <f t="shared" si="34"/>
        <v>3.6809805361382333</v>
      </c>
      <c r="M51" s="51"/>
      <c r="N51" s="52"/>
      <c r="O51" s="10">
        <f t="shared" ref="O51:O55" si="36">L51/L41</f>
        <v>1.8983778849186479</v>
      </c>
      <c r="P51" s="51"/>
      <c r="Q51" s="52"/>
      <c r="S51" s="11"/>
      <c r="T51" s="11"/>
    </row>
    <row r="52" spans="1:25" ht="15.75" x14ac:dyDescent="0.3">
      <c r="B52" s="80">
        <v>0.21299999999999999</v>
      </c>
      <c r="C52" s="80">
        <v>0.224</v>
      </c>
      <c r="D52" s="34">
        <f t="shared" si="28"/>
        <v>0.2185</v>
      </c>
      <c r="E52" s="34">
        <f t="shared" si="29"/>
        <v>0.14749999999999999</v>
      </c>
      <c r="F52" s="34">
        <f t="shared" si="30"/>
        <v>-0.83120797968581828</v>
      </c>
      <c r="G52" s="35">
        <f t="shared" si="31"/>
        <v>-0.13394155338536257</v>
      </c>
      <c r="H52" s="34">
        <f t="shared" si="32"/>
        <v>0.73461272443926851</v>
      </c>
      <c r="I52" s="48">
        <v>16</v>
      </c>
      <c r="J52" s="49">
        <f t="shared" si="33"/>
        <v>11.753803591028296</v>
      </c>
      <c r="K52" s="37">
        <f t="shared" si="35"/>
        <v>1.1753803591028296</v>
      </c>
      <c r="L52" s="50">
        <f t="shared" si="34"/>
        <v>3.2541864870971424</v>
      </c>
      <c r="M52" s="51"/>
      <c r="N52" s="52"/>
      <c r="O52" s="10">
        <f t="shared" si="36"/>
        <v>2.0528879174585852</v>
      </c>
      <c r="P52" s="51"/>
      <c r="Q52" s="52"/>
      <c r="S52" s="11"/>
      <c r="T52" s="11"/>
    </row>
    <row r="53" spans="1:25" ht="15.75" x14ac:dyDescent="0.3">
      <c r="A53" s="8" t="s">
        <v>30</v>
      </c>
      <c r="B53" s="80">
        <v>0.54200000000000004</v>
      </c>
      <c r="C53" s="80">
        <v>0.53700000000000003</v>
      </c>
      <c r="D53" s="34">
        <f>AVERAGE(B53:C53)</f>
        <v>0.53950000000000009</v>
      </c>
      <c r="E53" s="34">
        <f t="shared" si="29"/>
        <v>0.46850000000000008</v>
      </c>
      <c r="F53" s="34">
        <f t="shared" si="30"/>
        <v>-0.32929040477620286</v>
      </c>
      <c r="G53" s="35">
        <f t="shared" si="31"/>
        <v>0.38284902144043792</v>
      </c>
      <c r="H53" s="34">
        <f t="shared" si="32"/>
        <v>2.4146212672142737</v>
      </c>
      <c r="I53" s="48">
        <v>16</v>
      </c>
      <c r="J53" s="49">
        <f t="shared" si="33"/>
        <v>38.63394027542838</v>
      </c>
      <c r="K53" s="37">
        <f t="shared" si="35"/>
        <v>3.8633940275428382</v>
      </c>
      <c r="L53" s="50">
        <f t="shared" si="34"/>
        <v>14.883984894165328</v>
      </c>
      <c r="M53" s="51">
        <f>AVERAGE(L53:L55)</f>
        <v>13.435388122548709</v>
      </c>
      <c r="N53" s="52">
        <f>STDEV(L53:L55)</f>
        <v>1.2946689471138142</v>
      </c>
      <c r="O53" s="10">
        <f t="shared" si="36"/>
        <v>1.4736875052609781</v>
      </c>
      <c r="P53" s="51">
        <f>AVERAGE(O53:O55)</f>
        <v>1.3377845823796601</v>
      </c>
      <c r="Q53" s="52">
        <f>STDEV(O53:O55)</f>
        <v>0.12609985004534061</v>
      </c>
      <c r="S53" s="11"/>
      <c r="T53" s="11"/>
    </row>
    <row r="54" spans="1:25" ht="15.75" x14ac:dyDescent="0.3">
      <c r="A54" s="53"/>
      <c r="B54" s="80">
        <v>0.48899999999999999</v>
      </c>
      <c r="C54" s="80">
        <v>0.496</v>
      </c>
      <c r="D54" s="34">
        <f>AVERAGE(B54:C54)</f>
        <v>0.49249999999999999</v>
      </c>
      <c r="E54" s="34">
        <f t="shared" si="29"/>
        <v>0.42149999999999999</v>
      </c>
      <c r="F54" s="34">
        <f t="shared" si="30"/>
        <v>-0.3752024210392389</v>
      </c>
      <c r="G54" s="35">
        <f t="shared" si="31"/>
        <v>0.3355765239984852</v>
      </c>
      <c r="H54" s="34">
        <f t="shared" si="32"/>
        <v>2.1655914294377849</v>
      </c>
      <c r="I54" s="48">
        <v>16</v>
      </c>
      <c r="J54" s="49">
        <f t="shared" si="33"/>
        <v>34.649462871004559</v>
      </c>
      <c r="K54" s="37">
        <f t="shared" si="35"/>
        <v>3.4649462871004562</v>
      </c>
      <c r="L54" s="50">
        <f t="shared" si="34"/>
        <v>13.031001017515589</v>
      </c>
      <c r="M54" s="51"/>
      <c r="N54" s="52"/>
      <c r="O54" s="10">
        <f t="shared" si="36"/>
        <v>1.315098658003012</v>
      </c>
      <c r="P54" s="51"/>
      <c r="Q54" s="52"/>
      <c r="S54" s="11"/>
      <c r="T54" s="11"/>
    </row>
    <row r="55" spans="1:25" ht="15.75" x14ac:dyDescent="0.3">
      <c r="A55" s="54"/>
      <c r="B55" s="80">
        <v>0.51200000000000001</v>
      </c>
      <c r="C55" s="80">
        <v>0.50700000000000001</v>
      </c>
      <c r="D55" s="34">
        <f>AVERAGE(B55:C55)</f>
        <v>0.50950000000000006</v>
      </c>
      <c r="E55" s="34">
        <f t="shared" si="29"/>
        <v>0.43850000000000006</v>
      </c>
      <c r="F55" s="34">
        <f t="shared" si="30"/>
        <v>-0.35803040229794064</v>
      </c>
      <c r="G55" s="35">
        <f t="shared" si="31"/>
        <v>0.35325739010052004</v>
      </c>
      <c r="H55" s="34">
        <f t="shared" si="32"/>
        <v>2.2555756114220018</v>
      </c>
      <c r="I55" s="48">
        <v>16</v>
      </c>
      <c r="J55" s="49">
        <f t="shared" si="33"/>
        <v>36.089209782752029</v>
      </c>
      <c r="K55" s="37">
        <f t="shared" si="35"/>
        <v>3.608920978275203</v>
      </c>
      <c r="L55" s="50">
        <f t="shared" si="34"/>
        <v>12.391178455965209</v>
      </c>
      <c r="M55" s="51"/>
      <c r="N55" s="52"/>
      <c r="O55" s="10">
        <f t="shared" si="36"/>
        <v>1.2245675838749908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1.9813472740515099</v>
      </c>
      <c r="O58" s="51">
        <f>Q50</f>
        <v>7.7886453960375121E-2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1.3377845823796601</v>
      </c>
      <c r="O59" s="51">
        <f>Q53</f>
        <v>0.12609985004534061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1.7216633694636621</v>
      </c>
      <c r="C65" s="51">
        <f>N40</f>
        <v>0.19027459689611231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3.4016390123610614</v>
      </c>
      <c r="C66" s="51">
        <f>N50</f>
        <v>0.24204198193876159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10.042468990869144</v>
      </c>
      <c r="C67" s="51">
        <f>N43</f>
        <v>0.11618158131178312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13.435388122548709</v>
      </c>
      <c r="C68" s="51">
        <f>N53</f>
        <v>1.2946689471138142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70" zoomScaleNormal="70" workbookViewId="0">
      <selection activeCell="H4" sqref="H4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42429</v>
      </c>
    </row>
    <row r="2" spans="1:20" s="3" customFormat="1" ht="13.5" thickBot="1" x14ac:dyDescent="0.25">
      <c r="A2" s="1" t="s">
        <v>1</v>
      </c>
      <c r="B2" s="3">
        <v>64</v>
      </c>
      <c r="C2" s="4"/>
      <c r="E2" s="5" t="s">
        <v>2</v>
      </c>
    </row>
    <row r="3" spans="1:20" s="3" customFormat="1" ht="15.75" thickBot="1" x14ac:dyDescent="0.3">
      <c r="A3" s="1" t="s">
        <v>3</v>
      </c>
      <c r="B3" s="3" t="s">
        <v>4</v>
      </c>
      <c r="D3" s="6" t="s">
        <v>5</v>
      </c>
      <c r="E3" s="87">
        <v>209544</v>
      </c>
      <c r="F3" s="88">
        <v>188712</v>
      </c>
    </row>
    <row r="4" spans="1:20" s="3" customFormat="1" ht="15" x14ac:dyDescent="0.25">
      <c r="A4" s="1"/>
      <c r="D4" s="6" t="s">
        <v>6</v>
      </c>
      <c r="E4" s="92">
        <v>296936</v>
      </c>
      <c r="F4" s="92">
        <v>272952</v>
      </c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.75" x14ac:dyDescent="0.3">
      <c r="A8" s="78">
        <v>0</v>
      </c>
      <c r="B8" s="17">
        <v>0</v>
      </c>
      <c r="C8" s="80">
        <v>7.2999999999999995E-2</v>
      </c>
      <c r="D8" s="80">
        <v>6.9000000000000006E-2</v>
      </c>
      <c r="E8" s="18">
        <f t="shared" ref="E8:E13" si="0">AVERAGE(C8:D8)</f>
        <v>7.1000000000000008E-2</v>
      </c>
      <c r="F8" s="19"/>
      <c r="G8" s="17"/>
      <c r="H8" s="17"/>
      <c r="N8" s="11"/>
      <c r="O8" s="11"/>
      <c r="P8" s="11"/>
    </row>
    <row r="9" spans="1:20" ht="15.75" x14ac:dyDescent="0.3">
      <c r="A9" s="78">
        <v>3</v>
      </c>
      <c r="B9" s="19">
        <f>A9/23</f>
        <v>0.13043478260869565</v>
      </c>
      <c r="C9" s="80">
        <v>0.106</v>
      </c>
      <c r="D9" s="80">
        <v>9.7000000000000003E-2</v>
      </c>
      <c r="E9" s="18">
        <f t="shared" si="0"/>
        <v>0.10150000000000001</v>
      </c>
      <c r="F9" s="19">
        <f>(E9-$E$8)</f>
        <v>3.0499999999999999E-2</v>
      </c>
      <c r="G9" s="19">
        <f>LOG(B9)</f>
        <v>-0.88460658129793046</v>
      </c>
      <c r="H9" s="19">
        <f>LOG(F9)</f>
        <v>-1.5157001606532141</v>
      </c>
      <c r="N9" s="11"/>
      <c r="O9" s="11"/>
      <c r="P9" s="11"/>
    </row>
    <row r="10" spans="1:20" ht="15.75" x14ac:dyDescent="0.3">
      <c r="A10" s="78">
        <v>9.74</v>
      </c>
      <c r="B10" s="19">
        <f t="shared" ref="B10:B13" si="1">A10/23</f>
        <v>0.42347826086956525</v>
      </c>
      <c r="C10" s="80">
        <v>0.156</v>
      </c>
      <c r="D10" s="80">
        <v>0.13600000000000001</v>
      </c>
      <c r="E10" s="18">
        <f t="shared" si="0"/>
        <v>0.14600000000000002</v>
      </c>
      <c r="F10" s="19">
        <f>(E10-$E$8)</f>
        <v>7.5000000000000011E-2</v>
      </c>
      <c r="G10" s="19">
        <f>LOG(B10)</f>
        <v>-0.37316887913897734</v>
      </c>
      <c r="H10" s="19">
        <f>LOG(F10)</f>
        <v>-1.1249387366082999</v>
      </c>
      <c r="N10" s="11"/>
      <c r="O10" s="11"/>
      <c r="P10" s="11"/>
    </row>
    <row r="11" spans="1:20" ht="15.75" x14ac:dyDescent="0.3">
      <c r="A11" s="78">
        <v>29.8</v>
      </c>
      <c r="B11" s="19">
        <f t="shared" si="1"/>
        <v>1.2956521739130435</v>
      </c>
      <c r="C11" s="80">
        <v>0.317</v>
      </c>
      <c r="D11" s="80">
        <v>0.32</v>
      </c>
      <c r="E11" s="18">
        <f t="shared" si="0"/>
        <v>0.31850000000000001</v>
      </c>
      <c r="F11" s="19">
        <f>(E11-$E$8)</f>
        <v>0.2475</v>
      </c>
      <c r="G11" s="19">
        <f>LOG(B11)</f>
        <v>0.11248842805866238</v>
      </c>
      <c r="H11" s="19">
        <f>LOG(F11)</f>
        <v>-0.6064247967304125</v>
      </c>
      <c r="N11" s="11"/>
      <c r="O11" s="11"/>
      <c r="P11" s="11"/>
      <c r="Q11" s="11"/>
      <c r="R11" s="11"/>
      <c r="S11" s="11"/>
      <c r="T11" s="11"/>
    </row>
    <row r="12" spans="1:20" ht="15.75" x14ac:dyDescent="0.3">
      <c r="A12" s="78">
        <v>104</v>
      </c>
      <c r="B12" s="19">
        <f t="shared" si="1"/>
        <v>4.5217391304347823</v>
      </c>
      <c r="C12" s="80">
        <v>1.0329999999999999</v>
      </c>
      <c r="D12" s="80">
        <v>0.996</v>
      </c>
      <c r="E12" s="18">
        <f t="shared" si="0"/>
        <v>1.0145</v>
      </c>
      <c r="F12" s="19">
        <f>(E12-$E$8)</f>
        <v>0.94350000000000001</v>
      </c>
      <c r="G12" s="19">
        <f>LOG(B12)</f>
        <v>0.65530550328118742</v>
      </c>
      <c r="H12" s="19">
        <f>LOG(F12)</f>
        <v>-2.525809549904983E-2</v>
      </c>
      <c r="N12" s="11"/>
      <c r="O12" s="11"/>
      <c r="P12" s="11"/>
      <c r="Q12" s="11"/>
      <c r="R12" s="11"/>
      <c r="S12" s="11"/>
      <c r="T12" s="11"/>
    </row>
    <row r="13" spans="1:20" ht="15.75" x14ac:dyDescent="0.3">
      <c r="A13" s="78">
        <v>207</v>
      </c>
      <c r="B13" s="19">
        <f t="shared" si="1"/>
        <v>9</v>
      </c>
      <c r="C13" s="80">
        <v>1.702</v>
      </c>
      <c r="D13" s="80">
        <v>1.7410000000000001</v>
      </c>
      <c r="E13" s="18">
        <f t="shared" si="0"/>
        <v>1.7215</v>
      </c>
      <c r="F13" s="19">
        <f>(E13-$E$8)</f>
        <v>1.6505000000000001</v>
      </c>
      <c r="G13" s="19">
        <f>LOG(B13)</f>
        <v>0.95424250943932487</v>
      </c>
      <c r="H13" s="19">
        <f>LOG(F13)</f>
        <v>0.21761552866633035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0.9712204505254407</v>
      </c>
      <c r="N15" s="11"/>
    </row>
    <row r="16" spans="1:20" ht="15" x14ac:dyDescent="0.25">
      <c r="A16" s="12" t="s">
        <v>15</v>
      </c>
      <c r="B16" s="18">
        <f>INTERCEPT(H9:H13,G9:G13)</f>
        <v>-0.70112120386280907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25">
      <c r="A22" s="8" t="s">
        <v>29</v>
      </c>
      <c r="B22" s="80">
        <v>0.35</v>
      </c>
      <c r="C22" s="80">
        <v>0.31900000000000001</v>
      </c>
      <c r="D22" s="34">
        <f t="shared" ref="D22:D27" si="2">AVERAGE(B22:C22)</f>
        <v>0.33450000000000002</v>
      </c>
      <c r="E22" s="34">
        <f t="shared" ref="E22:E27" si="3">D22-E$8</f>
        <v>0.26350000000000001</v>
      </c>
      <c r="F22" s="34">
        <f>LOG(E22)</f>
        <v>-0.57921938045143462</v>
      </c>
      <c r="G22" s="35">
        <f>(F22-$B$16)/$B$15</f>
        <v>0.12551406155566872</v>
      </c>
      <c r="H22" s="35">
        <f>10^G22</f>
        <v>1.3351008166613039</v>
      </c>
      <c r="I22" s="36">
        <v>500</v>
      </c>
      <c r="J22" s="37">
        <f>(H22*I22)</f>
        <v>667.55040833065198</v>
      </c>
      <c r="K22" s="37">
        <f>(0.05*J22/1000)*1000</f>
        <v>33.377520416532597</v>
      </c>
      <c r="L22" s="38">
        <f>K22+K40+K50</f>
        <v>34.633053170667189</v>
      </c>
      <c r="M22" s="39">
        <f>(L22*1000000/50000)/1000</f>
        <v>0.69266106341334377</v>
      </c>
      <c r="N22" s="40"/>
    </row>
    <row r="23" spans="1:17" ht="15" x14ac:dyDescent="0.25">
      <c r="B23" s="80">
        <v>0.32300000000000001</v>
      </c>
      <c r="C23" s="80">
        <v>0.32300000000000001</v>
      </c>
      <c r="D23" s="34">
        <f t="shared" si="2"/>
        <v>0.32300000000000001</v>
      </c>
      <c r="E23" s="34">
        <f t="shared" si="3"/>
        <v>0.252</v>
      </c>
      <c r="F23" s="34">
        <f t="shared" ref="F23:F27" si="4">LOG(E23)</f>
        <v>-0.59859945921845592</v>
      </c>
      <c r="G23" s="35">
        <f t="shared" ref="G23:G27" si="5">(F23-$B$16)/$B$15</f>
        <v>0.10555970540868223</v>
      </c>
      <c r="H23" s="35">
        <f t="shared" ref="H23:H27" si="6">10^G23</f>
        <v>1.2751453907816883</v>
      </c>
      <c r="I23" s="36">
        <v>500</v>
      </c>
      <c r="J23" s="37">
        <f t="shared" ref="J23:J27" si="7">(H23*I23)</f>
        <v>637.57269539084416</v>
      </c>
      <c r="K23" s="37">
        <f t="shared" ref="K23:K27" si="8">(0.05*J23/1000)*1000</f>
        <v>31.878634769542209</v>
      </c>
      <c r="L23" s="38">
        <f>K23+K41+K51</f>
        <v>33.038182630352019</v>
      </c>
      <c r="M23" s="39">
        <f t="shared" ref="M23:M27" si="9">(L23*1000000/50000)/1000</f>
        <v>0.6607636526070404</v>
      </c>
      <c r="N23" s="40"/>
    </row>
    <row r="24" spans="1:17" ht="15" x14ac:dyDescent="0.25">
      <c r="B24" s="80">
        <v>0.35099999999999998</v>
      </c>
      <c r="C24" s="80">
        <v>0.32800000000000001</v>
      </c>
      <c r="D24" s="34">
        <f t="shared" si="2"/>
        <v>0.33950000000000002</v>
      </c>
      <c r="E24" s="34">
        <f t="shared" si="3"/>
        <v>0.26850000000000002</v>
      </c>
      <c r="F24" s="34">
        <f t="shared" si="4"/>
        <v>-0.57105570996442556</v>
      </c>
      <c r="G24" s="35">
        <f t="shared" si="5"/>
        <v>0.13391964082718469</v>
      </c>
      <c r="H24" s="35">
        <f t="shared" si="6"/>
        <v>1.3611927924421849</v>
      </c>
      <c r="I24" s="36">
        <v>500</v>
      </c>
      <c r="J24" s="37">
        <f t="shared" si="7"/>
        <v>680.5963962210925</v>
      </c>
      <c r="K24" s="37">
        <f t="shared" si="8"/>
        <v>34.029819811054629</v>
      </c>
      <c r="L24" s="38">
        <f t="shared" ref="L24:L27" si="10">K24+K42+K52</f>
        <v>35.193652789281295</v>
      </c>
      <c r="M24" s="39">
        <f t="shared" si="9"/>
        <v>0.70387305578562587</v>
      </c>
      <c r="N24" s="40"/>
    </row>
    <row r="25" spans="1:17" ht="15" x14ac:dyDescent="0.25">
      <c r="A25" s="8" t="s">
        <v>30</v>
      </c>
      <c r="B25" s="80">
        <v>0.26400000000000001</v>
      </c>
      <c r="C25" s="80">
        <v>0.246</v>
      </c>
      <c r="D25" s="34">
        <f t="shared" si="2"/>
        <v>0.255</v>
      </c>
      <c r="E25" s="34">
        <f t="shared" si="3"/>
        <v>0.184</v>
      </c>
      <c r="F25" s="34">
        <f t="shared" si="4"/>
        <v>-0.73518217699046351</v>
      </c>
      <c r="G25" s="35">
        <f t="shared" si="5"/>
        <v>-3.5070279985586261E-2</v>
      </c>
      <c r="H25" s="35">
        <f t="shared" si="6"/>
        <v>0.9224221435158112</v>
      </c>
      <c r="I25" s="36">
        <v>500</v>
      </c>
      <c r="J25" s="37">
        <f t="shared" si="7"/>
        <v>461.21107175790559</v>
      </c>
      <c r="K25" s="37">
        <f t="shared" si="8"/>
        <v>23.060553587895281</v>
      </c>
      <c r="L25" s="38">
        <f t="shared" si="10"/>
        <v>28.236998561857156</v>
      </c>
      <c r="M25" s="39">
        <f t="shared" si="9"/>
        <v>0.56473997123714315</v>
      </c>
      <c r="N25" s="40"/>
    </row>
    <row r="26" spans="1:17" ht="15" x14ac:dyDescent="0.25">
      <c r="B26" s="80">
        <v>0.28799999999999998</v>
      </c>
      <c r="C26" s="80">
        <v>0.27600000000000002</v>
      </c>
      <c r="D26" s="34">
        <f t="shared" si="2"/>
        <v>0.28200000000000003</v>
      </c>
      <c r="E26" s="34">
        <f t="shared" si="3"/>
        <v>0.21100000000000002</v>
      </c>
      <c r="F26" s="34">
        <f t="shared" si="4"/>
        <v>-0.67571754470230727</v>
      </c>
      <c r="G26" s="35">
        <f t="shared" si="5"/>
        <v>2.6156429414926498E-2</v>
      </c>
      <c r="H26" s="35">
        <f t="shared" si="6"/>
        <v>1.0620780403657404</v>
      </c>
      <c r="I26" s="36">
        <v>500</v>
      </c>
      <c r="J26" s="37">
        <f t="shared" si="7"/>
        <v>531.03902018287022</v>
      </c>
      <c r="K26" s="37">
        <f t="shared" si="8"/>
        <v>26.551951009143512</v>
      </c>
      <c r="L26" s="38">
        <f t="shared" si="10"/>
        <v>31.703258370933515</v>
      </c>
      <c r="M26" s="39">
        <f t="shared" si="9"/>
        <v>0.63406516741867025</v>
      </c>
      <c r="N26" s="40"/>
    </row>
    <row r="27" spans="1:17" ht="15" x14ac:dyDescent="0.25">
      <c r="B27" s="80">
        <v>0.28100000000000003</v>
      </c>
      <c r="C27" s="80">
        <v>0.25600000000000001</v>
      </c>
      <c r="D27" s="34">
        <f t="shared" si="2"/>
        <v>0.26850000000000002</v>
      </c>
      <c r="E27" s="34">
        <f t="shared" si="3"/>
        <v>0.19750000000000001</v>
      </c>
      <c r="F27" s="34">
        <f t="shared" si="4"/>
        <v>-0.7044329000375209</v>
      </c>
      <c r="G27" s="35">
        <f t="shared" si="5"/>
        <v>-3.4098295324405162E-3</v>
      </c>
      <c r="H27" s="35">
        <f t="shared" si="6"/>
        <v>0.99217931925925051</v>
      </c>
      <c r="I27" s="36">
        <v>500</v>
      </c>
      <c r="J27" s="37">
        <f t="shared" si="7"/>
        <v>496.08965962962526</v>
      </c>
      <c r="K27" s="37">
        <f t="shared" si="8"/>
        <v>24.804482981481264</v>
      </c>
      <c r="L27" s="38">
        <f t="shared" si="10"/>
        <v>29.565905806572811</v>
      </c>
      <c r="M27" s="39">
        <f t="shared" si="9"/>
        <v>0.59131811613145624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/>
      <c r="C29" s="73"/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.75" x14ac:dyDescent="0.3">
      <c r="A31" s="8" t="s">
        <v>29</v>
      </c>
      <c r="B31" s="80">
        <v>0.35</v>
      </c>
      <c r="C31" s="80">
        <v>0.31900000000000001</v>
      </c>
      <c r="D31" s="34">
        <f t="shared" ref="D31:D36" si="11">AVERAGE(B31:C31)</f>
        <v>0.33450000000000002</v>
      </c>
      <c r="E31" s="34">
        <f t="shared" ref="E31:E36" si="12">D31-E$8</f>
        <v>0.26350000000000001</v>
      </c>
      <c r="F31" s="34">
        <f>LOG(E31)</f>
        <v>-0.57921938045143462</v>
      </c>
      <c r="G31" s="35">
        <f>(F31-$B$16)/$B$15</f>
        <v>0.12551406155566872</v>
      </c>
      <c r="H31" s="35">
        <f>10^G31</f>
        <v>1.3351008166613039</v>
      </c>
      <c r="I31" s="36">
        <v>500</v>
      </c>
      <c r="J31" s="37">
        <f>(H31*I31)</f>
        <v>667.55040833065198</v>
      </c>
      <c r="K31" s="37">
        <f>(0.05*J31/1000)*1000</f>
        <v>33.377520416532597</v>
      </c>
      <c r="L31" s="38">
        <f>K31+K50</f>
        <v>34.274970334654974</v>
      </c>
      <c r="M31" s="39">
        <f>(L31*1000000/50000)/1000</f>
        <v>0.6854994066930995</v>
      </c>
      <c r="N31" s="43"/>
      <c r="Q31" s="11"/>
    </row>
    <row r="32" spans="1:17" ht="15.75" x14ac:dyDescent="0.3">
      <c r="B32" s="80">
        <v>0.32300000000000001</v>
      </c>
      <c r="C32" s="80">
        <v>0.32300000000000001</v>
      </c>
      <c r="D32" s="34">
        <f t="shared" si="11"/>
        <v>0.32300000000000001</v>
      </c>
      <c r="E32" s="34">
        <f t="shared" si="12"/>
        <v>0.252</v>
      </c>
      <c r="F32" s="34">
        <f t="shared" ref="F32:F36" si="13">LOG(E32)</f>
        <v>-0.59859945921845592</v>
      </c>
      <c r="G32" s="35">
        <f t="shared" ref="G32:G36" si="14">(F32-$B$16)/$B$15</f>
        <v>0.10555970540868223</v>
      </c>
      <c r="H32" s="35">
        <f t="shared" ref="H32:H36" si="15">10^G32</f>
        <v>1.2751453907816883</v>
      </c>
      <c r="I32" s="36">
        <v>500</v>
      </c>
      <c r="J32" s="37">
        <f t="shared" ref="J32:J36" si="16">(H32*I32)</f>
        <v>637.57269539084416</v>
      </c>
      <c r="K32" s="37">
        <f t="shared" ref="K32:K36" si="17">(0.05*J32/1000)*1000</f>
        <v>31.878634769542209</v>
      </c>
      <c r="L32" s="38">
        <f>K32+K51</f>
        <v>32.480517499103875</v>
      </c>
      <c r="M32" s="39">
        <f t="shared" ref="M32:M36" si="18">(L32*1000000/50000)/1000</f>
        <v>0.64961034998207745</v>
      </c>
      <c r="N32" s="44"/>
      <c r="Q32" s="11"/>
    </row>
    <row r="33" spans="1:19" ht="15.75" x14ac:dyDescent="0.3">
      <c r="B33" s="80">
        <v>0.35099999999999998</v>
      </c>
      <c r="C33" s="80">
        <v>0.32800000000000001</v>
      </c>
      <c r="D33" s="34">
        <f t="shared" si="11"/>
        <v>0.33950000000000002</v>
      </c>
      <c r="E33" s="34">
        <f t="shared" si="12"/>
        <v>0.26850000000000002</v>
      </c>
      <c r="F33" s="34">
        <f t="shared" si="13"/>
        <v>-0.57105570996442556</v>
      </c>
      <c r="G33" s="35">
        <f t="shared" si="14"/>
        <v>0.13391964082718469</v>
      </c>
      <c r="H33" s="35">
        <f t="shared" si="15"/>
        <v>1.3611927924421849</v>
      </c>
      <c r="I33" s="36">
        <v>500</v>
      </c>
      <c r="J33" s="37">
        <f t="shared" si="16"/>
        <v>680.5963962210925</v>
      </c>
      <c r="K33" s="37">
        <f t="shared" si="17"/>
        <v>34.029819811054629</v>
      </c>
      <c r="L33" s="38">
        <f t="shared" ref="L33:L36" si="19">K33+K52</f>
        <v>34.688114281025271</v>
      </c>
      <c r="M33" s="39">
        <f t="shared" si="18"/>
        <v>0.69376228562050535</v>
      </c>
      <c r="N33" s="44"/>
      <c r="Q33" s="11"/>
    </row>
    <row r="34" spans="1:19" ht="15.75" x14ac:dyDescent="0.3">
      <c r="A34" s="8" t="s">
        <v>30</v>
      </c>
      <c r="B34" s="80">
        <v>0.26400000000000001</v>
      </c>
      <c r="C34" s="80">
        <v>0.246</v>
      </c>
      <c r="D34" s="34">
        <f t="shared" si="11"/>
        <v>0.255</v>
      </c>
      <c r="E34" s="34">
        <f t="shared" si="12"/>
        <v>0.184</v>
      </c>
      <c r="F34" s="34">
        <f t="shared" si="13"/>
        <v>-0.73518217699046351</v>
      </c>
      <c r="G34" s="35">
        <f t="shared" si="14"/>
        <v>-3.5070279985586261E-2</v>
      </c>
      <c r="H34" s="35">
        <f t="shared" si="15"/>
        <v>0.9224221435158112</v>
      </c>
      <c r="I34" s="36">
        <v>500</v>
      </c>
      <c r="J34" s="37">
        <f t="shared" si="16"/>
        <v>461.21107175790559</v>
      </c>
      <c r="K34" s="37">
        <f t="shared" si="17"/>
        <v>23.060553587895281</v>
      </c>
      <c r="L34" s="38">
        <f t="shared" si="19"/>
        <v>25.573236320140037</v>
      </c>
      <c r="M34" s="39">
        <f t="shared" si="18"/>
        <v>0.51146472640280072</v>
      </c>
      <c r="N34" s="44"/>
      <c r="Q34" s="11"/>
    </row>
    <row r="35" spans="1:19" ht="15.75" x14ac:dyDescent="0.3">
      <c r="B35" s="80">
        <v>0.28799999999999998</v>
      </c>
      <c r="C35" s="80">
        <v>0.27600000000000002</v>
      </c>
      <c r="D35" s="34">
        <f t="shared" si="11"/>
        <v>0.28200000000000003</v>
      </c>
      <c r="E35" s="34">
        <f t="shared" si="12"/>
        <v>0.21100000000000002</v>
      </c>
      <c r="F35" s="34">
        <f t="shared" si="13"/>
        <v>-0.67571754470230727</v>
      </c>
      <c r="G35" s="35">
        <f t="shared" si="14"/>
        <v>2.6156429414926498E-2</v>
      </c>
      <c r="H35" s="35">
        <f t="shared" si="15"/>
        <v>1.0620780403657404</v>
      </c>
      <c r="I35" s="36">
        <v>500</v>
      </c>
      <c r="J35" s="37">
        <f t="shared" si="16"/>
        <v>531.03902018287022</v>
      </c>
      <c r="K35" s="37">
        <f t="shared" si="17"/>
        <v>26.551951009143512</v>
      </c>
      <c r="L35" s="38">
        <f t="shared" si="19"/>
        <v>29.031095455011034</v>
      </c>
      <c r="M35" s="39">
        <f t="shared" si="18"/>
        <v>0.58062190910022071</v>
      </c>
      <c r="N35" s="44"/>
      <c r="Q35" s="11"/>
      <c r="S35" s="11"/>
    </row>
    <row r="36" spans="1:19" ht="15.75" x14ac:dyDescent="0.3">
      <c r="B36" s="80">
        <v>0.28100000000000003</v>
      </c>
      <c r="C36" s="80">
        <v>0.25600000000000001</v>
      </c>
      <c r="D36" s="34">
        <f t="shared" si="11"/>
        <v>0.26850000000000002</v>
      </c>
      <c r="E36" s="34">
        <f t="shared" si="12"/>
        <v>0.19750000000000001</v>
      </c>
      <c r="F36" s="34">
        <f t="shared" si="13"/>
        <v>-0.7044329000375209</v>
      </c>
      <c r="G36" s="35">
        <f t="shared" si="14"/>
        <v>-3.4098295324405162E-3</v>
      </c>
      <c r="H36" s="35">
        <f t="shared" si="15"/>
        <v>0.99217931925925051</v>
      </c>
      <c r="I36" s="36">
        <v>500</v>
      </c>
      <c r="J36" s="37">
        <f t="shared" si="16"/>
        <v>496.08965962962526</v>
      </c>
      <c r="K36" s="37">
        <f t="shared" si="17"/>
        <v>24.804482981481264</v>
      </c>
      <c r="L36" s="38">
        <f t="shared" si="19"/>
        <v>27.224966936008769</v>
      </c>
      <c r="M36" s="39">
        <f t="shared" si="18"/>
        <v>0.54449933872017542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/>
      <c r="C39" s="75"/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.75" x14ac:dyDescent="0.3">
      <c r="A40" s="8" t="s">
        <v>37</v>
      </c>
      <c r="B40" s="80">
        <v>0.11799999999999999</v>
      </c>
      <c r="C40" s="80">
        <v>0.11700000000000001</v>
      </c>
      <c r="D40" s="34">
        <f>AVERAGE(B40,C40)</f>
        <v>0.11749999999999999</v>
      </c>
      <c r="E40" s="34">
        <f t="shared" ref="E40:E45" si="20">D40-E$8</f>
        <v>4.6499999999999986E-2</v>
      </c>
      <c r="F40" s="34">
        <f t="shared" ref="F40:F45" si="21">LOG(E40)</f>
        <v>-1.3325470471100462</v>
      </c>
      <c r="G40" s="35">
        <f t="shared" ref="G40:G45" si="22">(F40-$B$16)/$B$15</f>
        <v>-0.65013647818641895</v>
      </c>
      <c r="H40" s="34">
        <f t="shared" ref="H40:H45" si="23">10^G40</f>
        <v>0.22380177250763283</v>
      </c>
      <c r="I40" s="48">
        <v>16</v>
      </c>
      <c r="J40" s="49">
        <f t="shared" ref="J40:J45" si="24">H40*I40</f>
        <v>3.5808283601221254</v>
      </c>
      <c r="K40" s="37">
        <f>(0.1*J40/1000)*1000</f>
        <v>0.35808283601221258</v>
      </c>
      <c r="L40" s="50">
        <f>K40*100/L22</f>
        <v>1.0339337806794764</v>
      </c>
      <c r="M40" s="51">
        <f>AVERAGE(L40:L42)</f>
        <v>1.3861076827812422</v>
      </c>
      <c r="N40" s="52">
        <f>STDEV(L40:L42)</f>
        <v>0.32989705736813624</v>
      </c>
      <c r="R40" s="11"/>
      <c r="S40" s="11"/>
    </row>
    <row r="41" spans="1:19" ht="15.75" x14ac:dyDescent="0.3">
      <c r="B41" s="80">
        <v>0.14299999999999999</v>
      </c>
      <c r="C41" s="80">
        <v>0.14199999999999999</v>
      </c>
      <c r="D41" s="34">
        <f>AVERAGE(B41,C41)</f>
        <v>0.14249999999999999</v>
      </c>
      <c r="E41" s="34">
        <f t="shared" si="20"/>
        <v>7.149999999999998E-2</v>
      </c>
      <c r="F41" s="34">
        <f t="shared" si="21"/>
        <v>-1.1456939581989196</v>
      </c>
      <c r="G41" s="35">
        <f t="shared" si="22"/>
        <v>-0.45774649215385849</v>
      </c>
      <c r="H41" s="34">
        <f t="shared" si="23"/>
        <v>0.34854070703008783</v>
      </c>
      <c r="I41" s="48">
        <v>16</v>
      </c>
      <c r="J41" s="49">
        <f t="shared" si="24"/>
        <v>5.5766513124814052</v>
      </c>
      <c r="K41" s="37">
        <f t="shared" ref="K41:K45" si="25">(0.1*J41/1000)*1000</f>
        <v>0.55766513124814054</v>
      </c>
      <c r="L41" s="50">
        <f t="shared" ref="L41:L45" si="26">K41*100/L23</f>
        <v>1.687941305632884</v>
      </c>
      <c r="M41" s="51"/>
      <c r="N41" s="52"/>
      <c r="R41" s="11"/>
      <c r="S41" s="11"/>
    </row>
    <row r="42" spans="1:19" s="24" customFormat="1" ht="15.75" x14ac:dyDescent="0.3">
      <c r="A42" s="8"/>
      <c r="B42" s="80">
        <v>0.13500000000000001</v>
      </c>
      <c r="C42" s="80">
        <v>0.13700000000000001</v>
      </c>
      <c r="D42" s="34">
        <f>AVERAGE(B42,C42)</f>
        <v>0.13600000000000001</v>
      </c>
      <c r="E42" s="34">
        <f t="shared" si="20"/>
        <v>6.5000000000000002E-2</v>
      </c>
      <c r="F42" s="34">
        <f t="shared" si="21"/>
        <v>-1.1870866433571443</v>
      </c>
      <c r="G42" s="35">
        <f t="shared" si="22"/>
        <v>-0.50036574006593737</v>
      </c>
      <c r="H42" s="34">
        <f t="shared" si="23"/>
        <v>0.31596156766001621</v>
      </c>
      <c r="I42" s="48">
        <v>16</v>
      </c>
      <c r="J42" s="49">
        <f t="shared" si="24"/>
        <v>5.0553850825602593</v>
      </c>
      <c r="K42" s="37">
        <f t="shared" si="25"/>
        <v>0.50553850825602598</v>
      </c>
      <c r="L42" s="50">
        <f t="shared" si="26"/>
        <v>1.4364479620313655</v>
      </c>
      <c r="M42" s="51"/>
      <c r="N42" s="52"/>
      <c r="R42" s="11"/>
      <c r="S42" s="11"/>
    </row>
    <row r="43" spans="1:19" ht="15.75" x14ac:dyDescent="0.3">
      <c r="A43" s="8" t="s">
        <v>38</v>
      </c>
      <c r="B43" s="80">
        <v>0.39400000000000002</v>
      </c>
      <c r="C43" s="80">
        <v>0.40100000000000002</v>
      </c>
      <c r="D43" s="34">
        <f t="shared" ref="D43:D45" si="27">AVERAGE(B43,C43)</f>
        <v>0.39750000000000002</v>
      </c>
      <c r="E43" s="34">
        <f t="shared" si="20"/>
        <v>0.32650000000000001</v>
      </c>
      <c r="F43" s="34">
        <f t="shared" si="21"/>
        <v>-0.48611681438890725</v>
      </c>
      <c r="G43" s="35">
        <f t="shared" si="22"/>
        <v>0.22137547593605772</v>
      </c>
      <c r="H43" s="34">
        <f t="shared" si="23"/>
        <v>1.6648514010731998</v>
      </c>
      <c r="I43" s="48">
        <v>16</v>
      </c>
      <c r="J43" s="49">
        <f t="shared" si="24"/>
        <v>26.637622417171197</v>
      </c>
      <c r="K43" s="37">
        <f t="shared" si="25"/>
        <v>2.6637622417171198</v>
      </c>
      <c r="L43" s="50">
        <f t="shared" si="26"/>
        <v>9.433588473937025</v>
      </c>
      <c r="M43" s="51">
        <f>AVERAGE(L43:L45)</f>
        <v>8.593318411935277</v>
      </c>
      <c r="N43" s="52">
        <f>STDEV(L43:L45)</f>
        <v>0.77124157420288031</v>
      </c>
      <c r="R43" s="11"/>
      <c r="S43" s="11"/>
    </row>
    <row r="44" spans="1:19" ht="15" x14ac:dyDescent="0.25">
      <c r="A44" s="53"/>
      <c r="B44" s="80">
        <v>0.42399999999999999</v>
      </c>
      <c r="C44" s="80">
        <v>0.373</v>
      </c>
      <c r="D44" s="34">
        <f t="shared" si="27"/>
        <v>0.39849999999999997</v>
      </c>
      <c r="E44" s="34">
        <f t="shared" si="20"/>
        <v>0.32749999999999996</v>
      </c>
      <c r="F44" s="34">
        <f t="shared" si="21"/>
        <v>-0.48478869567219818</v>
      </c>
      <c r="G44" s="35">
        <f t="shared" si="22"/>
        <v>0.22274294993847452</v>
      </c>
      <c r="H44" s="34">
        <f t="shared" si="23"/>
        <v>1.6701018224515507</v>
      </c>
      <c r="I44" s="48">
        <v>16</v>
      </c>
      <c r="J44" s="49">
        <f t="shared" si="24"/>
        <v>26.721629159224811</v>
      </c>
      <c r="K44" s="37">
        <f t="shared" si="25"/>
        <v>2.6721629159224811</v>
      </c>
      <c r="L44" s="50">
        <f t="shared" si="26"/>
        <v>8.4286696485822397</v>
      </c>
      <c r="M44" s="51"/>
      <c r="N44" s="52"/>
    </row>
    <row r="45" spans="1:19" ht="15" x14ac:dyDescent="0.25">
      <c r="A45" s="54"/>
      <c r="B45" s="80">
        <v>0.371</v>
      </c>
      <c r="C45" s="80">
        <v>0.34699999999999998</v>
      </c>
      <c r="D45" s="34">
        <f t="shared" si="27"/>
        <v>0.35899999999999999</v>
      </c>
      <c r="E45" s="34">
        <f t="shared" si="20"/>
        <v>0.28799999999999998</v>
      </c>
      <c r="F45" s="34">
        <f t="shared" si="21"/>
        <v>-0.54060751224076919</v>
      </c>
      <c r="G45" s="35">
        <f t="shared" si="22"/>
        <v>0.16527009036434545</v>
      </c>
      <c r="H45" s="34">
        <f t="shared" si="23"/>
        <v>1.4630867941025256</v>
      </c>
      <c r="I45" s="48">
        <v>16</v>
      </c>
      <c r="J45" s="49">
        <f t="shared" si="24"/>
        <v>23.40938870564041</v>
      </c>
      <c r="K45" s="37">
        <f t="shared" si="25"/>
        <v>2.3409388705640413</v>
      </c>
      <c r="L45" s="50">
        <f t="shared" si="26"/>
        <v>7.9176971132865681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/>
      <c r="C49" s="75"/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.75" x14ac:dyDescent="0.3">
      <c r="A50" s="8" t="s">
        <v>29</v>
      </c>
      <c r="B50" s="80">
        <v>0.188</v>
      </c>
      <c r="C50" s="80">
        <v>0.18099999999999999</v>
      </c>
      <c r="D50" s="34">
        <f t="shared" ref="D50:D52" si="28">AVERAGE(B50,C50)</f>
        <v>0.1845</v>
      </c>
      <c r="E50" s="34">
        <f t="shared" ref="E50:E55" si="29">D50-E$8</f>
        <v>0.11349999999999999</v>
      </c>
      <c r="F50" s="34">
        <f t="shared" ref="F50:F55" si="30">LOG(E50)</f>
        <v>-0.94500413847085851</v>
      </c>
      <c r="G50" s="35">
        <f t="shared" ref="G50:G55" si="31">(F50-$B$16)/$B$15</f>
        <v>-0.25110976038046373</v>
      </c>
      <c r="H50" s="34">
        <f t="shared" ref="H50:H55" si="32">10^G50</f>
        <v>0.56090619882648318</v>
      </c>
      <c r="I50" s="48">
        <v>16</v>
      </c>
      <c r="J50" s="49">
        <f t="shared" ref="J50:J55" si="33">H50*I50</f>
        <v>8.9744991812237309</v>
      </c>
      <c r="K50" s="37">
        <f>(0.1*J50/1000)*1000</f>
        <v>0.89744991812237318</v>
      </c>
      <c r="L50" s="50">
        <f t="shared" ref="L50:L55" si="34">K50*100/L31</f>
        <v>2.6183827713337897</v>
      </c>
      <c r="M50" s="51">
        <f>AVERAGE(L50:L52)</f>
        <v>2.1230642401559829</v>
      </c>
      <c r="N50" s="52">
        <f>STDEV(L50:L52)</f>
        <v>0.42954014516473027</v>
      </c>
      <c r="O50" s="10">
        <f>L50/L40</f>
        <v>2.5324472613836559</v>
      </c>
      <c r="P50" s="51">
        <f>AVERAGE(O50:O52)</f>
        <v>1.6504702637511584</v>
      </c>
      <c r="Q50" s="52">
        <f>STDEV(O50:O52)</f>
        <v>0.77193306509575565</v>
      </c>
      <c r="S50" s="11"/>
      <c r="T50" s="11"/>
    </row>
    <row r="51" spans="1:25" ht="15.75" x14ac:dyDescent="0.3">
      <c r="B51" s="80">
        <v>0.14699999999999999</v>
      </c>
      <c r="C51" s="80">
        <v>0.14899999999999999</v>
      </c>
      <c r="D51" s="34">
        <f t="shared" si="28"/>
        <v>0.14799999999999999</v>
      </c>
      <c r="E51" s="34">
        <f t="shared" si="29"/>
        <v>7.6999999999999985E-2</v>
      </c>
      <c r="F51" s="34">
        <f t="shared" si="30"/>
        <v>-1.1135092748275182</v>
      </c>
      <c r="G51" s="35">
        <f t="shared" si="31"/>
        <v>-0.42460810080924749</v>
      </c>
      <c r="H51" s="34">
        <f t="shared" si="32"/>
        <v>0.37617670597604214</v>
      </c>
      <c r="I51" s="48">
        <v>16</v>
      </c>
      <c r="J51" s="49">
        <f t="shared" si="33"/>
        <v>6.0188272956166742</v>
      </c>
      <c r="K51" s="37">
        <f t="shared" ref="K51:K55" si="35">(0.1*J51/1000)*1000</f>
        <v>0.60188272956166744</v>
      </c>
      <c r="L51" s="50">
        <f t="shared" si="34"/>
        <v>1.8530576970587773</v>
      </c>
      <c r="M51" s="51"/>
      <c r="N51" s="52"/>
      <c r="O51" s="10">
        <f t="shared" ref="O51:O55" si="36">L51/L41</f>
        <v>1.0978211688255262</v>
      </c>
      <c r="P51" s="51"/>
      <c r="Q51" s="52"/>
      <c r="S51" s="11"/>
      <c r="T51" s="11"/>
    </row>
    <row r="52" spans="1:25" ht="15.75" x14ac:dyDescent="0.3">
      <c r="B52" s="80">
        <v>0.157</v>
      </c>
      <c r="C52" s="80">
        <v>0.153</v>
      </c>
      <c r="D52" s="34">
        <f t="shared" si="28"/>
        <v>0.155</v>
      </c>
      <c r="E52" s="34">
        <f t="shared" si="29"/>
        <v>8.3999999999999991E-2</v>
      </c>
      <c r="F52" s="34">
        <f t="shared" si="30"/>
        <v>-1.0757207139381184</v>
      </c>
      <c r="G52" s="35">
        <f t="shared" si="31"/>
        <v>-0.38569977585690968</v>
      </c>
      <c r="H52" s="34">
        <f t="shared" si="32"/>
        <v>0.41143404373164932</v>
      </c>
      <c r="I52" s="48">
        <v>16</v>
      </c>
      <c r="J52" s="49">
        <f t="shared" si="33"/>
        <v>6.5829446997063892</v>
      </c>
      <c r="K52" s="37">
        <f t="shared" si="35"/>
        <v>0.65829446997063901</v>
      </c>
      <c r="L52" s="50">
        <f t="shared" si="34"/>
        <v>1.8977522520753811</v>
      </c>
      <c r="M52" s="51"/>
      <c r="N52" s="52"/>
      <c r="O52" s="10">
        <f t="shared" si="36"/>
        <v>1.3211423610442929</v>
      </c>
      <c r="P52" s="51"/>
      <c r="Q52" s="52"/>
      <c r="S52" s="11"/>
      <c r="T52" s="11"/>
    </row>
    <row r="53" spans="1:25" ht="15.75" x14ac:dyDescent="0.3">
      <c r="A53" s="8" t="s">
        <v>30</v>
      </c>
      <c r="B53" s="80">
        <v>0.378</v>
      </c>
      <c r="C53" s="80">
        <v>0.38100000000000001</v>
      </c>
      <c r="D53" s="34">
        <f>AVERAGE(B53:C53)</f>
        <v>0.3795</v>
      </c>
      <c r="E53" s="34">
        <f t="shared" si="29"/>
        <v>0.3085</v>
      </c>
      <c r="F53" s="34">
        <f t="shared" si="30"/>
        <v>-0.51074483163073947</v>
      </c>
      <c r="G53" s="35">
        <f t="shared" si="31"/>
        <v>0.19601767253672833</v>
      </c>
      <c r="H53" s="34">
        <f t="shared" si="32"/>
        <v>1.5704267076529725</v>
      </c>
      <c r="I53" s="48">
        <v>16</v>
      </c>
      <c r="J53" s="49">
        <f t="shared" si="33"/>
        <v>25.126827322447561</v>
      </c>
      <c r="K53" s="37">
        <f t="shared" si="35"/>
        <v>2.5126827322447562</v>
      </c>
      <c r="L53" s="50">
        <f t="shared" si="34"/>
        <v>9.8254389893777709</v>
      </c>
      <c r="M53" s="51">
        <f>AVERAGE(L53:L55)</f>
        <v>9.0852445242526638</v>
      </c>
      <c r="N53" s="52">
        <f>STDEV(L53:L55)</f>
        <v>0.66462520826158766</v>
      </c>
      <c r="O53" s="10">
        <f t="shared" si="36"/>
        <v>1.0415378004375901</v>
      </c>
      <c r="P53" s="51">
        <f>AVERAGE(O53:O55)</f>
        <v>1.0591958970022992</v>
      </c>
      <c r="Q53" s="52">
        <f>STDEV(O53:O55)</f>
        <v>5.6953275005941648E-2</v>
      </c>
      <c r="S53" s="11"/>
      <c r="T53" s="11"/>
    </row>
    <row r="54" spans="1:25" ht="15.75" x14ac:dyDescent="0.3">
      <c r="A54" s="53"/>
      <c r="B54" s="80">
        <v>0.375</v>
      </c>
      <c r="C54" s="80">
        <v>0.376</v>
      </c>
      <c r="D54" s="34">
        <f>AVERAGE(B54:C54)</f>
        <v>0.3755</v>
      </c>
      <c r="E54" s="34">
        <f t="shared" si="29"/>
        <v>0.30449999999999999</v>
      </c>
      <c r="F54" s="34">
        <f t="shared" si="30"/>
        <v>-0.51641270303110587</v>
      </c>
      <c r="G54" s="35">
        <f t="shared" si="31"/>
        <v>0.19018184875717342</v>
      </c>
      <c r="H54" s="34">
        <f t="shared" si="32"/>
        <v>1.5494652786672021</v>
      </c>
      <c r="I54" s="48">
        <v>16</v>
      </c>
      <c r="J54" s="49">
        <f t="shared" si="33"/>
        <v>24.791444458675233</v>
      </c>
      <c r="K54" s="37">
        <f t="shared" si="35"/>
        <v>2.4791444458675236</v>
      </c>
      <c r="L54" s="50">
        <f t="shared" si="34"/>
        <v>8.5396172862626187</v>
      </c>
      <c r="M54" s="51"/>
      <c r="N54" s="52"/>
      <c r="O54" s="10">
        <f t="shared" si="36"/>
        <v>1.0131631256540041</v>
      </c>
      <c r="P54" s="51"/>
      <c r="Q54" s="52"/>
      <c r="S54" s="11"/>
      <c r="T54" s="11"/>
    </row>
    <row r="55" spans="1:25" ht="15.75" x14ac:dyDescent="0.3">
      <c r="A55" s="54"/>
      <c r="B55" s="80">
        <v>0.36699999999999999</v>
      </c>
      <c r="C55" s="80">
        <v>0.37</v>
      </c>
      <c r="D55" s="34">
        <f>AVERAGE(B55:C55)</f>
        <v>0.36849999999999999</v>
      </c>
      <c r="E55" s="34">
        <f t="shared" si="29"/>
        <v>0.29749999999999999</v>
      </c>
      <c r="F55" s="34">
        <f t="shared" si="30"/>
        <v>-0.5265130299354317</v>
      </c>
      <c r="G55" s="35">
        <f t="shared" si="31"/>
        <v>0.17978222537726885</v>
      </c>
      <c r="H55" s="34">
        <f t="shared" si="32"/>
        <v>1.5128024715796897</v>
      </c>
      <c r="I55" s="48">
        <v>16</v>
      </c>
      <c r="J55" s="49">
        <f t="shared" si="33"/>
        <v>24.204839545275036</v>
      </c>
      <c r="K55" s="37">
        <f t="shared" si="35"/>
        <v>2.4204839545275036</v>
      </c>
      <c r="L55" s="50">
        <f t="shared" si="34"/>
        <v>8.8906772971175965</v>
      </c>
      <c r="M55" s="51"/>
      <c r="N55" s="52"/>
      <c r="O55" s="10">
        <f t="shared" si="36"/>
        <v>1.122886764915304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1.6504702637511584</v>
      </c>
      <c r="O58" s="51">
        <f>Q50</f>
        <v>0.77193306509575565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1.0591958970022992</v>
      </c>
      <c r="O59" s="51">
        <f>Q53</f>
        <v>5.6953275005941648E-2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1.3861076827812422</v>
      </c>
      <c r="C65" s="51">
        <f>N40</f>
        <v>0.32989705736813624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2.1230642401559829</v>
      </c>
      <c r="C66" s="51">
        <f>N50</f>
        <v>0.42954014516473027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8.593318411935277</v>
      </c>
      <c r="C67" s="51">
        <f>N43</f>
        <v>0.77124157420288031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9.0852445242526638</v>
      </c>
      <c r="C68" s="51">
        <f>N53</f>
        <v>0.66462520826158766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siNTP</vt:lpstr>
      <vt:lpstr>siFAF1</vt:lpstr>
      <vt:lpstr>siZFAND3</vt:lpstr>
      <vt:lpstr>siZFAND6</vt:lpstr>
      <vt:lpstr>siFAF1!Zone_d_impression</vt:lpstr>
      <vt:lpstr>siNTP!Zone_d_impression</vt:lpstr>
      <vt:lpstr>siZFAND3!Zone_d_impression</vt:lpstr>
      <vt:lpstr>siZFAND6!Zone_d_impression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MH. Huyvaert</dc:creator>
  <cp:lastModifiedBy>Marlene MH. Huyvaert</cp:lastModifiedBy>
  <dcterms:created xsi:type="dcterms:W3CDTF">2016-03-17T14:56:32Z</dcterms:created>
  <dcterms:modified xsi:type="dcterms:W3CDTF">2016-03-21T15:52:05Z</dcterms:modified>
</cp:coreProperties>
</file>